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https://northmarq-my.sharepoint.com/personal/abjorklund_northmarq_com/Documents/Live Deals/Winchester Huntsville/NM UW/"/>
    </mc:Choice>
  </mc:AlternateContent>
  <xr:revisionPtr revIDLastSave="72" documentId="8_{AEC98ACF-DA9A-498F-905B-1FD7000C5591}" xr6:coauthVersionLast="47" xr6:coauthVersionMax="47" xr10:uidLastSave="{62DF3421-D32A-4780-AEC7-67A03A241192}"/>
  <bookViews>
    <workbookView xWindow="-19310" yWindow="-110" windowWidth="19420" windowHeight="10300" tabRatio="919" firstSheet="2" activeTab="2" xr2:uid="{72E2A2F8-472D-4533-AC56-B220E329F4C0}"/>
  </bookViews>
  <sheets>
    <sheet name="Package Charts" sheetId="11" state="hidden" r:id="rId1"/>
    <sheet name="Property Overview" sheetId="5" state="hidden" r:id="rId2"/>
    <sheet name="Inputs and Assumptions" sheetId="19" r:id="rId3"/>
    <sheet name="Amo Schedule - Senior" sheetId="23" state="hidden" r:id="rId4"/>
    <sheet name="Amo Schedule - Refi" sheetId="25" state="hidden" r:id="rId5"/>
    <sheet name="Amo Schedule - Supplemental" sheetId="28" state="hidden" r:id="rId6"/>
    <sheet name="1 Month Term SOFR Forward Curve" sheetId="35" state="hidden" r:id="rId7"/>
    <sheet name="RRT Summary (Paste)" sheetId="33" state="hidden" r:id="rId8"/>
    <sheet name="RRT Unit Mix (Paste)" sheetId="32" state="hidden" r:id="rId9"/>
    <sheet name="Rent Roll Analysis" sheetId="21" r:id="rId10"/>
    <sheet name="Sponsor Pro Forma" sheetId="22" r:id="rId11"/>
    <sheet name="Other Income" sheetId="40" state="hidden" r:id="rId12"/>
    <sheet name="Debt Sizing" sheetId="6" r:id="rId13"/>
    <sheet name="T12" sheetId="8" r:id="rId14"/>
    <sheet name="Taxes" sheetId="9" r:id="rId15"/>
    <sheet name="Quote Sheet" sheetId="18" state="hidden" r:id="rId16"/>
    <sheet name="Agency Quote Snip" sheetId="37" state="hidden" r:id="rId17"/>
    <sheet name="Quote Sheet 2" sheetId="38" state="hidden" r:id="rId18"/>
    <sheet name="Clean UW" sheetId="39" state="hidden" r:id="rId19"/>
    <sheet name="Monthly Cash Flow" sheetId="20" r:id="rId20"/>
    <sheet name="Annual Summary" sheetId="27" r:id="rId21"/>
    <sheet name="JV Waterfall" sheetId="31" r:id="rId22"/>
    <sheet name="Pure Promote Waterfall" sheetId="34" state="hidden" r:id="rId23"/>
  </sheets>
  <externalReferences>
    <externalReference r:id="rId24"/>
  </externalReferences>
  <definedNames>
    <definedName name="_" localSheetId="4" hidden="1">'Amo Schedule - Refi'!#REF!</definedName>
    <definedName name="_" localSheetId="5" hidden="1">'Amo Schedule - Supplemental'!#REF!</definedName>
    <definedName name="_" localSheetId="20" hidden="1">'Annual Summary'!#REF!</definedName>
    <definedName name="_" localSheetId="2" hidden="1">'Inputs and Assumptions'!#REF!</definedName>
    <definedName name="_" localSheetId="21" hidden="1">'JV Waterfall'!#REF!</definedName>
    <definedName name="_" localSheetId="19" hidden="1">'Monthly Cash Flow'!#REF!</definedName>
    <definedName name="_" localSheetId="22" hidden="1">'Pure Promote Waterfall'!#REF!</definedName>
    <definedName name="_" localSheetId="7" hidden="1">'RRT Summary (Paste)'!#REF!</definedName>
    <definedName name="_" localSheetId="8" hidden="1">'RRT Unit Mix (Paste)'!#REF!</definedName>
    <definedName name="_" localSheetId="10" hidden="1">'Sponsor Pro Forma'!#REF!</definedName>
    <definedName name="_" hidden="1">#REF!</definedName>
    <definedName name="__" localSheetId="4" hidden="1">'Amo Schedule - Refi'!#REF!</definedName>
    <definedName name="__" localSheetId="5" hidden="1">'Amo Schedule - Supplemental'!#REF!</definedName>
    <definedName name="__" localSheetId="20" hidden="1">'Annual Summary'!#REF!</definedName>
    <definedName name="__" localSheetId="2" hidden="1">'Inputs and Assumptions'!#REF!</definedName>
    <definedName name="__" localSheetId="21" hidden="1">'JV Waterfall'!#REF!</definedName>
    <definedName name="__" localSheetId="19" hidden="1">'Monthly Cash Flow'!#REF!</definedName>
    <definedName name="__" localSheetId="22" hidden="1">'Pure Promote Waterfall'!#REF!</definedName>
    <definedName name="__" localSheetId="7" hidden="1">'RRT Summary (Paste)'!#REF!</definedName>
    <definedName name="__" localSheetId="8" hidden="1">'RRT Unit Mix (Paste)'!#REF!</definedName>
    <definedName name="__" localSheetId="10" hidden="1">'Sponsor Pro Forma'!#REF!</definedName>
    <definedName name="__" hidden="1">#REF!</definedName>
    <definedName name="___" localSheetId="4" hidden="1">'Amo Schedule - Refi'!#REF!</definedName>
    <definedName name="___" localSheetId="5" hidden="1">'Amo Schedule - Supplemental'!#REF!</definedName>
    <definedName name="___" localSheetId="20" hidden="1">'Annual Summary'!#REF!</definedName>
    <definedName name="___" localSheetId="2" hidden="1">'Inputs and Assumptions'!#REF!</definedName>
    <definedName name="___" localSheetId="21" hidden="1">'JV Waterfall'!#REF!</definedName>
    <definedName name="___" localSheetId="19" hidden="1">'Monthly Cash Flow'!#REF!</definedName>
    <definedName name="___" localSheetId="22" hidden="1">'Pure Promote Waterfall'!#REF!</definedName>
    <definedName name="___" localSheetId="7" hidden="1">'RRT Summary (Paste)'!#REF!</definedName>
    <definedName name="___" localSheetId="8" hidden="1">'RRT Unit Mix (Paste)'!#REF!</definedName>
    <definedName name="___" localSheetId="10" hidden="1">'Sponsor Pro Forma'!#REF!</definedName>
    <definedName name="___" hidden="1">#REF!</definedName>
    <definedName name="____" localSheetId="4" hidden="1">'Amo Schedule - Refi'!#REF!</definedName>
    <definedName name="____" localSheetId="5" hidden="1">'Amo Schedule - Supplemental'!#REF!</definedName>
    <definedName name="____" localSheetId="20" hidden="1">'Annual Summary'!#REF!</definedName>
    <definedName name="____" localSheetId="2" hidden="1">'Inputs and Assumptions'!#REF!</definedName>
    <definedName name="____" localSheetId="21" hidden="1">'JV Waterfall'!#REF!</definedName>
    <definedName name="____" localSheetId="19" hidden="1">'Monthly Cash Flow'!#REF!</definedName>
    <definedName name="____" localSheetId="22" hidden="1">'Pure Promote Waterfall'!#REF!</definedName>
    <definedName name="____" localSheetId="7" hidden="1">'RRT Summary (Paste)'!#REF!</definedName>
    <definedName name="____" localSheetId="8" hidden="1">'RRT Unit Mix (Paste)'!#REF!</definedName>
    <definedName name="____" localSheetId="10" hidden="1">'Sponsor Pro Forma'!#REF!</definedName>
    <definedName name="____" hidden="1">#REF!</definedName>
    <definedName name="_________key1" hidden="1">#REF!</definedName>
    <definedName name="_________key2" hidden="1">#REF!</definedName>
    <definedName name="________key1" hidden="1">#REF!</definedName>
    <definedName name="________key2" hidden="1">#REF!</definedName>
    <definedName name="_______key1" hidden="1">#REF!</definedName>
    <definedName name="_______key2" hidden="1">#REF!</definedName>
    <definedName name="_______wrn1" localSheetId="2" hidden="1">{"schedule1",#N/A,FALSE,"Sheet1";"schedule2",#N/A,FALSE,"Sheet1";"schedule3",#N/A,FALSE,"Sheet1";"schedule4",#N/A,FALSE,"Sheet1";"schedule5",#N/A,FALSE,"Sheet1";"schedule6",#N/A,FALSE,"Sheet1"}</definedName>
    <definedName name="_______wrn1" localSheetId="21" hidden="1">{"schedule1",#N/A,FALSE,"Sheet1";"schedule2",#N/A,FALSE,"Sheet1";"schedule3",#N/A,FALSE,"Sheet1";"schedule4",#N/A,FALSE,"Sheet1";"schedule5",#N/A,FALSE,"Sheet1";"schedule6",#N/A,FALSE,"Sheet1"}</definedName>
    <definedName name="_______wrn1" localSheetId="22" hidden="1">{"schedule1",#N/A,FALSE,"Sheet1";"schedule2",#N/A,FALSE,"Sheet1";"schedule3",#N/A,FALSE,"Sheet1";"schedule4",#N/A,FALSE,"Sheet1";"schedule5",#N/A,FALSE,"Sheet1";"schedule6",#N/A,FALSE,"Sheet1"}</definedName>
    <definedName name="_______wrn1" localSheetId="15" hidden="1">{"schedule1",#N/A,FALSE,"Sheet1";"schedule2",#N/A,FALSE,"Sheet1";"schedule3",#N/A,FALSE,"Sheet1";"schedule4",#N/A,FALSE,"Sheet1";"schedule5",#N/A,FALSE,"Sheet1";"schedule6",#N/A,FALSE,"Sheet1"}</definedName>
    <definedName name="_______wrn1" localSheetId="17" hidden="1">{"schedule1",#N/A,FALSE,"Sheet1";"schedule2",#N/A,FALSE,"Sheet1";"schedule3",#N/A,FALSE,"Sheet1";"schedule4",#N/A,FALSE,"Sheet1";"schedule5",#N/A,FALSE,"Sheet1";"schedule6",#N/A,FALSE,"Sheet1"}</definedName>
    <definedName name="_______wrn1" localSheetId="10" hidden="1">{"schedule1",#N/A,FALSE,"Sheet1";"schedule2",#N/A,FALSE,"Sheet1";"schedule3",#N/A,FALSE,"Sheet1";"schedule4",#N/A,FALSE,"Sheet1";"schedule5",#N/A,FALSE,"Sheet1";"schedule6",#N/A,FALSE,"Sheet1"}</definedName>
    <definedName name="_______wrn1" localSheetId="13" hidden="1">{"schedule1",#N/A,FALSE,"Sheet1";"schedule2",#N/A,FALSE,"Sheet1";"schedule3",#N/A,FALSE,"Sheet1";"schedule4",#N/A,FALSE,"Sheet1";"schedule5",#N/A,FALSE,"Sheet1";"schedule6",#N/A,FALSE,"Sheet1"}</definedName>
    <definedName name="_______wrn1" hidden="1">{"schedule1",#N/A,FALSE,"Sheet1";"schedule2",#N/A,FALSE,"Sheet1";"schedule3",#N/A,FALSE,"Sheet1";"schedule4",#N/A,FALSE,"Sheet1";"schedule5",#N/A,FALSE,"Sheet1";"schedule6",#N/A,FALSE,"Sheet1"}</definedName>
    <definedName name="______wrn1" localSheetId="2" hidden="1">{"schedule1",#N/A,FALSE,"Sheet1";"schedule2",#N/A,FALSE,"Sheet1";"schedule3",#N/A,FALSE,"Sheet1";"schedule4",#N/A,FALSE,"Sheet1";"schedule5",#N/A,FALSE,"Sheet1";"schedule6",#N/A,FALSE,"Sheet1"}</definedName>
    <definedName name="______wrn1" localSheetId="21" hidden="1">{"schedule1",#N/A,FALSE,"Sheet1";"schedule2",#N/A,FALSE,"Sheet1";"schedule3",#N/A,FALSE,"Sheet1";"schedule4",#N/A,FALSE,"Sheet1";"schedule5",#N/A,FALSE,"Sheet1";"schedule6",#N/A,FALSE,"Sheet1"}</definedName>
    <definedName name="______wrn1" localSheetId="22" hidden="1">{"schedule1",#N/A,FALSE,"Sheet1";"schedule2",#N/A,FALSE,"Sheet1";"schedule3",#N/A,FALSE,"Sheet1";"schedule4",#N/A,FALSE,"Sheet1";"schedule5",#N/A,FALSE,"Sheet1";"schedule6",#N/A,FALSE,"Sheet1"}</definedName>
    <definedName name="______wrn1" localSheetId="15" hidden="1">{"schedule1",#N/A,FALSE,"Sheet1";"schedule2",#N/A,FALSE,"Sheet1";"schedule3",#N/A,FALSE,"Sheet1";"schedule4",#N/A,FALSE,"Sheet1";"schedule5",#N/A,FALSE,"Sheet1";"schedule6",#N/A,FALSE,"Sheet1"}</definedName>
    <definedName name="______wrn1" localSheetId="17" hidden="1">{"schedule1",#N/A,FALSE,"Sheet1";"schedule2",#N/A,FALSE,"Sheet1";"schedule3",#N/A,FALSE,"Sheet1";"schedule4",#N/A,FALSE,"Sheet1";"schedule5",#N/A,FALSE,"Sheet1";"schedule6",#N/A,FALSE,"Sheet1"}</definedName>
    <definedName name="______wrn1" localSheetId="10" hidden="1">{"schedule1",#N/A,FALSE,"Sheet1";"schedule2",#N/A,FALSE,"Sheet1";"schedule3",#N/A,FALSE,"Sheet1";"schedule4",#N/A,FALSE,"Sheet1";"schedule5",#N/A,FALSE,"Sheet1";"schedule6",#N/A,FALSE,"Sheet1"}</definedName>
    <definedName name="______wrn1" localSheetId="13" hidden="1">{"schedule1",#N/A,FALSE,"Sheet1";"schedule2",#N/A,FALSE,"Sheet1";"schedule3",#N/A,FALSE,"Sheet1";"schedule4",#N/A,FALSE,"Sheet1";"schedule5",#N/A,FALSE,"Sheet1";"schedule6",#N/A,FALSE,"Sheet1"}</definedName>
    <definedName name="______wrn1" hidden="1">{"schedule1",#N/A,FALSE,"Sheet1";"schedule2",#N/A,FALSE,"Sheet1";"schedule3",#N/A,FALSE,"Sheet1";"schedule4",#N/A,FALSE,"Sheet1";"schedule5",#N/A,FALSE,"Sheet1";"schedule6",#N/A,FALSE,"Sheet1"}</definedName>
    <definedName name="_____key1" hidden="1">#REF!</definedName>
    <definedName name="_____key2" hidden="1">#REF!</definedName>
    <definedName name="____key1" hidden="1">#REF!</definedName>
    <definedName name="____key2" hidden="1">#REF!</definedName>
    <definedName name="____wrn1" localSheetId="2" hidden="1">{"schedule1",#N/A,FALSE,"Sheet1";"schedule2",#N/A,FALSE,"Sheet1";"schedule3",#N/A,FALSE,"Sheet1";"schedule4",#N/A,FALSE,"Sheet1";"schedule5",#N/A,FALSE,"Sheet1";"schedule6",#N/A,FALSE,"Sheet1"}</definedName>
    <definedName name="____wrn1" localSheetId="21" hidden="1">{"schedule1",#N/A,FALSE,"Sheet1";"schedule2",#N/A,FALSE,"Sheet1";"schedule3",#N/A,FALSE,"Sheet1";"schedule4",#N/A,FALSE,"Sheet1";"schedule5",#N/A,FALSE,"Sheet1";"schedule6",#N/A,FALSE,"Sheet1"}</definedName>
    <definedName name="____wrn1" localSheetId="22" hidden="1">{"schedule1",#N/A,FALSE,"Sheet1";"schedule2",#N/A,FALSE,"Sheet1";"schedule3",#N/A,FALSE,"Sheet1";"schedule4",#N/A,FALSE,"Sheet1";"schedule5",#N/A,FALSE,"Sheet1";"schedule6",#N/A,FALSE,"Sheet1"}</definedName>
    <definedName name="____wrn1" localSheetId="15" hidden="1">{"schedule1",#N/A,FALSE,"Sheet1";"schedule2",#N/A,FALSE,"Sheet1";"schedule3",#N/A,FALSE,"Sheet1";"schedule4",#N/A,FALSE,"Sheet1";"schedule5",#N/A,FALSE,"Sheet1";"schedule6",#N/A,FALSE,"Sheet1"}</definedName>
    <definedName name="____wrn1" localSheetId="17" hidden="1">{"schedule1",#N/A,FALSE,"Sheet1";"schedule2",#N/A,FALSE,"Sheet1";"schedule3",#N/A,FALSE,"Sheet1";"schedule4",#N/A,FALSE,"Sheet1";"schedule5",#N/A,FALSE,"Sheet1";"schedule6",#N/A,FALSE,"Sheet1"}</definedName>
    <definedName name="____wrn1" localSheetId="10" hidden="1">{"schedule1",#N/A,FALSE,"Sheet1";"schedule2",#N/A,FALSE,"Sheet1";"schedule3",#N/A,FALSE,"Sheet1";"schedule4",#N/A,FALSE,"Sheet1";"schedule5",#N/A,FALSE,"Sheet1";"schedule6",#N/A,FALSE,"Sheet1"}</definedName>
    <definedName name="____wrn1" localSheetId="13" hidden="1">{"schedule1",#N/A,FALSE,"Sheet1";"schedule2",#N/A,FALSE,"Sheet1";"schedule3",#N/A,FALSE,"Sheet1";"schedule4",#N/A,FALSE,"Sheet1";"schedule5",#N/A,FALSE,"Sheet1";"schedule6",#N/A,FALSE,"Sheet1"}</definedName>
    <definedName name="____wrn1" hidden="1">{"schedule1",#N/A,FALSE,"Sheet1";"schedule2",#N/A,FALSE,"Sheet1";"schedule3",#N/A,FALSE,"Sheet1";"schedule4",#N/A,FALSE,"Sheet1";"schedule5",#N/A,FALSE,"Sheet1";"schedule6",#N/A,FALSE,"Sheet1"}</definedName>
    <definedName name="___key1" hidden="1">#REF!</definedName>
    <definedName name="___key2" hidden="1">#REF!</definedName>
    <definedName name="___wrn1" localSheetId="2" hidden="1">{"schedule1",#N/A,FALSE,"Sheet1";"schedule2",#N/A,FALSE,"Sheet1";"schedule3",#N/A,FALSE,"Sheet1";"schedule4",#N/A,FALSE,"Sheet1";"schedule5",#N/A,FALSE,"Sheet1";"schedule6",#N/A,FALSE,"Sheet1"}</definedName>
    <definedName name="___wrn1" localSheetId="21" hidden="1">{"schedule1",#N/A,FALSE,"Sheet1";"schedule2",#N/A,FALSE,"Sheet1";"schedule3",#N/A,FALSE,"Sheet1";"schedule4",#N/A,FALSE,"Sheet1";"schedule5",#N/A,FALSE,"Sheet1";"schedule6",#N/A,FALSE,"Sheet1"}</definedName>
    <definedName name="___wrn1" localSheetId="22" hidden="1">{"schedule1",#N/A,FALSE,"Sheet1";"schedule2",#N/A,FALSE,"Sheet1";"schedule3",#N/A,FALSE,"Sheet1";"schedule4",#N/A,FALSE,"Sheet1";"schedule5",#N/A,FALSE,"Sheet1";"schedule6",#N/A,FALSE,"Sheet1"}</definedName>
    <definedName name="___wrn1" localSheetId="15" hidden="1">{"schedule1",#N/A,FALSE,"Sheet1";"schedule2",#N/A,FALSE,"Sheet1";"schedule3",#N/A,FALSE,"Sheet1";"schedule4",#N/A,FALSE,"Sheet1";"schedule5",#N/A,FALSE,"Sheet1";"schedule6",#N/A,FALSE,"Sheet1"}</definedName>
    <definedName name="___wrn1" localSheetId="17" hidden="1">{"schedule1",#N/A,FALSE,"Sheet1";"schedule2",#N/A,FALSE,"Sheet1";"schedule3",#N/A,FALSE,"Sheet1";"schedule4",#N/A,FALSE,"Sheet1";"schedule5",#N/A,FALSE,"Sheet1";"schedule6",#N/A,FALSE,"Sheet1"}</definedName>
    <definedName name="___wrn1" localSheetId="10" hidden="1">{"schedule1",#N/A,FALSE,"Sheet1";"schedule2",#N/A,FALSE,"Sheet1";"schedule3",#N/A,FALSE,"Sheet1";"schedule4",#N/A,FALSE,"Sheet1";"schedule5",#N/A,FALSE,"Sheet1";"schedule6",#N/A,FALSE,"Sheet1"}</definedName>
    <definedName name="___wrn1" localSheetId="13" hidden="1">{"schedule1",#N/A,FALSE,"Sheet1";"schedule2",#N/A,FALSE,"Sheet1";"schedule3",#N/A,FALSE,"Sheet1";"schedule4",#N/A,FALSE,"Sheet1";"schedule5",#N/A,FALSE,"Sheet1";"schedule6",#N/A,FALSE,"Sheet1"}</definedName>
    <definedName name="___wrn1" hidden="1">{"schedule1",#N/A,FALSE,"Sheet1";"schedule2",#N/A,FALSE,"Sheet1";"schedule3",#N/A,FALSE,"Sheet1";"schedule4",#N/A,FALSE,"Sheet1";"schedule5",#N/A,FALSE,"Sheet1";"schedule6",#N/A,FALSE,"Sheet1"}</definedName>
    <definedName name="__123Graph_A" localSheetId="4" hidden="1">#REF!</definedName>
    <definedName name="__123Graph_A" localSheetId="5" hidden="1">#REF!</definedName>
    <definedName name="__123Graph_A" localSheetId="20" hidden="1">#REF!</definedName>
    <definedName name="__123Graph_A" localSheetId="2" hidden="1">#REF!</definedName>
    <definedName name="__123Graph_A" localSheetId="21" hidden="1">#REF!</definedName>
    <definedName name="__123Graph_A" localSheetId="19" hidden="1">#REF!</definedName>
    <definedName name="__123Graph_A" localSheetId="22" hidden="1">#REF!</definedName>
    <definedName name="__123Graph_A" localSheetId="7" hidden="1">#REF!</definedName>
    <definedName name="__123Graph_A" localSheetId="8" hidden="1">#REF!</definedName>
    <definedName name="__123Graph_A" localSheetId="10" hidden="1">#REF!</definedName>
    <definedName name="__123Graph_A" hidden="1">#REF!</definedName>
    <definedName name="__123Graph_ACOLLECTIONS" hidden="1">#REF!</definedName>
    <definedName name="__123Graph_B" hidden="1">#REF!</definedName>
    <definedName name="__123Graph_BCOLLECTIONS" hidden="1">#REF!</definedName>
    <definedName name="__123Graph_C" hidden="1">#REF!</definedName>
    <definedName name="__123Graph_D" hidden="1">#REF!</definedName>
    <definedName name="__123Graph_E" hidden="1">#REF!</definedName>
    <definedName name="__123Graph_F" localSheetId="4" hidden="1">'Amo Schedule - Refi'!#REF!</definedName>
    <definedName name="__123Graph_F" localSheetId="5" hidden="1">'Amo Schedule - Supplemental'!#REF!</definedName>
    <definedName name="__123Graph_F" localSheetId="20" hidden="1">'Annual Summary'!#REF!</definedName>
    <definedName name="__123Graph_F" localSheetId="2" hidden="1">'Inputs and Assumptions'!#REF!</definedName>
    <definedName name="__123Graph_F" localSheetId="21" hidden="1">'JV Waterfall'!#REF!</definedName>
    <definedName name="__123Graph_F" localSheetId="19" hidden="1">'Monthly Cash Flow'!#REF!</definedName>
    <definedName name="__123Graph_F" localSheetId="22" hidden="1">'Pure Promote Waterfall'!#REF!</definedName>
    <definedName name="__123Graph_F" localSheetId="7" hidden="1">'RRT Summary (Paste)'!#REF!</definedName>
    <definedName name="__123Graph_F" localSheetId="8" hidden="1">'RRT Unit Mix (Paste)'!#REF!</definedName>
    <definedName name="__123Graph_F" localSheetId="10" hidden="1">'Sponsor Pro Forma'!#REF!</definedName>
    <definedName name="__123Graph_F" hidden="1">#REF!</definedName>
    <definedName name="__123Graph_X" hidden="1">#REF!</definedName>
    <definedName name="__123Graph_XCOLLECTIONS" hidden="1">#REF!</definedName>
    <definedName name="__a1" localSheetId="21" hidden="1">{"Assump",#N/A,TRUE,"Proforma";"first",#N/A,TRUE,"Proforma";"second",#N/A,TRUE,"Proforma";"lease1",#N/A,TRUE,"Proforma";"lease2",#N/A,TRUE,"Proforma"}</definedName>
    <definedName name="__a1" localSheetId="22" hidden="1">{"Assump",#N/A,TRUE,"Proforma";"first",#N/A,TRUE,"Proforma";"second",#N/A,TRUE,"Proforma";"lease1",#N/A,TRUE,"Proforma";"lease2",#N/A,TRUE,"Proforma"}</definedName>
    <definedName name="__a1" localSheetId="17" hidden="1">{"Assump",#N/A,TRUE,"Proforma";"first",#N/A,TRUE,"Proforma";"second",#N/A,TRUE,"Proforma";"lease1",#N/A,TRUE,"Proforma";"lease2",#N/A,TRUE,"Proforma"}</definedName>
    <definedName name="__a1" localSheetId="10" hidden="1">{"Assump",#N/A,TRUE,"Proforma";"first",#N/A,TRUE,"Proforma";"second",#N/A,TRUE,"Proforma";"lease1",#N/A,TRUE,"Proforma";"lease2",#N/A,TRUE,"Proforma"}</definedName>
    <definedName name="__a1" hidden="1">{"Assump",#N/A,TRUE,"Proforma";"first",#N/A,TRUE,"Proforma";"second",#N/A,TRUE,"Proforma";"lease1",#N/A,TRUE,"Proforma";"lease2",#N/A,TRUE,"Proforma"}</definedName>
    <definedName name="__aa1" localSheetId="21" hidden="1">{#N/A,#N/A,FALSE,"Group Fcst";#N/A,#N/A,FALSE,"Group Fcst Variance";#N/A,#N/A,FALSE,"Consolidated";#N/A,#N/A,FALSE,"Subscriber Mktg";#N/A,#N/A,FALSE,"Vendor Mktg";#N/A,#N/A,FALSE,"Corporate";#N/A,#N/A,FALSE,"Finance";#N/A,#N/A,FALSE,"Cust Svc-Legal";#N/A,#N/A,FALSE,"Legal";#N/A,#N/A,FALSE,"Cust Supp";#N/A,#N/A,FALSE,"Logistics";#N/A,#N/A,FALSE,"Service Mgmt";#N/A,#N/A,FALSE,"GlobalFares";#N/A,#N/A,FALSE,"HR";#N/A,#N/A,FALSE,"President";#N/A,#N/A,FALSE,"Information Services";#N/A,#N/A,FALSE,"Systems Dev";#N/A,#N/A,FALSE,"Network Services";#N/A,#N/A,FALSE,"Data Center"}</definedName>
    <definedName name="__aa1" localSheetId="22" hidden="1">{#N/A,#N/A,FALSE,"Group Fcst";#N/A,#N/A,FALSE,"Group Fcst Variance";#N/A,#N/A,FALSE,"Consolidated";#N/A,#N/A,FALSE,"Subscriber Mktg";#N/A,#N/A,FALSE,"Vendor Mktg";#N/A,#N/A,FALSE,"Corporate";#N/A,#N/A,FALSE,"Finance";#N/A,#N/A,FALSE,"Cust Svc-Legal";#N/A,#N/A,FALSE,"Legal";#N/A,#N/A,FALSE,"Cust Supp";#N/A,#N/A,FALSE,"Logistics";#N/A,#N/A,FALSE,"Service Mgmt";#N/A,#N/A,FALSE,"GlobalFares";#N/A,#N/A,FALSE,"HR";#N/A,#N/A,FALSE,"President";#N/A,#N/A,FALSE,"Information Services";#N/A,#N/A,FALSE,"Systems Dev";#N/A,#N/A,FALSE,"Network Services";#N/A,#N/A,FALSE,"Data Center"}</definedName>
    <definedName name="__aa1" localSheetId="17" hidden="1">{#N/A,#N/A,FALSE,"Group Fcst";#N/A,#N/A,FALSE,"Group Fcst Variance";#N/A,#N/A,FALSE,"Consolidated";#N/A,#N/A,FALSE,"Subscriber Mktg";#N/A,#N/A,FALSE,"Vendor Mktg";#N/A,#N/A,FALSE,"Corporate";#N/A,#N/A,FALSE,"Finance";#N/A,#N/A,FALSE,"Cust Svc-Legal";#N/A,#N/A,FALSE,"Legal";#N/A,#N/A,FALSE,"Cust Supp";#N/A,#N/A,FALSE,"Logistics";#N/A,#N/A,FALSE,"Service Mgmt";#N/A,#N/A,FALSE,"GlobalFares";#N/A,#N/A,FALSE,"HR";#N/A,#N/A,FALSE,"President";#N/A,#N/A,FALSE,"Information Services";#N/A,#N/A,FALSE,"Systems Dev";#N/A,#N/A,FALSE,"Network Services";#N/A,#N/A,FALSE,"Data Center"}</definedName>
    <definedName name="__aa1" hidden="1">{#N/A,#N/A,FALSE,"Group Fcst";#N/A,#N/A,FALSE,"Group Fcst Variance";#N/A,#N/A,FALSE,"Consolidated";#N/A,#N/A,FALSE,"Subscriber Mktg";#N/A,#N/A,FALSE,"Vendor Mktg";#N/A,#N/A,FALSE,"Corporate";#N/A,#N/A,FALSE,"Finance";#N/A,#N/A,FALSE,"Cust Svc-Legal";#N/A,#N/A,FALSE,"Legal";#N/A,#N/A,FALSE,"Cust Supp";#N/A,#N/A,FALSE,"Logistics";#N/A,#N/A,FALSE,"Service Mgmt";#N/A,#N/A,FALSE,"GlobalFares";#N/A,#N/A,FALSE,"HR";#N/A,#N/A,FALSE,"President";#N/A,#N/A,FALSE,"Information Services";#N/A,#N/A,FALSE,"Systems Dev";#N/A,#N/A,FALSE,"Network Services";#N/A,#N/A,FALSE,"Data Center"}</definedName>
    <definedName name="__FDS_HYPERLINK_TOGGLE_STATE__" hidden="1">"ON"</definedName>
    <definedName name="__IntlFixup" hidden="1">TRUE</definedName>
    <definedName name="__key1" hidden="1">#REF!</definedName>
    <definedName name="__key2" hidden="1">#REF!</definedName>
    <definedName name="__r" localSheetId="21" hidden="1">{#N/A,#N/A,FALSE,"Actual";#N/A,#N/A,FALSE,"Management Report 2";#N/A,#N/A,FALSE,"Management Report 3";#N/A,#N/A,FALSE,"Ergebnis";#N/A,#N/A,FALSE,"Summary";#N/A,#N/A,FALSE,"Konrzern";#N/A,#N/A,FALSE,"Abweichung Budget-Actuell"}</definedName>
    <definedName name="__r" localSheetId="22" hidden="1">{#N/A,#N/A,FALSE,"Actual";#N/A,#N/A,FALSE,"Management Report 2";#N/A,#N/A,FALSE,"Management Report 3";#N/A,#N/A,FALSE,"Ergebnis";#N/A,#N/A,FALSE,"Summary";#N/A,#N/A,FALSE,"Konrzern";#N/A,#N/A,FALSE,"Abweichung Budget-Actuell"}</definedName>
    <definedName name="__r" localSheetId="17" hidden="1">{#N/A,#N/A,FALSE,"Actual";#N/A,#N/A,FALSE,"Management Report 2";#N/A,#N/A,FALSE,"Management Report 3";#N/A,#N/A,FALSE,"Ergebnis";#N/A,#N/A,FALSE,"Summary";#N/A,#N/A,FALSE,"Konrzern";#N/A,#N/A,FALSE,"Abweichung Budget-Actuell"}</definedName>
    <definedName name="__r" hidden="1">{#N/A,#N/A,FALSE,"Actual";#N/A,#N/A,FALSE,"Management Report 2";#N/A,#N/A,FALSE,"Management Report 3";#N/A,#N/A,FALSE,"Ergebnis";#N/A,#N/A,FALSE,"Summary";#N/A,#N/A,FALSE,"Konrzern";#N/A,#N/A,FALSE,"Abweichung Budget-Actuell"}</definedName>
    <definedName name="_1__123Graph_ACHART_4A" localSheetId="4" hidden="1">'Amo Schedule - Refi'!#REF!</definedName>
    <definedName name="_1__123Graph_ACHART_4A" localSheetId="5" hidden="1">'Amo Schedule - Supplemental'!#REF!</definedName>
    <definedName name="_1__123Graph_ACHART_4A" localSheetId="20" hidden="1">'Annual Summary'!#REF!</definedName>
    <definedName name="_1__123Graph_ACHART_4A" localSheetId="2" hidden="1">'Inputs and Assumptions'!#REF!</definedName>
    <definedName name="_1__123Graph_ACHART_4A" localSheetId="21" hidden="1">'JV Waterfall'!#REF!</definedName>
    <definedName name="_1__123Graph_ACHART_4A" localSheetId="19" hidden="1">'Monthly Cash Flow'!#REF!</definedName>
    <definedName name="_1__123Graph_ACHART_4A" localSheetId="22" hidden="1">'Pure Promote Waterfall'!#REF!</definedName>
    <definedName name="_1__123Graph_ACHART_4A" localSheetId="7" hidden="1">'RRT Summary (Paste)'!#REF!</definedName>
    <definedName name="_1__123Graph_ACHART_4A" localSheetId="8" hidden="1">'RRT Unit Mix (Paste)'!#REF!</definedName>
    <definedName name="_1__123Graph_ACHART_4A" localSheetId="10" hidden="1">'Sponsor Pro Forma'!#REF!</definedName>
    <definedName name="_1__123Graph_ACHART_4A" hidden="1">#REF!</definedName>
    <definedName name="_1__123Graph_CCHART_1" hidden="1">#REF!</definedName>
    <definedName name="_10__123Graph_XCHART_2" hidden="1">#REF!</definedName>
    <definedName name="_2__123Graph_ACHART_1" hidden="1">#REF!</definedName>
    <definedName name="_2__123Graph_ACHART_4A" localSheetId="4" hidden="1">'Amo Schedule - Refi'!#REF!</definedName>
    <definedName name="_2__123Graph_ACHART_4A" localSheetId="5" hidden="1">'Amo Schedule - Supplemental'!#REF!</definedName>
    <definedName name="_2__123Graph_ACHART_4A" localSheetId="20" hidden="1">'Annual Summary'!#REF!</definedName>
    <definedName name="_2__123Graph_ACHART_4A" localSheetId="2" hidden="1">'Inputs and Assumptions'!#REF!</definedName>
    <definedName name="_2__123Graph_ACHART_4A" localSheetId="21" hidden="1">'JV Waterfall'!#REF!</definedName>
    <definedName name="_2__123Graph_ACHART_4A" localSheetId="19" hidden="1">'Monthly Cash Flow'!#REF!</definedName>
    <definedName name="_2__123Graph_ACHART_4A" localSheetId="22" hidden="1">'Pure Promote Waterfall'!#REF!</definedName>
    <definedName name="_2__123Graph_ACHART_4A" localSheetId="7" hidden="1">'RRT Summary (Paste)'!#REF!</definedName>
    <definedName name="_2__123Graph_ACHART_4A" localSheetId="8" hidden="1">'RRT Unit Mix (Paste)'!#REF!</definedName>
    <definedName name="_2__123Graph_ACHART_4A" localSheetId="10" hidden="1">'Sponsor Pro Forma'!#REF!</definedName>
    <definedName name="_2__123Graph_ACHART_4A" hidden="1">#REF!</definedName>
    <definedName name="_2__123Graph_AR_M_MARG" localSheetId="21" hidden="1">'JV Waterfall'!#REF!</definedName>
    <definedName name="_2__123Graph_AR_M_MARG" localSheetId="22" hidden="1">'Pure Promote Waterfall'!#REF!</definedName>
    <definedName name="_2__123Graph_AR_M_MARG" localSheetId="7" hidden="1">'RRT Summary (Paste)'!#REF!</definedName>
    <definedName name="_2__123Graph_AR_M_MARG" localSheetId="8" hidden="1">'RRT Unit Mix (Paste)'!#REF!</definedName>
    <definedName name="_2__123Graph_AR_M_MARG" hidden="1">#REF!</definedName>
    <definedName name="_2__123Graph_DCHART_1" hidden="1">#REF!</definedName>
    <definedName name="_2__123Graph_XCHART_4A" localSheetId="4" hidden="1">'Amo Schedule - Refi'!#REF!</definedName>
    <definedName name="_2__123Graph_XCHART_4A" localSheetId="5" hidden="1">'Amo Schedule - Supplemental'!#REF!</definedName>
    <definedName name="_2__123Graph_XCHART_4A" localSheetId="20" hidden="1">'Annual Summary'!#REF!</definedName>
    <definedName name="_2__123Graph_XCHART_4A" localSheetId="2" hidden="1">'Inputs and Assumptions'!#REF!</definedName>
    <definedName name="_2__123Graph_XCHART_4A" localSheetId="21" hidden="1">'JV Waterfall'!#REF!</definedName>
    <definedName name="_2__123Graph_XCHART_4A" localSheetId="19" hidden="1">'Monthly Cash Flow'!#REF!</definedName>
    <definedName name="_2__123Graph_XCHART_4A" localSheetId="22" hidden="1">'Pure Promote Waterfall'!#REF!</definedName>
    <definedName name="_2__123Graph_XCHART_4A" localSheetId="7" hidden="1">'RRT Summary (Paste)'!#REF!</definedName>
    <definedName name="_2__123Graph_XCHART_4A" localSheetId="8" hidden="1">'RRT Unit Mix (Paste)'!#REF!</definedName>
    <definedName name="_2__123Graph_XCHART_4A" localSheetId="10" hidden="1">'Sponsor Pro Forma'!#REF!</definedName>
    <definedName name="_2__123Graph_XCHART_4A" hidden="1">#REF!</definedName>
    <definedName name="_3__123Graph_ECHART_1" hidden="1">#REF!</definedName>
    <definedName name="_4__123Graph_ACHART_2" hidden="1">#REF!</definedName>
    <definedName name="_4__123Graph_FCHART_1" hidden="1">#REF!</definedName>
    <definedName name="_4__123Graph_XCHART_4A" localSheetId="4" hidden="1">'Amo Schedule - Refi'!#REF!</definedName>
    <definedName name="_4__123Graph_XCHART_4A" localSheetId="5" hidden="1">'Amo Schedule - Supplemental'!#REF!</definedName>
    <definedName name="_4__123Graph_XCHART_4A" localSheetId="20" hidden="1">'Annual Summary'!#REF!</definedName>
    <definedName name="_4__123Graph_XCHART_4A" localSheetId="2" hidden="1">'Inputs and Assumptions'!#REF!</definedName>
    <definedName name="_4__123Graph_XCHART_4A" localSheetId="21" hidden="1">'JV Waterfall'!#REF!</definedName>
    <definedName name="_4__123Graph_XCHART_4A" localSheetId="19" hidden="1">'Monthly Cash Flow'!#REF!</definedName>
    <definedName name="_4__123Graph_XCHART_4A" localSheetId="22" hidden="1">'Pure Promote Waterfall'!#REF!</definedName>
    <definedName name="_4__123Graph_XCHART_4A" localSheetId="7" hidden="1">'RRT Summary (Paste)'!#REF!</definedName>
    <definedName name="_4__123Graph_XCHART_4A" localSheetId="8" hidden="1">'RRT Unit Mix (Paste)'!#REF!</definedName>
    <definedName name="_4__123Graph_XCHART_4A" localSheetId="10" hidden="1">'Sponsor Pro Forma'!#REF!</definedName>
    <definedName name="_4__123Graph_XCHART_4A" hidden="1">#REF!</definedName>
    <definedName name="_5__123Graph_XCHART_1" hidden="1">#REF!</definedName>
    <definedName name="_6__123Graph_BCHART_1" hidden="1">#REF!</definedName>
    <definedName name="_6__123Graph_XCHART_2" hidden="1">#REF!</definedName>
    <definedName name="_7__123Graph_XCHART_3" hidden="1">#REF!</definedName>
    <definedName name="_8__123Graph_XCHART_1" hidden="1">#REF!</definedName>
    <definedName name="_aa1" localSheetId="21" hidden="1">{#N/A,#N/A,FALSE,"Group Fcst";#N/A,#N/A,FALSE,"Group Fcst Variance";#N/A,#N/A,FALSE,"Consolidated";#N/A,#N/A,FALSE,"Subscriber Mktg";#N/A,#N/A,FALSE,"Vendor Mktg";#N/A,#N/A,FALSE,"Corporate";#N/A,#N/A,FALSE,"Finance";#N/A,#N/A,FALSE,"Cust Svc-Legal";#N/A,#N/A,FALSE,"Legal";#N/A,#N/A,FALSE,"Cust Supp";#N/A,#N/A,FALSE,"Logistics";#N/A,#N/A,FALSE,"Service Mgmt";#N/A,#N/A,FALSE,"GlobalFares";#N/A,#N/A,FALSE,"HR";#N/A,#N/A,FALSE,"President";#N/A,#N/A,FALSE,"Information Services";#N/A,#N/A,FALSE,"Systems Dev";#N/A,#N/A,FALSE,"Network Services";#N/A,#N/A,FALSE,"Data Center"}</definedName>
    <definedName name="_aa1" localSheetId="22" hidden="1">{#N/A,#N/A,FALSE,"Group Fcst";#N/A,#N/A,FALSE,"Group Fcst Variance";#N/A,#N/A,FALSE,"Consolidated";#N/A,#N/A,FALSE,"Subscriber Mktg";#N/A,#N/A,FALSE,"Vendor Mktg";#N/A,#N/A,FALSE,"Corporate";#N/A,#N/A,FALSE,"Finance";#N/A,#N/A,FALSE,"Cust Svc-Legal";#N/A,#N/A,FALSE,"Legal";#N/A,#N/A,FALSE,"Cust Supp";#N/A,#N/A,FALSE,"Logistics";#N/A,#N/A,FALSE,"Service Mgmt";#N/A,#N/A,FALSE,"GlobalFares";#N/A,#N/A,FALSE,"HR";#N/A,#N/A,FALSE,"President";#N/A,#N/A,FALSE,"Information Services";#N/A,#N/A,FALSE,"Systems Dev";#N/A,#N/A,FALSE,"Network Services";#N/A,#N/A,FALSE,"Data Center"}</definedName>
    <definedName name="_aa1" localSheetId="17" hidden="1">{#N/A,#N/A,FALSE,"Group Fcst";#N/A,#N/A,FALSE,"Group Fcst Variance";#N/A,#N/A,FALSE,"Consolidated";#N/A,#N/A,FALSE,"Subscriber Mktg";#N/A,#N/A,FALSE,"Vendor Mktg";#N/A,#N/A,FALSE,"Corporate";#N/A,#N/A,FALSE,"Finance";#N/A,#N/A,FALSE,"Cust Svc-Legal";#N/A,#N/A,FALSE,"Legal";#N/A,#N/A,FALSE,"Cust Supp";#N/A,#N/A,FALSE,"Logistics";#N/A,#N/A,FALSE,"Service Mgmt";#N/A,#N/A,FALSE,"GlobalFares";#N/A,#N/A,FALSE,"HR";#N/A,#N/A,FALSE,"President";#N/A,#N/A,FALSE,"Information Services";#N/A,#N/A,FALSE,"Systems Dev";#N/A,#N/A,FALSE,"Network Services";#N/A,#N/A,FALSE,"Data Center"}</definedName>
    <definedName name="_aa1" hidden="1">{#N/A,#N/A,FALSE,"Group Fcst";#N/A,#N/A,FALSE,"Group Fcst Variance";#N/A,#N/A,FALSE,"Consolidated";#N/A,#N/A,FALSE,"Subscriber Mktg";#N/A,#N/A,FALSE,"Vendor Mktg";#N/A,#N/A,FALSE,"Corporate";#N/A,#N/A,FALSE,"Finance";#N/A,#N/A,FALSE,"Cust Svc-Legal";#N/A,#N/A,FALSE,"Legal";#N/A,#N/A,FALSE,"Cust Supp";#N/A,#N/A,FALSE,"Logistics";#N/A,#N/A,FALSE,"Service Mgmt";#N/A,#N/A,FALSE,"GlobalFares";#N/A,#N/A,FALSE,"HR";#N/A,#N/A,FALSE,"President";#N/A,#N/A,FALSE,"Information Services";#N/A,#N/A,FALSE,"Systems Dev";#N/A,#N/A,FALSE,"Network Services";#N/A,#N/A,FALSE,"Data Center"}</definedName>
    <definedName name="_abd" localSheetId="2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abd" localSheetId="2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abd" localSheetId="1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ab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bdm.00A30EEC70914950886ACA1DA54ED705.edm" localSheetId="4" hidden="1">#REF!</definedName>
    <definedName name="_bdm.00A30EEC70914950886ACA1DA54ED705.edm" localSheetId="5" hidden="1">#REF!</definedName>
    <definedName name="_bdm.00A30EEC70914950886ACA1DA54ED705.edm" localSheetId="20" hidden="1">#REF!</definedName>
    <definedName name="_bdm.00A30EEC70914950886ACA1DA54ED705.edm" localSheetId="2" hidden="1">#REF!</definedName>
    <definedName name="_bdm.00A30EEC70914950886ACA1DA54ED705.edm" localSheetId="21" hidden="1">#REF!</definedName>
    <definedName name="_bdm.00A30EEC70914950886ACA1DA54ED705.edm" localSheetId="19" hidden="1">#REF!</definedName>
    <definedName name="_bdm.00A30EEC70914950886ACA1DA54ED705.edm" localSheetId="22" hidden="1">#REF!</definedName>
    <definedName name="_bdm.00A30EEC70914950886ACA1DA54ED705.edm" localSheetId="7" hidden="1">#REF!</definedName>
    <definedName name="_bdm.00A30EEC70914950886ACA1DA54ED705.edm" localSheetId="8" hidden="1">#REF!</definedName>
    <definedName name="_bdm.00A30EEC70914950886ACA1DA54ED705.edm" localSheetId="10" hidden="1">#REF!</definedName>
    <definedName name="_bdm.00A30EEC70914950886ACA1DA54ED705.edm" hidden="1">#REF!</definedName>
    <definedName name="_bdm.1EE47C4AA0064280819CC19BB4690A1F.edm" localSheetId="4" hidden="1">#REF!</definedName>
    <definedName name="_bdm.1EE47C4AA0064280819CC19BB4690A1F.edm" localSheetId="5" hidden="1">#REF!</definedName>
    <definedName name="_bdm.1EE47C4AA0064280819CC19BB4690A1F.edm" localSheetId="20" hidden="1">#REF!</definedName>
    <definedName name="_bdm.1EE47C4AA0064280819CC19BB4690A1F.edm" localSheetId="2" hidden="1">#REF!</definedName>
    <definedName name="_bdm.1EE47C4AA0064280819CC19BB4690A1F.edm" localSheetId="21" hidden="1">#REF!</definedName>
    <definedName name="_bdm.1EE47C4AA0064280819CC19BB4690A1F.edm" localSheetId="19" hidden="1">#REF!</definedName>
    <definedName name="_bdm.1EE47C4AA0064280819CC19BB4690A1F.edm" localSheetId="22" hidden="1">#REF!</definedName>
    <definedName name="_bdm.1EE47C4AA0064280819CC19BB4690A1F.edm" localSheetId="7" hidden="1">#REF!</definedName>
    <definedName name="_bdm.1EE47C4AA0064280819CC19BB4690A1F.edm" localSheetId="8" hidden="1">#REF!</definedName>
    <definedName name="_bdm.1EE47C4AA0064280819CC19BB4690A1F.edm" localSheetId="10" hidden="1">#REF!</definedName>
    <definedName name="_bdm.1EE47C4AA0064280819CC19BB4690A1F.edm" hidden="1">#REF!</definedName>
    <definedName name="_bdm.294AA496D34A43399372281D01706956.edm" localSheetId="4" hidden="1">#REF!</definedName>
    <definedName name="_bdm.294AA496D34A43399372281D01706956.edm" localSheetId="5" hidden="1">#REF!</definedName>
    <definedName name="_bdm.294AA496D34A43399372281D01706956.edm" localSheetId="20" hidden="1">#REF!</definedName>
    <definedName name="_bdm.294AA496D34A43399372281D01706956.edm" localSheetId="2" hidden="1">#REF!</definedName>
    <definedName name="_bdm.294AA496D34A43399372281D01706956.edm" localSheetId="21" hidden="1">#REF!</definedName>
    <definedName name="_bdm.294AA496D34A43399372281D01706956.edm" localSheetId="19" hidden="1">#REF!</definedName>
    <definedName name="_bdm.294AA496D34A43399372281D01706956.edm" localSheetId="22" hidden="1">#REF!</definedName>
    <definedName name="_bdm.294AA496D34A43399372281D01706956.edm" localSheetId="7" hidden="1">#REF!</definedName>
    <definedName name="_bdm.294AA496D34A43399372281D01706956.edm" localSheetId="8" hidden="1">#REF!</definedName>
    <definedName name="_bdm.294AA496D34A43399372281D01706956.edm" localSheetId="10" hidden="1">#REF!</definedName>
    <definedName name="_bdm.294AA496D34A43399372281D01706956.edm" hidden="1">#REF!</definedName>
    <definedName name="_bdm.2CCD44ACE8EF422D88045C2A0F5B824C.edm" localSheetId="4" hidden="1">#REF!</definedName>
    <definedName name="_bdm.2CCD44ACE8EF422D88045C2A0F5B824C.edm" localSheetId="5" hidden="1">#REF!</definedName>
    <definedName name="_bdm.2CCD44ACE8EF422D88045C2A0F5B824C.edm" localSheetId="20" hidden="1">#REF!</definedName>
    <definedName name="_bdm.2CCD44ACE8EF422D88045C2A0F5B824C.edm" localSheetId="2" hidden="1">#REF!</definedName>
    <definedName name="_bdm.2CCD44ACE8EF422D88045C2A0F5B824C.edm" localSheetId="21" hidden="1">#REF!</definedName>
    <definedName name="_bdm.2CCD44ACE8EF422D88045C2A0F5B824C.edm" localSheetId="19" hidden="1">#REF!</definedName>
    <definedName name="_bdm.2CCD44ACE8EF422D88045C2A0F5B824C.edm" localSheetId="22" hidden="1">#REF!</definedName>
    <definedName name="_bdm.2CCD44ACE8EF422D88045C2A0F5B824C.edm" localSheetId="7" hidden="1">#REF!</definedName>
    <definedName name="_bdm.2CCD44ACE8EF422D88045C2A0F5B824C.edm" localSheetId="8" hidden="1">#REF!</definedName>
    <definedName name="_bdm.2CCD44ACE8EF422D88045C2A0F5B824C.edm" localSheetId="10" hidden="1">#REF!</definedName>
    <definedName name="_bdm.2CCD44ACE8EF422D88045C2A0F5B824C.edm" hidden="1">#REF!</definedName>
    <definedName name="_bdm.2F2B2B5E0A7F41A5A5153533F14B2F3B.edm" localSheetId="4" hidden="1">#REF!</definedName>
    <definedName name="_bdm.2F2B2B5E0A7F41A5A5153533F14B2F3B.edm" localSheetId="5" hidden="1">#REF!</definedName>
    <definedName name="_bdm.2F2B2B5E0A7F41A5A5153533F14B2F3B.edm" localSheetId="20" hidden="1">#REF!</definedName>
    <definedName name="_bdm.2F2B2B5E0A7F41A5A5153533F14B2F3B.edm" localSheetId="2" hidden="1">#REF!</definedName>
    <definedName name="_bdm.2F2B2B5E0A7F41A5A5153533F14B2F3B.edm" localSheetId="21" hidden="1">#REF!</definedName>
    <definedName name="_bdm.2F2B2B5E0A7F41A5A5153533F14B2F3B.edm" localSheetId="19" hidden="1">#REF!</definedName>
    <definedName name="_bdm.2F2B2B5E0A7F41A5A5153533F14B2F3B.edm" localSheetId="22" hidden="1">#REF!</definedName>
    <definedName name="_bdm.2F2B2B5E0A7F41A5A5153533F14B2F3B.edm" localSheetId="7" hidden="1">#REF!</definedName>
    <definedName name="_bdm.2F2B2B5E0A7F41A5A5153533F14B2F3B.edm" localSheetId="8" hidden="1">#REF!</definedName>
    <definedName name="_bdm.2F2B2B5E0A7F41A5A5153533F14B2F3B.edm" localSheetId="10" hidden="1">#REF!</definedName>
    <definedName name="_bdm.2F2B2B5E0A7F41A5A5153533F14B2F3B.edm" hidden="1">#REF!</definedName>
    <definedName name="_bdm.41BB7010280A4F17A60A7A2EC65762F2.edm" localSheetId="4" hidden="1">#REF!</definedName>
    <definedName name="_bdm.41BB7010280A4F17A60A7A2EC65762F2.edm" localSheetId="5" hidden="1">#REF!</definedName>
    <definedName name="_bdm.41BB7010280A4F17A60A7A2EC65762F2.edm" localSheetId="20" hidden="1">#REF!</definedName>
    <definedName name="_bdm.41BB7010280A4F17A60A7A2EC65762F2.edm" localSheetId="2" hidden="1">#REF!</definedName>
    <definedName name="_bdm.41BB7010280A4F17A60A7A2EC65762F2.edm" localSheetId="21" hidden="1">#REF!</definedName>
    <definedName name="_bdm.41BB7010280A4F17A60A7A2EC65762F2.edm" localSheetId="19" hidden="1">#REF!</definedName>
    <definedName name="_bdm.41BB7010280A4F17A60A7A2EC65762F2.edm" localSheetId="22" hidden="1">#REF!</definedName>
    <definedName name="_bdm.41BB7010280A4F17A60A7A2EC65762F2.edm" localSheetId="7" hidden="1">#REF!</definedName>
    <definedName name="_bdm.41BB7010280A4F17A60A7A2EC65762F2.edm" localSheetId="8" hidden="1">#REF!</definedName>
    <definedName name="_bdm.41BB7010280A4F17A60A7A2EC65762F2.edm" localSheetId="10" hidden="1">#REF!</definedName>
    <definedName name="_bdm.41BB7010280A4F17A60A7A2EC65762F2.edm" hidden="1">#REF!</definedName>
    <definedName name="_bdm.4A5C97D8A8B4461BB06808C9781CCA97.edm" localSheetId="4" hidden="1">#REF!</definedName>
    <definedName name="_bdm.4A5C97D8A8B4461BB06808C9781CCA97.edm" localSheetId="5" hidden="1">#REF!</definedName>
    <definedName name="_bdm.4A5C97D8A8B4461BB06808C9781CCA97.edm" localSheetId="20" hidden="1">#REF!</definedName>
    <definedName name="_bdm.4A5C97D8A8B4461BB06808C9781CCA97.edm" localSheetId="2" hidden="1">#REF!</definedName>
    <definedName name="_bdm.4A5C97D8A8B4461BB06808C9781CCA97.edm" localSheetId="21" hidden="1">#REF!</definedName>
    <definedName name="_bdm.4A5C97D8A8B4461BB06808C9781CCA97.edm" localSheetId="19" hidden="1">#REF!</definedName>
    <definedName name="_bdm.4A5C97D8A8B4461BB06808C9781CCA97.edm" localSheetId="22" hidden="1">#REF!</definedName>
    <definedName name="_bdm.4A5C97D8A8B4461BB06808C9781CCA97.edm" localSheetId="7" hidden="1">#REF!</definedName>
    <definedName name="_bdm.4A5C97D8A8B4461BB06808C9781CCA97.edm" localSheetId="8" hidden="1">#REF!</definedName>
    <definedName name="_bdm.4A5C97D8A8B4461BB06808C9781CCA97.edm" localSheetId="10" hidden="1">#REF!</definedName>
    <definedName name="_bdm.4A5C97D8A8B4461BB06808C9781CCA97.edm" hidden="1">#REF!</definedName>
    <definedName name="_bdm.4CC45777DB794402B638D2F5A2762696.edm" localSheetId="4" hidden="1">#REF!</definedName>
    <definedName name="_bdm.4CC45777DB794402B638D2F5A2762696.edm" localSheetId="5" hidden="1">#REF!</definedName>
    <definedName name="_bdm.4CC45777DB794402B638D2F5A2762696.edm" localSheetId="20" hidden="1">#REF!</definedName>
    <definedName name="_bdm.4CC45777DB794402B638D2F5A2762696.edm" localSheetId="2" hidden="1">#REF!</definedName>
    <definedName name="_bdm.4CC45777DB794402B638D2F5A2762696.edm" localSheetId="21" hidden="1">#REF!</definedName>
    <definedName name="_bdm.4CC45777DB794402B638D2F5A2762696.edm" localSheetId="19" hidden="1">#REF!</definedName>
    <definedName name="_bdm.4CC45777DB794402B638D2F5A2762696.edm" localSheetId="22" hidden="1">#REF!</definedName>
    <definedName name="_bdm.4CC45777DB794402B638D2F5A2762696.edm" localSheetId="7" hidden="1">#REF!</definedName>
    <definedName name="_bdm.4CC45777DB794402B638D2F5A2762696.edm" localSheetId="8" hidden="1">#REF!</definedName>
    <definedName name="_bdm.4CC45777DB794402B638D2F5A2762696.edm" localSheetId="10" hidden="1">#REF!</definedName>
    <definedName name="_bdm.4CC45777DB794402B638D2F5A2762696.edm" hidden="1">#REF!</definedName>
    <definedName name="_bdm.506BB95D5FF74692ACB6C4DCCF0C02A1.edm" localSheetId="4" hidden="1">#REF!</definedName>
    <definedName name="_bdm.506BB95D5FF74692ACB6C4DCCF0C02A1.edm" localSheetId="5" hidden="1">#REF!</definedName>
    <definedName name="_bdm.506BB95D5FF74692ACB6C4DCCF0C02A1.edm" localSheetId="20" hidden="1">#REF!</definedName>
    <definedName name="_bdm.506BB95D5FF74692ACB6C4DCCF0C02A1.edm" localSheetId="2" hidden="1">#REF!</definedName>
    <definedName name="_bdm.506BB95D5FF74692ACB6C4DCCF0C02A1.edm" localSheetId="21" hidden="1">#REF!</definedName>
    <definedName name="_bdm.506BB95D5FF74692ACB6C4DCCF0C02A1.edm" localSheetId="19" hidden="1">#REF!</definedName>
    <definedName name="_bdm.506BB95D5FF74692ACB6C4DCCF0C02A1.edm" localSheetId="22" hidden="1">#REF!</definedName>
    <definedName name="_bdm.506BB95D5FF74692ACB6C4DCCF0C02A1.edm" localSheetId="7" hidden="1">#REF!</definedName>
    <definedName name="_bdm.506BB95D5FF74692ACB6C4DCCF0C02A1.edm" localSheetId="8" hidden="1">#REF!</definedName>
    <definedName name="_bdm.506BB95D5FF74692ACB6C4DCCF0C02A1.edm" localSheetId="10" hidden="1">#REF!</definedName>
    <definedName name="_bdm.506BB95D5FF74692ACB6C4DCCF0C02A1.edm" hidden="1">#REF!</definedName>
    <definedName name="_bdm.5A06B77531BB40EAB24074C943DCD22A.edm" localSheetId="4" hidden="1">#REF!</definedName>
    <definedName name="_bdm.5A06B77531BB40EAB24074C943DCD22A.edm" localSheetId="5" hidden="1">#REF!</definedName>
    <definedName name="_bdm.5A06B77531BB40EAB24074C943DCD22A.edm" localSheetId="20" hidden="1">#REF!</definedName>
    <definedName name="_bdm.5A06B77531BB40EAB24074C943DCD22A.edm" localSheetId="2" hidden="1">#REF!</definedName>
    <definedName name="_bdm.5A06B77531BB40EAB24074C943DCD22A.edm" localSheetId="21" hidden="1">#REF!</definedName>
    <definedName name="_bdm.5A06B77531BB40EAB24074C943DCD22A.edm" localSheetId="19" hidden="1">#REF!</definedName>
    <definedName name="_bdm.5A06B77531BB40EAB24074C943DCD22A.edm" localSheetId="22" hidden="1">#REF!</definedName>
    <definedName name="_bdm.5A06B77531BB40EAB24074C943DCD22A.edm" localSheetId="7" hidden="1">#REF!</definedName>
    <definedName name="_bdm.5A06B77531BB40EAB24074C943DCD22A.edm" localSheetId="8" hidden="1">#REF!</definedName>
    <definedName name="_bdm.5A06B77531BB40EAB24074C943DCD22A.edm" localSheetId="10" hidden="1">#REF!</definedName>
    <definedName name="_bdm.5A06B77531BB40EAB24074C943DCD22A.edm" hidden="1">#REF!</definedName>
    <definedName name="_bdm.5CF81FEE6E9A4189820ECA41DD31C6C1.edm" localSheetId="4" hidden="1">#REF!</definedName>
    <definedName name="_bdm.5CF81FEE6E9A4189820ECA41DD31C6C1.edm" localSheetId="5" hidden="1">#REF!</definedName>
    <definedName name="_bdm.5CF81FEE6E9A4189820ECA41DD31C6C1.edm" localSheetId="20" hidden="1">#REF!</definedName>
    <definedName name="_bdm.5CF81FEE6E9A4189820ECA41DD31C6C1.edm" localSheetId="2" hidden="1">#REF!</definedName>
    <definedName name="_bdm.5CF81FEE6E9A4189820ECA41DD31C6C1.edm" localSheetId="21" hidden="1">#REF!</definedName>
    <definedName name="_bdm.5CF81FEE6E9A4189820ECA41DD31C6C1.edm" localSheetId="19" hidden="1">#REF!</definedName>
    <definedName name="_bdm.5CF81FEE6E9A4189820ECA41DD31C6C1.edm" localSheetId="22" hidden="1">#REF!</definedName>
    <definedName name="_bdm.5CF81FEE6E9A4189820ECA41DD31C6C1.edm" localSheetId="7" hidden="1">#REF!</definedName>
    <definedName name="_bdm.5CF81FEE6E9A4189820ECA41DD31C6C1.edm" localSheetId="8" hidden="1">#REF!</definedName>
    <definedName name="_bdm.5CF81FEE6E9A4189820ECA41DD31C6C1.edm" localSheetId="10" hidden="1">#REF!</definedName>
    <definedName name="_bdm.5CF81FEE6E9A4189820ECA41DD31C6C1.edm" hidden="1">#REF!</definedName>
    <definedName name="_bdm.60D496C198B94FE88AAC240F81DA2AE4.edm" localSheetId="4" hidden="1">#REF!</definedName>
    <definedName name="_bdm.60D496C198B94FE88AAC240F81DA2AE4.edm" localSheetId="5" hidden="1">#REF!</definedName>
    <definedName name="_bdm.60D496C198B94FE88AAC240F81DA2AE4.edm" localSheetId="20" hidden="1">#REF!</definedName>
    <definedName name="_bdm.60D496C198B94FE88AAC240F81DA2AE4.edm" localSheetId="2" hidden="1">#REF!</definedName>
    <definedName name="_bdm.60D496C198B94FE88AAC240F81DA2AE4.edm" localSheetId="21" hidden="1">#REF!</definedName>
    <definedName name="_bdm.60D496C198B94FE88AAC240F81DA2AE4.edm" localSheetId="19" hidden="1">#REF!</definedName>
    <definedName name="_bdm.60D496C198B94FE88AAC240F81DA2AE4.edm" localSheetId="22" hidden="1">#REF!</definedName>
    <definedName name="_bdm.60D496C198B94FE88AAC240F81DA2AE4.edm" localSheetId="7" hidden="1">#REF!</definedName>
    <definedName name="_bdm.60D496C198B94FE88AAC240F81DA2AE4.edm" localSheetId="8" hidden="1">#REF!</definedName>
    <definedName name="_bdm.60D496C198B94FE88AAC240F81DA2AE4.edm" localSheetId="10" hidden="1">#REF!</definedName>
    <definedName name="_bdm.60D496C198B94FE88AAC240F81DA2AE4.edm" hidden="1">#REF!</definedName>
    <definedName name="_bdm.91A0B11909A947559083CFFAB8CC725C.edm" localSheetId="4" hidden="1">#REF!</definedName>
    <definedName name="_bdm.91A0B11909A947559083CFFAB8CC725C.edm" localSheetId="5" hidden="1">#REF!</definedName>
    <definedName name="_bdm.91A0B11909A947559083CFFAB8CC725C.edm" localSheetId="20" hidden="1">#REF!</definedName>
    <definedName name="_bdm.91A0B11909A947559083CFFAB8CC725C.edm" localSheetId="2" hidden="1">#REF!</definedName>
    <definedName name="_bdm.91A0B11909A947559083CFFAB8CC725C.edm" localSheetId="21" hidden="1">#REF!</definedName>
    <definedName name="_bdm.91A0B11909A947559083CFFAB8CC725C.edm" localSheetId="19" hidden="1">#REF!</definedName>
    <definedName name="_bdm.91A0B11909A947559083CFFAB8CC725C.edm" localSheetId="22" hidden="1">#REF!</definedName>
    <definedName name="_bdm.91A0B11909A947559083CFFAB8CC725C.edm" localSheetId="7" hidden="1">#REF!</definedName>
    <definedName name="_bdm.91A0B11909A947559083CFFAB8CC725C.edm" localSheetId="8" hidden="1">#REF!</definedName>
    <definedName name="_bdm.91A0B11909A947559083CFFAB8CC725C.edm" localSheetId="10" hidden="1">#REF!</definedName>
    <definedName name="_bdm.91A0B11909A947559083CFFAB8CC725C.edm" hidden="1">#REF!</definedName>
    <definedName name="_bdm.A247B1D77986400F9A61095B26F4A68A.edm" localSheetId="4" hidden="1">#REF!</definedName>
    <definedName name="_bdm.A247B1D77986400F9A61095B26F4A68A.edm" localSheetId="5" hidden="1">#REF!</definedName>
    <definedName name="_bdm.A247B1D77986400F9A61095B26F4A68A.edm" localSheetId="20" hidden="1">#REF!</definedName>
    <definedName name="_bdm.A247B1D77986400F9A61095B26F4A68A.edm" localSheetId="2" hidden="1">#REF!</definedName>
    <definedName name="_bdm.A247B1D77986400F9A61095B26F4A68A.edm" localSheetId="21" hidden="1">#REF!</definedName>
    <definedName name="_bdm.A247B1D77986400F9A61095B26F4A68A.edm" localSheetId="19" hidden="1">#REF!</definedName>
    <definedName name="_bdm.A247B1D77986400F9A61095B26F4A68A.edm" localSheetId="22" hidden="1">#REF!</definedName>
    <definedName name="_bdm.A247B1D77986400F9A61095B26F4A68A.edm" localSheetId="7" hidden="1">#REF!</definedName>
    <definedName name="_bdm.A247B1D77986400F9A61095B26F4A68A.edm" localSheetId="8" hidden="1">#REF!</definedName>
    <definedName name="_bdm.A247B1D77986400F9A61095B26F4A68A.edm" localSheetId="10" hidden="1">#REF!</definedName>
    <definedName name="_bdm.A247B1D77986400F9A61095B26F4A68A.edm" hidden="1">#REF!</definedName>
    <definedName name="_bdm.A2D7D32E999A42C693AC64234B320B5F.edm" localSheetId="4" hidden="1">#REF!</definedName>
    <definedName name="_bdm.A2D7D32E999A42C693AC64234B320B5F.edm" localSheetId="5" hidden="1">#REF!</definedName>
    <definedName name="_bdm.A2D7D32E999A42C693AC64234B320B5F.edm" localSheetId="20" hidden="1">#REF!</definedName>
    <definedName name="_bdm.A2D7D32E999A42C693AC64234B320B5F.edm" localSheetId="2" hidden="1">#REF!</definedName>
    <definedName name="_bdm.A2D7D32E999A42C693AC64234B320B5F.edm" localSheetId="21" hidden="1">#REF!</definedName>
    <definedName name="_bdm.A2D7D32E999A42C693AC64234B320B5F.edm" localSheetId="19" hidden="1">#REF!</definedName>
    <definedName name="_bdm.A2D7D32E999A42C693AC64234B320B5F.edm" localSheetId="22" hidden="1">#REF!</definedName>
    <definedName name="_bdm.A2D7D32E999A42C693AC64234B320B5F.edm" localSheetId="7" hidden="1">#REF!</definedName>
    <definedName name="_bdm.A2D7D32E999A42C693AC64234B320B5F.edm" localSheetId="8" hidden="1">#REF!</definedName>
    <definedName name="_bdm.A2D7D32E999A42C693AC64234B320B5F.edm" localSheetId="10" hidden="1">#REF!</definedName>
    <definedName name="_bdm.A2D7D32E999A42C693AC64234B320B5F.edm" hidden="1">#REF!</definedName>
    <definedName name="_bdm.B238B0BF07174C20BE49BB50D2EFA2EF.edm" localSheetId="4" hidden="1">#REF!</definedName>
    <definedName name="_bdm.B238B0BF07174C20BE49BB50D2EFA2EF.edm" localSheetId="5" hidden="1">#REF!</definedName>
    <definedName name="_bdm.B238B0BF07174C20BE49BB50D2EFA2EF.edm" localSheetId="20" hidden="1">#REF!</definedName>
    <definedName name="_bdm.B238B0BF07174C20BE49BB50D2EFA2EF.edm" localSheetId="2" hidden="1">#REF!</definedName>
    <definedName name="_bdm.B238B0BF07174C20BE49BB50D2EFA2EF.edm" localSheetId="21" hidden="1">#REF!</definedName>
    <definedName name="_bdm.B238B0BF07174C20BE49BB50D2EFA2EF.edm" localSheetId="19" hidden="1">#REF!</definedName>
    <definedName name="_bdm.B238B0BF07174C20BE49BB50D2EFA2EF.edm" localSheetId="22" hidden="1">#REF!</definedName>
    <definedName name="_bdm.B238B0BF07174C20BE49BB50D2EFA2EF.edm" localSheetId="7" hidden="1">#REF!</definedName>
    <definedName name="_bdm.B238B0BF07174C20BE49BB50D2EFA2EF.edm" localSheetId="8" hidden="1">#REF!</definedName>
    <definedName name="_bdm.B238B0BF07174C20BE49BB50D2EFA2EF.edm" localSheetId="10" hidden="1">#REF!</definedName>
    <definedName name="_bdm.B238B0BF07174C20BE49BB50D2EFA2EF.edm" hidden="1">#REF!</definedName>
    <definedName name="_bdm.C6B7218D518D4DEFBDE91D23E5344CC7.edm" localSheetId="4" hidden="1">#REF!</definedName>
    <definedName name="_bdm.C6B7218D518D4DEFBDE91D23E5344CC7.edm" localSheetId="5" hidden="1">#REF!</definedName>
    <definedName name="_bdm.C6B7218D518D4DEFBDE91D23E5344CC7.edm" localSheetId="20" hidden="1">#REF!</definedName>
    <definedName name="_bdm.C6B7218D518D4DEFBDE91D23E5344CC7.edm" localSheetId="2" hidden="1">#REF!</definedName>
    <definedName name="_bdm.C6B7218D518D4DEFBDE91D23E5344CC7.edm" localSheetId="21" hidden="1">#REF!</definedName>
    <definedName name="_bdm.C6B7218D518D4DEFBDE91D23E5344CC7.edm" localSheetId="19" hidden="1">#REF!</definedName>
    <definedName name="_bdm.C6B7218D518D4DEFBDE91D23E5344CC7.edm" localSheetId="22" hidden="1">#REF!</definedName>
    <definedName name="_bdm.C6B7218D518D4DEFBDE91D23E5344CC7.edm" localSheetId="7" hidden="1">#REF!</definedName>
    <definedName name="_bdm.C6B7218D518D4DEFBDE91D23E5344CC7.edm" localSheetId="8" hidden="1">#REF!</definedName>
    <definedName name="_bdm.C6B7218D518D4DEFBDE91D23E5344CC7.edm" localSheetId="10" hidden="1">#REF!</definedName>
    <definedName name="_bdm.C6B7218D518D4DEFBDE91D23E5344CC7.edm" hidden="1">#REF!</definedName>
    <definedName name="_bdm.E82B9A19CF4343EC9674771C65B0EBE1.edm" localSheetId="4" hidden="1">#REF!</definedName>
    <definedName name="_bdm.E82B9A19CF4343EC9674771C65B0EBE1.edm" localSheetId="5" hidden="1">#REF!</definedName>
    <definedName name="_bdm.E82B9A19CF4343EC9674771C65B0EBE1.edm" localSheetId="20" hidden="1">#REF!</definedName>
    <definedName name="_bdm.E82B9A19CF4343EC9674771C65B0EBE1.edm" localSheetId="2" hidden="1">#REF!</definedName>
    <definedName name="_bdm.E82B9A19CF4343EC9674771C65B0EBE1.edm" localSheetId="21" hidden="1">#REF!</definedName>
    <definedName name="_bdm.E82B9A19CF4343EC9674771C65B0EBE1.edm" localSheetId="19" hidden="1">#REF!</definedName>
    <definedName name="_bdm.E82B9A19CF4343EC9674771C65B0EBE1.edm" localSheetId="22" hidden="1">#REF!</definedName>
    <definedName name="_bdm.E82B9A19CF4343EC9674771C65B0EBE1.edm" localSheetId="7" hidden="1">#REF!</definedName>
    <definedName name="_bdm.E82B9A19CF4343EC9674771C65B0EBE1.edm" localSheetId="8" hidden="1">#REF!</definedName>
    <definedName name="_bdm.E82B9A19CF4343EC9674771C65B0EBE1.edm" localSheetId="10" hidden="1">#REF!</definedName>
    <definedName name="_bdm.E82B9A19CF4343EC9674771C65B0EBE1.edm" hidden="1">#REF!</definedName>
    <definedName name="_Eill" localSheetId="4" hidden="1">#REF!</definedName>
    <definedName name="_Eill" localSheetId="5" hidden="1">#REF!</definedName>
    <definedName name="_Eill" localSheetId="20" hidden="1">#REF!</definedName>
    <definedName name="_Eill" localSheetId="2" hidden="1">#REF!</definedName>
    <definedName name="_Eill" localSheetId="21" hidden="1">#REF!</definedName>
    <definedName name="_Eill" localSheetId="19" hidden="1">#REF!</definedName>
    <definedName name="_Eill" localSheetId="22" hidden="1">#REF!</definedName>
    <definedName name="_Eill" localSheetId="7" hidden="1">#REF!</definedName>
    <definedName name="_Eill" localSheetId="8" hidden="1">#REF!</definedName>
    <definedName name="_Eill" localSheetId="10" hidden="1">#REF!</definedName>
    <definedName name="_Eill" hidden="1">#REF!</definedName>
    <definedName name="_Fill" localSheetId="4" hidden="1">#REF!</definedName>
    <definedName name="_Fill" localSheetId="3" hidden="1">#REF!</definedName>
    <definedName name="_Fill" localSheetId="5" hidden="1">#REF!</definedName>
    <definedName name="_Fill" localSheetId="20" hidden="1">#REF!</definedName>
    <definedName name="_Fill" localSheetId="18" hidden="1">#REF!</definedName>
    <definedName name="_Fill" localSheetId="12" hidden="1">#REF!</definedName>
    <definedName name="_Fill" localSheetId="2" hidden="1">#REF!</definedName>
    <definedName name="_Fill" localSheetId="21" hidden="1">#REF!</definedName>
    <definedName name="_Fill" localSheetId="19" hidden="1">#REF!</definedName>
    <definedName name="_Fill" localSheetId="22" hidden="1">#REF!</definedName>
    <definedName name="_Fill" localSheetId="7" hidden="1">#REF!</definedName>
    <definedName name="_Fill" localSheetId="8" hidden="1">#REF!</definedName>
    <definedName name="_Fill" localSheetId="10" hidden="1">#REF!</definedName>
    <definedName name="_Fill" hidden="1">#REF!</definedName>
    <definedName name="_Fill10" localSheetId="4" hidden="1">#REF!</definedName>
    <definedName name="_Fill10" localSheetId="5" hidden="1">#REF!</definedName>
    <definedName name="_Fill10" localSheetId="20" hidden="1">#REF!</definedName>
    <definedName name="_Fill10" localSheetId="2" hidden="1">#REF!</definedName>
    <definedName name="_Fill10" localSheetId="21" hidden="1">#REF!</definedName>
    <definedName name="_Fill10" localSheetId="19" hidden="1">#REF!</definedName>
    <definedName name="_Fill10" localSheetId="22" hidden="1">#REF!</definedName>
    <definedName name="_Fill10" localSheetId="7" hidden="1">#REF!</definedName>
    <definedName name="_Fill10" localSheetId="8" hidden="1">#REF!</definedName>
    <definedName name="_Fill10" localSheetId="10" hidden="1">#REF!</definedName>
    <definedName name="_Fill10" hidden="1">#REF!</definedName>
    <definedName name="_xlnm._FilterDatabase" localSheetId="20" hidden="1">'Annual Summary'!#REF!</definedName>
    <definedName name="_xlnm._FilterDatabase" localSheetId="18" hidden="1">'Clean UW'!#REF!</definedName>
    <definedName name="_xlnm._FilterDatabase" localSheetId="12" hidden="1">'Debt Sizing'!$P$58:$Q$71</definedName>
    <definedName name="_xlnm._FilterDatabase" localSheetId="19" hidden="1">'Monthly Cash Flow'!#REF!</definedName>
    <definedName name="_xlnm._FilterDatabase" localSheetId="7" hidden="1">'RRT Summary (Paste)'!$A$3:$H$3</definedName>
    <definedName name="_xlnm._FilterDatabase" localSheetId="8" hidden="1">'RRT Unit Mix (Paste)'!$B$2:$I$2</definedName>
    <definedName name="_xlnm._FilterDatabase" localSheetId="10" hidden="1">'Sponsor Pro Forma'!#REF!</definedName>
    <definedName name="_gpr1" localSheetId="4">#REF!</definedName>
    <definedName name="_gpr1" localSheetId="5">#REF!</definedName>
    <definedName name="_Key1" localSheetId="4" hidden="1">#REF!</definedName>
    <definedName name="_Key1" localSheetId="3" hidden="1">#REF!</definedName>
    <definedName name="_Key1" localSheetId="5" hidden="1">#REF!</definedName>
    <definedName name="_Key1" localSheetId="20" hidden="1">#REF!</definedName>
    <definedName name="_Key1" localSheetId="18" hidden="1">#REF!</definedName>
    <definedName name="_Key1" localSheetId="12" hidden="1">#REF!</definedName>
    <definedName name="_Key1" localSheetId="2" hidden="1">#REF!</definedName>
    <definedName name="_Key1" localSheetId="21" hidden="1">#REF!</definedName>
    <definedName name="_Key1" localSheetId="19" hidden="1">#REF!</definedName>
    <definedName name="_Key1" localSheetId="11" hidden="1">#REF!</definedName>
    <definedName name="_Key1" localSheetId="22" hidden="1">#REF!</definedName>
    <definedName name="_Key1" localSheetId="7" hidden="1">#REF!</definedName>
    <definedName name="_Key1" localSheetId="8" hidden="1">#REF!</definedName>
    <definedName name="_Key1" localSheetId="10" hidden="1">#REF!</definedName>
    <definedName name="_Key1" localSheetId="13" hidden="1">#REF!</definedName>
    <definedName name="_Key1" hidden="1">#REF!</definedName>
    <definedName name="_Key2" localSheetId="4" hidden="1">#REF!</definedName>
    <definedName name="_Key2" localSheetId="3" hidden="1">#REF!</definedName>
    <definedName name="_Key2" localSheetId="5" hidden="1">#REF!</definedName>
    <definedName name="_Key2" localSheetId="20" hidden="1">#REF!</definedName>
    <definedName name="_Key2" localSheetId="18" hidden="1">#REF!</definedName>
    <definedName name="_Key2" localSheetId="12" hidden="1">#REF!</definedName>
    <definedName name="_Key2" localSheetId="2" hidden="1">#REF!</definedName>
    <definedName name="_Key2" localSheetId="21" hidden="1">#REF!</definedName>
    <definedName name="_Key2" localSheetId="19" hidden="1">#REF!</definedName>
    <definedName name="_Key2" localSheetId="11" hidden="1">#REF!</definedName>
    <definedName name="_Key2" localSheetId="22" hidden="1">#REF!</definedName>
    <definedName name="_Key2" localSheetId="7" hidden="1">#REF!</definedName>
    <definedName name="_Key2" localSheetId="8" hidden="1">#REF!</definedName>
    <definedName name="_Key2" localSheetId="10" hidden="1">#REF!</definedName>
    <definedName name="_Key2" localSheetId="13" hidden="1">#REF!</definedName>
    <definedName name="_Key2" hidden="1">#REF!</definedName>
    <definedName name="_Order1" hidden="1">255</definedName>
    <definedName name="_Order2" localSheetId="11" hidden="1">255</definedName>
    <definedName name="_Order2" hidden="1">0</definedName>
    <definedName name="_r" localSheetId="21" hidden="1">{#N/A,#N/A,FALSE,"Actual";#N/A,#N/A,FALSE,"Management Report 2";#N/A,#N/A,FALSE,"Management Report 3";#N/A,#N/A,FALSE,"Ergebnis";#N/A,#N/A,FALSE,"Summary";#N/A,#N/A,FALSE,"Konrzern";#N/A,#N/A,FALSE,"Abweichung Budget-Actuell"}</definedName>
    <definedName name="_r" localSheetId="22" hidden="1">{#N/A,#N/A,FALSE,"Actual";#N/A,#N/A,FALSE,"Management Report 2";#N/A,#N/A,FALSE,"Management Report 3";#N/A,#N/A,FALSE,"Ergebnis";#N/A,#N/A,FALSE,"Summary";#N/A,#N/A,FALSE,"Konrzern";#N/A,#N/A,FALSE,"Abweichung Budget-Actuell"}</definedName>
    <definedName name="_r" localSheetId="17" hidden="1">{#N/A,#N/A,FALSE,"Actual";#N/A,#N/A,FALSE,"Management Report 2";#N/A,#N/A,FALSE,"Management Report 3";#N/A,#N/A,FALSE,"Ergebnis";#N/A,#N/A,FALSE,"Summary";#N/A,#N/A,FALSE,"Konrzern";#N/A,#N/A,FALSE,"Abweichung Budget-Actuell"}</definedName>
    <definedName name="_r" hidden="1">{#N/A,#N/A,FALSE,"Actual";#N/A,#N/A,FALSE,"Management Report 2";#N/A,#N/A,FALSE,"Management Report 3";#N/A,#N/A,FALSE,"Ergebnis";#N/A,#N/A,FALSE,"Summary";#N/A,#N/A,FALSE,"Konrzern";#N/A,#N/A,FALSE,"Abweichung Budget-Actuell"}</definedName>
    <definedName name="_Sort" localSheetId="4" hidden="1">#REF!</definedName>
    <definedName name="_Sort" localSheetId="3" hidden="1">#REF!</definedName>
    <definedName name="_Sort" localSheetId="5" hidden="1">#REF!</definedName>
    <definedName name="_Sort" localSheetId="20" hidden="1">#REF!</definedName>
    <definedName name="_Sort" localSheetId="18" hidden="1">#REF!</definedName>
    <definedName name="_Sort" localSheetId="12" hidden="1">#REF!</definedName>
    <definedName name="_Sort" localSheetId="2" hidden="1">#REF!</definedName>
    <definedName name="_Sort" localSheetId="21" hidden="1">#REF!</definedName>
    <definedName name="_Sort" localSheetId="19" hidden="1">#REF!</definedName>
    <definedName name="_Sort" localSheetId="11" hidden="1">#REF!</definedName>
    <definedName name="_Sort" localSheetId="22" hidden="1">#REF!</definedName>
    <definedName name="_Sort" localSheetId="7" hidden="1">#REF!</definedName>
    <definedName name="_Sort" localSheetId="8" hidden="1">#REF!</definedName>
    <definedName name="_Sort" localSheetId="10" hidden="1">#REF!</definedName>
    <definedName name="_Sort" localSheetId="13" hidden="1">#REF!</definedName>
    <definedName name="_Sort" hidden="1">#REF!</definedName>
    <definedName name="_Table1_In1" hidden="1">#REF!</definedName>
    <definedName name="_Table1_Out" localSheetId="4" hidden="1">'Amo Schedule - Refi'!#REF!</definedName>
    <definedName name="_Table1_Out" localSheetId="3" hidden="1">'Amo Schedule - Senior'!#REF!</definedName>
    <definedName name="_Table1_Out" localSheetId="5" hidden="1">'Amo Schedule - Supplemental'!#REF!</definedName>
    <definedName name="_Table1_Out" localSheetId="20" hidden="1">'Annual Summary'!#REF!</definedName>
    <definedName name="_Table1_Out" localSheetId="2" hidden="1">'Inputs and Assumptions'!#REF!</definedName>
    <definedName name="_Table1_Out" localSheetId="21" hidden="1">'JV Waterfall'!#REF!</definedName>
    <definedName name="_Table1_Out" localSheetId="19" hidden="1">'Monthly Cash Flow'!#REF!</definedName>
    <definedName name="_Table1_Out" localSheetId="22" hidden="1">'Pure Promote Waterfall'!#REF!</definedName>
    <definedName name="_Table1_Out" localSheetId="7" hidden="1">'RRT Summary (Paste)'!#REF!</definedName>
    <definedName name="_Table1_Out" localSheetId="8" hidden="1">'RRT Unit Mix (Paste)'!#REF!</definedName>
    <definedName name="_Table1_Out" localSheetId="10" hidden="1">'Sponsor Pro Forma'!#REF!</definedName>
    <definedName name="_Table1_Out" hidden="1">#REF!</definedName>
    <definedName name="_Table2_In1" localSheetId="4" hidden="1">'Amo Schedule - Refi'!#REF!</definedName>
    <definedName name="_Table2_In1" localSheetId="3" hidden="1">'Amo Schedule - Senior'!#REF!</definedName>
    <definedName name="_Table2_In1" localSheetId="5" hidden="1">'Amo Schedule - Supplemental'!#REF!</definedName>
    <definedName name="_Table2_In1" localSheetId="11" hidden="1">#REF!</definedName>
    <definedName name="_Table2_In1" hidden="1">#REF!</definedName>
    <definedName name="_Table2_In2" localSheetId="4" hidden="1">'Amo Schedule - Refi'!#REF!</definedName>
    <definedName name="_Table2_In2" localSheetId="3" hidden="1">'Amo Schedule - Senior'!#REF!</definedName>
    <definedName name="_Table2_In2" localSheetId="5" hidden="1">'Amo Schedule - Supplemental'!#REF!</definedName>
    <definedName name="_Table2_In2" localSheetId="11" hidden="1">#REF!</definedName>
    <definedName name="_Table2_In2" hidden="1">#REF!</definedName>
    <definedName name="_Table2_Out" hidden="1">#REF!</definedName>
    <definedName name="_wer33" localSheetId="2" hidden="1">{"cover",#N/A,TRUE,"Cover";"toc5",#N/A,TRUE,"TOC";"over",#N/A,TRUE,"Overview";"ts2",#N/A,TRUE,"Det_Trans_Sum";"ei1",#N/A,TRUE,"Earnings Impact";"ad1",#N/A,TRUE,"accretion dilution";"pfis1",#N/A,TRUE,"Pro Forma Income Statement";"ca1",#N/A,TRUE,"Contribution_Analysis";"acq1",#N/A,TRUE,"Acquirer";"tar1",#N/A,TRUE,"Target"}</definedName>
    <definedName name="_wer33" localSheetId="21" hidden="1">{"cover",#N/A,TRUE,"Cover";"toc5",#N/A,TRUE,"TOC";"over",#N/A,TRUE,"Overview";"ts2",#N/A,TRUE,"Det_Trans_Sum";"ei1",#N/A,TRUE,"Earnings Impact";"ad1",#N/A,TRUE,"accretion dilution";"pfis1",#N/A,TRUE,"Pro Forma Income Statement";"ca1",#N/A,TRUE,"Contribution_Analysis";"acq1",#N/A,TRUE,"Acquirer";"tar1",#N/A,TRUE,"Target"}</definedName>
    <definedName name="_wer33" localSheetId="22" hidden="1">{"cover",#N/A,TRUE,"Cover";"toc5",#N/A,TRUE,"TOC";"over",#N/A,TRUE,"Overview";"ts2",#N/A,TRUE,"Det_Trans_Sum";"ei1",#N/A,TRUE,"Earnings Impact";"ad1",#N/A,TRUE,"accretion dilution";"pfis1",#N/A,TRUE,"Pro Forma Income Statement";"ca1",#N/A,TRUE,"Contribution_Analysis";"acq1",#N/A,TRUE,"Acquirer";"tar1",#N/A,TRUE,"Target"}</definedName>
    <definedName name="_wer33" localSheetId="15" hidden="1">{"cover",#N/A,TRUE,"Cover";"toc5",#N/A,TRUE,"TOC";"over",#N/A,TRUE,"Overview";"ts2",#N/A,TRUE,"Det_Trans_Sum";"ei1",#N/A,TRUE,"Earnings Impact";"ad1",#N/A,TRUE,"accretion dilution";"pfis1",#N/A,TRUE,"Pro Forma Income Statement";"ca1",#N/A,TRUE,"Contribution_Analysis";"acq1",#N/A,TRUE,"Acquirer";"tar1",#N/A,TRUE,"Target"}</definedName>
    <definedName name="_wer33" localSheetId="17" hidden="1">{"cover",#N/A,TRUE,"Cover";"toc5",#N/A,TRUE,"TOC";"over",#N/A,TRUE,"Overview";"ts2",#N/A,TRUE,"Det_Trans_Sum";"ei1",#N/A,TRUE,"Earnings Impact";"ad1",#N/A,TRUE,"accretion dilution";"pfis1",#N/A,TRUE,"Pro Forma Income Statement";"ca1",#N/A,TRUE,"Contribution_Analysis";"acq1",#N/A,TRUE,"Acquirer";"tar1",#N/A,TRUE,"Target"}</definedName>
    <definedName name="_wer33" localSheetId="10" hidden="1">{"cover",#N/A,TRUE,"Cover";"toc5",#N/A,TRUE,"TOC";"over",#N/A,TRUE,"Overview";"ts2",#N/A,TRUE,"Det_Trans_Sum";"ei1",#N/A,TRUE,"Earnings Impact";"ad1",#N/A,TRUE,"accretion dilution";"pfis1",#N/A,TRUE,"Pro Forma Income Statement";"ca1",#N/A,TRUE,"Contribution_Analysis";"acq1",#N/A,TRUE,"Acquirer";"tar1",#N/A,TRUE,"Target"}</definedName>
    <definedName name="_wer33" localSheetId="13" hidden="1">{"cover",#N/A,TRUE,"Cover";"toc5",#N/A,TRUE,"TOC";"over",#N/A,TRUE,"Overview";"ts2",#N/A,TRUE,"Det_Trans_Sum";"ei1",#N/A,TRUE,"Earnings Impact";"ad1",#N/A,TRUE,"accretion dilution";"pfis1",#N/A,TRUE,"Pro Forma Income Statement";"ca1",#N/A,TRUE,"Contribution_Analysis";"acq1",#N/A,TRUE,"Acquirer";"tar1",#N/A,TRUE,"Target"}</definedName>
    <definedName name="_wer33" hidden="1">{"cover",#N/A,TRUE,"Cover";"toc5",#N/A,TRUE,"TOC";"over",#N/A,TRUE,"Overview";"ts2",#N/A,TRUE,"Det_Trans_Sum";"ei1",#N/A,TRUE,"Earnings Impact";"ad1",#N/A,TRUE,"accretion dilution";"pfis1",#N/A,TRUE,"Pro Forma Income Statement";"ca1",#N/A,TRUE,"Contribution_Analysis";"acq1",#N/A,TRUE,"Acquirer";"tar1",#N/A,TRUE,"Target"}</definedName>
    <definedName name="_wrn1" localSheetId="2" hidden="1">{"schedule1",#N/A,FALSE,"Sheet1";"schedule2",#N/A,FALSE,"Sheet1";"schedule3",#N/A,FALSE,"Sheet1";"schedule4",#N/A,FALSE,"Sheet1";"schedule5",#N/A,FALSE,"Sheet1";"schedule6",#N/A,FALSE,"Sheet1"}</definedName>
    <definedName name="_wrn1" localSheetId="21" hidden="1">{"schedule1",#N/A,FALSE,"Sheet1";"schedule2",#N/A,FALSE,"Sheet1";"schedule3",#N/A,FALSE,"Sheet1";"schedule4",#N/A,FALSE,"Sheet1";"schedule5",#N/A,FALSE,"Sheet1";"schedule6",#N/A,FALSE,"Sheet1"}</definedName>
    <definedName name="_wrn1" localSheetId="22" hidden="1">{"schedule1",#N/A,FALSE,"Sheet1";"schedule2",#N/A,FALSE,"Sheet1";"schedule3",#N/A,FALSE,"Sheet1";"schedule4",#N/A,FALSE,"Sheet1";"schedule5",#N/A,FALSE,"Sheet1";"schedule6",#N/A,FALSE,"Sheet1"}</definedName>
    <definedName name="_wrn1" localSheetId="15" hidden="1">{"schedule1",#N/A,FALSE,"Sheet1";"schedule2",#N/A,FALSE,"Sheet1";"schedule3",#N/A,FALSE,"Sheet1";"schedule4",#N/A,FALSE,"Sheet1";"schedule5",#N/A,FALSE,"Sheet1";"schedule6",#N/A,FALSE,"Sheet1"}</definedName>
    <definedName name="_wrn1" localSheetId="17" hidden="1">{"schedule1",#N/A,FALSE,"Sheet1";"schedule2",#N/A,FALSE,"Sheet1";"schedule3",#N/A,FALSE,"Sheet1";"schedule4",#N/A,FALSE,"Sheet1";"schedule5",#N/A,FALSE,"Sheet1";"schedule6",#N/A,FALSE,"Sheet1"}</definedName>
    <definedName name="_wrn1" localSheetId="10" hidden="1">{"schedule1",#N/A,FALSE,"Sheet1";"schedule2",#N/A,FALSE,"Sheet1";"schedule3",#N/A,FALSE,"Sheet1";"schedule4",#N/A,FALSE,"Sheet1";"schedule5",#N/A,FALSE,"Sheet1";"schedule6",#N/A,FALSE,"Sheet1"}</definedName>
    <definedName name="_wrn1" localSheetId="13" hidden="1">{"schedule1",#N/A,FALSE,"Sheet1";"schedule2",#N/A,FALSE,"Sheet1";"schedule3",#N/A,FALSE,"Sheet1";"schedule4",#N/A,FALSE,"Sheet1";"schedule5",#N/A,FALSE,"Sheet1";"schedule6",#N/A,FALSE,"Sheet1"}</definedName>
    <definedName name="_wrn1" hidden="1">{"schedule1",#N/A,FALSE,"Sheet1";"schedule2",#N/A,FALSE,"Sheet1";"schedule3",#N/A,FALSE,"Sheet1";"schedule4",#N/A,FALSE,"Sheet1";"schedule5",#N/A,FALSE,"Sheet1";"schedule6",#N/A,FALSE,"Sheet1"}</definedName>
    <definedName name="a_Key1" hidden="1">#REF!</definedName>
    <definedName name="a_Key2" hidden="1">#REF!</definedName>
    <definedName name="AAA_DOCTOPS" hidden="1">"AAA_SET"</definedName>
    <definedName name="AAA_duser" hidden="1">"OFF"</definedName>
    <definedName name="aaaaaaa" localSheetId="2" hidden="1">{"Outflow 1",#N/A,FALSE,"Outflows-Inflows";"Outflow 2",#N/A,FALSE,"Outflows-Inflows";"Inflow 1",#N/A,FALSE,"Outflows-Inflows";"Inflow 2",#N/A,FALSE,"Outflows-Inflows"}</definedName>
    <definedName name="aaaaaaa" localSheetId="21" hidden="1">{"Outflow 1",#N/A,FALSE,"Outflows-Inflows";"Outflow 2",#N/A,FALSE,"Outflows-Inflows";"Inflow 1",#N/A,FALSE,"Outflows-Inflows";"Inflow 2",#N/A,FALSE,"Outflows-Inflows"}</definedName>
    <definedName name="aaaaaaa" localSheetId="22" hidden="1">{"Outflow 1",#N/A,FALSE,"Outflows-Inflows";"Outflow 2",#N/A,FALSE,"Outflows-Inflows";"Inflow 1",#N/A,FALSE,"Outflows-Inflows";"Inflow 2",#N/A,FALSE,"Outflows-Inflows"}</definedName>
    <definedName name="aaaaaaa" localSheetId="15" hidden="1">{"Outflow 1",#N/A,FALSE,"Outflows-Inflows";"Outflow 2",#N/A,FALSE,"Outflows-Inflows";"Inflow 1",#N/A,FALSE,"Outflows-Inflows";"Inflow 2",#N/A,FALSE,"Outflows-Inflows"}</definedName>
    <definedName name="aaaaaaa" localSheetId="17" hidden="1">{"Outflow 1",#N/A,FALSE,"Outflows-Inflows";"Outflow 2",#N/A,FALSE,"Outflows-Inflows";"Inflow 1",#N/A,FALSE,"Outflows-Inflows";"Inflow 2",#N/A,FALSE,"Outflows-Inflows"}</definedName>
    <definedName name="aaaaaaa" localSheetId="10" hidden="1">{"Outflow 1",#N/A,FALSE,"Outflows-Inflows";"Outflow 2",#N/A,FALSE,"Outflows-Inflows";"Inflow 1",#N/A,FALSE,"Outflows-Inflows";"Inflow 2",#N/A,FALSE,"Outflows-Inflows"}</definedName>
    <definedName name="aaaaaaa" localSheetId="13" hidden="1">{"Outflow 1",#N/A,FALSE,"Outflows-Inflows";"Outflow 2",#N/A,FALSE,"Outflows-Inflows";"Inflow 1",#N/A,FALSE,"Outflows-Inflows";"Inflow 2",#N/A,FALSE,"Outflows-Inflows"}</definedName>
    <definedName name="aaaaaaa" hidden="1">{"Outflow 1",#N/A,FALSE,"Outflows-Inflows";"Outflow 2",#N/A,FALSE,"Outflows-Inflows";"Inflow 1",#N/A,FALSE,"Outflows-Inflows";"Inflow 2",#N/A,FALSE,"Outflows-Inflows"}</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sdfa" localSheetId="2" hidden="1">{"rtn",#N/A,FALSE,"RTN";"tables",#N/A,FALSE,"RTN";"cf",#N/A,FALSE,"CF";"stats",#N/A,FALSE,"Stats";"prop",#N/A,FALSE,"Prop"}</definedName>
    <definedName name="aasdfa" localSheetId="21" hidden="1">{"rtn",#N/A,FALSE,"RTN";"tables",#N/A,FALSE,"RTN";"cf",#N/A,FALSE,"CF";"stats",#N/A,FALSE,"Stats";"prop",#N/A,FALSE,"Prop"}</definedName>
    <definedName name="aasdfa" localSheetId="22" hidden="1">{"rtn",#N/A,FALSE,"RTN";"tables",#N/A,FALSE,"RTN";"cf",#N/A,FALSE,"CF";"stats",#N/A,FALSE,"Stats";"prop",#N/A,FALSE,"Prop"}</definedName>
    <definedName name="aasdfa" localSheetId="15" hidden="1">{"rtn",#N/A,FALSE,"RTN";"tables",#N/A,FALSE,"RTN";"cf",#N/A,FALSE,"CF";"stats",#N/A,FALSE,"Stats";"prop",#N/A,FALSE,"Prop"}</definedName>
    <definedName name="aasdfa" localSheetId="17" hidden="1">{"rtn",#N/A,FALSE,"RTN";"tables",#N/A,FALSE,"RTN";"cf",#N/A,FALSE,"CF";"stats",#N/A,FALSE,"Stats";"prop",#N/A,FALSE,"Prop"}</definedName>
    <definedName name="aasdfa" localSheetId="10" hidden="1">{"rtn",#N/A,FALSE,"RTN";"tables",#N/A,FALSE,"RTN";"cf",#N/A,FALSE,"CF";"stats",#N/A,FALSE,"Stats";"prop",#N/A,FALSE,"Prop"}</definedName>
    <definedName name="aasdfa" localSheetId="13" hidden="1">{"rtn",#N/A,FALSE,"RTN";"tables",#N/A,FALSE,"RTN";"cf",#N/A,FALSE,"CF";"stats",#N/A,FALSE,"Stats";"prop",#N/A,FALSE,"Prop"}</definedName>
    <definedName name="aasdfa" hidden="1">{"rtn",#N/A,FALSE,"RTN";"tables",#N/A,FALSE,"RTN";"cf",#N/A,FALSE,"CF";"stats",#N/A,FALSE,"Stats";"prop",#N/A,FALSE,"Prop"}</definedName>
    <definedName name="ab" localSheetId="21" hidden="1">{#N/A,#N/A,TRUE,"Ericsson Stadium PCD ";#N/A,#N/A,TRUE,"Ericsson Stadium IOR"}</definedName>
    <definedName name="ab" localSheetId="22" hidden="1">{#N/A,#N/A,TRUE,"Ericsson Stadium PCD ";#N/A,#N/A,TRUE,"Ericsson Stadium IOR"}</definedName>
    <definedName name="ab" localSheetId="17" hidden="1">{#N/A,#N/A,TRUE,"Ericsson Stadium PCD ";#N/A,#N/A,TRUE,"Ericsson Stadium IOR"}</definedName>
    <definedName name="ab" localSheetId="10" hidden="1">{#N/A,#N/A,TRUE,"Ericsson Stadium PCD ";#N/A,#N/A,TRUE,"Ericsson Stadium IOR"}</definedName>
    <definedName name="ab" hidden="1">{#N/A,#N/A,TRUE,"Ericsson Stadium PCD ";#N/A,#N/A,TRUE,"Ericsson Stadium IOR"}</definedName>
    <definedName name="ab_condo" localSheetId="21" hidden="1">{#N/A,#N/A,TRUE,"Ericsson Stadium PCD ";#N/A,#N/A,TRUE,"Ericsson Stadium IOR"}</definedName>
    <definedName name="ab_condo" localSheetId="22" hidden="1">{#N/A,#N/A,TRUE,"Ericsson Stadium PCD ";#N/A,#N/A,TRUE,"Ericsson Stadium IOR"}</definedName>
    <definedName name="ab_condo" localSheetId="17" hidden="1">{#N/A,#N/A,TRUE,"Ericsson Stadium PCD ";#N/A,#N/A,TRUE,"Ericsson Stadium IOR"}</definedName>
    <definedName name="ab_condo" localSheetId="10" hidden="1">{#N/A,#N/A,TRUE,"Ericsson Stadium PCD ";#N/A,#N/A,TRUE,"Ericsson Stadium IOR"}</definedName>
    <definedName name="ab_condo" hidden="1">{#N/A,#N/A,TRUE,"Ericsson Stadium PCD ";#N/A,#N/A,TRUE,"Ericsson Stadium IOR"}</definedName>
    <definedName name="abc" localSheetId="2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2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1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DEFG" localSheetId="2" hidden="1">{#N/A,#N/A,FALSE,"Expense Comparison"}</definedName>
    <definedName name="ABCDEFG" localSheetId="21" hidden="1">{#N/A,#N/A,FALSE,"Expense Comparison"}</definedName>
    <definedName name="ABCDEFG" localSheetId="22" hidden="1">{#N/A,#N/A,FALSE,"Expense Comparison"}</definedName>
    <definedName name="ABCDEFG" localSheetId="15" hidden="1">{#N/A,#N/A,FALSE,"Expense Comparison"}</definedName>
    <definedName name="ABCDEFG" localSheetId="17" hidden="1">{#N/A,#N/A,FALSE,"Expense Comparison"}</definedName>
    <definedName name="ABCDEFG" localSheetId="10" hidden="1">{#N/A,#N/A,FALSE,"Expense Comparison"}</definedName>
    <definedName name="ABCDEFG" localSheetId="13" hidden="1">{#N/A,#N/A,FALSE,"Expense Comparison"}</definedName>
    <definedName name="ABCDEFG" hidden="1">{#N/A,#N/A,FALSE,"Expense Comparison"}</definedName>
    <definedName name="abd" localSheetId="2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d" localSheetId="2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d" localSheetId="1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cess_Button" hidden="1">"Loan_Front_End_Input_List"</definedName>
    <definedName name="AccessDatabase" hidden="1">"C:\My Documents\DAVE\MODELS\Cash at Risk\Loan Front End.mdb"</definedName>
    <definedName name="Acres" localSheetId="4">#REF!</definedName>
    <definedName name="Acres" localSheetId="5">#REF!</definedName>
    <definedName name="afed" hidden="1">{"Texas Sub_Consolidation",#N/A,TRUE,"Texas";"Texas Trial Balances",#N/A,TRUE,"Texas";"Texas Investment Analysis",#N/A,TRUE,"Texas";"Texas AJEs",#N/A,TRUE,"Texas";"Texas AJE Summary",#N/A,TRUE,"Texas";"Texas_P_L_Minority",#N/A,TRUE,"Texas"}</definedName>
    <definedName name="AgencyAm" localSheetId="18">'Clean UW'!#REF!</definedName>
    <definedName name="AgencyAm">'Debt Sizing'!$P$62</definedName>
    <definedName name="AgencyCashFlow" localSheetId="18">'Clean UW'!#REF!</definedName>
    <definedName name="AgencyCashFlow" localSheetId="17">'Debt Sizing'!$P$68</definedName>
    <definedName name="AgencyCashFlow">'Debt Sizing'!$P$68</definedName>
    <definedName name="AgencyDebtService" localSheetId="18">'Clean UW'!#REF!</definedName>
    <definedName name="AgencyDebtService">'Debt Sizing'!$P$67</definedName>
    <definedName name="AgencyDSCR" localSheetId="18">'Clean UW'!#REF!</definedName>
    <definedName name="AgencyDSCR">'Debt Sizing'!$P$69</definedName>
    <definedName name="AgencyDSCRIO" localSheetId="18">'Clean UW'!#REF!</definedName>
    <definedName name="AgencyDSCRIO">'Debt Sizing'!$P$70</definedName>
    <definedName name="AgencyDSCRMin" localSheetId="18">'Clean UW'!#REF!</definedName>
    <definedName name="AgencyDSCRMin">'Debt Sizing'!#REF!</definedName>
    <definedName name="AgencyDY" localSheetId="18">'Clean UW'!#REF!</definedName>
    <definedName name="AgencyDY">'Debt Sizing'!$P$71</definedName>
    <definedName name="AgencyLoan" localSheetId="18">'Clean UW'!#REF!</definedName>
    <definedName name="AgencyLoan" localSheetId="17">'Quote Sheet 2'!#REF!</definedName>
    <definedName name="AgencyLoan">'Debt Sizing'!$P$58</definedName>
    <definedName name="AgencyLTV" localSheetId="18">'Clean UW'!#REF!</definedName>
    <definedName name="AgencyLTV">'Debt Sizing'!$P$59</definedName>
    <definedName name="AgencyNOI" localSheetId="18">'Clean UW'!#REF!</definedName>
    <definedName name="AgencyNOI">'Debt Sizing'!$P$44</definedName>
    <definedName name="AgencyPrefAm" localSheetId="18">'Clean UW'!#REF!</definedName>
    <definedName name="AgencyPrefAm">'Debt Sizing'!$P$94</definedName>
    <definedName name="AgencyPrefAmt" localSheetId="18">'Clean UW'!#REF!</definedName>
    <definedName name="AgencyPrefAmt">'Debt Sizing'!$P$90</definedName>
    <definedName name="AgencyPrefConstant" localSheetId="18">'Clean UW'!#REF!</definedName>
    <definedName name="AgencyPrefConstant">'Debt Sizing'!$P$96</definedName>
    <definedName name="AgencyPrefDSCR" localSheetId="18">'Clean UW'!#REF!</definedName>
    <definedName name="AgencyPrefDSCR">'Debt Sizing'!$P$99</definedName>
    <definedName name="AgencyPrefRate" localSheetId="18">'Clean UW'!#REF!</definedName>
    <definedName name="AgencyPrefRate">'Debt Sizing'!$P$95</definedName>
    <definedName name="AgencyRate" localSheetId="18">'Clean UW'!#REF!</definedName>
    <definedName name="AgencyRate">'Debt Sizing'!$P$65</definedName>
    <definedName name="all" localSheetId="21" hidden="1">{#N/A,#N/A,FALSE,"CF Consolidated 2";#N/A,#N/A,FALSE,"Retail Assump";#N/A,#N/A,FALSE,"CF Retail";#N/A,#N/A,FALSE,"Garage Assumpt 1";#N/A,#N/A,FALSE,"Garage Op Proj";#N/A,#N/A,FALSE,"Hist I&amp;E";#N/A,#N/A,FALSE,"Rent Roll";#N/A,#N/A,FALSE,"RE Taxes";#N/A,#N/A,FALSE,"CAM - BH";#N/A,#N/A,FALSE,"Comm.Condo CAM"}</definedName>
    <definedName name="all" localSheetId="22" hidden="1">{#N/A,#N/A,FALSE,"CF Consolidated 2";#N/A,#N/A,FALSE,"Retail Assump";#N/A,#N/A,FALSE,"CF Retail";#N/A,#N/A,FALSE,"Garage Assumpt 1";#N/A,#N/A,FALSE,"Garage Op Proj";#N/A,#N/A,FALSE,"Hist I&amp;E";#N/A,#N/A,FALSE,"Rent Roll";#N/A,#N/A,FALSE,"RE Taxes";#N/A,#N/A,FALSE,"CAM - BH";#N/A,#N/A,FALSE,"Comm.Condo CAM"}</definedName>
    <definedName name="all" localSheetId="17" hidden="1">{#N/A,#N/A,FALSE,"CF Consolidated 2";#N/A,#N/A,FALSE,"Retail Assump";#N/A,#N/A,FALSE,"CF Retail";#N/A,#N/A,FALSE,"Garage Assumpt 1";#N/A,#N/A,FALSE,"Garage Op Proj";#N/A,#N/A,FALSE,"Hist I&amp;E";#N/A,#N/A,FALSE,"Rent Roll";#N/A,#N/A,FALSE,"RE Taxes";#N/A,#N/A,FALSE,"CAM - BH";#N/A,#N/A,FALSE,"Comm.Condo CAM"}</definedName>
    <definedName name="all" localSheetId="10" hidden="1">{#N/A,#N/A,FALSE,"CF Consolidated 2";#N/A,#N/A,FALSE,"Retail Assump";#N/A,#N/A,FALSE,"CF Retail";#N/A,#N/A,FALSE,"Garage Assumpt 1";#N/A,#N/A,FALSE,"Garage Op Proj";#N/A,#N/A,FALSE,"Hist I&amp;E";#N/A,#N/A,FALSE,"Rent Roll";#N/A,#N/A,FALSE,"RE Taxes";#N/A,#N/A,FALSE,"CAM - BH";#N/A,#N/A,FALSE,"Comm.Condo CAM"}</definedName>
    <definedName name="all" hidden="1">{#N/A,#N/A,FALSE,"CF Consolidated 2";#N/A,#N/A,FALSE,"Retail Assump";#N/A,#N/A,FALSE,"CF Retail";#N/A,#N/A,FALSE,"Garage Assumpt 1";#N/A,#N/A,FALSE,"Garage Op Proj";#N/A,#N/A,FALSE,"Hist I&amp;E";#N/A,#N/A,FALSE,"Rent Roll";#N/A,#N/A,FALSE,"RE Taxes";#N/A,#N/A,FALSE,"CAM - BH";#N/A,#N/A,FALSE,"Comm.Condo CAM"}</definedName>
    <definedName name="AllTables" localSheetId="21">{2}</definedName>
    <definedName name="AllTables" localSheetId="22">{2}</definedName>
    <definedName name="AllTables" localSheetId="17">{2}</definedName>
    <definedName name="AllTables">{2}</definedName>
    <definedName name="AllTablesFlagler" localSheetId="21">{6}</definedName>
    <definedName name="AllTablesFlagler" localSheetId="22">{6}</definedName>
    <definedName name="AllTablesFlagler" localSheetId="17">{6}</definedName>
    <definedName name="AllTablesFlagler">{6}</definedName>
    <definedName name="amort_term" localSheetId="4">#REF!</definedName>
    <definedName name="amort_term" localSheetId="5">#REF!</definedName>
    <definedName name="annual_rate" localSheetId="4">#REF!</definedName>
    <definedName name="annual_rate" localSheetId="5">#REF!</definedName>
    <definedName name="anscount" hidden="1">1</definedName>
    <definedName name="as" localSheetId="2" hidden="1">{"Outflow 1",#N/A,FALSE,"Outflows-Inflows";"Outflow 2",#N/A,FALSE,"Outflows-Inflows";"Inflow 1",#N/A,FALSE,"Outflows-Inflows";"Inflow 2",#N/A,FALSE,"Outflows-Inflows"}</definedName>
    <definedName name="as" localSheetId="21" hidden="1">{"Outflow 1",#N/A,FALSE,"Outflows-Inflows";"Outflow 2",#N/A,FALSE,"Outflows-Inflows";"Inflow 1",#N/A,FALSE,"Outflows-Inflows";"Inflow 2",#N/A,FALSE,"Outflows-Inflows"}</definedName>
    <definedName name="as" localSheetId="22" hidden="1">{"Outflow 1",#N/A,FALSE,"Outflows-Inflows";"Outflow 2",#N/A,FALSE,"Outflows-Inflows";"Inflow 1",#N/A,FALSE,"Outflows-Inflows";"Inflow 2",#N/A,FALSE,"Outflows-Inflows"}</definedName>
    <definedName name="as" localSheetId="15" hidden="1">{"Outflow 1",#N/A,FALSE,"Outflows-Inflows";"Outflow 2",#N/A,FALSE,"Outflows-Inflows";"Inflow 1",#N/A,FALSE,"Outflows-Inflows";"Inflow 2",#N/A,FALSE,"Outflows-Inflows"}</definedName>
    <definedName name="as" localSheetId="17" hidden="1">{"Outflow 1",#N/A,FALSE,"Outflows-Inflows";"Outflow 2",#N/A,FALSE,"Outflows-Inflows";"Inflow 1",#N/A,FALSE,"Outflows-Inflows";"Inflow 2",#N/A,FALSE,"Outflows-Inflows"}</definedName>
    <definedName name="as" localSheetId="10" hidden="1">{"Outflow 1",#N/A,FALSE,"Outflows-Inflows";"Outflow 2",#N/A,FALSE,"Outflows-Inflows";"Inflow 1",#N/A,FALSE,"Outflows-Inflows";"Inflow 2",#N/A,FALSE,"Outflows-Inflows"}</definedName>
    <definedName name="as" localSheetId="13" hidden="1">{"Outflow 1",#N/A,FALSE,"Outflows-Inflows";"Outflow 2",#N/A,FALSE,"Outflows-Inflows";"Inflow 1",#N/A,FALSE,"Outflows-Inflows";"Inflow 2",#N/A,FALSE,"Outflows-Inflows"}</definedName>
    <definedName name="as" hidden="1">{"Outflow 1",#N/A,FALSE,"Outflows-Inflows";"Outflow 2",#N/A,FALSE,"Outflows-Inflows";"Inflow 1",#N/A,FALSE,"Outflows-Inflows";"Inflow 2",#N/A,FALSE,"Outflows-Inflows"}</definedName>
    <definedName name="AS2DocOpenMode" hidden="1">"AS2DocumentEdit"</definedName>
    <definedName name="asdf2" localSheetId="2" hidden="1">{#N/A,#N/A,FALSE,"OperatingAssumptions"}</definedName>
    <definedName name="asdf2" localSheetId="21" hidden="1">{#N/A,#N/A,FALSE,"OperatingAssumptions"}</definedName>
    <definedName name="asdf2" localSheetId="22" hidden="1">{#N/A,#N/A,FALSE,"OperatingAssumptions"}</definedName>
    <definedName name="asdf2" localSheetId="15" hidden="1">{#N/A,#N/A,FALSE,"OperatingAssumptions"}</definedName>
    <definedName name="asdf2" localSheetId="17" hidden="1">{#N/A,#N/A,FALSE,"OperatingAssumptions"}</definedName>
    <definedName name="asdf2" localSheetId="10" hidden="1">{#N/A,#N/A,FALSE,"OperatingAssumptions"}</definedName>
    <definedName name="asdf2" localSheetId="13" hidden="1">{#N/A,#N/A,FALSE,"OperatingAssumptions"}</definedName>
    <definedName name="asdf2" hidden="1">{#N/A,#N/A,FALSE,"OperatingAssumptions"}</definedName>
    <definedName name="asdf3" localSheetId="2" hidden="1">{#N/A,#N/A,FALSE,"LoanAssumptions"}</definedName>
    <definedName name="asdf3" localSheetId="21" hidden="1">{#N/A,#N/A,FALSE,"LoanAssumptions"}</definedName>
    <definedName name="asdf3" localSheetId="22" hidden="1">{#N/A,#N/A,FALSE,"LoanAssumptions"}</definedName>
    <definedName name="asdf3" localSheetId="15" hidden="1">{#N/A,#N/A,FALSE,"LoanAssumptions"}</definedName>
    <definedName name="asdf3" localSheetId="17" hidden="1">{#N/A,#N/A,FALSE,"LoanAssumptions"}</definedName>
    <definedName name="asdf3" localSheetId="10" hidden="1">{#N/A,#N/A,FALSE,"LoanAssumptions"}</definedName>
    <definedName name="asdf3" localSheetId="13" hidden="1">{#N/A,#N/A,FALSE,"LoanAssumptions"}</definedName>
    <definedName name="asdf3" hidden="1">{#N/A,#N/A,FALSE,"LoanAssumptions"}</definedName>
    <definedName name="asdf5" localSheetId="2" hidden="1">{"MonthlyRentRoll",#N/A,FALSE,"RentRoll"}</definedName>
    <definedName name="asdf5" localSheetId="21" hidden="1">{"MonthlyRentRoll",#N/A,FALSE,"RentRoll"}</definedName>
    <definedName name="asdf5" localSheetId="22" hidden="1">{"MonthlyRentRoll",#N/A,FALSE,"RentRoll"}</definedName>
    <definedName name="asdf5" localSheetId="15" hidden="1">{"MonthlyRentRoll",#N/A,FALSE,"RentRoll"}</definedName>
    <definedName name="asdf5" localSheetId="17" hidden="1">{"MonthlyRentRoll",#N/A,FALSE,"RentRoll"}</definedName>
    <definedName name="asdf5" localSheetId="10" hidden="1">{"MonthlyRentRoll",#N/A,FALSE,"RentRoll"}</definedName>
    <definedName name="asdf5" localSheetId="13" hidden="1">{"MonthlyRentRoll",#N/A,FALSE,"RentRoll"}</definedName>
    <definedName name="asdf5" hidden="1">{"MonthlyRentRoll",#N/A,FALSE,"RentRoll"}</definedName>
    <definedName name="asdf7" localSheetId="2" hidden="1">{#N/A,#N/A,TRUE,"Summary";"AnnualRentRoll",#N/A,TRUE,"RentRoll";#N/A,#N/A,TRUE,"ExitStratigy";#N/A,#N/A,TRUE,"OperatingAssumptions"}</definedName>
    <definedName name="asdf7" localSheetId="21" hidden="1">{#N/A,#N/A,TRUE,"Summary";"AnnualRentRoll",#N/A,TRUE,"RentRoll";#N/A,#N/A,TRUE,"ExitStratigy";#N/A,#N/A,TRUE,"OperatingAssumptions"}</definedName>
    <definedName name="asdf7" localSheetId="22" hidden="1">{#N/A,#N/A,TRUE,"Summary";"AnnualRentRoll",#N/A,TRUE,"RentRoll";#N/A,#N/A,TRUE,"ExitStratigy";#N/A,#N/A,TRUE,"OperatingAssumptions"}</definedName>
    <definedName name="asdf7" localSheetId="15" hidden="1">{#N/A,#N/A,TRUE,"Summary";"AnnualRentRoll",#N/A,TRUE,"RentRoll";#N/A,#N/A,TRUE,"ExitStratigy";#N/A,#N/A,TRUE,"OperatingAssumptions"}</definedName>
    <definedName name="asdf7" localSheetId="17" hidden="1">{#N/A,#N/A,TRUE,"Summary";"AnnualRentRoll",#N/A,TRUE,"RentRoll";#N/A,#N/A,TRUE,"ExitStratigy";#N/A,#N/A,TRUE,"OperatingAssumptions"}</definedName>
    <definedName name="asdf7" localSheetId="10" hidden="1">{#N/A,#N/A,TRUE,"Summary";"AnnualRentRoll",#N/A,TRUE,"RentRoll";#N/A,#N/A,TRUE,"ExitStratigy";#N/A,#N/A,TRUE,"OperatingAssumptions"}</definedName>
    <definedName name="asdf7" localSheetId="13" hidden="1">{#N/A,#N/A,TRUE,"Summary";"AnnualRentRoll",#N/A,TRUE,"RentRoll";#N/A,#N/A,TRUE,"ExitStratigy";#N/A,#N/A,TRUE,"OperatingAssumptions"}</definedName>
    <definedName name="asdf7" hidden="1">{#N/A,#N/A,TRUE,"Summary";"AnnualRentRoll",#N/A,TRUE,"RentRoll";#N/A,#N/A,TRUE,"ExitStratigy";#N/A,#N/A,TRUE,"OperatingAssumptions"}</definedName>
    <definedName name="asdfas" localSheetId="2" hidden="1">{"print 1.6",#N/A,FALSE,"Sheet1";"print 2.6",#N/A,FALSE,"Sheet1";"print 3.6",#N/A,FALSE,"Sheet1";"print 4.6",#N/A,FALSE,"Sheet1";"print 5.6",#N/A,FALSE,"Sheet1";"print 6.6",#N/A,FALSE,"Sheet1"}</definedName>
    <definedName name="asdfas" localSheetId="21" hidden="1">{"print 1.6",#N/A,FALSE,"Sheet1";"print 2.6",#N/A,FALSE,"Sheet1";"print 3.6",#N/A,FALSE,"Sheet1";"print 4.6",#N/A,FALSE,"Sheet1";"print 5.6",#N/A,FALSE,"Sheet1";"print 6.6",#N/A,FALSE,"Sheet1"}</definedName>
    <definedName name="asdfas" localSheetId="22" hidden="1">{"print 1.6",#N/A,FALSE,"Sheet1";"print 2.6",#N/A,FALSE,"Sheet1";"print 3.6",#N/A,FALSE,"Sheet1";"print 4.6",#N/A,FALSE,"Sheet1";"print 5.6",#N/A,FALSE,"Sheet1";"print 6.6",#N/A,FALSE,"Sheet1"}</definedName>
    <definedName name="asdfas" localSheetId="15" hidden="1">{"print 1.6",#N/A,FALSE,"Sheet1";"print 2.6",#N/A,FALSE,"Sheet1";"print 3.6",#N/A,FALSE,"Sheet1";"print 4.6",#N/A,FALSE,"Sheet1";"print 5.6",#N/A,FALSE,"Sheet1";"print 6.6",#N/A,FALSE,"Sheet1"}</definedName>
    <definedName name="asdfas" localSheetId="17" hidden="1">{"print 1.6",#N/A,FALSE,"Sheet1";"print 2.6",#N/A,FALSE,"Sheet1";"print 3.6",#N/A,FALSE,"Sheet1";"print 4.6",#N/A,FALSE,"Sheet1";"print 5.6",#N/A,FALSE,"Sheet1";"print 6.6",#N/A,FALSE,"Sheet1"}</definedName>
    <definedName name="asdfas" localSheetId="10" hidden="1">{"print 1.6",#N/A,FALSE,"Sheet1";"print 2.6",#N/A,FALSE,"Sheet1";"print 3.6",#N/A,FALSE,"Sheet1";"print 4.6",#N/A,FALSE,"Sheet1";"print 5.6",#N/A,FALSE,"Sheet1";"print 6.6",#N/A,FALSE,"Sheet1"}</definedName>
    <definedName name="asdfas" localSheetId="13" hidden="1">{"print 1.6",#N/A,FALSE,"Sheet1";"print 2.6",#N/A,FALSE,"Sheet1";"print 3.6",#N/A,FALSE,"Sheet1";"print 4.6",#N/A,FALSE,"Sheet1";"print 5.6",#N/A,FALSE,"Sheet1";"print 6.6",#N/A,FALSE,"Sheet1"}</definedName>
    <definedName name="asdfas" hidden="1">{"print 1.6",#N/A,FALSE,"Sheet1";"print 2.6",#N/A,FALSE,"Sheet1";"print 3.6",#N/A,FALSE,"Sheet1";"print 4.6",#N/A,FALSE,"Sheet1";"print 5.6",#N/A,FALSE,"Sheet1";"print 6.6",#N/A,FALSE,"Sheet1"}</definedName>
    <definedName name="asdfasaa" localSheetId="2" hidden="1">{"print 1.6",#N/A,FALSE,"Sheet1";"print 2.6",#N/A,FALSE,"Sheet1";"print 3.6",#N/A,FALSE,"Sheet1";"print 4.6",#N/A,FALSE,"Sheet1";"print 5.6",#N/A,FALSE,"Sheet1";"print 6.6",#N/A,FALSE,"Sheet1"}</definedName>
    <definedName name="asdfasaa" localSheetId="21" hidden="1">{"print 1.6",#N/A,FALSE,"Sheet1";"print 2.6",#N/A,FALSE,"Sheet1";"print 3.6",#N/A,FALSE,"Sheet1";"print 4.6",#N/A,FALSE,"Sheet1";"print 5.6",#N/A,FALSE,"Sheet1";"print 6.6",#N/A,FALSE,"Sheet1"}</definedName>
    <definedName name="asdfasaa" localSheetId="22" hidden="1">{"print 1.6",#N/A,FALSE,"Sheet1";"print 2.6",#N/A,FALSE,"Sheet1";"print 3.6",#N/A,FALSE,"Sheet1";"print 4.6",#N/A,FALSE,"Sheet1";"print 5.6",#N/A,FALSE,"Sheet1";"print 6.6",#N/A,FALSE,"Sheet1"}</definedName>
    <definedName name="asdfasaa" localSheetId="15" hidden="1">{"print 1.6",#N/A,FALSE,"Sheet1";"print 2.6",#N/A,FALSE,"Sheet1";"print 3.6",#N/A,FALSE,"Sheet1";"print 4.6",#N/A,FALSE,"Sheet1";"print 5.6",#N/A,FALSE,"Sheet1";"print 6.6",#N/A,FALSE,"Sheet1"}</definedName>
    <definedName name="asdfasaa" localSheetId="17" hidden="1">{"print 1.6",#N/A,FALSE,"Sheet1";"print 2.6",#N/A,FALSE,"Sheet1";"print 3.6",#N/A,FALSE,"Sheet1";"print 4.6",#N/A,FALSE,"Sheet1";"print 5.6",#N/A,FALSE,"Sheet1";"print 6.6",#N/A,FALSE,"Sheet1"}</definedName>
    <definedName name="asdfasaa" localSheetId="10" hidden="1">{"print 1.6",#N/A,FALSE,"Sheet1";"print 2.6",#N/A,FALSE,"Sheet1";"print 3.6",#N/A,FALSE,"Sheet1";"print 4.6",#N/A,FALSE,"Sheet1";"print 5.6",#N/A,FALSE,"Sheet1";"print 6.6",#N/A,FALSE,"Sheet1"}</definedName>
    <definedName name="asdfasaa" localSheetId="13" hidden="1">{"print 1.6",#N/A,FALSE,"Sheet1";"print 2.6",#N/A,FALSE,"Sheet1";"print 3.6",#N/A,FALSE,"Sheet1";"print 4.6",#N/A,FALSE,"Sheet1";"print 5.6",#N/A,FALSE,"Sheet1";"print 6.6",#N/A,FALSE,"Sheet1"}</definedName>
    <definedName name="asdfasaa" hidden="1">{"print 1.6",#N/A,FALSE,"Sheet1";"print 2.6",#N/A,FALSE,"Sheet1";"print 3.6",#N/A,FALSE,"Sheet1";"print 4.6",#N/A,FALSE,"Sheet1";"print 5.6",#N/A,FALSE,"Sheet1";"print 6.6",#N/A,FALSE,"Sheet1"}</definedName>
    <definedName name="asdfasdf" localSheetId="2" hidden="1">{"rtn",#N/A,FALSE,"RTN";"tables",#N/A,FALSE,"RTN";"cf",#N/A,FALSE,"CF";"stats",#N/A,FALSE,"Stats";"prop",#N/A,FALSE,"Prop"}</definedName>
    <definedName name="asdfasdf" localSheetId="21" hidden="1">{"rtn",#N/A,FALSE,"RTN";"tables",#N/A,FALSE,"RTN";"cf",#N/A,FALSE,"CF";"stats",#N/A,FALSE,"Stats";"prop",#N/A,FALSE,"Prop"}</definedName>
    <definedName name="asdfasdf" localSheetId="22" hidden="1">{"rtn",#N/A,FALSE,"RTN";"tables",#N/A,FALSE,"RTN";"cf",#N/A,FALSE,"CF";"stats",#N/A,FALSE,"Stats";"prop",#N/A,FALSE,"Prop"}</definedName>
    <definedName name="asdfasdf" localSheetId="15" hidden="1">{"rtn",#N/A,FALSE,"RTN";"tables",#N/A,FALSE,"RTN";"cf",#N/A,FALSE,"CF";"stats",#N/A,FALSE,"Stats";"prop",#N/A,FALSE,"Prop"}</definedName>
    <definedName name="asdfasdf" localSheetId="17" hidden="1">{"rtn",#N/A,FALSE,"RTN";"tables",#N/A,FALSE,"RTN";"cf",#N/A,FALSE,"CF";"stats",#N/A,FALSE,"Stats";"prop",#N/A,FALSE,"Prop"}</definedName>
    <definedName name="asdfasdf" localSheetId="10" hidden="1">{"rtn",#N/A,FALSE,"RTN";"tables",#N/A,FALSE,"RTN";"cf",#N/A,FALSE,"CF";"stats",#N/A,FALSE,"Stats";"prop",#N/A,FALSE,"Prop"}</definedName>
    <definedName name="asdfasdf" localSheetId="13" hidden="1">{"rtn",#N/A,FALSE,"RTN";"tables",#N/A,FALSE,"RTN";"cf",#N/A,FALSE,"CF";"stats",#N/A,FALSE,"Stats";"prop",#N/A,FALSE,"Prop"}</definedName>
    <definedName name="asdfasdf" hidden="1">{"rtn",#N/A,FALSE,"RTN";"tables",#N/A,FALSE,"RTN";"cf",#N/A,FALSE,"CF";"stats",#N/A,FALSE,"Stats";"prop",#N/A,FALSE,"Prop"}</definedName>
    <definedName name="asdfsdfsdf" localSheetId="2" hidden="1">{#N/A,#N/A,FALSE,"Expense Comparison"}</definedName>
    <definedName name="asdfsdfsdf" localSheetId="21" hidden="1">{#N/A,#N/A,FALSE,"Expense Comparison"}</definedName>
    <definedName name="asdfsdfsdf" localSheetId="22" hidden="1">{#N/A,#N/A,FALSE,"Expense Comparison"}</definedName>
    <definedName name="asdfsdfsdf" localSheetId="15" hidden="1">{#N/A,#N/A,FALSE,"Expense Comparison"}</definedName>
    <definedName name="asdfsdfsdf" localSheetId="17" hidden="1">{#N/A,#N/A,FALSE,"Expense Comparison"}</definedName>
    <definedName name="asdfsdfsdf" localSheetId="10" hidden="1">{#N/A,#N/A,FALSE,"Expense Comparison"}</definedName>
    <definedName name="asdfsdfsdf" localSheetId="13" hidden="1">{#N/A,#N/A,FALSE,"Expense Comparison"}</definedName>
    <definedName name="asdfsdfsdf" hidden="1">{#N/A,#N/A,FALSE,"Expense Comparison"}</definedName>
    <definedName name="asfdsafsdf" hidden="1">#REF!</definedName>
    <definedName name="ashish" localSheetId="21" hidden="1">{"'Assump'!$F$6:$J$6"}</definedName>
    <definedName name="ashish" localSheetId="22" hidden="1">{"'Assump'!$F$6:$J$6"}</definedName>
    <definedName name="ashish" localSheetId="17" hidden="1">{"'Assump'!$F$6:$J$6"}</definedName>
    <definedName name="ashish" localSheetId="10" hidden="1">{"'Assump'!$F$6:$J$6"}</definedName>
    <definedName name="ashish" hidden="1">{"'Assump'!$F$6:$J$6"}</definedName>
    <definedName name="ass" localSheetId="2" hidden="1">{"print 1.6",#N/A,FALSE,"Sheet1";"print 2.6",#N/A,FALSE,"Sheet1";"print 3.6",#N/A,FALSE,"Sheet1";"print 4.6",#N/A,FALSE,"Sheet1";"print 5.6",#N/A,FALSE,"Sheet1";"print 6.6",#N/A,FALSE,"Sheet1"}</definedName>
    <definedName name="ass" localSheetId="21" hidden="1">{"print 1.6",#N/A,FALSE,"Sheet1";"print 2.6",#N/A,FALSE,"Sheet1";"print 3.6",#N/A,FALSE,"Sheet1";"print 4.6",#N/A,FALSE,"Sheet1";"print 5.6",#N/A,FALSE,"Sheet1";"print 6.6",#N/A,FALSE,"Sheet1"}</definedName>
    <definedName name="ass" localSheetId="22" hidden="1">{"print 1.6",#N/A,FALSE,"Sheet1";"print 2.6",#N/A,FALSE,"Sheet1";"print 3.6",#N/A,FALSE,"Sheet1";"print 4.6",#N/A,FALSE,"Sheet1";"print 5.6",#N/A,FALSE,"Sheet1";"print 6.6",#N/A,FALSE,"Sheet1"}</definedName>
    <definedName name="ass" localSheetId="15" hidden="1">{"print 1.6",#N/A,FALSE,"Sheet1";"print 2.6",#N/A,FALSE,"Sheet1";"print 3.6",#N/A,FALSE,"Sheet1";"print 4.6",#N/A,FALSE,"Sheet1";"print 5.6",#N/A,FALSE,"Sheet1";"print 6.6",#N/A,FALSE,"Sheet1"}</definedName>
    <definedName name="ass" localSheetId="17" hidden="1">{"print 1.6",#N/A,FALSE,"Sheet1";"print 2.6",#N/A,FALSE,"Sheet1";"print 3.6",#N/A,FALSE,"Sheet1";"print 4.6",#N/A,FALSE,"Sheet1";"print 5.6",#N/A,FALSE,"Sheet1";"print 6.6",#N/A,FALSE,"Sheet1"}</definedName>
    <definedName name="ass" localSheetId="10" hidden="1">{"print 1.6",#N/A,FALSE,"Sheet1";"print 2.6",#N/A,FALSE,"Sheet1";"print 3.6",#N/A,FALSE,"Sheet1";"print 4.6",#N/A,FALSE,"Sheet1";"print 5.6",#N/A,FALSE,"Sheet1";"print 6.6",#N/A,FALSE,"Sheet1"}</definedName>
    <definedName name="ass" localSheetId="13" hidden="1">{"print 1.6",#N/A,FALSE,"Sheet1";"print 2.6",#N/A,FALSE,"Sheet1";"print 3.6",#N/A,FALSE,"Sheet1";"print 4.6",#N/A,FALSE,"Sheet1";"print 5.6",#N/A,FALSE,"Sheet1";"print 6.6",#N/A,FALSE,"Sheet1"}</definedName>
    <definedName name="ass" hidden="1">{"print 1.6",#N/A,FALSE,"Sheet1";"print 2.6",#N/A,FALSE,"Sheet1";"print 3.6",#N/A,FALSE,"Sheet1";"print 4.6",#N/A,FALSE,"Sheet1";"print 5.6",#N/A,FALSE,"Sheet1";"print 6.6",#N/A,FALSE,"Sheet1"}</definedName>
    <definedName name="asss" localSheetId="2" hidden="1">{"rtn",#N/A,FALSE,"RTN";"tables",#N/A,FALSE,"RTN";"cf",#N/A,FALSE,"CF";"stats",#N/A,FALSE,"Stats";"prop",#N/A,FALSE,"Prop"}</definedName>
    <definedName name="asss" localSheetId="21" hidden="1">{"rtn",#N/A,FALSE,"RTN";"tables",#N/A,FALSE,"RTN";"cf",#N/A,FALSE,"CF";"stats",#N/A,FALSE,"Stats";"prop",#N/A,FALSE,"Prop"}</definedName>
    <definedName name="asss" localSheetId="22" hidden="1">{"rtn",#N/A,FALSE,"RTN";"tables",#N/A,FALSE,"RTN";"cf",#N/A,FALSE,"CF";"stats",#N/A,FALSE,"Stats";"prop",#N/A,FALSE,"Prop"}</definedName>
    <definedName name="asss" localSheetId="15" hidden="1">{"rtn",#N/A,FALSE,"RTN";"tables",#N/A,FALSE,"RTN";"cf",#N/A,FALSE,"CF";"stats",#N/A,FALSE,"Stats";"prop",#N/A,FALSE,"Prop"}</definedName>
    <definedName name="asss" localSheetId="17" hidden="1">{"rtn",#N/A,FALSE,"RTN";"tables",#N/A,FALSE,"RTN";"cf",#N/A,FALSE,"CF";"stats",#N/A,FALSE,"Stats";"prop",#N/A,FALSE,"Prop"}</definedName>
    <definedName name="asss" localSheetId="10" hidden="1">{"rtn",#N/A,FALSE,"RTN";"tables",#N/A,FALSE,"RTN";"cf",#N/A,FALSE,"CF";"stats",#N/A,FALSE,"Stats";"prop",#N/A,FALSE,"Prop"}</definedName>
    <definedName name="asss" localSheetId="13" hidden="1">{"rtn",#N/A,FALSE,"RTN";"tables",#N/A,FALSE,"RTN";"cf",#N/A,FALSE,"CF";"stats",#N/A,FALSE,"Stats";"prop",#N/A,FALSE,"Prop"}</definedName>
    <definedName name="asss" hidden="1">{"rtn",#N/A,FALSE,"RTN";"tables",#N/A,FALSE,"RTN";"cf",#N/A,FALSE,"CF";"stats",#N/A,FALSE,"Stats";"prop",#N/A,FALSE,"Prop"}</definedName>
    <definedName name="b"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b" localSheetId="2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b" localSheetId="17"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b"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b_Key1" hidden="1">#REF!</definedName>
    <definedName name="b_Key2" hidden="1">#REF!</definedName>
    <definedName name="bb" localSheetId="21" hidden="1">{#N/A,#N/A,FALSE,"Group Fcst";#N/A,#N/A,FALSE,"Group Fcst Variance";#N/A,#N/A,FALSE,"Consolidated";#N/A,#N/A,FALSE,"Subscriber Mktg";#N/A,#N/A,FALSE,"Vendor Mktg";#N/A,#N/A,FALSE,"Corporate";#N/A,#N/A,FALSE,"Finance";#N/A,#N/A,FALSE,"Cust Svc-Legal";#N/A,#N/A,FALSE,"Legal";#N/A,#N/A,FALSE,"Cust Supp";#N/A,#N/A,FALSE,"Logistics";#N/A,#N/A,FALSE,"Service Mgmt";#N/A,#N/A,FALSE,"GlobalFares";#N/A,#N/A,FALSE,"HR";#N/A,#N/A,FALSE,"President";#N/A,#N/A,FALSE,"Information Services";#N/A,#N/A,FALSE,"Systems Dev";#N/A,#N/A,FALSE,"Network Services";#N/A,#N/A,FALSE,"Data Center"}</definedName>
    <definedName name="bb" localSheetId="22" hidden="1">{#N/A,#N/A,FALSE,"Group Fcst";#N/A,#N/A,FALSE,"Group Fcst Variance";#N/A,#N/A,FALSE,"Consolidated";#N/A,#N/A,FALSE,"Subscriber Mktg";#N/A,#N/A,FALSE,"Vendor Mktg";#N/A,#N/A,FALSE,"Corporate";#N/A,#N/A,FALSE,"Finance";#N/A,#N/A,FALSE,"Cust Svc-Legal";#N/A,#N/A,FALSE,"Legal";#N/A,#N/A,FALSE,"Cust Supp";#N/A,#N/A,FALSE,"Logistics";#N/A,#N/A,FALSE,"Service Mgmt";#N/A,#N/A,FALSE,"GlobalFares";#N/A,#N/A,FALSE,"HR";#N/A,#N/A,FALSE,"President";#N/A,#N/A,FALSE,"Information Services";#N/A,#N/A,FALSE,"Systems Dev";#N/A,#N/A,FALSE,"Network Services";#N/A,#N/A,FALSE,"Data Center"}</definedName>
    <definedName name="bb" localSheetId="17" hidden="1">{#N/A,#N/A,FALSE,"Group Fcst";#N/A,#N/A,FALSE,"Group Fcst Variance";#N/A,#N/A,FALSE,"Consolidated";#N/A,#N/A,FALSE,"Subscriber Mktg";#N/A,#N/A,FALSE,"Vendor Mktg";#N/A,#N/A,FALSE,"Corporate";#N/A,#N/A,FALSE,"Finance";#N/A,#N/A,FALSE,"Cust Svc-Legal";#N/A,#N/A,FALSE,"Legal";#N/A,#N/A,FALSE,"Cust Supp";#N/A,#N/A,FALSE,"Logistics";#N/A,#N/A,FALSE,"Service Mgmt";#N/A,#N/A,FALSE,"GlobalFares";#N/A,#N/A,FALSE,"HR";#N/A,#N/A,FALSE,"President";#N/A,#N/A,FALSE,"Information Services";#N/A,#N/A,FALSE,"Systems Dev";#N/A,#N/A,FALSE,"Network Services";#N/A,#N/A,FALSE,"Data Center"}</definedName>
    <definedName name="bb" hidden="1">{#N/A,#N/A,FALSE,"Group Fcst";#N/A,#N/A,FALSE,"Group Fcst Variance";#N/A,#N/A,FALSE,"Consolidated";#N/A,#N/A,FALSE,"Subscriber Mktg";#N/A,#N/A,FALSE,"Vendor Mktg";#N/A,#N/A,FALSE,"Corporate";#N/A,#N/A,FALSE,"Finance";#N/A,#N/A,FALSE,"Cust Svc-Legal";#N/A,#N/A,FALSE,"Legal";#N/A,#N/A,FALSE,"Cust Supp";#N/A,#N/A,FALSE,"Logistics";#N/A,#N/A,FALSE,"Service Mgmt";#N/A,#N/A,FALSE,"GlobalFares";#N/A,#N/A,FALSE,"HR";#N/A,#N/A,FALSE,"President";#N/A,#N/A,FALSE,"Information Services";#N/A,#N/A,FALSE,"Systems Dev";#N/A,#N/A,FALSE,"Network Services";#N/A,#N/A,FALSE,"Data Center"}</definedName>
    <definedName name="beattle" localSheetId="2" hidden="1">{"Full Sheet",#N/A,FALSE,"Expense Comparison"}</definedName>
    <definedName name="beattle" localSheetId="21" hidden="1">{"Full Sheet",#N/A,FALSE,"Expense Comparison"}</definedName>
    <definedName name="beattle" localSheetId="22" hidden="1">{"Full Sheet",#N/A,FALSE,"Expense Comparison"}</definedName>
    <definedName name="beattle" localSheetId="15" hidden="1">{"Full Sheet",#N/A,FALSE,"Expense Comparison"}</definedName>
    <definedName name="beattle" localSheetId="17" hidden="1">{"Full Sheet",#N/A,FALSE,"Expense Comparison"}</definedName>
    <definedName name="beattle" localSheetId="10" hidden="1">{"Full Sheet",#N/A,FALSE,"Expense Comparison"}</definedName>
    <definedName name="beattle" localSheetId="13" hidden="1">{"Full Sheet",#N/A,FALSE,"Expense Comparison"}</definedName>
    <definedName name="beattle" hidden="1">{"Full Sheet",#N/A,FALSE,"Expense Comparison"}</definedName>
    <definedName name="BLPH1" hidden="1">#REF!</definedName>
    <definedName name="BLPH10" localSheetId="4" hidden="1">#REF!</definedName>
    <definedName name="BLPH10" localSheetId="5" hidden="1">#REF!</definedName>
    <definedName name="BLPH10" localSheetId="20" hidden="1">#REF!</definedName>
    <definedName name="BLPH10" localSheetId="2" hidden="1">#REF!</definedName>
    <definedName name="BLPH10" localSheetId="21" hidden="1">#REF!</definedName>
    <definedName name="BLPH10" localSheetId="19" hidden="1">#REF!</definedName>
    <definedName name="BLPH10" localSheetId="22" hidden="1">#REF!</definedName>
    <definedName name="BLPH10" localSheetId="7" hidden="1">#REF!</definedName>
    <definedName name="BLPH10" localSheetId="8" hidden="1">#REF!</definedName>
    <definedName name="BLPH10" localSheetId="10" hidden="1">#REF!</definedName>
    <definedName name="BLPH10" localSheetId="13" hidden="1">#REF!</definedName>
    <definedName name="BLPH10" hidden="1">#REF!</definedName>
    <definedName name="BLPH11" localSheetId="4" hidden="1">#REF!</definedName>
    <definedName name="BLPH11" localSheetId="5" hidden="1">#REF!</definedName>
    <definedName name="BLPH11" localSheetId="20" hidden="1">#REF!</definedName>
    <definedName name="BLPH11" localSheetId="2" hidden="1">#REF!</definedName>
    <definedName name="BLPH11" localSheetId="21" hidden="1">#REF!</definedName>
    <definedName name="BLPH11" localSheetId="19" hidden="1">#REF!</definedName>
    <definedName name="BLPH11" localSheetId="22" hidden="1">#REF!</definedName>
    <definedName name="BLPH11" localSheetId="7" hidden="1">#REF!</definedName>
    <definedName name="BLPH11" localSheetId="8" hidden="1">#REF!</definedName>
    <definedName name="BLPH11" localSheetId="10" hidden="1">#REF!</definedName>
    <definedName name="BLPH11" hidden="1">#REF!</definedName>
    <definedName name="BLPH12" localSheetId="4" hidden="1">#REF!</definedName>
    <definedName name="BLPH12" localSheetId="5" hidden="1">#REF!</definedName>
    <definedName name="BLPH12" localSheetId="20" hidden="1">#REF!</definedName>
    <definedName name="BLPH12" localSheetId="2" hidden="1">#REF!</definedName>
    <definedName name="BLPH12" localSheetId="21" hidden="1">#REF!</definedName>
    <definedName name="BLPH12" localSheetId="19" hidden="1">#REF!</definedName>
    <definedName name="BLPH12" localSheetId="22" hidden="1">#REF!</definedName>
    <definedName name="BLPH12" localSheetId="7" hidden="1">#REF!</definedName>
    <definedName name="BLPH12" localSheetId="8" hidden="1">#REF!</definedName>
    <definedName name="BLPH12" localSheetId="10" hidden="1">#REF!</definedName>
    <definedName name="BLPH12" hidden="1">#REF!</definedName>
    <definedName name="BLPH2" hidden="1">#REF!</definedName>
    <definedName name="BLPH3" localSheetId="4" hidden="1">#REF!</definedName>
    <definedName name="BLPH3" localSheetId="5" hidden="1">#REF!</definedName>
    <definedName name="BLPH3" localSheetId="20" hidden="1">#REF!</definedName>
    <definedName name="BLPH3" localSheetId="2" hidden="1">#REF!</definedName>
    <definedName name="BLPH3" localSheetId="21" hidden="1">#REF!</definedName>
    <definedName name="BLPH3" localSheetId="19" hidden="1">#REF!</definedName>
    <definedName name="BLPH3" localSheetId="22" hidden="1">#REF!</definedName>
    <definedName name="BLPH3" localSheetId="7" hidden="1">#REF!</definedName>
    <definedName name="BLPH3" localSheetId="8" hidden="1">#REF!</definedName>
    <definedName name="BLPH3" localSheetId="10" hidden="1">#REF!</definedName>
    <definedName name="BLPH3" localSheetId="13" hidden="1">#REF!</definedName>
    <definedName name="BLPH3" hidden="1">#REF!</definedName>
    <definedName name="BLPH4" localSheetId="4" hidden="1">#REF!</definedName>
    <definedName name="BLPH4" localSheetId="5" hidden="1">#REF!</definedName>
    <definedName name="BLPH4" localSheetId="20" hidden="1">#REF!</definedName>
    <definedName name="BLPH4" localSheetId="2" hidden="1">#REF!</definedName>
    <definedName name="BLPH4" localSheetId="21" hidden="1">#REF!</definedName>
    <definedName name="BLPH4" localSheetId="19" hidden="1">#REF!</definedName>
    <definedName name="BLPH4" localSheetId="22" hidden="1">#REF!</definedName>
    <definedName name="BLPH4" localSheetId="7" hidden="1">#REF!</definedName>
    <definedName name="BLPH4" localSheetId="8" hidden="1">#REF!</definedName>
    <definedName name="BLPH4" localSheetId="10" hidden="1">#REF!</definedName>
    <definedName name="BLPH4" hidden="1">#REF!</definedName>
    <definedName name="BLPH5" localSheetId="4" hidden="1">#REF!</definedName>
    <definedName name="BLPH5" localSheetId="5" hidden="1">#REF!</definedName>
    <definedName name="BLPH5" localSheetId="20" hidden="1">#REF!</definedName>
    <definedName name="BLPH5" localSheetId="2" hidden="1">#REF!</definedName>
    <definedName name="BLPH5" localSheetId="21" hidden="1">#REF!</definedName>
    <definedName name="BLPH5" localSheetId="19" hidden="1">#REF!</definedName>
    <definedName name="BLPH5" localSheetId="22" hidden="1">#REF!</definedName>
    <definedName name="BLPH5" localSheetId="7" hidden="1">#REF!</definedName>
    <definedName name="BLPH5" localSheetId="8" hidden="1">#REF!</definedName>
    <definedName name="BLPH5" localSheetId="10" hidden="1">#REF!</definedName>
    <definedName name="BLPH5" hidden="1">#REF!</definedName>
    <definedName name="BLPH6" localSheetId="4" hidden="1">#REF!</definedName>
    <definedName name="BLPH6" localSheetId="5" hidden="1">#REF!</definedName>
    <definedName name="BLPH6" localSheetId="20" hidden="1">#REF!</definedName>
    <definedName name="BLPH6" localSheetId="2" hidden="1">#REF!</definedName>
    <definedName name="BLPH6" localSheetId="21" hidden="1">#REF!</definedName>
    <definedName name="BLPH6" localSheetId="19" hidden="1">#REF!</definedName>
    <definedName name="BLPH6" localSheetId="22" hidden="1">#REF!</definedName>
    <definedName name="BLPH6" localSheetId="7" hidden="1">#REF!</definedName>
    <definedName name="BLPH6" localSheetId="8" hidden="1">#REF!</definedName>
    <definedName name="BLPH6" localSheetId="10" hidden="1">#REF!</definedName>
    <definedName name="BLPH6" hidden="1">#REF!</definedName>
    <definedName name="BLPH7" localSheetId="4" hidden="1">#REF!</definedName>
    <definedName name="BLPH7" localSheetId="5" hidden="1">#REF!</definedName>
    <definedName name="BLPH7" localSheetId="20" hidden="1">#REF!</definedName>
    <definedName name="BLPH7" localSheetId="2" hidden="1">#REF!</definedName>
    <definedName name="BLPH7" localSheetId="21" hidden="1">#REF!</definedName>
    <definedName name="BLPH7" localSheetId="19" hidden="1">#REF!</definedName>
    <definedName name="BLPH7" localSheetId="22" hidden="1">#REF!</definedName>
    <definedName name="BLPH7" localSheetId="7" hidden="1">#REF!</definedName>
    <definedName name="BLPH7" localSheetId="8" hidden="1">#REF!</definedName>
    <definedName name="BLPH7" localSheetId="10" hidden="1">#REF!</definedName>
    <definedName name="BLPH7" hidden="1">#REF!</definedName>
    <definedName name="BLPH8" localSheetId="4" hidden="1">#REF!</definedName>
    <definedName name="BLPH8" localSheetId="5" hidden="1">#REF!</definedName>
    <definedName name="BLPH8" localSheetId="20" hidden="1">#REF!</definedName>
    <definedName name="BLPH8" localSheetId="2" hidden="1">#REF!</definedName>
    <definedName name="BLPH8" localSheetId="21" hidden="1">#REF!</definedName>
    <definedName name="BLPH8" localSheetId="19" hidden="1">#REF!</definedName>
    <definedName name="BLPH8" localSheetId="22" hidden="1">#REF!</definedName>
    <definedName name="BLPH8" localSheetId="7" hidden="1">#REF!</definedName>
    <definedName name="BLPH8" localSheetId="8" hidden="1">#REF!</definedName>
    <definedName name="BLPH8" localSheetId="10" hidden="1">#REF!</definedName>
    <definedName name="BLPH8" hidden="1">#REF!</definedName>
    <definedName name="BLPH9" localSheetId="4" hidden="1">#REF!</definedName>
    <definedName name="BLPH9" localSheetId="5" hidden="1">#REF!</definedName>
    <definedName name="BLPH9" localSheetId="20" hidden="1">#REF!</definedName>
    <definedName name="BLPH9" localSheetId="2" hidden="1">#REF!</definedName>
    <definedName name="BLPH9" localSheetId="21" hidden="1">#REF!</definedName>
    <definedName name="BLPH9" localSheetId="19" hidden="1">#REF!</definedName>
    <definedName name="BLPH9" localSheetId="22" hidden="1">#REF!</definedName>
    <definedName name="BLPH9" localSheetId="7" hidden="1">#REF!</definedName>
    <definedName name="BLPH9" localSheetId="8" hidden="1">#REF!</definedName>
    <definedName name="BLPH9" localSheetId="10" hidden="1">#REF!</definedName>
    <definedName name="BLPH9" hidden="1">#REF!</definedName>
    <definedName name="BridgeAm" localSheetId="18">'Clean UW'!#REF!</definedName>
    <definedName name="BridgeAm">'Debt Sizing'!$N$62</definedName>
    <definedName name="BridgeDebtService" localSheetId="18">'Clean UW'!#REF!</definedName>
    <definedName name="BridgeDebtService">'Debt Sizing'!$N$67</definedName>
    <definedName name="BridgeDSCR" localSheetId="18">'Clean UW'!#REF!</definedName>
    <definedName name="BridgeDSCR">'Debt Sizing'!$N$69</definedName>
    <definedName name="BridgeDSCRIO" localSheetId="18">'Clean UW'!#REF!</definedName>
    <definedName name="BridgeDSCRIO">'Debt Sizing'!$N$70</definedName>
    <definedName name="BridgeLoan" localSheetId="18">'Clean UW'!#REF!</definedName>
    <definedName name="BridgeLoan">'Debt Sizing'!$N$58</definedName>
    <definedName name="BridgeLTV" localSheetId="18">'Clean UW'!#REF!</definedName>
    <definedName name="BridgeLTV">'Debt Sizing'!$N$59</definedName>
    <definedName name="BridgeNOI" localSheetId="18">'Clean UW'!#REF!</definedName>
    <definedName name="BridgeNOI">'Debt Sizing'!$N$44</definedName>
    <definedName name="BridgePrefAm" localSheetId="18">'Clean UW'!#REF!</definedName>
    <definedName name="BridgePrefAm">'Debt Sizing'!$N$94</definedName>
    <definedName name="BridgePrefAmt" localSheetId="18">'Clean UW'!#REF!</definedName>
    <definedName name="BridgePrefAmt">'Debt Sizing'!$N$90</definedName>
    <definedName name="BridgePrefConstant" localSheetId="18">'Clean UW'!#REF!</definedName>
    <definedName name="BridgePrefConstant">'Debt Sizing'!$N$96</definedName>
    <definedName name="BridgePrefDSCR" localSheetId="18">'Clean UW'!#REF!</definedName>
    <definedName name="BridgePrefDSCR">'Debt Sizing'!$N$99</definedName>
    <definedName name="BridgePrefRate" localSheetId="18">'Clean UW'!#REF!</definedName>
    <definedName name="BridgePrefRate">'Debt Sizing'!$N$95</definedName>
    <definedName name="BridgeRate" localSheetId="18">'Clean UW'!#REF!</definedName>
    <definedName name="BridgeRate">'Debt Sizing'!$N$65</definedName>
    <definedName name="CadRate">0.65</definedName>
    <definedName name="cap_1" localSheetId="4">#REF!</definedName>
    <definedName name="cap_1" localSheetId="5">#REF!</definedName>
    <definedName name="cfnetoperatingincome">'[1]Cash Flow'!$D$60</definedName>
    <definedName name="cico" localSheetId="4" hidden="1">'Amo Schedule - Refi'!#REF!</definedName>
    <definedName name="cico" localSheetId="5" hidden="1">'Amo Schedule - Supplemental'!#REF!</definedName>
    <definedName name="cico" localSheetId="20" hidden="1">'Annual Summary'!#REF!</definedName>
    <definedName name="cico" localSheetId="2" hidden="1">'Inputs and Assumptions'!#REF!</definedName>
    <definedName name="cico" localSheetId="21" hidden="1">'JV Waterfall'!#REF!</definedName>
    <definedName name="cico" localSheetId="19" hidden="1">'Monthly Cash Flow'!#REF!</definedName>
    <definedName name="cico" localSheetId="22" hidden="1">'Pure Promote Waterfall'!#REF!</definedName>
    <definedName name="cico" localSheetId="15" hidden="1">'Quote Sheet'!#REF!</definedName>
    <definedName name="cico" localSheetId="17" hidden="1">'Quote Sheet 2'!#REF!</definedName>
    <definedName name="cico" localSheetId="7" hidden="1">'RRT Summary (Paste)'!#REF!</definedName>
    <definedName name="cico" localSheetId="8" hidden="1">'RRT Unit Mix (Paste)'!#REF!</definedName>
    <definedName name="cico" localSheetId="10" hidden="1">'Sponsor Pro Forma'!#REF!</definedName>
    <definedName name="cico" hidden="1">#REF!</definedName>
    <definedName name="construction" localSheetId="2" hidden="1">{"Construction Costs",#N/A,FALSE,"Total Costs"}</definedName>
    <definedName name="construction" localSheetId="21" hidden="1">{"Construction Costs",#N/A,FALSE,"Total Costs"}</definedName>
    <definedName name="construction" localSheetId="22" hidden="1">{"Construction Costs",#N/A,FALSE,"Total Costs"}</definedName>
    <definedName name="construction" localSheetId="15" hidden="1">{"Construction Costs",#N/A,FALSE,"Total Costs"}</definedName>
    <definedName name="construction" localSheetId="17" hidden="1">{"Construction Costs",#N/A,FALSE,"Total Costs"}</definedName>
    <definedName name="construction" localSheetId="10" hidden="1">{"Construction Costs",#N/A,FALSE,"Total Costs"}</definedName>
    <definedName name="construction" localSheetId="13" hidden="1">{"Construction Costs",#N/A,FALSE,"Total Costs"}</definedName>
    <definedName name="construction" hidden="1">{"Construction Costs",#N/A,FALSE,"Total Costs"}</definedName>
    <definedName name="COO" localSheetId="21" hidden="1">{#N/A,#N/A,FALSE,"Matrix";#N/A,#N/A,FALSE,"Cash Flow";#N/A,#N/A,FALSE,"10 Year Cost Analysis"}</definedName>
    <definedName name="COO" localSheetId="22" hidden="1">{#N/A,#N/A,FALSE,"Matrix";#N/A,#N/A,FALSE,"Cash Flow";#N/A,#N/A,FALSE,"10 Year Cost Analysis"}</definedName>
    <definedName name="COO" localSheetId="17" hidden="1">{#N/A,#N/A,FALSE,"Matrix";#N/A,#N/A,FALSE,"Cash Flow";#N/A,#N/A,FALSE,"10 Year Cost Analysis"}</definedName>
    <definedName name="COO" localSheetId="10" hidden="1">{#N/A,#N/A,FALSE,"Matrix";#N/A,#N/A,FALSE,"Cash Flow";#N/A,#N/A,FALSE,"10 Year Cost Analysis"}</definedName>
    <definedName name="COO" hidden="1">{#N/A,#N/A,FALSE,"Matrix";#N/A,#N/A,FALSE,"Cash Flow";#N/A,#N/A,FALSE,"10 Year Cost Analysis"}</definedName>
    <definedName name="Cottage" localSheetId="2" hidden="1">{"cot1",#N/A,FALSE,"Cottages";"cot2",#N/A,FALSE,"Cottages";"cot3",#N/A,FALSE,"Cottages"}</definedName>
    <definedName name="Cottage" localSheetId="21" hidden="1">{"cot1",#N/A,FALSE,"Cottages";"cot2",#N/A,FALSE,"Cottages";"cot3",#N/A,FALSE,"Cottages"}</definedName>
    <definedName name="Cottage" localSheetId="22" hidden="1">{"cot1",#N/A,FALSE,"Cottages";"cot2",#N/A,FALSE,"Cottages";"cot3",#N/A,FALSE,"Cottages"}</definedName>
    <definedName name="Cottage" localSheetId="15" hidden="1">{"cot1",#N/A,FALSE,"Cottages";"cot2",#N/A,FALSE,"Cottages";"cot3",#N/A,FALSE,"Cottages"}</definedName>
    <definedName name="Cottage" localSheetId="17" hidden="1">{"cot1",#N/A,FALSE,"Cottages";"cot2",#N/A,FALSE,"Cottages";"cot3",#N/A,FALSE,"Cottages"}</definedName>
    <definedName name="Cottage" localSheetId="10" hidden="1">{"cot1",#N/A,FALSE,"Cottages";"cot2",#N/A,FALSE,"Cottages";"cot3",#N/A,FALSE,"Cottages"}</definedName>
    <definedName name="Cottage" localSheetId="13" hidden="1">{"cot1",#N/A,FALSE,"Cottages";"cot2",#N/A,FALSE,"Cottages";"cot3",#N/A,FALSE,"Cottages"}</definedName>
    <definedName name="Cottage" hidden="1">{"cot1",#N/A,FALSE,"Cottages";"cot2",#N/A,FALSE,"Cottages";"cot3",#N/A,FALSE,"Cottages"}</definedName>
    <definedName name="cvb" localSheetId="2" hidden="1">{"toc1",#N/A,FALSE,"TOC";"cover",#N/A,FALSE,"Cover";"ts1",#N/A,FALSE,"Transaction Summary";"ei3",#N/A,FALSE,"Earnings Impact";"ad3",#N/A,FALSE,"accretion dilution"}</definedName>
    <definedName name="cvb" localSheetId="21" hidden="1">{"toc1",#N/A,FALSE,"TOC";"cover",#N/A,FALSE,"Cover";"ts1",#N/A,FALSE,"Transaction Summary";"ei3",#N/A,FALSE,"Earnings Impact";"ad3",#N/A,FALSE,"accretion dilution"}</definedName>
    <definedName name="cvb" localSheetId="22" hidden="1">{"toc1",#N/A,FALSE,"TOC";"cover",#N/A,FALSE,"Cover";"ts1",#N/A,FALSE,"Transaction Summary";"ei3",#N/A,FALSE,"Earnings Impact";"ad3",#N/A,FALSE,"accretion dilution"}</definedName>
    <definedName name="cvb" localSheetId="15" hidden="1">{"toc1",#N/A,FALSE,"TOC";"cover",#N/A,FALSE,"Cover";"ts1",#N/A,FALSE,"Transaction Summary";"ei3",#N/A,FALSE,"Earnings Impact";"ad3",#N/A,FALSE,"accretion dilution"}</definedName>
    <definedName name="cvb" localSheetId="17" hidden="1">{"toc1",#N/A,FALSE,"TOC";"cover",#N/A,FALSE,"Cover";"ts1",#N/A,FALSE,"Transaction Summary";"ei3",#N/A,FALSE,"Earnings Impact";"ad3",#N/A,FALSE,"accretion dilution"}</definedName>
    <definedName name="cvb" localSheetId="10" hidden="1">{"toc1",#N/A,FALSE,"TOC";"cover",#N/A,FALSE,"Cover";"ts1",#N/A,FALSE,"Transaction Summary";"ei3",#N/A,FALSE,"Earnings Impact";"ad3",#N/A,FALSE,"accretion dilution"}</definedName>
    <definedName name="cvb" localSheetId="13" hidden="1">{"toc1",#N/A,FALSE,"TOC";"cover",#N/A,FALSE,"Cover";"ts1",#N/A,FALSE,"Transaction Summary";"ei3",#N/A,FALSE,"Earnings Impact";"ad3",#N/A,FALSE,"accretion dilution"}</definedName>
    <definedName name="cvb" hidden="1">{"toc1",#N/A,FALSE,"TOC";"cover",#N/A,FALSE,"Cover";"ts1",#N/A,FALSE,"Transaction Summary";"ei3",#N/A,FALSE,"Earnings Impact";"ad3",#N/A,FALSE,"accretion dilution"}</definedName>
    <definedName name="cxz" localSheetId="2" hidden="1">{"cover",#N/A,TRUE,"Cover";"toc6",#N/A,TRUE,"TOC";"over",#N/A,TRUE,"Overview";"ts2",#N/A,TRUE,"Det_Trans_Sum";"ei",#N/A,TRUE,"Earnings Impact";"ad",#N/A,TRUE,"accretion dilution";"hg",#N/A,TRUE,"Has-Gets";"pfis",#N/A,TRUE,"Pro Forma Income Statement";"ca",#N/A,TRUE,"Contribution_Analysis";"acq",#N/A,TRUE,"Acquirer";"tar",#N/A,TRUE,"Target"}</definedName>
    <definedName name="cxz" localSheetId="21" hidden="1">{"cover",#N/A,TRUE,"Cover";"toc6",#N/A,TRUE,"TOC";"over",#N/A,TRUE,"Overview";"ts2",#N/A,TRUE,"Det_Trans_Sum";"ei",#N/A,TRUE,"Earnings Impact";"ad",#N/A,TRUE,"accretion dilution";"hg",#N/A,TRUE,"Has-Gets";"pfis",#N/A,TRUE,"Pro Forma Income Statement";"ca",#N/A,TRUE,"Contribution_Analysis";"acq",#N/A,TRUE,"Acquirer";"tar",#N/A,TRUE,"Target"}</definedName>
    <definedName name="cxz" localSheetId="22" hidden="1">{"cover",#N/A,TRUE,"Cover";"toc6",#N/A,TRUE,"TOC";"over",#N/A,TRUE,"Overview";"ts2",#N/A,TRUE,"Det_Trans_Sum";"ei",#N/A,TRUE,"Earnings Impact";"ad",#N/A,TRUE,"accretion dilution";"hg",#N/A,TRUE,"Has-Gets";"pfis",#N/A,TRUE,"Pro Forma Income Statement";"ca",#N/A,TRUE,"Contribution_Analysis";"acq",#N/A,TRUE,"Acquirer";"tar",#N/A,TRUE,"Target"}</definedName>
    <definedName name="cxz" localSheetId="15" hidden="1">{"cover",#N/A,TRUE,"Cover";"toc6",#N/A,TRUE,"TOC";"over",#N/A,TRUE,"Overview";"ts2",#N/A,TRUE,"Det_Trans_Sum";"ei",#N/A,TRUE,"Earnings Impact";"ad",#N/A,TRUE,"accretion dilution";"hg",#N/A,TRUE,"Has-Gets";"pfis",#N/A,TRUE,"Pro Forma Income Statement";"ca",#N/A,TRUE,"Contribution_Analysis";"acq",#N/A,TRUE,"Acquirer";"tar",#N/A,TRUE,"Target"}</definedName>
    <definedName name="cxz" localSheetId="17" hidden="1">{"cover",#N/A,TRUE,"Cover";"toc6",#N/A,TRUE,"TOC";"over",#N/A,TRUE,"Overview";"ts2",#N/A,TRUE,"Det_Trans_Sum";"ei",#N/A,TRUE,"Earnings Impact";"ad",#N/A,TRUE,"accretion dilution";"hg",#N/A,TRUE,"Has-Gets";"pfis",#N/A,TRUE,"Pro Forma Income Statement";"ca",#N/A,TRUE,"Contribution_Analysis";"acq",#N/A,TRUE,"Acquirer";"tar",#N/A,TRUE,"Target"}</definedName>
    <definedName name="cxz" localSheetId="10" hidden="1">{"cover",#N/A,TRUE,"Cover";"toc6",#N/A,TRUE,"TOC";"over",#N/A,TRUE,"Overview";"ts2",#N/A,TRUE,"Det_Trans_Sum";"ei",#N/A,TRUE,"Earnings Impact";"ad",#N/A,TRUE,"accretion dilution";"hg",#N/A,TRUE,"Has-Gets";"pfis",#N/A,TRUE,"Pro Forma Income Statement";"ca",#N/A,TRUE,"Contribution_Analysis";"acq",#N/A,TRUE,"Acquirer";"tar",#N/A,TRUE,"Target"}</definedName>
    <definedName name="cxz" localSheetId="13" hidden="1">{"cover",#N/A,TRUE,"Cover";"toc6",#N/A,TRUE,"TOC";"over",#N/A,TRUE,"Overview";"ts2",#N/A,TRUE,"Det_Trans_Sum";"ei",#N/A,TRUE,"Earnings Impact";"ad",#N/A,TRUE,"accretion dilution";"hg",#N/A,TRUE,"Has-Gets";"pfis",#N/A,TRUE,"Pro Forma Income Statement";"ca",#N/A,TRUE,"Contribution_Analysis";"acq",#N/A,TRUE,"Acquirer";"tar",#N/A,TRUE,"Target"}</definedName>
    <definedName name="cxz" hidden="1">{"cover",#N/A,TRUE,"Cover";"toc6",#N/A,TRUE,"TOC";"over",#N/A,TRUE,"Overview";"ts2",#N/A,TRUE,"Det_Trans_Sum";"ei",#N/A,TRUE,"Earnings Impact";"ad",#N/A,TRUE,"accretion dilution";"hg",#N/A,TRUE,"Has-Gets";"pfis",#N/A,TRUE,"Pro Forma Income Statement";"ca",#N/A,TRUE,"Contribution_Analysis";"acq",#N/A,TRUE,"Acquirer";"tar",#N/A,TRUE,"Target"}</definedName>
    <definedName name="dallas" localSheetId="4">#REF!</definedName>
    <definedName name="dallas" localSheetId="5">#REF!</definedName>
    <definedName name="DATA_01" localSheetId="4" hidden="1">#REF!</definedName>
    <definedName name="DATA_01" localSheetId="5" hidden="1">#REF!</definedName>
    <definedName name="DATA_01" localSheetId="20" hidden="1">#REF!</definedName>
    <definedName name="DATA_01" localSheetId="2" hidden="1">#REF!</definedName>
    <definedName name="DATA_01" localSheetId="21" hidden="1">#REF!</definedName>
    <definedName name="DATA_01" localSheetId="19" hidden="1">#REF!</definedName>
    <definedName name="DATA_01" localSheetId="22" hidden="1">#REF!</definedName>
    <definedName name="DATA_01" localSheetId="7" hidden="1">#REF!</definedName>
    <definedName name="DATA_01" localSheetId="8" hidden="1">#REF!</definedName>
    <definedName name="DATA_01" localSheetId="10" hidden="1">#REF!</definedName>
    <definedName name="DATA_01" hidden="1">#REF!</definedName>
    <definedName name="dBase_Index">[1]Debt!$Q$5:$T$5</definedName>
    <definedName name="dddddd" localSheetId="21" hidden="1">{#N/A,#N/A,FALSE,"CAPREIT"}</definedName>
    <definedName name="dddddd" localSheetId="11" hidden="1">{#N/A,#N/A,FALSE,"CAPREIT"}</definedName>
    <definedName name="dddddd" localSheetId="22" hidden="1">{#N/A,#N/A,FALSE,"CAPREIT"}</definedName>
    <definedName name="dddddd" localSheetId="17" hidden="1">{#N/A,#N/A,FALSE,"CAPREIT"}</definedName>
    <definedName name="dddddd" localSheetId="10" hidden="1">{#N/A,#N/A,FALSE,"CAPREIT"}</definedName>
    <definedName name="dddddd" hidden="1">{#N/A,#N/A,FALSE,"CAPREIT"}</definedName>
    <definedName name="ddddddd" localSheetId="21" hidden="1">{#N/A,#N/A,FALSE,"CAPREIT"}</definedName>
    <definedName name="ddddddd" localSheetId="11" hidden="1">{#N/A,#N/A,FALSE,"CAPREIT"}</definedName>
    <definedName name="ddddddd" localSheetId="22" hidden="1">{#N/A,#N/A,FALSE,"CAPREIT"}</definedName>
    <definedName name="ddddddd" localSheetId="17" hidden="1">{#N/A,#N/A,FALSE,"CAPREIT"}</definedName>
    <definedName name="ddddddd" localSheetId="10" hidden="1">{#N/A,#N/A,FALSE,"CAPREIT"}</definedName>
    <definedName name="ddddddd" hidden="1">{#N/A,#N/A,FALSE,"CAPREIT"}</definedName>
    <definedName name="DealUnits" hidden="1">#REF!</definedName>
    <definedName name="debt" localSheetId="4">#REF!</definedName>
    <definedName name="debt" localSheetId="5">#REF!</definedName>
    <definedName name="Debt_Calc1_Amort" hidden="1">#REF!</definedName>
    <definedName name="Debt_Calc1_CapExEnd" hidden="1">#REF!</definedName>
    <definedName name="Debt_Calc1_End" hidden="1">#REF!</definedName>
    <definedName name="Debt_Calc1_InitialBalance" hidden="1">#REF!</definedName>
    <definedName name="Debt_Calc1_IsPrepaid" hidden="1">#REF!</definedName>
    <definedName name="Debt_Calc1_Start" hidden="1">#REF!</definedName>
    <definedName name="Debt_CalcType2" hidden="1">#REF!</definedName>
    <definedName name="Debt_CalcType3" hidden="1">#REF!</definedName>
    <definedName name="Debt_CalcType4" hidden="1">#REF!</definedName>
    <definedName name="Debt_CalcType5" hidden="1">#REF!</definedName>
    <definedName name="Debt_CalcTypes" hidden="1">#REF!</definedName>
    <definedName name="Debt_FundTypes" hidden="1">#REF!</definedName>
    <definedName name="Debt_Label1_Amort" hidden="1">#REF!</definedName>
    <definedName name="Debt_Label1_Amount" hidden="1">#REF!</definedName>
    <definedName name="Debt_Label1_InitialRate" hidden="1">#REF!</definedName>
    <definedName name="Debt_Label1_IO" hidden="1">#REF!</definedName>
    <definedName name="Debt_Label1_Maturity" hidden="1">#REF!</definedName>
    <definedName name="Debt_Label1_Percent" hidden="1">#REF!</definedName>
    <definedName name="Debt_Label1_Term" hidden="1">#REF!</definedName>
    <definedName name="Debt_Label1_Value" hidden="1">#REF!</definedName>
    <definedName name="Debt_LoanType1" hidden="1">#REF!</definedName>
    <definedName name="Debt_LoanType2" hidden="1">#REF!</definedName>
    <definedName name="Debt_LoanTypes" hidden="1">#REF!</definedName>
    <definedName name="DEBT_PaymentType5" hidden="1">#REF!</definedName>
    <definedName name="DEBT_PaymentTypes" hidden="1">#REF!</definedName>
    <definedName name="Debt_Show1_Amort" hidden="1">#REF!</definedName>
    <definedName name="Debt_Show1_Amount" hidden="1">#REF!</definedName>
    <definedName name="Debt_Show1_CapEx" hidden="1">#REF!</definedName>
    <definedName name="Debt_Show1_FundDate" hidden="1">#REF!</definedName>
    <definedName name="Debt_Show1_FundMethod" hidden="1">#REF!</definedName>
    <definedName name="Debt_Show1_FundPercent" hidden="1">#REF!</definedName>
    <definedName name="Debt_Show1_FundPoints" hidden="1">#REF!</definedName>
    <definedName name="Debt_Show1_Loan" hidden="1">#REF!</definedName>
    <definedName name="Debt_Show1_Rate" hidden="1">#REF!</definedName>
    <definedName name="Debt_Show1_Spread" hidden="1">#REF!</definedName>
    <definedName name="Debt_SubordinationTypes" hidden="1">#REF!</definedName>
    <definedName name="Debt_YesNo" hidden="1">#REF!</definedName>
    <definedName name="DELME" localSheetId="21" hidden="1">{#N/A,#N/A,FALSE,"A";#N/A,#N/A,FALSE,"C"}</definedName>
    <definedName name="DELME" localSheetId="22" hidden="1">{#N/A,#N/A,FALSE,"A";#N/A,#N/A,FALSE,"C"}</definedName>
    <definedName name="DELME" localSheetId="17" hidden="1">{#N/A,#N/A,FALSE,"A";#N/A,#N/A,FALSE,"C"}</definedName>
    <definedName name="DELME" localSheetId="10" hidden="1">{#N/A,#N/A,FALSE,"A";#N/A,#N/A,FALSE,"C"}</definedName>
    <definedName name="DELME" hidden="1">{#N/A,#N/A,FALSE,"A";#N/A,#N/A,FALSE,"C"}</definedName>
    <definedName name="DELME_condo" localSheetId="21" hidden="1">{#N/A,#N/A,FALSE,"A";#N/A,#N/A,FALSE,"C"}</definedName>
    <definedName name="DELME_condo" localSheetId="22" hidden="1">{#N/A,#N/A,FALSE,"A";#N/A,#N/A,FALSE,"C"}</definedName>
    <definedName name="DELME_condo" localSheetId="17" hidden="1">{#N/A,#N/A,FALSE,"A";#N/A,#N/A,FALSE,"C"}</definedName>
    <definedName name="DELME_condo" localSheetId="10" hidden="1">{#N/A,#N/A,FALSE,"A";#N/A,#N/A,FALSE,"C"}</definedName>
    <definedName name="DELME_condo" hidden="1">{#N/A,#N/A,FALSE,"A";#N/A,#N/A,FALSE,"C"}</definedName>
    <definedName name="DELME2" localSheetId="21"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DELME2" localSheetId="22"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DELME2" localSheetId="17"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DELME2" localSheetId="10"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DELME2"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DELME2_Condo" localSheetId="21"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DELME2_Condo" localSheetId="22"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DELME2_Condo" localSheetId="17"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DELME2_Condo" localSheetId="10"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DELME2_Condo"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DELME3" localSheetId="21" hidden="1">{#N/A,#N/A,FALSE,"Common Area Accrual";#N/A,#N/A,FALSE,"Unit One LaSalle";#N/A,#N/A,FALSE,"Unit One CW";#N/A,#N/A,FALSE,"Unit One LaSallle + C &amp; W";#N/A,#N/A,FALSE,"Consolidated Accrual"}</definedName>
    <definedName name="DELME3" localSheetId="22" hidden="1">{#N/A,#N/A,FALSE,"Common Area Accrual";#N/A,#N/A,FALSE,"Unit One LaSalle";#N/A,#N/A,FALSE,"Unit One CW";#N/A,#N/A,FALSE,"Unit One LaSallle + C &amp; W";#N/A,#N/A,FALSE,"Consolidated Accrual"}</definedName>
    <definedName name="DELME3" localSheetId="17" hidden="1">{#N/A,#N/A,FALSE,"Common Area Accrual";#N/A,#N/A,FALSE,"Unit One LaSalle";#N/A,#N/A,FALSE,"Unit One CW";#N/A,#N/A,FALSE,"Unit One LaSallle + C &amp; W";#N/A,#N/A,FALSE,"Consolidated Accrual"}</definedName>
    <definedName name="DELME3" localSheetId="10" hidden="1">{#N/A,#N/A,FALSE,"Common Area Accrual";#N/A,#N/A,FALSE,"Unit One LaSalle";#N/A,#N/A,FALSE,"Unit One CW";#N/A,#N/A,FALSE,"Unit One LaSallle + C &amp; W";#N/A,#N/A,FALSE,"Consolidated Accrual"}</definedName>
    <definedName name="DELME3" hidden="1">{#N/A,#N/A,FALSE,"Common Area Accrual";#N/A,#N/A,FALSE,"Unit One LaSalle";#N/A,#N/A,FALSE,"Unit One CW";#N/A,#N/A,FALSE,"Unit One LaSallle + C &amp; W";#N/A,#N/A,FALSE,"Consolidated Accrual"}</definedName>
    <definedName name="DELME3_Condo" localSheetId="21" hidden="1">{#N/A,#N/A,FALSE,"Common Area Accrual";#N/A,#N/A,FALSE,"Unit One LaSalle";#N/A,#N/A,FALSE,"Unit One CW";#N/A,#N/A,FALSE,"Unit One LaSallle + C &amp; W";#N/A,#N/A,FALSE,"Consolidated Accrual"}</definedName>
    <definedName name="DELME3_Condo" localSheetId="22" hidden="1">{#N/A,#N/A,FALSE,"Common Area Accrual";#N/A,#N/A,FALSE,"Unit One LaSalle";#N/A,#N/A,FALSE,"Unit One CW";#N/A,#N/A,FALSE,"Unit One LaSallle + C &amp; W";#N/A,#N/A,FALSE,"Consolidated Accrual"}</definedName>
    <definedName name="DELME3_Condo" localSheetId="17" hidden="1">{#N/A,#N/A,FALSE,"Common Area Accrual";#N/A,#N/A,FALSE,"Unit One LaSalle";#N/A,#N/A,FALSE,"Unit One CW";#N/A,#N/A,FALSE,"Unit One LaSallle + C &amp; W";#N/A,#N/A,FALSE,"Consolidated Accrual"}</definedName>
    <definedName name="DELME3_Condo" localSheetId="10" hidden="1">{#N/A,#N/A,FALSE,"Common Area Accrual";#N/A,#N/A,FALSE,"Unit One LaSalle";#N/A,#N/A,FALSE,"Unit One CW";#N/A,#N/A,FALSE,"Unit One LaSallle + C &amp; W";#N/A,#N/A,FALSE,"Consolidated Accrual"}</definedName>
    <definedName name="DELME3_Condo" hidden="1">{#N/A,#N/A,FALSE,"Common Area Accrual";#N/A,#N/A,FALSE,"Unit One LaSalle";#N/A,#N/A,FALSE,"Unit One CW";#N/A,#N/A,FALSE,"Unit One LaSallle + C &amp; W";#N/A,#N/A,FALSE,"Consolidated Accrual"}</definedName>
    <definedName name="DELME4" localSheetId="21" hidden="1">{#N/A,#N/A,FALSE,"399 Park Var";#N/A,#N/A,FALSE,"PK NOTES"}</definedName>
    <definedName name="DELME4" localSheetId="22" hidden="1">{#N/A,#N/A,FALSE,"399 Park Var";#N/A,#N/A,FALSE,"PK NOTES"}</definedName>
    <definedName name="DELME4" localSheetId="17" hidden="1">{#N/A,#N/A,FALSE,"399 Park Var";#N/A,#N/A,FALSE,"PK NOTES"}</definedName>
    <definedName name="DELME4" localSheetId="10" hidden="1">{#N/A,#N/A,FALSE,"399 Park Var";#N/A,#N/A,FALSE,"PK NOTES"}</definedName>
    <definedName name="DELME4" hidden="1">{#N/A,#N/A,FALSE,"399 Park Var";#N/A,#N/A,FALSE,"PK NOTES"}</definedName>
    <definedName name="DELME4_Condo" localSheetId="21" hidden="1">{#N/A,#N/A,FALSE,"399 Park Var";#N/A,#N/A,FALSE,"PK NOTES"}</definedName>
    <definedName name="DELME4_Condo" localSheetId="22" hidden="1">{#N/A,#N/A,FALSE,"399 Park Var";#N/A,#N/A,FALSE,"PK NOTES"}</definedName>
    <definedName name="DELME4_Condo" localSheetId="17" hidden="1">{#N/A,#N/A,FALSE,"399 Park Var";#N/A,#N/A,FALSE,"PK NOTES"}</definedName>
    <definedName name="DELME4_Condo" localSheetId="10" hidden="1">{#N/A,#N/A,FALSE,"399 Park Var";#N/A,#N/A,FALSE,"PK NOTES"}</definedName>
    <definedName name="DELME4_Condo" hidden="1">{#N/A,#N/A,FALSE,"399 Park Var";#N/A,#N/A,FALSE,"PK NOTES"}</definedName>
    <definedName name="DELME5" localSheetId="21" hidden="1">{#N/A,#N/A,FALSE,"Expense Detail ";#N/A,#N/A,FALSE,"Worksheet";#N/A,#N/A,FALSE,"Audit";#N/A,#N/A,FALSE,"Exclusions";#N/A,#N/A,FALSE,"Variance";#N/A,#N/A,FALSE,"Reconciliation"}</definedName>
    <definedName name="DELME5" localSheetId="22" hidden="1">{#N/A,#N/A,FALSE,"Expense Detail ";#N/A,#N/A,FALSE,"Worksheet";#N/A,#N/A,FALSE,"Audit";#N/A,#N/A,FALSE,"Exclusions";#N/A,#N/A,FALSE,"Variance";#N/A,#N/A,FALSE,"Reconciliation"}</definedName>
    <definedName name="DELME5" localSheetId="17" hidden="1">{#N/A,#N/A,FALSE,"Expense Detail ";#N/A,#N/A,FALSE,"Worksheet";#N/A,#N/A,FALSE,"Audit";#N/A,#N/A,FALSE,"Exclusions";#N/A,#N/A,FALSE,"Variance";#N/A,#N/A,FALSE,"Reconciliation"}</definedName>
    <definedName name="DELME5" localSheetId="10" hidden="1">{#N/A,#N/A,FALSE,"Expense Detail ";#N/A,#N/A,FALSE,"Worksheet";#N/A,#N/A,FALSE,"Audit";#N/A,#N/A,FALSE,"Exclusions";#N/A,#N/A,FALSE,"Variance";#N/A,#N/A,FALSE,"Reconciliation"}</definedName>
    <definedName name="DELME5" hidden="1">{#N/A,#N/A,FALSE,"Expense Detail ";#N/A,#N/A,FALSE,"Worksheet";#N/A,#N/A,FALSE,"Audit";#N/A,#N/A,FALSE,"Exclusions";#N/A,#N/A,FALSE,"Variance";#N/A,#N/A,FALSE,"Reconciliation"}</definedName>
    <definedName name="DELME5_Condo" localSheetId="21" hidden="1">{#N/A,#N/A,FALSE,"Expense Detail ";#N/A,#N/A,FALSE,"Worksheet";#N/A,#N/A,FALSE,"Audit";#N/A,#N/A,FALSE,"Exclusions";#N/A,#N/A,FALSE,"Variance";#N/A,#N/A,FALSE,"Reconciliation"}</definedName>
    <definedName name="DELME5_Condo" localSheetId="22" hidden="1">{#N/A,#N/A,FALSE,"Expense Detail ";#N/A,#N/A,FALSE,"Worksheet";#N/A,#N/A,FALSE,"Audit";#N/A,#N/A,FALSE,"Exclusions";#N/A,#N/A,FALSE,"Variance";#N/A,#N/A,FALSE,"Reconciliation"}</definedName>
    <definedName name="DELME5_Condo" localSheetId="17" hidden="1">{#N/A,#N/A,FALSE,"Expense Detail ";#N/A,#N/A,FALSE,"Worksheet";#N/A,#N/A,FALSE,"Audit";#N/A,#N/A,FALSE,"Exclusions";#N/A,#N/A,FALSE,"Variance";#N/A,#N/A,FALSE,"Reconciliation"}</definedName>
    <definedName name="DELME5_Condo" localSheetId="10" hidden="1">{#N/A,#N/A,FALSE,"Expense Detail ";#N/A,#N/A,FALSE,"Worksheet";#N/A,#N/A,FALSE,"Audit";#N/A,#N/A,FALSE,"Exclusions";#N/A,#N/A,FALSE,"Variance";#N/A,#N/A,FALSE,"Reconciliation"}</definedName>
    <definedName name="DELME5_Condo" hidden="1">{#N/A,#N/A,FALSE,"Expense Detail ";#N/A,#N/A,FALSE,"Worksheet";#N/A,#N/A,FALSE,"Audit";#N/A,#N/A,FALSE,"Exclusions";#N/A,#N/A,FALSE,"Variance";#N/A,#N/A,FALSE,"Reconciliation"}</definedName>
    <definedName name="DELME7" localSheetId="21" hidden="1">{#N/A,#N/A,FALSE,"399 ACC Budget";#N/A,#N/A,FALSE,"Variance";#N/A,#N/A,FALSE,"399 Park RPSF";#N/A,#N/A,FALSE,"399 Rent Detail";#N/A,#N/A,FALSE,"Common";#N/A,#N/A,FALSE,"RH";#N/A,#N/A,FALSE,"R&amp;H";#N/A,#N/A,FALSE,"399 Opex Detail";#N/A,#N/A,FALSE,"399 RE Tax Detail";#N/A,#N/A,FALSE,"399 Electric Inclusion";#N/A,#N/A,FALSE,"Subelect";#N/A,#N/A,FALSE,"Wtr";#N/A,#N/A,FALSE,"OTHVAC"}</definedName>
    <definedName name="DELME7" localSheetId="22" hidden="1">{#N/A,#N/A,FALSE,"399 ACC Budget";#N/A,#N/A,FALSE,"Variance";#N/A,#N/A,FALSE,"399 Park RPSF";#N/A,#N/A,FALSE,"399 Rent Detail";#N/A,#N/A,FALSE,"Common";#N/A,#N/A,FALSE,"RH";#N/A,#N/A,FALSE,"R&amp;H";#N/A,#N/A,FALSE,"399 Opex Detail";#N/A,#N/A,FALSE,"399 RE Tax Detail";#N/A,#N/A,FALSE,"399 Electric Inclusion";#N/A,#N/A,FALSE,"Subelect";#N/A,#N/A,FALSE,"Wtr";#N/A,#N/A,FALSE,"OTHVAC"}</definedName>
    <definedName name="DELME7" localSheetId="17" hidden="1">{#N/A,#N/A,FALSE,"399 ACC Budget";#N/A,#N/A,FALSE,"Variance";#N/A,#N/A,FALSE,"399 Park RPSF";#N/A,#N/A,FALSE,"399 Rent Detail";#N/A,#N/A,FALSE,"Common";#N/A,#N/A,FALSE,"RH";#N/A,#N/A,FALSE,"R&amp;H";#N/A,#N/A,FALSE,"399 Opex Detail";#N/A,#N/A,FALSE,"399 RE Tax Detail";#N/A,#N/A,FALSE,"399 Electric Inclusion";#N/A,#N/A,FALSE,"Subelect";#N/A,#N/A,FALSE,"Wtr";#N/A,#N/A,FALSE,"OTHVAC"}</definedName>
    <definedName name="DELME7" localSheetId="10" hidden="1">{#N/A,#N/A,FALSE,"399 ACC Budget";#N/A,#N/A,FALSE,"Variance";#N/A,#N/A,FALSE,"399 Park RPSF";#N/A,#N/A,FALSE,"399 Rent Detail";#N/A,#N/A,FALSE,"Common";#N/A,#N/A,FALSE,"RH";#N/A,#N/A,FALSE,"R&amp;H";#N/A,#N/A,FALSE,"399 Opex Detail";#N/A,#N/A,FALSE,"399 RE Tax Detail";#N/A,#N/A,FALSE,"399 Electric Inclusion";#N/A,#N/A,FALSE,"Subelect";#N/A,#N/A,FALSE,"Wtr";#N/A,#N/A,FALSE,"OTHVAC"}</definedName>
    <definedName name="DELME7" hidden="1">{#N/A,#N/A,FALSE,"399 ACC Budget";#N/A,#N/A,FALSE,"Variance";#N/A,#N/A,FALSE,"399 Park RPSF";#N/A,#N/A,FALSE,"399 Rent Detail";#N/A,#N/A,FALSE,"Common";#N/A,#N/A,FALSE,"RH";#N/A,#N/A,FALSE,"R&amp;H";#N/A,#N/A,FALSE,"399 Opex Detail";#N/A,#N/A,FALSE,"399 RE Tax Detail";#N/A,#N/A,FALSE,"399 Electric Inclusion";#N/A,#N/A,FALSE,"Subelect";#N/A,#N/A,FALSE,"Wtr";#N/A,#N/A,FALSE,"OTHVAC"}</definedName>
    <definedName name="DELME7_Condo" localSheetId="21" hidden="1">{#N/A,#N/A,FALSE,"399 ACC Budget";#N/A,#N/A,FALSE,"Variance";#N/A,#N/A,FALSE,"399 Park RPSF";#N/A,#N/A,FALSE,"399 Rent Detail";#N/A,#N/A,FALSE,"Common";#N/A,#N/A,FALSE,"RH";#N/A,#N/A,FALSE,"R&amp;H";#N/A,#N/A,FALSE,"399 Opex Detail";#N/A,#N/A,FALSE,"399 RE Tax Detail";#N/A,#N/A,FALSE,"399 Electric Inclusion";#N/A,#N/A,FALSE,"Subelect";#N/A,#N/A,FALSE,"Wtr";#N/A,#N/A,FALSE,"OTHVAC"}</definedName>
    <definedName name="DELME7_Condo" localSheetId="22" hidden="1">{#N/A,#N/A,FALSE,"399 ACC Budget";#N/A,#N/A,FALSE,"Variance";#N/A,#N/A,FALSE,"399 Park RPSF";#N/A,#N/A,FALSE,"399 Rent Detail";#N/A,#N/A,FALSE,"Common";#N/A,#N/A,FALSE,"RH";#N/A,#N/A,FALSE,"R&amp;H";#N/A,#N/A,FALSE,"399 Opex Detail";#N/A,#N/A,FALSE,"399 RE Tax Detail";#N/A,#N/A,FALSE,"399 Electric Inclusion";#N/A,#N/A,FALSE,"Subelect";#N/A,#N/A,FALSE,"Wtr";#N/A,#N/A,FALSE,"OTHVAC"}</definedName>
    <definedName name="DELME7_Condo" localSheetId="17" hidden="1">{#N/A,#N/A,FALSE,"399 ACC Budget";#N/A,#N/A,FALSE,"Variance";#N/A,#N/A,FALSE,"399 Park RPSF";#N/A,#N/A,FALSE,"399 Rent Detail";#N/A,#N/A,FALSE,"Common";#N/A,#N/A,FALSE,"RH";#N/A,#N/A,FALSE,"R&amp;H";#N/A,#N/A,FALSE,"399 Opex Detail";#N/A,#N/A,FALSE,"399 RE Tax Detail";#N/A,#N/A,FALSE,"399 Electric Inclusion";#N/A,#N/A,FALSE,"Subelect";#N/A,#N/A,FALSE,"Wtr";#N/A,#N/A,FALSE,"OTHVAC"}</definedName>
    <definedName name="DELME7_Condo" localSheetId="10" hidden="1">{#N/A,#N/A,FALSE,"399 ACC Budget";#N/A,#N/A,FALSE,"Variance";#N/A,#N/A,FALSE,"399 Park RPSF";#N/A,#N/A,FALSE,"399 Rent Detail";#N/A,#N/A,FALSE,"Common";#N/A,#N/A,FALSE,"RH";#N/A,#N/A,FALSE,"R&amp;H";#N/A,#N/A,FALSE,"399 Opex Detail";#N/A,#N/A,FALSE,"399 RE Tax Detail";#N/A,#N/A,FALSE,"399 Electric Inclusion";#N/A,#N/A,FALSE,"Subelect";#N/A,#N/A,FALSE,"Wtr";#N/A,#N/A,FALSE,"OTHVAC"}</definedName>
    <definedName name="DELME7_Condo" hidden="1">{#N/A,#N/A,FALSE,"399 ACC Budget";#N/A,#N/A,FALSE,"Variance";#N/A,#N/A,FALSE,"399 Park RPSF";#N/A,#N/A,FALSE,"399 Rent Detail";#N/A,#N/A,FALSE,"Common";#N/A,#N/A,FALSE,"RH";#N/A,#N/A,FALSE,"R&amp;H";#N/A,#N/A,FALSE,"399 Opex Detail";#N/A,#N/A,FALSE,"399 RE Tax Detail";#N/A,#N/A,FALSE,"399 Electric Inclusion";#N/A,#N/A,FALSE,"Subelect";#N/A,#N/A,FALSE,"Wtr";#N/A,#N/A,FALSE,"OTHVAC"}</definedName>
    <definedName name="Denom">360</definedName>
    <definedName name="dfg" localSheetId="2" hidden="1">{"cover",#N/A,TRUE,"Cover";"toc6",#N/A,TRUE,"TOC";"over",#N/A,TRUE,"Overview";"ts2",#N/A,TRUE,"Det_Trans_Sum";"ei",#N/A,TRUE,"Earnings Impact";"ad",#N/A,TRUE,"accretion dilution";"hg",#N/A,TRUE,"Has-Gets";"pfis",#N/A,TRUE,"Pro Forma Income Statement";"ca",#N/A,TRUE,"Contribution_Analysis";"acq",#N/A,TRUE,"Acquirer";"tar",#N/A,TRUE,"Target"}</definedName>
    <definedName name="dfg" localSheetId="21" hidden="1">{"cover",#N/A,TRUE,"Cover";"toc6",#N/A,TRUE,"TOC";"over",#N/A,TRUE,"Overview";"ts2",#N/A,TRUE,"Det_Trans_Sum";"ei",#N/A,TRUE,"Earnings Impact";"ad",#N/A,TRUE,"accretion dilution";"hg",#N/A,TRUE,"Has-Gets";"pfis",#N/A,TRUE,"Pro Forma Income Statement";"ca",#N/A,TRUE,"Contribution_Analysis";"acq",#N/A,TRUE,"Acquirer";"tar",#N/A,TRUE,"Target"}</definedName>
    <definedName name="dfg" localSheetId="22" hidden="1">{"cover",#N/A,TRUE,"Cover";"toc6",#N/A,TRUE,"TOC";"over",#N/A,TRUE,"Overview";"ts2",#N/A,TRUE,"Det_Trans_Sum";"ei",#N/A,TRUE,"Earnings Impact";"ad",#N/A,TRUE,"accretion dilution";"hg",#N/A,TRUE,"Has-Gets";"pfis",#N/A,TRUE,"Pro Forma Income Statement";"ca",#N/A,TRUE,"Contribution_Analysis";"acq",#N/A,TRUE,"Acquirer";"tar",#N/A,TRUE,"Target"}</definedName>
    <definedName name="dfg" localSheetId="15" hidden="1">{"cover",#N/A,TRUE,"Cover";"toc6",#N/A,TRUE,"TOC";"over",#N/A,TRUE,"Overview";"ts2",#N/A,TRUE,"Det_Trans_Sum";"ei",#N/A,TRUE,"Earnings Impact";"ad",#N/A,TRUE,"accretion dilution";"hg",#N/A,TRUE,"Has-Gets";"pfis",#N/A,TRUE,"Pro Forma Income Statement";"ca",#N/A,TRUE,"Contribution_Analysis";"acq",#N/A,TRUE,"Acquirer";"tar",#N/A,TRUE,"Target"}</definedName>
    <definedName name="dfg" localSheetId="17" hidden="1">{"cover",#N/A,TRUE,"Cover";"toc6",#N/A,TRUE,"TOC";"over",#N/A,TRUE,"Overview";"ts2",#N/A,TRUE,"Det_Trans_Sum";"ei",#N/A,TRUE,"Earnings Impact";"ad",#N/A,TRUE,"accretion dilution";"hg",#N/A,TRUE,"Has-Gets";"pfis",#N/A,TRUE,"Pro Forma Income Statement";"ca",#N/A,TRUE,"Contribution_Analysis";"acq",#N/A,TRUE,"Acquirer";"tar",#N/A,TRUE,"Target"}</definedName>
    <definedName name="dfg" localSheetId="10" hidden="1">{"cover",#N/A,TRUE,"Cover";"toc6",#N/A,TRUE,"TOC";"over",#N/A,TRUE,"Overview";"ts2",#N/A,TRUE,"Det_Trans_Sum";"ei",#N/A,TRUE,"Earnings Impact";"ad",#N/A,TRUE,"accretion dilution";"hg",#N/A,TRUE,"Has-Gets";"pfis",#N/A,TRUE,"Pro Forma Income Statement";"ca",#N/A,TRUE,"Contribution_Analysis";"acq",#N/A,TRUE,"Acquirer";"tar",#N/A,TRUE,"Target"}</definedName>
    <definedName name="dfg" localSheetId="13" hidden="1">{"cover",#N/A,TRUE,"Cover";"toc6",#N/A,TRUE,"TOC";"over",#N/A,TRUE,"Overview";"ts2",#N/A,TRUE,"Det_Trans_Sum";"ei",#N/A,TRUE,"Earnings Impact";"ad",#N/A,TRUE,"accretion dilution";"hg",#N/A,TRUE,"Has-Gets";"pfis",#N/A,TRUE,"Pro Forma Income Statement";"ca",#N/A,TRUE,"Contribution_Analysis";"acq",#N/A,TRUE,"Acquirer";"tar",#N/A,TRUE,"Target"}</definedName>
    <definedName name="dfg" hidden="1">{"cover",#N/A,TRUE,"Cover";"toc6",#N/A,TRUE,"TOC";"over",#N/A,TRUE,"Overview";"ts2",#N/A,TRUE,"Det_Trans_Sum";"ei",#N/A,TRUE,"Earnings Impact";"ad",#N/A,TRUE,"accretion dilution";"hg",#N/A,TRUE,"Has-Gets";"pfis",#N/A,TRUE,"Pro Forma Income Statement";"ca",#N/A,TRUE,"Contribution_Analysis";"acq",#N/A,TRUE,"Acquirer";"tar",#N/A,TRUE,"Target"}</definedName>
    <definedName name="dfgt" localSheetId="2" hidden="1">{"cover",#N/A,TRUE,"Cover";"toc6",#N/A,TRUE,"TOC";"over",#N/A,TRUE,"Overview";"ts2",#N/A,TRUE,"Det_Trans_Sum";"ei1",#N/A,TRUE,"Earnings Impact";"ad1",#N/A,TRUE,"accretion dilution";"hg1",#N/A,TRUE,"Has-Gets";"pfis1",#N/A,TRUE,"Pro Forma Income Statement";"ca1",#N/A,TRUE,"Contribution_Analysis";"acq1",#N/A,TRUE,"Acquirer";"tar1",#N/A,TRUE,"Target"}</definedName>
    <definedName name="dfgt" localSheetId="21" hidden="1">{"cover",#N/A,TRUE,"Cover";"toc6",#N/A,TRUE,"TOC";"over",#N/A,TRUE,"Overview";"ts2",#N/A,TRUE,"Det_Trans_Sum";"ei1",#N/A,TRUE,"Earnings Impact";"ad1",#N/A,TRUE,"accretion dilution";"hg1",#N/A,TRUE,"Has-Gets";"pfis1",#N/A,TRUE,"Pro Forma Income Statement";"ca1",#N/A,TRUE,"Contribution_Analysis";"acq1",#N/A,TRUE,"Acquirer";"tar1",#N/A,TRUE,"Target"}</definedName>
    <definedName name="dfgt" localSheetId="22" hidden="1">{"cover",#N/A,TRUE,"Cover";"toc6",#N/A,TRUE,"TOC";"over",#N/A,TRUE,"Overview";"ts2",#N/A,TRUE,"Det_Trans_Sum";"ei1",#N/A,TRUE,"Earnings Impact";"ad1",#N/A,TRUE,"accretion dilution";"hg1",#N/A,TRUE,"Has-Gets";"pfis1",#N/A,TRUE,"Pro Forma Income Statement";"ca1",#N/A,TRUE,"Contribution_Analysis";"acq1",#N/A,TRUE,"Acquirer";"tar1",#N/A,TRUE,"Target"}</definedName>
    <definedName name="dfgt" localSheetId="15" hidden="1">{"cover",#N/A,TRUE,"Cover";"toc6",#N/A,TRUE,"TOC";"over",#N/A,TRUE,"Overview";"ts2",#N/A,TRUE,"Det_Trans_Sum";"ei1",#N/A,TRUE,"Earnings Impact";"ad1",#N/A,TRUE,"accretion dilution";"hg1",#N/A,TRUE,"Has-Gets";"pfis1",#N/A,TRUE,"Pro Forma Income Statement";"ca1",#N/A,TRUE,"Contribution_Analysis";"acq1",#N/A,TRUE,"Acquirer";"tar1",#N/A,TRUE,"Target"}</definedName>
    <definedName name="dfgt" localSheetId="17" hidden="1">{"cover",#N/A,TRUE,"Cover";"toc6",#N/A,TRUE,"TOC";"over",#N/A,TRUE,"Overview";"ts2",#N/A,TRUE,"Det_Trans_Sum";"ei1",#N/A,TRUE,"Earnings Impact";"ad1",#N/A,TRUE,"accretion dilution";"hg1",#N/A,TRUE,"Has-Gets";"pfis1",#N/A,TRUE,"Pro Forma Income Statement";"ca1",#N/A,TRUE,"Contribution_Analysis";"acq1",#N/A,TRUE,"Acquirer";"tar1",#N/A,TRUE,"Target"}</definedName>
    <definedName name="dfgt" localSheetId="10" hidden="1">{"cover",#N/A,TRUE,"Cover";"toc6",#N/A,TRUE,"TOC";"over",#N/A,TRUE,"Overview";"ts2",#N/A,TRUE,"Det_Trans_Sum";"ei1",#N/A,TRUE,"Earnings Impact";"ad1",#N/A,TRUE,"accretion dilution";"hg1",#N/A,TRUE,"Has-Gets";"pfis1",#N/A,TRUE,"Pro Forma Income Statement";"ca1",#N/A,TRUE,"Contribution_Analysis";"acq1",#N/A,TRUE,"Acquirer";"tar1",#N/A,TRUE,"Target"}</definedName>
    <definedName name="dfgt" localSheetId="13" hidden="1">{"cover",#N/A,TRUE,"Cover";"toc6",#N/A,TRUE,"TOC";"over",#N/A,TRUE,"Overview";"ts2",#N/A,TRUE,"Det_Trans_Sum";"ei1",#N/A,TRUE,"Earnings Impact";"ad1",#N/A,TRUE,"accretion dilution";"hg1",#N/A,TRUE,"Has-Gets";"pfis1",#N/A,TRUE,"Pro Forma Income Statement";"ca1",#N/A,TRUE,"Contribution_Analysis";"acq1",#N/A,TRUE,"Acquirer";"tar1",#N/A,TRUE,"Target"}</definedName>
    <definedName name="dfgt" hidden="1">{"cover",#N/A,TRUE,"Cover";"toc6",#N/A,TRUE,"TOC";"over",#N/A,TRUE,"Overview";"ts2",#N/A,TRUE,"Det_Trans_Sum";"ei1",#N/A,TRUE,"Earnings Impact";"ad1",#N/A,TRUE,"accretion dilution";"hg1",#N/A,TRUE,"Has-Gets";"pfis1",#N/A,TRUE,"Pro Forma Income Statement";"ca1",#N/A,TRUE,"Contribution_Analysis";"acq1",#N/A,TRUE,"Acquirer";"tar1",#N/A,TRUE,"Target"}</definedName>
    <definedName name="Division_01" localSheetId="4">#REF!</definedName>
    <definedName name="Division_01" localSheetId="5">#REF!</definedName>
    <definedName name="Division_02" localSheetId="4">#REF!</definedName>
    <definedName name="Division_02" localSheetId="5">#REF!</definedName>
    <definedName name="Division_03" localSheetId="4">#REF!</definedName>
    <definedName name="Division_03" localSheetId="5">#REF!</definedName>
    <definedName name="Division_04" localSheetId="4">#REF!</definedName>
    <definedName name="Division_04" localSheetId="5">#REF!</definedName>
    <definedName name="Division_05" localSheetId="4">#REF!</definedName>
    <definedName name="Division_05" localSheetId="5">#REF!</definedName>
    <definedName name="Division_06" localSheetId="4">#REF!</definedName>
    <definedName name="Division_06" localSheetId="5">#REF!</definedName>
    <definedName name="Division_07" localSheetId="4">#REF!</definedName>
    <definedName name="Division_07" localSheetId="5">#REF!</definedName>
    <definedName name="Division_08" localSheetId="4">#REF!</definedName>
    <definedName name="Division_08" localSheetId="5">#REF!</definedName>
    <definedName name="Division_09" localSheetId="4">#REF!</definedName>
    <definedName name="Division_09" localSheetId="5">#REF!</definedName>
    <definedName name="Division_10" localSheetId="4">#REF!</definedName>
    <definedName name="Division_10" localSheetId="5">#REF!</definedName>
    <definedName name="Division_11" localSheetId="4">#REF!</definedName>
    <definedName name="Division_11" localSheetId="5">#REF!</definedName>
    <definedName name="Division_12" localSheetId="4">#REF!</definedName>
    <definedName name="Division_12" localSheetId="5">#REF!</definedName>
    <definedName name="Division_13" localSheetId="4">#REF!</definedName>
    <definedName name="Division_13" localSheetId="5">#REF!</definedName>
    <definedName name="Division_14" localSheetId="4">#REF!</definedName>
    <definedName name="Division_14" localSheetId="5">#REF!</definedName>
    <definedName name="Division_15" localSheetId="4">#REF!</definedName>
    <definedName name="Division_15" localSheetId="5">#REF!</definedName>
    <definedName name="Division_16" localSheetId="4">#REF!</definedName>
    <definedName name="Division_16" localSheetId="5">#REF!</definedName>
    <definedName name="Division_20" localSheetId="4">#REF!</definedName>
    <definedName name="Division_20" localSheetId="5">#REF!</definedName>
    <definedName name="Division_30" localSheetId="4">#REF!</definedName>
    <definedName name="Division_30" localSheetId="5">#REF!</definedName>
    <definedName name="Division_40" localSheetId="4">#REF!</definedName>
    <definedName name="Division_40" localSheetId="5">#REF!</definedName>
    <definedName name="Division_50" localSheetId="4">#REF!</definedName>
    <definedName name="Division_50" localSheetId="5">#REF!</definedName>
    <definedName name="Division_60" localSheetId="4">#REF!</definedName>
    <definedName name="Division_60" localSheetId="5">#REF!</definedName>
    <definedName name="drg" localSheetId="2" hidden="1">{"cover",#N/A,TRUE,"Cover";"toc5",#N/A,TRUE,"TOC";"over",#N/A,TRUE,"Overview";"ts2",#N/A,TRUE,"Det_Trans_Sum";"ei3",#N/A,TRUE,"Earnings Impact";"ad3",#N/A,TRUE,"accretion dilution";"pfis3",#N/A,TRUE,"Pro Forma Income Statement";"ca3",#N/A,TRUE,"Contribution_Analysis";"acq3",#N/A,TRUE,"Acquirer";"tar3",#N/A,TRUE,"Target"}</definedName>
    <definedName name="drg" localSheetId="21" hidden="1">{"cover",#N/A,TRUE,"Cover";"toc5",#N/A,TRUE,"TOC";"over",#N/A,TRUE,"Overview";"ts2",#N/A,TRUE,"Det_Trans_Sum";"ei3",#N/A,TRUE,"Earnings Impact";"ad3",#N/A,TRUE,"accretion dilution";"pfis3",#N/A,TRUE,"Pro Forma Income Statement";"ca3",#N/A,TRUE,"Contribution_Analysis";"acq3",#N/A,TRUE,"Acquirer";"tar3",#N/A,TRUE,"Target"}</definedName>
    <definedName name="drg" localSheetId="22" hidden="1">{"cover",#N/A,TRUE,"Cover";"toc5",#N/A,TRUE,"TOC";"over",#N/A,TRUE,"Overview";"ts2",#N/A,TRUE,"Det_Trans_Sum";"ei3",#N/A,TRUE,"Earnings Impact";"ad3",#N/A,TRUE,"accretion dilution";"pfis3",#N/A,TRUE,"Pro Forma Income Statement";"ca3",#N/A,TRUE,"Contribution_Analysis";"acq3",#N/A,TRUE,"Acquirer";"tar3",#N/A,TRUE,"Target"}</definedName>
    <definedName name="drg" localSheetId="15" hidden="1">{"cover",#N/A,TRUE,"Cover";"toc5",#N/A,TRUE,"TOC";"over",#N/A,TRUE,"Overview";"ts2",#N/A,TRUE,"Det_Trans_Sum";"ei3",#N/A,TRUE,"Earnings Impact";"ad3",#N/A,TRUE,"accretion dilution";"pfis3",#N/A,TRUE,"Pro Forma Income Statement";"ca3",#N/A,TRUE,"Contribution_Analysis";"acq3",#N/A,TRUE,"Acquirer";"tar3",#N/A,TRUE,"Target"}</definedName>
    <definedName name="drg" localSheetId="17" hidden="1">{"cover",#N/A,TRUE,"Cover";"toc5",#N/A,TRUE,"TOC";"over",#N/A,TRUE,"Overview";"ts2",#N/A,TRUE,"Det_Trans_Sum";"ei3",#N/A,TRUE,"Earnings Impact";"ad3",#N/A,TRUE,"accretion dilution";"pfis3",#N/A,TRUE,"Pro Forma Income Statement";"ca3",#N/A,TRUE,"Contribution_Analysis";"acq3",#N/A,TRUE,"Acquirer";"tar3",#N/A,TRUE,"Target"}</definedName>
    <definedName name="drg" localSheetId="10" hidden="1">{"cover",#N/A,TRUE,"Cover";"toc5",#N/A,TRUE,"TOC";"over",#N/A,TRUE,"Overview";"ts2",#N/A,TRUE,"Det_Trans_Sum";"ei3",#N/A,TRUE,"Earnings Impact";"ad3",#N/A,TRUE,"accretion dilution";"pfis3",#N/A,TRUE,"Pro Forma Income Statement";"ca3",#N/A,TRUE,"Contribution_Analysis";"acq3",#N/A,TRUE,"Acquirer";"tar3",#N/A,TRUE,"Target"}</definedName>
    <definedName name="drg" localSheetId="13" hidden="1">{"cover",#N/A,TRUE,"Cover";"toc5",#N/A,TRUE,"TOC";"over",#N/A,TRUE,"Overview";"ts2",#N/A,TRUE,"Det_Trans_Sum";"ei3",#N/A,TRUE,"Earnings Impact";"ad3",#N/A,TRUE,"accretion dilution";"pfis3",#N/A,TRUE,"Pro Forma Income Statement";"ca3",#N/A,TRUE,"Contribution_Analysis";"acq3",#N/A,TRUE,"Acquirer";"tar3",#N/A,TRUE,"Target"}</definedName>
    <definedName name="drg" hidden="1">{"cover",#N/A,TRUE,"Cover";"toc5",#N/A,TRUE,"TOC";"over",#N/A,TRUE,"Overview";"ts2",#N/A,TRUE,"Det_Trans_Sum";"ei3",#N/A,TRUE,"Earnings Impact";"ad3",#N/A,TRUE,"accretion dilution";"pfis3",#N/A,TRUE,"Pro Forma Income Statement";"ca3",#N/A,TRUE,"Contribution_Analysis";"acq3",#N/A,TRUE,"Acquirer";"tar3",#N/A,TRUE,"Target"}</definedName>
    <definedName name="dsf" hidden="1">#REF!</definedName>
    <definedName name="e1sclCOMPANY_INFORMATION" hidden="1">"[CNAME]"</definedName>
    <definedName name="e1sclMASTER_JCM_RECORD_1_1" hidden="1">"[JOB][JACTCD][JACTSD][JREVCD][JREVSD][JESTCD][JESTSD][JTITL4][JTITL3][JTITL2][JTITL1][JPRJMGR][JCITY][JSTATE][JZIP][JADDR2][JADDR1][JDESC]"</definedName>
    <definedName name="eh" localSheetId="2" hidden="1">{"cover",#N/A,TRUE,"Cover";"toc3",#N/A,TRUE,"TOC";"over",#N/A,TRUE,"Overview";"ts2",#N/A,TRUE,"Det_Trans_Sum";"ei2c",#N/A,TRUE,"Earnings Impact";"ad2",#N/A,TRUE,"accretion dilution";"pfis2",#N/A,TRUE,"Pro Forma Income Statement";"acq2c",#N/A,TRUE,"Acquirer";"tar2c",#N/A,TRUE,"Target"}</definedName>
    <definedName name="eh" localSheetId="21" hidden="1">{"cover",#N/A,TRUE,"Cover";"toc3",#N/A,TRUE,"TOC";"over",#N/A,TRUE,"Overview";"ts2",#N/A,TRUE,"Det_Trans_Sum";"ei2c",#N/A,TRUE,"Earnings Impact";"ad2",#N/A,TRUE,"accretion dilution";"pfis2",#N/A,TRUE,"Pro Forma Income Statement";"acq2c",#N/A,TRUE,"Acquirer";"tar2c",#N/A,TRUE,"Target"}</definedName>
    <definedName name="eh" localSheetId="22" hidden="1">{"cover",#N/A,TRUE,"Cover";"toc3",#N/A,TRUE,"TOC";"over",#N/A,TRUE,"Overview";"ts2",#N/A,TRUE,"Det_Trans_Sum";"ei2c",#N/A,TRUE,"Earnings Impact";"ad2",#N/A,TRUE,"accretion dilution";"pfis2",#N/A,TRUE,"Pro Forma Income Statement";"acq2c",#N/A,TRUE,"Acquirer";"tar2c",#N/A,TRUE,"Target"}</definedName>
    <definedName name="eh" localSheetId="15" hidden="1">{"cover",#N/A,TRUE,"Cover";"toc3",#N/A,TRUE,"TOC";"over",#N/A,TRUE,"Overview";"ts2",#N/A,TRUE,"Det_Trans_Sum";"ei2c",#N/A,TRUE,"Earnings Impact";"ad2",#N/A,TRUE,"accretion dilution";"pfis2",#N/A,TRUE,"Pro Forma Income Statement";"acq2c",#N/A,TRUE,"Acquirer";"tar2c",#N/A,TRUE,"Target"}</definedName>
    <definedName name="eh" localSheetId="17" hidden="1">{"cover",#N/A,TRUE,"Cover";"toc3",#N/A,TRUE,"TOC";"over",#N/A,TRUE,"Overview";"ts2",#N/A,TRUE,"Det_Trans_Sum";"ei2c",#N/A,TRUE,"Earnings Impact";"ad2",#N/A,TRUE,"accretion dilution";"pfis2",#N/A,TRUE,"Pro Forma Income Statement";"acq2c",#N/A,TRUE,"Acquirer";"tar2c",#N/A,TRUE,"Target"}</definedName>
    <definedName name="eh" localSheetId="10" hidden="1">{"cover",#N/A,TRUE,"Cover";"toc3",#N/A,TRUE,"TOC";"over",#N/A,TRUE,"Overview";"ts2",#N/A,TRUE,"Det_Trans_Sum";"ei2c",#N/A,TRUE,"Earnings Impact";"ad2",#N/A,TRUE,"accretion dilution";"pfis2",#N/A,TRUE,"Pro Forma Income Statement";"acq2c",#N/A,TRUE,"Acquirer";"tar2c",#N/A,TRUE,"Target"}</definedName>
    <definedName name="eh" localSheetId="13" hidden="1">{"cover",#N/A,TRUE,"Cover";"toc3",#N/A,TRUE,"TOC";"over",#N/A,TRUE,"Overview";"ts2",#N/A,TRUE,"Det_Trans_Sum";"ei2c",#N/A,TRUE,"Earnings Impact";"ad2",#N/A,TRUE,"accretion dilution";"pfis2",#N/A,TRUE,"Pro Forma Income Statement";"acq2c",#N/A,TRUE,"Acquirer";"tar2c",#N/A,TRUE,"Target"}</definedName>
    <definedName name="eh" hidden="1">{"cover",#N/A,TRUE,"Cover";"toc3",#N/A,TRUE,"TOC";"over",#N/A,TRUE,"Overview";"ts2",#N/A,TRUE,"Det_Trans_Sum";"ei2c",#N/A,TRUE,"Earnings Impact";"ad2",#N/A,TRUE,"accretion dilution";"pfis2",#N/A,TRUE,"Pro Forma Income Statement";"acq2c",#N/A,TRUE,"Acquirer";"tar2c",#N/A,TRUE,"Target"}</definedName>
    <definedName name="EV__LASTREFTIME__" hidden="1">38217.374849537</definedName>
    <definedName name="EV__MAXEXPCOLS__" hidden="1">100</definedName>
    <definedName name="EV__MAXEXPROWS__" hidden="1">1000</definedName>
    <definedName name="EV__WBEVMODE__" hidden="1">1</definedName>
    <definedName name="EV__WBREFOPTIONS__" hidden="1">134217728</definedName>
    <definedName name="EV__WBVERSION__" hidden="1">0</definedName>
    <definedName name="F" localSheetId="21" hidden="1">{#N/A,#N/A,FALSE,"Assumptions";#N/A,#N/A,FALSE,"Impact Assumptions";#N/A,#N/A,FALSE,"10-Yr - detail";#N/A,#N/A,FALSE,"1,5,10 yr comp";#N/A,#N/A,FALSE,"Lse-Exp.";#N/A,#N/A,FALSE,"Rent Roll";#N/A,#N/A,FALSE,"Historical (2)";#N/A,#N/A,FALSE,"RET's";#N/A,#N/A,FALSE,"Lease Rollover"}</definedName>
    <definedName name="F" localSheetId="22" hidden="1">{#N/A,#N/A,FALSE,"Assumptions";#N/A,#N/A,FALSE,"Impact Assumptions";#N/A,#N/A,FALSE,"10-Yr - detail";#N/A,#N/A,FALSE,"1,5,10 yr comp";#N/A,#N/A,FALSE,"Lse-Exp.";#N/A,#N/A,FALSE,"Rent Roll";#N/A,#N/A,FALSE,"Historical (2)";#N/A,#N/A,FALSE,"RET's";#N/A,#N/A,FALSE,"Lease Rollover"}</definedName>
    <definedName name="F" localSheetId="17" hidden="1">{#N/A,#N/A,FALSE,"Assumptions";#N/A,#N/A,FALSE,"Impact Assumptions";#N/A,#N/A,FALSE,"10-Yr - detail";#N/A,#N/A,FALSE,"1,5,10 yr comp";#N/A,#N/A,FALSE,"Lse-Exp.";#N/A,#N/A,FALSE,"Rent Roll";#N/A,#N/A,FALSE,"Historical (2)";#N/A,#N/A,FALSE,"RET's";#N/A,#N/A,FALSE,"Lease Rollover"}</definedName>
    <definedName name="F" localSheetId="10" hidden="1">{#N/A,#N/A,FALSE,"Assumptions";#N/A,#N/A,FALSE,"Impact Assumptions";#N/A,#N/A,FALSE,"10-Yr - detail";#N/A,#N/A,FALSE,"1,5,10 yr comp";#N/A,#N/A,FALSE,"Lse-Exp.";#N/A,#N/A,FALSE,"Rent Roll";#N/A,#N/A,FALSE,"Historical (2)";#N/A,#N/A,FALSE,"RET's";#N/A,#N/A,FALSE,"Lease Rollover"}</definedName>
    <definedName name="F" hidden="1">{#N/A,#N/A,FALSE,"Assumptions";#N/A,#N/A,FALSE,"Impact Assumptions";#N/A,#N/A,FALSE,"10-Yr - detail";#N/A,#N/A,FALSE,"1,5,10 yr comp";#N/A,#N/A,FALSE,"Lse-Exp.";#N/A,#N/A,FALSE,"Rent Roll";#N/A,#N/A,FALSE,"Historical (2)";#N/A,#N/A,FALSE,"RET's";#N/A,#N/A,FALSE,"Lease Rollover"}</definedName>
    <definedName name="fdf" localSheetId="2" hidden="1">{"Full Sheet",#N/A,FALSE,"Expense Comparison"}</definedName>
    <definedName name="fdf" localSheetId="21" hidden="1">{"Full Sheet",#N/A,FALSE,"Expense Comparison"}</definedName>
    <definedName name="fdf" localSheetId="22" hidden="1">{"Full Sheet",#N/A,FALSE,"Expense Comparison"}</definedName>
    <definedName name="fdf" localSheetId="15" hidden="1">{"Full Sheet",#N/A,FALSE,"Expense Comparison"}</definedName>
    <definedName name="fdf" localSheetId="17" hidden="1">{"Full Sheet",#N/A,FALSE,"Expense Comparison"}</definedName>
    <definedName name="fdf" localSheetId="10" hidden="1">{"Full Sheet",#N/A,FALSE,"Expense Comparison"}</definedName>
    <definedName name="fdf" localSheetId="13" hidden="1">{"Full Sheet",#N/A,FALSE,"Expense Comparison"}</definedName>
    <definedName name="fdf" hidden="1">{"Full Sheet",#N/A,FALSE,"Expense Comparison"}</definedName>
    <definedName name="fdfdfd" localSheetId="21" hidden="1">{#N/A,#N/A,FALSE,"CAPREIT"}</definedName>
    <definedName name="fdfdfd" localSheetId="11" hidden="1">{#N/A,#N/A,FALSE,"CAPREIT"}</definedName>
    <definedName name="fdfdfd" localSheetId="22" hidden="1">{#N/A,#N/A,FALSE,"CAPREIT"}</definedName>
    <definedName name="fdfdfd" localSheetId="17" hidden="1">{#N/A,#N/A,FALSE,"CAPREIT"}</definedName>
    <definedName name="fdfdfd" localSheetId="10" hidden="1">{#N/A,#N/A,FALSE,"CAPREIT"}</definedName>
    <definedName name="fdfdfd" hidden="1">{#N/A,#N/A,FALSE,"CAPREIT"}</definedName>
    <definedName name="fdfdfdf" localSheetId="21" hidden="1">{#N/A,#N/A,FALSE,"CAPREIT"}</definedName>
    <definedName name="fdfdfdf" localSheetId="11" hidden="1">{#N/A,#N/A,FALSE,"CAPREIT"}</definedName>
    <definedName name="fdfdfdf" localSheetId="22" hidden="1">{#N/A,#N/A,FALSE,"CAPREIT"}</definedName>
    <definedName name="fdfdfdf" localSheetId="17" hidden="1">{#N/A,#N/A,FALSE,"CAPREIT"}</definedName>
    <definedName name="fdfdfdf" localSheetId="10" hidden="1">{#N/A,#N/A,FALSE,"CAPREIT"}</definedName>
    <definedName name="fdfdfdf" hidden="1">{#N/A,#N/A,FALSE,"CAPREIT"}</definedName>
    <definedName name="fds" localSheetId="2" hidden="1">{"Annual Cash Flows",#N/A,FALSE,"Annual Summary";"qtrl1",#N/A,FALSE,"QTLY Summary";"qtrl2",#N/A,FALSE,"QTLY Summary";"qtrl3",#N/A,FALSE,"QTLY Summary";"qtrl4",#N/A,FALSE,"QTLY Summary";"qtrl5",#N/A,FALSE,"QTLY Summary";"qtrl6",#N/A,FALSE,"QTLY Summary"}</definedName>
    <definedName name="fds" localSheetId="21" hidden="1">{"Annual Cash Flows",#N/A,FALSE,"Annual Summary";"qtrl1",#N/A,FALSE,"QTLY Summary";"qtrl2",#N/A,FALSE,"QTLY Summary";"qtrl3",#N/A,FALSE,"QTLY Summary";"qtrl4",#N/A,FALSE,"QTLY Summary";"qtrl5",#N/A,FALSE,"QTLY Summary";"qtrl6",#N/A,FALSE,"QTLY Summary"}</definedName>
    <definedName name="fds" localSheetId="22" hidden="1">{"Annual Cash Flows",#N/A,FALSE,"Annual Summary";"qtrl1",#N/A,FALSE,"QTLY Summary";"qtrl2",#N/A,FALSE,"QTLY Summary";"qtrl3",#N/A,FALSE,"QTLY Summary";"qtrl4",#N/A,FALSE,"QTLY Summary";"qtrl5",#N/A,FALSE,"QTLY Summary";"qtrl6",#N/A,FALSE,"QTLY Summary"}</definedName>
    <definedName name="fds" localSheetId="15" hidden="1">{"Annual Cash Flows",#N/A,FALSE,"Annual Summary";"qtrl1",#N/A,FALSE,"QTLY Summary";"qtrl2",#N/A,FALSE,"QTLY Summary";"qtrl3",#N/A,FALSE,"QTLY Summary";"qtrl4",#N/A,FALSE,"QTLY Summary";"qtrl5",#N/A,FALSE,"QTLY Summary";"qtrl6",#N/A,FALSE,"QTLY Summary"}</definedName>
    <definedName name="fds" localSheetId="17" hidden="1">{"Annual Cash Flows",#N/A,FALSE,"Annual Summary";"qtrl1",#N/A,FALSE,"QTLY Summary";"qtrl2",#N/A,FALSE,"QTLY Summary";"qtrl3",#N/A,FALSE,"QTLY Summary";"qtrl4",#N/A,FALSE,"QTLY Summary";"qtrl5",#N/A,FALSE,"QTLY Summary";"qtrl6",#N/A,FALSE,"QTLY Summary"}</definedName>
    <definedName name="fds" localSheetId="10" hidden="1">{"Annual Cash Flows",#N/A,FALSE,"Annual Summary";"qtrl1",#N/A,FALSE,"QTLY Summary";"qtrl2",#N/A,FALSE,"QTLY Summary";"qtrl3",#N/A,FALSE,"QTLY Summary";"qtrl4",#N/A,FALSE,"QTLY Summary";"qtrl5",#N/A,FALSE,"QTLY Summary";"qtrl6",#N/A,FALSE,"QTLY Summary"}</definedName>
    <definedName name="fds" localSheetId="13" hidden="1">{"Annual Cash Flows",#N/A,FALSE,"Annual Summary";"qtrl1",#N/A,FALSE,"QTLY Summary";"qtrl2",#N/A,FALSE,"QTLY Summary";"qtrl3",#N/A,FALSE,"QTLY Summary";"qtrl4",#N/A,FALSE,"QTLY Summary";"qtrl5",#N/A,FALSE,"QTLY Summary";"qtrl6",#N/A,FALSE,"QTLY Summary"}</definedName>
    <definedName name="fds" hidden="1">{"Annual Cash Flows",#N/A,FALSE,"Annual Summary";"qtrl1",#N/A,FALSE,"QTLY Summary";"qtrl2",#N/A,FALSE,"QTLY Summary";"qtrl3",#N/A,FALSE,"QTLY Summary";"qtrl4",#N/A,FALSE,"QTLY Summary";"qtrl5",#N/A,FALSE,"QTLY Summary";"qtrl6",#N/A,FALSE,"QTLY Summary"}</definedName>
    <definedName name="fh" localSheetId="2"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fh" localSheetId="21"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fh" localSheetId="22"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fh" localSheetId="15"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fh" localSheetId="17"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fh" localSheetId="10"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fh" localSheetId="13"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fh"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filler" localSheetId="2" hidden="1">{"Annual Cash Flows",#N/A,FALSE,"Annual Summary"}</definedName>
    <definedName name="filler" localSheetId="21" hidden="1">{"Annual Cash Flows",#N/A,FALSE,"Annual Summary"}</definedName>
    <definedName name="filler" localSheetId="22" hidden="1">{"Annual Cash Flows",#N/A,FALSE,"Annual Summary"}</definedName>
    <definedName name="filler" localSheetId="15" hidden="1">{"Annual Cash Flows",#N/A,FALSE,"Annual Summary"}</definedName>
    <definedName name="filler" localSheetId="17" hidden="1">{"Annual Cash Flows",#N/A,FALSE,"Annual Summary"}</definedName>
    <definedName name="filler" localSheetId="10" hidden="1">{"Annual Cash Flows",#N/A,FALSE,"Annual Summary"}</definedName>
    <definedName name="filler" localSheetId="13" hidden="1">{"Annual Cash Flows",#N/A,FALSE,"Annual Summary"}</definedName>
    <definedName name="filler" hidden="1">{"Annual Cash Flows",#N/A,FALSE,"Annual Summary"}</definedName>
    <definedName name="filler2" localSheetId="2" hidden="1">{"Assumptions",#N/A,FALSE,"Assumptions"}</definedName>
    <definedName name="filler2" localSheetId="21" hidden="1">{"Assumptions",#N/A,FALSE,"Assumptions"}</definedName>
    <definedName name="filler2" localSheetId="22" hidden="1">{"Assumptions",#N/A,FALSE,"Assumptions"}</definedName>
    <definedName name="filler2" localSheetId="15" hidden="1">{"Assumptions",#N/A,FALSE,"Assumptions"}</definedName>
    <definedName name="filler2" localSheetId="17" hidden="1">{"Assumptions",#N/A,FALSE,"Assumptions"}</definedName>
    <definedName name="filler2" localSheetId="10" hidden="1">{"Assumptions",#N/A,FALSE,"Assumptions"}</definedName>
    <definedName name="filler2" localSheetId="13" hidden="1">{"Assumptions",#N/A,FALSE,"Assumptions"}</definedName>
    <definedName name="filler2" hidden="1">{"Assumptions",#N/A,FALSE,"Assumptions"}</definedName>
    <definedName name="filler3" localSheetId="2" hidden="1">{"Construction Costs",#N/A,FALSE,"Total Costs"}</definedName>
    <definedName name="filler3" localSheetId="21" hidden="1">{"Construction Costs",#N/A,FALSE,"Total Costs"}</definedName>
    <definedName name="filler3" localSheetId="22" hidden="1">{"Construction Costs",#N/A,FALSE,"Total Costs"}</definedName>
    <definedName name="filler3" localSheetId="15" hidden="1">{"Construction Costs",#N/A,FALSE,"Total Costs"}</definedName>
    <definedName name="filler3" localSheetId="17" hidden="1">{"Construction Costs",#N/A,FALSE,"Total Costs"}</definedName>
    <definedName name="filler3" localSheetId="10" hidden="1">{"Construction Costs",#N/A,FALSE,"Total Costs"}</definedName>
    <definedName name="filler3" localSheetId="13" hidden="1">{"Construction Costs",#N/A,FALSE,"Total Costs"}</definedName>
    <definedName name="filler3" hidden="1">{"Construction Costs",#N/A,FALSE,"Total Costs"}</definedName>
    <definedName name="Football" localSheetId="2" hidden="1">{"cover",#N/A,TRUE,"Cover";"toc6",#N/A,TRUE,"TOC";"over",#N/A,TRUE,"Overview";"ts2",#N/A,TRUE,"Det_Trans_Sum";"ei2",#N/A,TRUE,"Earnings Impact";"ad2",#N/A,TRUE,"accretion dilution";"hg2",#N/A,TRUE,"Has-Gets";"pfis2",#N/A,TRUE,"Pro Forma Income Statement";"ca2",#N/A,TRUE,"Contribution_Analysis";"acq2",#N/A,TRUE,"Acquirer";"tar2",#N/A,TRUE,"Target"}</definedName>
    <definedName name="Football" localSheetId="21" hidden="1">{"cover",#N/A,TRUE,"Cover";"toc6",#N/A,TRUE,"TOC";"over",#N/A,TRUE,"Overview";"ts2",#N/A,TRUE,"Det_Trans_Sum";"ei2",#N/A,TRUE,"Earnings Impact";"ad2",#N/A,TRUE,"accretion dilution";"hg2",#N/A,TRUE,"Has-Gets";"pfis2",#N/A,TRUE,"Pro Forma Income Statement";"ca2",#N/A,TRUE,"Contribution_Analysis";"acq2",#N/A,TRUE,"Acquirer";"tar2",#N/A,TRUE,"Target"}</definedName>
    <definedName name="Football" localSheetId="22" hidden="1">{"cover",#N/A,TRUE,"Cover";"toc6",#N/A,TRUE,"TOC";"over",#N/A,TRUE,"Overview";"ts2",#N/A,TRUE,"Det_Trans_Sum";"ei2",#N/A,TRUE,"Earnings Impact";"ad2",#N/A,TRUE,"accretion dilution";"hg2",#N/A,TRUE,"Has-Gets";"pfis2",#N/A,TRUE,"Pro Forma Income Statement";"ca2",#N/A,TRUE,"Contribution_Analysis";"acq2",#N/A,TRUE,"Acquirer";"tar2",#N/A,TRUE,"Target"}</definedName>
    <definedName name="Football" localSheetId="15" hidden="1">{"cover",#N/A,TRUE,"Cover";"toc6",#N/A,TRUE,"TOC";"over",#N/A,TRUE,"Overview";"ts2",#N/A,TRUE,"Det_Trans_Sum";"ei2",#N/A,TRUE,"Earnings Impact";"ad2",#N/A,TRUE,"accretion dilution";"hg2",#N/A,TRUE,"Has-Gets";"pfis2",#N/A,TRUE,"Pro Forma Income Statement";"ca2",#N/A,TRUE,"Contribution_Analysis";"acq2",#N/A,TRUE,"Acquirer";"tar2",#N/A,TRUE,"Target"}</definedName>
    <definedName name="Football" localSheetId="17" hidden="1">{"cover",#N/A,TRUE,"Cover";"toc6",#N/A,TRUE,"TOC";"over",#N/A,TRUE,"Overview";"ts2",#N/A,TRUE,"Det_Trans_Sum";"ei2",#N/A,TRUE,"Earnings Impact";"ad2",#N/A,TRUE,"accretion dilution";"hg2",#N/A,TRUE,"Has-Gets";"pfis2",#N/A,TRUE,"Pro Forma Income Statement";"ca2",#N/A,TRUE,"Contribution_Analysis";"acq2",#N/A,TRUE,"Acquirer";"tar2",#N/A,TRUE,"Target"}</definedName>
    <definedName name="Football" localSheetId="10" hidden="1">{"cover",#N/A,TRUE,"Cover";"toc6",#N/A,TRUE,"TOC";"over",#N/A,TRUE,"Overview";"ts2",#N/A,TRUE,"Det_Trans_Sum";"ei2",#N/A,TRUE,"Earnings Impact";"ad2",#N/A,TRUE,"accretion dilution";"hg2",#N/A,TRUE,"Has-Gets";"pfis2",#N/A,TRUE,"Pro Forma Income Statement";"ca2",#N/A,TRUE,"Contribution_Analysis";"acq2",#N/A,TRUE,"Acquirer";"tar2",#N/A,TRUE,"Target"}</definedName>
    <definedName name="Football" localSheetId="13" hidden="1">{"cover",#N/A,TRUE,"Cover";"toc6",#N/A,TRUE,"TOC";"over",#N/A,TRUE,"Overview";"ts2",#N/A,TRUE,"Det_Trans_Sum";"ei2",#N/A,TRUE,"Earnings Impact";"ad2",#N/A,TRUE,"accretion dilution";"hg2",#N/A,TRUE,"Has-Gets";"pfis2",#N/A,TRUE,"Pro Forma Income Statement";"ca2",#N/A,TRUE,"Contribution_Analysis";"acq2",#N/A,TRUE,"Acquirer";"tar2",#N/A,TRUE,"Target"}</definedName>
    <definedName name="Football" hidden="1">{"cover",#N/A,TRUE,"Cover";"toc6",#N/A,TRUE,"TOC";"over",#N/A,TRUE,"Overview";"ts2",#N/A,TRUE,"Det_Trans_Sum";"ei2",#N/A,TRUE,"Earnings Impact";"ad2",#N/A,TRUE,"accretion dilution";"hg2",#N/A,TRUE,"Has-Gets";"pfis2",#N/A,TRUE,"Pro Forma Income Statement";"ca2",#N/A,TRUE,"Contribution_Analysis";"acq2",#N/A,TRUE,"Acquirer";"tar2",#N/A,TRUE,"Target"}</definedName>
    <definedName name="fsa" localSheetId="2" hidden="1">{"cover",#N/A,TRUE,"Cover";"toc6",#N/A,TRUE,"TOC";"over",#N/A,TRUE,"Overview";"ts2",#N/A,TRUE,"Det_Trans_Sum";"ei1",#N/A,TRUE,"Earnings Impact";"ad1",#N/A,TRUE,"accretion dilution";"hg1",#N/A,TRUE,"Has-Gets";"pfis1",#N/A,TRUE,"Pro Forma Income Statement";"ca1",#N/A,TRUE,"Contribution_Analysis";"acq1",#N/A,TRUE,"Acquirer";"tar1",#N/A,TRUE,"Target"}</definedName>
    <definedName name="fsa" localSheetId="21" hidden="1">{"cover",#N/A,TRUE,"Cover";"toc6",#N/A,TRUE,"TOC";"over",#N/A,TRUE,"Overview";"ts2",#N/A,TRUE,"Det_Trans_Sum";"ei1",#N/A,TRUE,"Earnings Impact";"ad1",#N/A,TRUE,"accretion dilution";"hg1",#N/A,TRUE,"Has-Gets";"pfis1",#N/A,TRUE,"Pro Forma Income Statement";"ca1",#N/A,TRUE,"Contribution_Analysis";"acq1",#N/A,TRUE,"Acquirer";"tar1",#N/A,TRUE,"Target"}</definedName>
    <definedName name="fsa" localSheetId="22" hidden="1">{"cover",#N/A,TRUE,"Cover";"toc6",#N/A,TRUE,"TOC";"over",#N/A,TRUE,"Overview";"ts2",#N/A,TRUE,"Det_Trans_Sum";"ei1",#N/A,TRUE,"Earnings Impact";"ad1",#N/A,TRUE,"accretion dilution";"hg1",#N/A,TRUE,"Has-Gets";"pfis1",#N/A,TRUE,"Pro Forma Income Statement";"ca1",#N/A,TRUE,"Contribution_Analysis";"acq1",#N/A,TRUE,"Acquirer";"tar1",#N/A,TRUE,"Target"}</definedName>
    <definedName name="fsa" localSheetId="15" hidden="1">{"cover",#N/A,TRUE,"Cover";"toc6",#N/A,TRUE,"TOC";"over",#N/A,TRUE,"Overview";"ts2",#N/A,TRUE,"Det_Trans_Sum";"ei1",#N/A,TRUE,"Earnings Impact";"ad1",#N/A,TRUE,"accretion dilution";"hg1",#N/A,TRUE,"Has-Gets";"pfis1",#N/A,TRUE,"Pro Forma Income Statement";"ca1",#N/A,TRUE,"Contribution_Analysis";"acq1",#N/A,TRUE,"Acquirer";"tar1",#N/A,TRUE,"Target"}</definedName>
    <definedName name="fsa" localSheetId="17" hidden="1">{"cover",#N/A,TRUE,"Cover";"toc6",#N/A,TRUE,"TOC";"over",#N/A,TRUE,"Overview";"ts2",#N/A,TRUE,"Det_Trans_Sum";"ei1",#N/A,TRUE,"Earnings Impact";"ad1",#N/A,TRUE,"accretion dilution";"hg1",#N/A,TRUE,"Has-Gets";"pfis1",#N/A,TRUE,"Pro Forma Income Statement";"ca1",#N/A,TRUE,"Contribution_Analysis";"acq1",#N/A,TRUE,"Acquirer";"tar1",#N/A,TRUE,"Target"}</definedName>
    <definedName name="fsa" localSheetId="10" hidden="1">{"cover",#N/A,TRUE,"Cover";"toc6",#N/A,TRUE,"TOC";"over",#N/A,TRUE,"Overview";"ts2",#N/A,TRUE,"Det_Trans_Sum";"ei1",#N/A,TRUE,"Earnings Impact";"ad1",#N/A,TRUE,"accretion dilution";"hg1",#N/A,TRUE,"Has-Gets";"pfis1",#N/A,TRUE,"Pro Forma Income Statement";"ca1",#N/A,TRUE,"Contribution_Analysis";"acq1",#N/A,TRUE,"Acquirer";"tar1",#N/A,TRUE,"Target"}</definedName>
    <definedName name="fsa" localSheetId="13" hidden="1">{"cover",#N/A,TRUE,"Cover";"toc6",#N/A,TRUE,"TOC";"over",#N/A,TRUE,"Overview";"ts2",#N/A,TRUE,"Det_Trans_Sum";"ei1",#N/A,TRUE,"Earnings Impact";"ad1",#N/A,TRUE,"accretion dilution";"hg1",#N/A,TRUE,"Has-Gets";"pfis1",#N/A,TRUE,"Pro Forma Income Statement";"ca1",#N/A,TRUE,"Contribution_Analysis";"acq1",#N/A,TRUE,"Acquirer";"tar1",#N/A,TRUE,"Target"}</definedName>
    <definedName name="fsa" hidden="1">{"cover",#N/A,TRUE,"Cover";"toc6",#N/A,TRUE,"TOC";"over",#N/A,TRUE,"Overview";"ts2",#N/A,TRUE,"Det_Trans_Sum";"ei1",#N/A,TRUE,"Earnings Impact";"ad1",#N/A,TRUE,"accretion dilution";"hg1",#N/A,TRUE,"Has-Gets";"pfis1",#N/A,TRUE,"Pro Forma Income Statement";"ca1",#N/A,TRUE,"Contribution_Analysis";"acq1",#N/A,TRUE,"Acquirer";"tar1",#N/A,TRUE,"Target"}</definedName>
    <definedName name="fuckface" localSheetId="21" hidden="1">{#N/A,#N/A,FALSE,"Assumptions";#N/A,#N/A,FALSE,"Impact Assumptions";#N/A,#N/A,FALSE,"10-Yr - detail";#N/A,#N/A,FALSE,"1,5,10 yr comp";#N/A,#N/A,FALSE,"Lse-Exp.";#N/A,#N/A,FALSE,"Rent Roll";#N/A,#N/A,FALSE,"Historical (2)";#N/A,#N/A,FALSE,"RET's";#N/A,#N/A,FALSE,"Lease Rollover"}</definedName>
    <definedName name="fuckface" localSheetId="22" hidden="1">{#N/A,#N/A,FALSE,"Assumptions";#N/A,#N/A,FALSE,"Impact Assumptions";#N/A,#N/A,FALSE,"10-Yr - detail";#N/A,#N/A,FALSE,"1,5,10 yr comp";#N/A,#N/A,FALSE,"Lse-Exp.";#N/A,#N/A,FALSE,"Rent Roll";#N/A,#N/A,FALSE,"Historical (2)";#N/A,#N/A,FALSE,"RET's";#N/A,#N/A,FALSE,"Lease Rollover"}</definedName>
    <definedName name="fuckface" localSheetId="17" hidden="1">{#N/A,#N/A,FALSE,"Assumptions";#N/A,#N/A,FALSE,"Impact Assumptions";#N/A,#N/A,FALSE,"10-Yr - detail";#N/A,#N/A,FALSE,"1,5,10 yr comp";#N/A,#N/A,FALSE,"Lse-Exp.";#N/A,#N/A,FALSE,"Rent Roll";#N/A,#N/A,FALSE,"Historical (2)";#N/A,#N/A,FALSE,"RET's";#N/A,#N/A,FALSE,"Lease Rollover"}</definedName>
    <definedName name="fuckface" localSheetId="10" hidden="1">{#N/A,#N/A,FALSE,"Assumptions";#N/A,#N/A,FALSE,"Impact Assumptions";#N/A,#N/A,FALSE,"10-Yr - detail";#N/A,#N/A,FALSE,"1,5,10 yr comp";#N/A,#N/A,FALSE,"Lse-Exp.";#N/A,#N/A,FALSE,"Rent Roll";#N/A,#N/A,FALSE,"Historical (2)";#N/A,#N/A,FALSE,"RET's";#N/A,#N/A,FALSE,"Lease Rollover"}</definedName>
    <definedName name="fuckface" hidden="1">{#N/A,#N/A,FALSE,"Assumptions";#N/A,#N/A,FALSE,"Impact Assumptions";#N/A,#N/A,FALSE,"10-Yr - detail";#N/A,#N/A,FALSE,"1,5,10 yr comp";#N/A,#N/A,FALSE,"Lse-Exp.";#N/A,#N/A,FALSE,"Rent Roll";#N/A,#N/A,FALSE,"Historical (2)";#N/A,#N/A,FALSE,"RET's";#N/A,#N/A,FALSE,"Lease Rollover"}</definedName>
    <definedName name="help" localSheetId="2" hidden="1">{#N/A,#N/A,FALSE,"SUMMARY";#N/A,#N/A,FALSE,"RET ON CAP"}</definedName>
    <definedName name="help" localSheetId="21" hidden="1">{#N/A,#N/A,FALSE,"SUMMARY";#N/A,#N/A,FALSE,"RET ON CAP"}</definedName>
    <definedName name="help" localSheetId="22" hidden="1">{#N/A,#N/A,FALSE,"SUMMARY";#N/A,#N/A,FALSE,"RET ON CAP"}</definedName>
    <definedName name="help" localSheetId="15" hidden="1">{#N/A,#N/A,FALSE,"SUMMARY";#N/A,#N/A,FALSE,"RET ON CAP"}</definedName>
    <definedName name="help" localSheetId="17" hidden="1">{#N/A,#N/A,FALSE,"SUMMARY";#N/A,#N/A,FALSE,"RET ON CAP"}</definedName>
    <definedName name="help" localSheetId="10" hidden="1">{#N/A,#N/A,FALSE,"SUMMARY";#N/A,#N/A,FALSE,"RET ON CAP"}</definedName>
    <definedName name="help" localSheetId="13" hidden="1">{#N/A,#N/A,FALSE,"SUMMARY";#N/A,#N/A,FALSE,"RET ON CAP"}</definedName>
    <definedName name="help" hidden="1">{#N/A,#N/A,FALSE,"SUMMARY";#N/A,#N/A,FALSE,"RET ON CAP"}</definedName>
    <definedName name="hhh" localSheetId="2"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hhh" localSheetId="21"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hhh" localSheetId="22"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hhh" localSheetId="15"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hhh" localSheetId="17"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hhh" localSheetId="10"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hhh" localSheetId="13"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hhh"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hope" localSheetId="21" hidden="1">{#N/A,#N/A,FALSE,"LP Exp";#N/A,#N/A,FALSE,"Salary";#N/A,#N/A,FALSE,"Admin Exp";#N/A,#N/A,FALSE,"QTS Bud";#N/A,#N/A,FALSE,"Marketing"}</definedName>
    <definedName name="hope" localSheetId="22" hidden="1">{#N/A,#N/A,FALSE,"LP Exp";#N/A,#N/A,FALSE,"Salary";#N/A,#N/A,FALSE,"Admin Exp";#N/A,#N/A,FALSE,"QTS Bud";#N/A,#N/A,FALSE,"Marketing"}</definedName>
    <definedName name="hope" localSheetId="17" hidden="1">{#N/A,#N/A,FALSE,"LP Exp";#N/A,#N/A,FALSE,"Salary";#N/A,#N/A,FALSE,"Admin Exp";#N/A,#N/A,FALSE,"QTS Bud";#N/A,#N/A,FALSE,"Marketing"}</definedName>
    <definedName name="hope" localSheetId="10" hidden="1">{#N/A,#N/A,FALSE,"LP Exp";#N/A,#N/A,FALSE,"Salary";#N/A,#N/A,FALSE,"Admin Exp";#N/A,#N/A,FALSE,"QTS Bud";#N/A,#N/A,FALSE,"Marketing"}</definedName>
    <definedName name="hope" hidden="1">{#N/A,#N/A,FALSE,"LP Exp";#N/A,#N/A,FALSE,"Salary";#N/A,#N/A,FALSE,"Admin Exp";#N/A,#N/A,FALSE,"QTS Bud";#N/A,#N/A,FALSE,"Marketing"}</definedName>
    <definedName name="hope_condo" localSheetId="21" hidden="1">{#N/A,#N/A,FALSE,"LP Exp";#N/A,#N/A,FALSE,"Salary";#N/A,#N/A,FALSE,"Admin Exp";#N/A,#N/A,FALSE,"QTS Bud";#N/A,#N/A,FALSE,"Marketing"}</definedName>
    <definedName name="hope_condo" localSheetId="22" hidden="1">{#N/A,#N/A,FALSE,"LP Exp";#N/A,#N/A,FALSE,"Salary";#N/A,#N/A,FALSE,"Admin Exp";#N/A,#N/A,FALSE,"QTS Bud";#N/A,#N/A,FALSE,"Marketing"}</definedName>
    <definedName name="hope_condo" localSheetId="17" hidden="1">{#N/A,#N/A,FALSE,"LP Exp";#N/A,#N/A,FALSE,"Salary";#N/A,#N/A,FALSE,"Admin Exp";#N/A,#N/A,FALSE,"QTS Bud";#N/A,#N/A,FALSE,"Marketing"}</definedName>
    <definedName name="hope_condo" localSheetId="10" hidden="1">{#N/A,#N/A,FALSE,"LP Exp";#N/A,#N/A,FALSE,"Salary";#N/A,#N/A,FALSE,"Admin Exp";#N/A,#N/A,FALSE,"QTS Bud";#N/A,#N/A,FALSE,"Marketing"}</definedName>
    <definedName name="hope_condo" hidden="1">{#N/A,#N/A,FALSE,"LP Exp";#N/A,#N/A,FALSE,"Salary";#N/A,#N/A,FALSE,"Admin Exp";#N/A,#N/A,FALSE,"QTS Bud";#N/A,#N/A,FALSE,"Marketing"}</definedName>
    <definedName name="HRADJ2" localSheetId="2" hidden="1">{"2007",#N/A,FALSE,"SUMMARY";"2007",#N/A,FALSE,"RET ON CAP";"2007",#N/A,FALSE,"PROFORMA";"2007",#N/A,FALSE,"Assumptions";"2007",#N/A,FALSE,"Sales &amp; Marketing";"2007",#N/A,FALSE,"Overhead";"2007",#N/A,FALSE,"General Project";"2007",#N/A,FALSE,"Development"}</definedName>
    <definedName name="HRADJ2" localSheetId="21" hidden="1">{"2007",#N/A,FALSE,"SUMMARY";"2007",#N/A,FALSE,"RET ON CAP";"2007",#N/A,FALSE,"PROFORMA";"2007",#N/A,FALSE,"Assumptions";"2007",#N/A,FALSE,"Sales &amp; Marketing";"2007",#N/A,FALSE,"Overhead";"2007",#N/A,FALSE,"General Project";"2007",#N/A,FALSE,"Development"}</definedName>
    <definedName name="HRADJ2" localSheetId="22" hidden="1">{"2007",#N/A,FALSE,"SUMMARY";"2007",#N/A,FALSE,"RET ON CAP";"2007",#N/A,FALSE,"PROFORMA";"2007",#N/A,FALSE,"Assumptions";"2007",#N/A,FALSE,"Sales &amp; Marketing";"2007",#N/A,FALSE,"Overhead";"2007",#N/A,FALSE,"General Project";"2007",#N/A,FALSE,"Development"}</definedName>
    <definedName name="HRADJ2" localSheetId="15" hidden="1">{"2007",#N/A,FALSE,"SUMMARY";"2007",#N/A,FALSE,"RET ON CAP";"2007",#N/A,FALSE,"PROFORMA";"2007",#N/A,FALSE,"Assumptions";"2007",#N/A,FALSE,"Sales &amp; Marketing";"2007",#N/A,FALSE,"Overhead";"2007",#N/A,FALSE,"General Project";"2007",#N/A,FALSE,"Development"}</definedName>
    <definedName name="HRADJ2" localSheetId="17" hidden="1">{"2007",#N/A,FALSE,"SUMMARY";"2007",#N/A,FALSE,"RET ON CAP";"2007",#N/A,FALSE,"PROFORMA";"2007",#N/A,FALSE,"Assumptions";"2007",#N/A,FALSE,"Sales &amp; Marketing";"2007",#N/A,FALSE,"Overhead";"2007",#N/A,FALSE,"General Project";"2007",#N/A,FALSE,"Development"}</definedName>
    <definedName name="HRADJ2" localSheetId="10" hidden="1">{"2007",#N/A,FALSE,"SUMMARY";"2007",#N/A,FALSE,"RET ON CAP";"2007",#N/A,FALSE,"PROFORMA";"2007",#N/A,FALSE,"Assumptions";"2007",#N/A,FALSE,"Sales &amp; Marketing";"2007",#N/A,FALSE,"Overhead";"2007",#N/A,FALSE,"General Project";"2007",#N/A,FALSE,"Development"}</definedName>
    <definedName name="HRADJ2" localSheetId="13" hidden="1">{"2007",#N/A,FALSE,"SUMMARY";"2007",#N/A,FALSE,"RET ON CAP";"2007",#N/A,FALSE,"PROFORMA";"2007",#N/A,FALSE,"Assumptions";"2007",#N/A,FALSE,"Sales &amp; Marketing";"2007",#N/A,FALSE,"Overhead";"2007",#N/A,FALSE,"General Project";"2007",#N/A,FALSE,"Development"}</definedName>
    <definedName name="HRADJ2" hidden="1">{"2007",#N/A,FALSE,"SUMMARY";"2007",#N/A,FALSE,"RET ON CAP";"2007",#N/A,FALSE,"PROFORMA";"2007",#N/A,FALSE,"Assumptions";"2007",#N/A,FALSE,"Sales &amp; Marketing";"2007",#N/A,FALSE,"Overhead";"2007",#N/A,FALSE,"General Project";"2007",#N/A,FALSE,"Development"}</definedName>
    <definedName name="html" localSheetId="21" hidden="1">{"'Assump'!$F$6:$J$6"}</definedName>
    <definedName name="html" localSheetId="22" hidden="1">{"'Assump'!$F$6:$J$6"}</definedName>
    <definedName name="html" localSheetId="17" hidden="1">{"'Assump'!$F$6:$J$6"}</definedName>
    <definedName name="html" localSheetId="10" hidden="1">{"'Assump'!$F$6:$J$6"}</definedName>
    <definedName name="html" hidden="1">{"'Assump'!$F$6:$J$6"}</definedName>
    <definedName name="HTML_CodePage" hidden="1">1252</definedName>
    <definedName name="HTML_Control" localSheetId="21" hidden="1">{"'Assump'!$F$6:$J$6"}</definedName>
    <definedName name="HTML_Control" localSheetId="22" hidden="1">{"'Assump'!$F$6:$J$6"}</definedName>
    <definedName name="HTML_Control" localSheetId="17" hidden="1">{"'Assump'!$F$6:$J$6"}</definedName>
    <definedName name="HTML_Control" localSheetId="10" hidden="1">{"'Assump'!$F$6:$J$6"}</definedName>
    <definedName name="HTML_Control" hidden="1">{"'Assump'!$F$6:$J$6"}</definedName>
    <definedName name="HTML_Description" hidden="1">""</definedName>
    <definedName name="HTML_Email" hidden="1">""</definedName>
    <definedName name="HTML_Header" hidden="1">"Assump"</definedName>
    <definedName name="HTML_LastUpdate" hidden="1">"7/24/98"</definedName>
    <definedName name="HTML_LineAfter" hidden="1">FALSE</definedName>
    <definedName name="HTML_LineBefore" hidden="1">FALSE</definedName>
    <definedName name="HTML_Name" hidden="1">"Russell Caplin"</definedName>
    <definedName name="HTML_OBDlg2" hidden="1">TRUE</definedName>
    <definedName name="HTML_OBDlg4" hidden="1">TRUE</definedName>
    <definedName name="HTML_OS" hidden="1">0</definedName>
    <definedName name="HTML_PathFile" hidden="1">"C:\acg\MyHTML.htm"</definedName>
    <definedName name="HTML_Title" hidden="1">"ashish"</definedName>
    <definedName name="htmlnew" localSheetId="21" hidden="1">{"'Assump'!$F$6:$J$6"}</definedName>
    <definedName name="htmlnew" localSheetId="22" hidden="1">{"'Assump'!$F$6:$J$6"}</definedName>
    <definedName name="htmlnew" localSheetId="17" hidden="1">{"'Assump'!$F$6:$J$6"}</definedName>
    <definedName name="htmlnew" localSheetId="10" hidden="1">{"'Assump'!$F$6:$J$6"}</definedName>
    <definedName name="htmlnew" hidden="1">{"'Assump'!$F$6:$J$6"}</definedName>
    <definedName name="huh" localSheetId="21" hidden="1">{#N/A,#N/A,FALSE,"Assumptions";#N/A,#N/A,FALSE,"Impact Assumptions";#N/A,#N/A,FALSE,"10-Yr - detail";#N/A,#N/A,FALSE,"1,5,10 yr comp";#N/A,#N/A,FALSE,"Lse-Exp.";#N/A,#N/A,FALSE,"Rent Roll";#N/A,#N/A,FALSE,"Historical (2)";#N/A,#N/A,FALSE,"RET's";#N/A,#N/A,FALSE,"Lease Rollover"}</definedName>
    <definedName name="huh" localSheetId="22" hidden="1">{#N/A,#N/A,FALSE,"Assumptions";#N/A,#N/A,FALSE,"Impact Assumptions";#N/A,#N/A,FALSE,"10-Yr - detail";#N/A,#N/A,FALSE,"1,5,10 yr comp";#N/A,#N/A,FALSE,"Lse-Exp.";#N/A,#N/A,FALSE,"Rent Roll";#N/A,#N/A,FALSE,"Historical (2)";#N/A,#N/A,FALSE,"RET's";#N/A,#N/A,FALSE,"Lease Rollover"}</definedName>
    <definedName name="huh" localSheetId="17" hidden="1">{#N/A,#N/A,FALSE,"Assumptions";#N/A,#N/A,FALSE,"Impact Assumptions";#N/A,#N/A,FALSE,"10-Yr - detail";#N/A,#N/A,FALSE,"1,5,10 yr comp";#N/A,#N/A,FALSE,"Lse-Exp.";#N/A,#N/A,FALSE,"Rent Roll";#N/A,#N/A,FALSE,"Historical (2)";#N/A,#N/A,FALSE,"RET's";#N/A,#N/A,FALSE,"Lease Rollover"}</definedName>
    <definedName name="huh" localSheetId="10" hidden="1">{#N/A,#N/A,FALSE,"Assumptions";#N/A,#N/A,FALSE,"Impact Assumptions";#N/A,#N/A,FALSE,"10-Yr - detail";#N/A,#N/A,FALSE,"1,5,10 yr comp";#N/A,#N/A,FALSE,"Lse-Exp.";#N/A,#N/A,FALSE,"Rent Roll";#N/A,#N/A,FALSE,"Historical (2)";#N/A,#N/A,FALSE,"RET's";#N/A,#N/A,FALSE,"Lease Rollover"}</definedName>
    <definedName name="huh" hidden="1">{#N/A,#N/A,FALSE,"Assumptions";#N/A,#N/A,FALSE,"Impact Assumptions";#N/A,#N/A,FALSE,"10-Yr - detail";#N/A,#N/A,FALSE,"1,5,10 yr comp";#N/A,#N/A,FALSE,"Lse-Exp.";#N/A,#N/A,FALSE,"Rent Roll";#N/A,#N/A,FALSE,"Historical (2)";#N/A,#N/A,FALSE,"RET's";#N/A,#N/A,FALSE,"Lease Rollover"}</definedName>
    <definedName name="iamortization">[1]Inputs!$G$22</definedName>
    <definedName name="iassetmgmtfeepercent">[1]Inputs!$D$24</definedName>
    <definedName name="iassetmgmtmin">[1]Inputs!$C$24</definedName>
    <definedName name="ibaseindex">[1]Inputs!$G$25</definedName>
    <definedName name="ibaseindexrate">[1]Inputs!$G$26</definedName>
    <definedName name="IC" hidden="1">{"Texas Sub_Consolidation",#N/A,TRUE,"Texas";"Texas Trial Balances",#N/A,TRUE,"Texas";"Texas Investment Analysis",#N/A,TRUE,"Texas";"Texas AJEs",#N/A,TRUE,"Texas";"Texas AJE Summary",#N/A,TRUE,"Texas";"Texas_P_L_Minority",#N/A,TRUE,"Texas"}</definedName>
    <definedName name="icapexreserve">[1]Inputs!$C$39</definedName>
    <definedName name="iclosingcosts">[1]Inputs!$K$38</definedName>
    <definedName name="icostofsale">[1]Inputs!$G$38</definedName>
    <definedName name="idealname">[1]Inputs!$C$5</definedName>
    <definedName name="ifixedrate">[1]Inputs!$G$28</definedName>
    <definedName name="igrossdispositionprice">[1]Inputs!$G$34</definedName>
    <definedName name="iInterestonly">[1]Inputs!$G$21</definedName>
    <definedName name="iloan1">[1]Inputs!$G$16</definedName>
    <definedName name="iloanrepaymentfees">[1]Inputs!$G$42</definedName>
    <definedName name="iloanterm">[1]Inputs!$G$20</definedName>
    <definedName name="index_1" localSheetId="4">#REF!</definedName>
    <definedName name="index_1" localSheetId="5">#REF!</definedName>
    <definedName name="inetproceedsbeforedebt">[1]Inputs!$G$40</definedName>
    <definedName name="IntroPrintArea" localSheetId="4" hidden="1">#REF!</definedName>
    <definedName name="IntroPrintArea" localSheetId="5" hidden="1">#REF!</definedName>
    <definedName name="IntroPrintArea" localSheetId="20" hidden="1">#REF!</definedName>
    <definedName name="IntroPrintArea" localSheetId="2" hidden="1">#REF!</definedName>
    <definedName name="IntroPrintArea" localSheetId="21" hidden="1">#REF!</definedName>
    <definedName name="IntroPrintArea" localSheetId="19" hidden="1">#REF!</definedName>
    <definedName name="IntroPrintArea" localSheetId="22" hidden="1">#REF!</definedName>
    <definedName name="IntroPrintArea" localSheetId="7" hidden="1">#REF!</definedName>
    <definedName name="IntroPrintArea" localSheetId="8" hidden="1">#REF!</definedName>
    <definedName name="IntroPrintArea" localSheetId="10" hidden="1">#REF!</definedName>
    <definedName name="IntroPrintArea" hidden="1">#REF!</definedName>
    <definedName name="iprojectenddate">[1]Inputs!$G$9</definedName>
    <definedName name="iprojectmonths">[1]Inputs!$G$8</definedName>
    <definedName name="iprojectyears">[1]Inputs!$G$7</definedName>
    <definedName name="ipropmgmtfeemin">[1]Inputs!$C$23</definedName>
    <definedName name="ipropmgmtfeepercent">[1]Inputs!$D$23</definedName>
    <definedName name="ipurchaseprice">[1]Inputs!$G$12</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SHAREOUTSTANDING" hidden="1">"c83"</definedName>
    <definedName name="IQ_AVG_TEMP_EMPLOYEES" hidden="1">"c6020"</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IVIDENDS_NET_INCOME_FDIC" hidden="1">"c6738"</definedName>
    <definedName name="IQ_CASH_DUE_BANKS" hidden="1">"c1351"</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COVERAGE_NET_CHARGE_OFFS_FDIC" hidden="1">"c6735"</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"c1348"</definedName>
    <definedName name="IQ_EPS" hidden="1">"IQ_EPS"</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EST" hidden="1">"c399"</definedName>
    <definedName name="IQ_EPS_EST_REUT" hidden="1">"c5453"</definedName>
    <definedName name="IQ_EPS_GW_EST" hidden="1">"c1737"</definedName>
    <definedName name="IQ_EPS_GW_EST_REUT" hidden="1">"c5389"</definedName>
    <definedName name="IQ_EPS_GW_HIGH_EST" hidden="1">"c1739"</definedName>
    <definedName name="IQ_EPS_GW_HIGH_EST_REUT" hidden="1">"c5391"</definedName>
    <definedName name="IQ_EPS_GW_LOW_EST" hidden="1">"c1740"</definedName>
    <definedName name="IQ_EPS_GW_LOW_EST_REUT" hidden="1">"c5392"</definedName>
    <definedName name="IQ_EPS_GW_MEDIAN_EST" hidden="1">"c1738"</definedName>
    <definedName name="IQ_EPS_GW_MEDIAN_EST_REUT" hidden="1">"c5390"</definedName>
    <definedName name="IQ_EPS_GW_NUM_EST" hidden="1">"c1741"</definedName>
    <definedName name="IQ_EPS_GW_NUM_EST_REUT" hidden="1">"c5393"</definedName>
    <definedName name="IQ_EPS_GW_STDDEV_EST" hidden="1">"c1742"</definedName>
    <definedName name="IQ_EPS_GW_STDDEV_EST_REUT" hidden="1">"c5394"</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REPORTED_EST" hidden="1">"c1744"</definedName>
    <definedName name="IQ_EPS_REPORTED_EST_REUT" hidden="1">"c5396"</definedName>
    <definedName name="IQ_EPS_REPORTED_HIGH_EST" hidden="1">"c1746"</definedName>
    <definedName name="IQ_EPS_REPORTED_HIGH_EST_REUT" hidden="1">"c5398"</definedName>
    <definedName name="IQ_EPS_REPORTED_LOW_EST" hidden="1">"c1747"</definedName>
    <definedName name="IQ_EPS_REPORTED_LOW_EST_REUT" hidden="1">"c5399"</definedName>
    <definedName name="IQ_EPS_REPORTED_MEDIAN_EST" hidden="1">"c1745"</definedName>
    <definedName name="IQ_EPS_REPORTED_MEDIAN_EST_REUT" hidden="1">"c5397"</definedName>
    <definedName name="IQ_EPS_REPORTED_NUM_EST" hidden="1">"c1748"</definedName>
    <definedName name="IQ_EPS_REPORTED_NUM_EST_REUT" hidden="1">"c5400"</definedName>
    <definedName name="IQ_EPS_REPORTED_STDDEV_EST" hidden="1">"c1749"</definedName>
    <definedName name="IQ_EPS_REPORTED_STDDEV_EST_REUT" hidden="1">"c5401"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EPS" hidden="1">"c1648"</definedName>
    <definedName name="IQ_EST_ACT_EPS_GW" hidden="1">"c1743"</definedName>
    <definedName name="IQ_EST_ACT_EPS_GW_REUT" hidden="1">"c5395"</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FFO_REUT" hidden="1">"c3843"</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EPS_GW_DIFF" hidden="1">"c1891"</definedName>
    <definedName name="IQ_EST_EPS_GW_DIFF_REUT" hidden="1">"c5429"</definedName>
    <definedName name="IQ_EST_EPS_GW_SURPRISE_PERCENT" hidden="1">"c1892"</definedName>
    <definedName name="IQ_EST_EPS_GW_SURPRISE_PERCENT_REUT" hidden="1">"c5430"</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SURPRISE_PERCENT" hidden="1">"c1894"</definedName>
    <definedName name="IQ_EST_EPS_REPORT_SURPRISE_PERCENT_REUT" hidden="1">"c5432"</definedName>
    <definedName name="IQ_EST_EPS_SURPRISE" hidden="1">"c1635"</definedName>
    <definedName name="IQ_EST_FFO_DIFF_REUT" hidden="1">"c3890"</definedName>
    <definedName name="IQ_EST_FFO_SURPRISE_PERCENT_REUT" hidden="1">"c3891"</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DJ_ACT_OR_EST" hidden="1">"c4435"</definedName>
    <definedName name="IQ_FFO_EST_REUT" hidden="1">"c3837"</definedName>
    <definedName name="IQ_FFO_HIGH_EST_REUT" hidden="1">"c3839"</definedName>
    <definedName name="IQ_FFO_LOW_EST_REUT" hidden="1">"c3840"</definedName>
    <definedName name="IQ_FFO_MEDIAN_EST_REUT" hidden="1">"c3838"</definedName>
    <definedName name="IQ_FFO_NUM_EST_REUT" hidden="1">"c3841"</definedName>
    <definedName name="IQ_FFO_PAYOUT_RATIO" hidden="1">"c3492"</definedName>
    <definedName name="IQ_FFO_SHARE_ACT_OR_EST" hidden="1">"c4446"</definedName>
    <definedName name="IQ_FFO_STDDEV_EST_REUT" hidden="1">"c3842"</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"100"</definedName>
    <definedName name="IQ_LATESTQ" hidden="1">500</definedName>
    <definedName name="IQ_LATESTQFR" hidden="1">"50"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localSheetId="11" hidden="1">41900.8131134259</definedName>
    <definedName name="IQ_NAMES_REVISION_DATE_" hidden="1">40022.8011574074</definedName>
    <definedName name="IQ_NAV_ACT_OR_EST" hidden="1">"c2225"</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 hidden="1">"c6240"</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FFO_12MONTHS" hidden="1">"c1828"</definedName>
    <definedName name="IQ_PERCENT_CHANGE_EST_FFO_12MONTHS_REUT" hidden="1">"c3938"</definedName>
    <definedName name="IQ_PERCENT_CHANGE_EST_FFO_18MONTHS" hidden="1">"c1829"</definedName>
    <definedName name="IQ_PERCENT_CHANGE_EST_FFO_18MONTHS_REUT" hidden="1">"c3939"</definedName>
    <definedName name="IQ_PERCENT_CHANGE_EST_FFO_3MONTHS" hidden="1">"c1825"</definedName>
    <definedName name="IQ_PERCENT_CHANGE_EST_FFO_3MONTHS_REUT" hidden="1">"c3935"</definedName>
    <definedName name="IQ_PERCENT_CHANGE_EST_FFO_6MONTHS" hidden="1">"c1826"</definedName>
    <definedName name="IQ_PERCENT_CHANGE_EST_FFO_6MONTHS_REUT" hidden="1">"c3936"</definedName>
    <definedName name="IQ_PERCENT_CHANGE_EST_FFO_9MONTHS" hidden="1">"c1827"</definedName>
    <definedName name="IQ_PERCENT_CHANGE_EST_FFO_9MONTHS_REUT" hidden="1">"c3937"</definedName>
    <definedName name="IQ_PERCENT_CHANGE_EST_FFO_DAY" hidden="1">"c1822"</definedName>
    <definedName name="IQ_PERCENT_CHANGE_EST_FFO_DAY_REUT" hidden="1">"c3933"</definedName>
    <definedName name="IQ_PERCENT_CHANGE_EST_FFO_MONTH" hidden="1">"c1824"</definedName>
    <definedName name="IQ_PERCENT_CHANGE_EST_FFO_MONTH_REUT" hidden="1">"c3934"</definedName>
    <definedName name="IQ_PERCENT_CHANGE_EST_FFO_WEEK" hidden="1">"c1823"</definedName>
    <definedName name="IQ_PERCENT_CHANGE_EST_FFO_WEEK_REUT" hidden="1">"c3964"</definedName>
    <definedName name="IQ_PERCENT_INSURED_FDIC" hidden="1">"c6374"</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RETURN_ASSETS_FDIC" hidden="1">"c6731"</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EDATETIME" hidden="1">"IQ_PRICEDATETIME"</definedName>
    <definedName name="IQ_PRICING_DATE" hidden="1">"c1613"</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"c1417"</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hidden="1">"c1422"</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39007.6171180556</definedName>
    <definedName name="IQ_REVISION_DATE_Flagler" hidden="1">39113.8943055556</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_BANK" hidden="1">"c2637"</definedName>
    <definedName name="IQ_SP_BANK_ACTION" hidden="1">"c2636"</definedName>
    <definedName name="IQ_SP_BANK_DATE" hidden="1">"c2635"</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"c1436"</definedName>
    <definedName name="IQ_TOTAL_RISK_BASED_CAPITAL_RATIO_FDIC" hidden="1">"c6747"</definedName>
    <definedName name="IQ_TOTAL_SECURITIES_FDIC" hidden="1">"c6306"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ratecap">[1]Inputs!$G$30</definedName>
    <definedName name="iratetype">[1]Inputs!$G$24</definedName>
    <definedName name="ispread">[1]Inputs!$G$27</definedName>
    <definedName name="isquarefeet">[1]Inputs!$C$17</definedName>
    <definedName name="istartdate">[1]Inputs!$G$6</definedName>
    <definedName name="IsTemplate" hidden="1">#REF!</definedName>
    <definedName name="iUnits">#REF!</definedName>
    <definedName name="JUNK" localSheetId="21" hidden="1">{"SCHEDULE",#N/A,FALSE,"Fin_sched"}</definedName>
    <definedName name="JUNK" localSheetId="22" hidden="1">{"SCHEDULE",#N/A,FALSE,"Fin_sched"}</definedName>
    <definedName name="JUNK" localSheetId="17" hidden="1">{"SCHEDULE",#N/A,FALSE,"Fin_sched"}</definedName>
    <definedName name="JUNK" localSheetId="10" hidden="1">{"SCHEDULE",#N/A,FALSE,"Fin_sched"}</definedName>
    <definedName name="JUNK" hidden="1">{"SCHEDULE",#N/A,FALSE,"Fin_sched"}</definedName>
    <definedName name="Junk_condo" localSheetId="21" hidden="1">{"SCHEDULE",#N/A,FALSE,"Fin_sched"}</definedName>
    <definedName name="Junk_condo" localSheetId="22" hidden="1">{"SCHEDULE",#N/A,FALSE,"Fin_sched"}</definedName>
    <definedName name="Junk_condo" localSheetId="17" hidden="1">{"SCHEDULE",#N/A,FALSE,"Fin_sched"}</definedName>
    <definedName name="Junk_condo" localSheetId="10" hidden="1">{"SCHEDULE",#N/A,FALSE,"Fin_sched"}</definedName>
    <definedName name="Junk_condo" hidden="1">{"SCHEDULE",#N/A,FALSE,"Fin_sched"}</definedName>
    <definedName name="JUNK2" localSheetId="21" hidden="1">{"SUMMARY",#N/A,FALSE,"Fin_sched"}</definedName>
    <definedName name="JUNK2" localSheetId="22" hidden="1">{"SUMMARY",#N/A,FALSE,"Fin_sched"}</definedName>
    <definedName name="JUNK2" localSheetId="17" hidden="1">{"SUMMARY",#N/A,FALSE,"Fin_sched"}</definedName>
    <definedName name="JUNK2" localSheetId="10" hidden="1">{"SUMMARY",#N/A,FALSE,"Fin_sched"}</definedName>
    <definedName name="JUNK2" hidden="1">{"SUMMARY",#N/A,FALSE,"Fin_sched"}</definedName>
    <definedName name="k" localSheetId="21" hidden="1">{#N/A,#N/A,FALSE,"Assumptions";#N/A,#N/A,FALSE,"Consol CF";#N/A,#N/A,FALSE,"matx B4 DS";#N/A,#N/A,FALSE,"Hacienda CF";#N/A,#N/A,FALSE,"matx B4 DS Hac";#N/A,#N/A,FALSE,"Chabot CF";#N/A,#N/A,FALSE,"matx B4 DS Chabot";#N/A,#N/A,FALSE,"Diablo CF";#N/A,#N/A,FALSE,"matx B4 DS Diablo"}</definedName>
    <definedName name="k" localSheetId="22" hidden="1">{#N/A,#N/A,FALSE,"Assumptions";#N/A,#N/A,FALSE,"Consol CF";#N/A,#N/A,FALSE,"matx B4 DS";#N/A,#N/A,FALSE,"Hacienda CF";#N/A,#N/A,FALSE,"matx B4 DS Hac";#N/A,#N/A,FALSE,"Chabot CF";#N/A,#N/A,FALSE,"matx B4 DS Chabot";#N/A,#N/A,FALSE,"Diablo CF";#N/A,#N/A,FALSE,"matx B4 DS Diablo"}</definedName>
    <definedName name="k" localSheetId="17" hidden="1">{#N/A,#N/A,FALSE,"Assumptions";#N/A,#N/A,FALSE,"Consol CF";#N/A,#N/A,FALSE,"matx B4 DS";#N/A,#N/A,FALSE,"Hacienda CF";#N/A,#N/A,FALSE,"matx B4 DS Hac";#N/A,#N/A,FALSE,"Chabot CF";#N/A,#N/A,FALSE,"matx B4 DS Chabot";#N/A,#N/A,FALSE,"Diablo CF";#N/A,#N/A,FALSE,"matx B4 DS Diablo"}</definedName>
    <definedName name="k" localSheetId="10" hidden="1">{#N/A,#N/A,FALSE,"Assumptions";#N/A,#N/A,FALSE,"Consol CF";#N/A,#N/A,FALSE,"matx B4 DS";#N/A,#N/A,FALSE,"Hacienda CF";#N/A,#N/A,FALSE,"matx B4 DS Hac";#N/A,#N/A,FALSE,"Chabot CF";#N/A,#N/A,FALSE,"matx B4 DS Chabot";#N/A,#N/A,FALSE,"Diablo CF";#N/A,#N/A,FALSE,"matx B4 DS Diablo"}</definedName>
    <definedName name="k" hidden="1">{#N/A,#N/A,FALSE,"Assumptions";#N/A,#N/A,FALSE,"Consol CF";#N/A,#N/A,FALSE,"matx B4 DS";#N/A,#N/A,FALSE,"Hacienda CF";#N/A,#N/A,FALSE,"matx B4 DS Hac";#N/A,#N/A,FALSE,"Chabot CF";#N/A,#N/A,FALSE,"matx B4 DS Chabot";#N/A,#N/A,FALSE,"Diablo CF";#N/A,#N/A,FALSE,"matx B4 DS Diablo"}</definedName>
    <definedName name="Konzern1" localSheetId="21" hidden="1">{#N/A,#N/A,FALSE,"Actual";#N/A,#N/A,FALSE,"Management Report 2";#N/A,#N/A,FALSE,"Management Report 3";#N/A,#N/A,FALSE,"Ergebnis";#N/A,#N/A,FALSE,"Summary";#N/A,#N/A,FALSE,"Konrzern";#N/A,#N/A,FALSE,"Abweichung Budget-Actuell"}</definedName>
    <definedName name="Konzern1" localSheetId="22" hidden="1">{#N/A,#N/A,FALSE,"Actual";#N/A,#N/A,FALSE,"Management Report 2";#N/A,#N/A,FALSE,"Management Report 3";#N/A,#N/A,FALSE,"Ergebnis";#N/A,#N/A,FALSE,"Summary";#N/A,#N/A,FALSE,"Konrzern";#N/A,#N/A,FALSE,"Abweichung Budget-Actuell"}</definedName>
    <definedName name="Konzern1" localSheetId="17" hidden="1">{#N/A,#N/A,FALSE,"Actual";#N/A,#N/A,FALSE,"Management Report 2";#N/A,#N/A,FALSE,"Management Report 3";#N/A,#N/A,FALSE,"Ergebnis";#N/A,#N/A,FALSE,"Summary";#N/A,#N/A,FALSE,"Konrzern";#N/A,#N/A,FALSE,"Abweichung Budget-Actuell"}</definedName>
    <definedName name="Konzern1" hidden="1">{#N/A,#N/A,FALSE,"Actual";#N/A,#N/A,FALSE,"Management Report 2";#N/A,#N/A,FALSE,"Management Report 3";#N/A,#N/A,FALSE,"Ergebnis";#N/A,#N/A,FALSE,"Summary";#N/A,#N/A,FALSE,"Konrzern";#N/A,#N/A,FALSE,"Abweichung Budget-Actuell"}</definedName>
    <definedName name="l" localSheetId="21" hidden="1">{#N/A,#N/A,FALSE,"Matrix";#N/A,#N/A,FALSE,"Cash Flow";#N/A,#N/A,FALSE,"10 Year Cost Analysis"}</definedName>
    <definedName name="l" localSheetId="22" hidden="1">{#N/A,#N/A,FALSE,"Matrix";#N/A,#N/A,FALSE,"Cash Flow";#N/A,#N/A,FALSE,"10 Year Cost Analysis"}</definedName>
    <definedName name="l" localSheetId="17" hidden="1">{#N/A,#N/A,FALSE,"Matrix";#N/A,#N/A,FALSE,"Cash Flow";#N/A,#N/A,FALSE,"10 Year Cost Analysis"}</definedName>
    <definedName name="l" localSheetId="10" hidden="1">{#N/A,#N/A,FALSE,"Matrix";#N/A,#N/A,FALSE,"Cash Flow";#N/A,#N/A,FALSE,"10 Year Cost Analysis"}</definedName>
    <definedName name="l" hidden="1">{#N/A,#N/A,FALSE,"Matrix";#N/A,#N/A,FALSE,"Cash Flow";#N/A,#N/A,FALSE,"10 Year Cost Analysis"}</definedName>
    <definedName name="land_cost" localSheetId="4">#REF!</definedName>
    <definedName name="land_cost" localSheetId="5">#REF!</definedName>
    <definedName name="lank" localSheetId="4" hidden="1">'Amo Schedule - Refi'!#REF!</definedName>
    <definedName name="lank" localSheetId="3" hidden="1">'Amo Schedule - Senior'!#REF!</definedName>
    <definedName name="lank" localSheetId="5" hidden="1">'Amo Schedule - Supplemental'!#REF!</definedName>
    <definedName name="lank" localSheetId="20" hidden="1">'Annual Summary'!#REF!</definedName>
    <definedName name="lank" localSheetId="2" hidden="1">'Inputs and Assumptions'!#REF!</definedName>
    <definedName name="lank" localSheetId="21" hidden="1">'JV Waterfall'!#REF!</definedName>
    <definedName name="lank" localSheetId="19" hidden="1">'Monthly Cash Flow'!#REF!</definedName>
    <definedName name="lank" localSheetId="22" hidden="1">'Pure Promote Waterfall'!#REF!</definedName>
    <definedName name="lank" localSheetId="7" hidden="1">'RRT Summary (Paste)'!#REF!</definedName>
    <definedName name="lank" localSheetId="8" hidden="1">'RRT Unit Mix (Paste)'!#REF!</definedName>
    <definedName name="lank" localSheetId="10" hidden="1">'Sponsor Pro Forma'!#REF!</definedName>
    <definedName name="lank" hidden="1">#REF!</definedName>
    <definedName name="Last_Row" localSheetId="18">IF(Values_Entered,Header_Row+Number_of_Payments,Header_Row)</definedName>
    <definedName name="Last_Row" localSheetId="21">IF('JV Waterfall'!Values_Entered,Header_Row+'JV Waterfall'!Number_of_Payments,Header_Row)</definedName>
    <definedName name="Last_Row" localSheetId="22">IF('Pure Promote Waterfall'!Values_Entered,'Pure Promote Waterfall'!Header_Row+'Pure Promote Waterfall'!Number_of_Payments,'Pure Promote Waterfall'!Header_Row)</definedName>
    <definedName name="Last_Row" localSheetId="17">IF(Values_Entered,Header_Row+Number_of_Payments,Header_Row)</definedName>
    <definedName name="Last_Row" localSheetId="7">IF('RRT Summary (Paste)'!Values_Entered,'RRT Summary (Paste)'!Header_Row+'RRT Summary (Paste)'!Number_of_Payments,'RRT Summary (Paste)'!Header_Row)</definedName>
    <definedName name="Last_Row" localSheetId="8">IF('RRT Unit Mix (Paste)'!Values_Entered,'RRT Unit Mix (Paste)'!Header_Row+'RRT Unit Mix (Paste)'!Number_of_Payments,'RRT Unit Mix (Paste)'!Header_Row)</definedName>
    <definedName name="Last_Row">IF(Values_Entered,Header_Row+Number_of_Payments,Header_Row)</definedName>
    <definedName name="LastRowA">4</definedName>
    <definedName name="ListOffset" hidden="1">1</definedName>
    <definedName name="ll" localSheetId="21" hidden="1">{#N/A,#N/A,TRUE,"Maritime Park Arena PCD";#N/A,#N/A,TRUE,"Maritime Park Arena IOR"}</definedName>
    <definedName name="ll" localSheetId="22" hidden="1">{#N/A,#N/A,TRUE,"Maritime Park Arena PCD";#N/A,#N/A,TRUE,"Maritime Park Arena IOR"}</definedName>
    <definedName name="ll" localSheetId="17" hidden="1">{#N/A,#N/A,TRUE,"Maritime Park Arena PCD";#N/A,#N/A,TRUE,"Maritime Park Arena IOR"}</definedName>
    <definedName name="ll" localSheetId="10" hidden="1">{#N/A,#N/A,TRUE,"Maritime Park Arena PCD";#N/A,#N/A,TRUE,"Maritime Park Arena IOR"}</definedName>
    <definedName name="ll" hidden="1">{#N/A,#N/A,TRUE,"Maritime Park Arena PCD";#N/A,#N/A,TRUE,"Maritime Park Arena IOR"}</definedName>
    <definedName name="loan_type" localSheetId="4">#REF!</definedName>
    <definedName name="loan_type" localSheetId="5">#REF!</definedName>
    <definedName name="Louvers" localSheetId="21" hidden="1">{#N/A,#N/A,TRUE,"Ericsson Stadium PCD ";#N/A,#N/A,TRUE,"Ericsson Stadium IOR"}</definedName>
    <definedName name="Louvers" localSheetId="22" hidden="1">{#N/A,#N/A,TRUE,"Ericsson Stadium PCD ";#N/A,#N/A,TRUE,"Ericsson Stadium IOR"}</definedName>
    <definedName name="Louvers" localSheetId="17" hidden="1">{#N/A,#N/A,TRUE,"Ericsson Stadium PCD ";#N/A,#N/A,TRUE,"Ericsson Stadium IOR"}</definedName>
    <definedName name="Louvers" localSheetId="10" hidden="1">{#N/A,#N/A,TRUE,"Ericsson Stadium PCD ";#N/A,#N/A,TRUE,"Ericsson Stadium IOR"}</definedName>
    <definedName name="Louvers" hidden="1">{#N/A,#N/A,TRUE,"Ericsson Stadium PCD ";#N/A,#N/A,TRUE,"Ericsson Stadium IOR"}</definedName>
    <definedName name="Louversa" localSheetId="21" hidden="1">{#N/A,#N/A,TRUE,"Ericsson Stadium PCD ";#N/A,#N/A,TRUE,"Ericsson Stadium IOR"}</definedName>
    <definedName name="Louversa" localSheetId="22" hidden="1">{#N/A,#N/A,TRUE,"Ericsson Stadium PCD ";#N/A,#N/A,TRUE,"Ericsson Stadium IOR"}</definedName>
    <definedName name="Louversa" localSheetId="17" hidden="1">{#N/A,#N/A,TRUE,"Ericsson Stadium PCD ";#N/A,#N/A,TRUE,"Ericsson Stadium IOR"}</definedName>
    <definedName name="Louversa" localSheetId="10" hidden="1">{#N/A,#N/A,TRUE,"Ericsson Stadium PCD ";#N/A,#N/A,TRUE,"Ericsson Stadium IOR"}</definedName>
    <definedName name="Louversa" hidden="1">{#N/A,#N/A,TRUE,"Ericsson Stadium PCD ";#N/A,#N/A,TRUE,"Ericsson Stadium IOR"}</definedName>
    <definedName name="lsit" localSheetId="2" hidden="1">{#N/A,#N/A,FALSE,"Bennington";#N/A,#N/A,FALSE,"Castle Court";#N/A,#N/A,FALSE,"Century Hills";#N/A,#N/A,FALSE,"Edgewater Hills";#N/A,#N/A,FALSE,"Edgewater Terrace";#N/A,#N/A,FALSE,"Edgewater Village";#N/A,#N/A,FALSE,"Fairfax";#N/A,#N/A,FALSE,"Gen. Wash.";#N/A,#N/A,FALSE,"Huntington-Unfurnished";#N/A,#N/A,FALSE,"Huntington-Furnished";#N/A,#N/A,FALSE,"Iris Court";#N/A,#N/A,FALSE,"North Park";#N/A,#N/A,FALSE,"Talbot Woods";#N/A,#N/A,FALSE,"Parkview";#N/A,#N/A,FALSE,"Westgate"}</definedName>
    <definedName name="lsit" localSheetId="21" hidden="1">{#N/A,#N/A,FALSE,"Bennington";#N/A,#N/A,FALSE,"Castle Court";#N/A,#N/A,FALSE,"Century Hills";#N/A,#N/A,FALSE,"Edgewater Hills";#N/A,#N/A,FALSE,"Edgewater Terrace";#N/A,#N/A,FALSE,"Edgewater Village";#N/A,#N/A,FALSE,"Fairfax";#N/A,#N/A,FALSE,"Gen. Wash.";#N/A,#N/A,FALSE,"Huntington-Unfurnished";#N/A,#N/A,FALSE,"Huntington-Furnished";#N/A,#N/A,FALSE,"Iris Court";#N/A,#N/A,FALSE,"North Park";#N/A,#N/A,FALSE,"Talbot Woods";#N/A,#N/A,FALSE,"Parkview";#N/A,#N/A,FALSE,"Westgate"}</definedName>
    <definedName name="lsit" localSheetId="22" hidden="1">{#N/A,#N/A,FALSE,"Bennington";#N/A,#N/A,FALSE,"Castle Court";#N/A,#N/A,FALSE,"Century Hills";#N/A,#N/A,FALSE,"Edgewater Hills";#N/A,#N/A,FALSE,"Edgewater Terrace";#N/A,#N/A,FALSE,"Edgewater Village";#N/A,#N/A,FALSE,"Fairfax";#N/A,#N/A,FALSE,"Gen. Wash.";#N/A,#N/A,FALSE,"Huntington-Unfurnished";#N/A,#N/A,FALSE,"Huntington-Furnished";#N/A,#N/A,FALSE,"Iris Court";#N/A,#N/A,FALSE,"North Park";#N/A,#N/A,FALSE,"Talbot Woods";#N/A,#N/A,FALSE,"Parkview";#N/A,#N/A,FALSE,"Westgate"}</definedName>
    <definedName name="lsit" localSheetId="15" hidden="1">{#N/A,#N/A,FALSE,"Bennington";#N/A,#N/A,FALSE,"Castle Court";#N/A,#N/A,FALSE,"Century Hills";#N/A,#N/A,FALSE,"Edgewater Hills";#N/A,#N/A,FALSE,"Edgewater Terrace";#N/A,#N/A,FALSE,"Edgewater Village";#N/A,#N/A,FALSE,"Fairfax";#N/A,#N/A,FALSE,"Gen. Wash.";#N/A,#N/A,FALSE,"Huntington-Unfurnished";#N/A,#N/A,FALSE,"Huntington-Furnished";#N/A,#N/A,FALSE,"Iris Court";#N/A,#N/A,FALSE,"North Park";#N/A,#N/A,FALSE,"Talbot Woods";#N/A,#N/A,FALSE,"Parkview";#N/A,#N/A,FALSE,"Westgate"}</definedName>
    <definedName name="lsit" localSheetId="17" hidden="1">{#N/A,#N/A,FALSE,"Bennington";#N/A,#N/A,FALSE,"Castle Court";#N/A,#N/A,FALSE,"Century Hills";#N/A,#N/A,FALSE,"Edgewater Hills";#N/A,#N/A,FALSE,"Edgewater Terrace";#N/A,#N/A,FALSE,"Edgewater Village";#N/A,#N/A,FALSE,"Fairfax";#N/A,#N/A,FALSE,"Gen. Wash.";#N/A,#N/A,FALSE,"Huntington-Unfurnished";#N/A,#N/A,FALSE,"Huntington-Furnished";#N/A,#N/A,FALSE,"Iris Court";#N/A,#N/A,FALSE,"North Park";#N/A,#N/A,FALSE,"Talbot Woods";#N/A,#N/A,FALSE,"Parkview";#N/A,#N/A,FALSE,"Westgate"}</definedName>
    <definedName name="lsit" localSheetId="10" hidden="1">{#N/A,#N/A,FALSE,"Bennington";#N/A,#N/A,FALSE,"Castle Court";#N/A,#N/A,FALSE,"Century Hills";#N/A,#N/A,FALSE,"Edgewater Hills";#N/A,#N/A,FALSE,"Edgewater Terrace";#N/A,#N/A,FALSE,"Edgewater Village";#N/A,#N/A,FALSE,"Fairfax";#N/A,#N/A,FALSE,"Gen. Wash.";#N/A,#N/A,FALSE,"Huntington-Unfurnished";#N/A,#N/A,FALSE,"Huntington-Furnished";#N/A,#N/A,FALSE,"Iris Court";#N/A,#N/A,FALSE,"North Park";#N/A,#N/A,FALSE,"Talbot Woods";#N/A,#N/A,FALSE,"Parkview";#N/A,#N/A,FALSE,"Westgate"}</definedName>
    <definedName name="lsit" localSheetId="13" hidden="1">{#N/A,#N/A,FALSE,"Bennington";#N/A,#N/A,FALSE,"Castle Court";#N/A,#N/A,FALSE,"Century Hills";#N/A,#N/A,FALSE,"Edgewater Hills";#N/A,#N/A,FALSE,"Edgewater Terrace";#N/A,#N/A,FALSE,"Edgewater Village";#N/A,#N/A,FALSE,"Fairfax";#N/A,#N/A,FALSE,"Gen. Wash.";#N/A,#N/A,FALSE,"Huntington-Unfurnished";#N/A,#N/A,FALSE,"Huntington-Furnished";#N/A,#N/A,FALSE,"Iris Court";#N/A,#N/A,FALSE,"North Park";#N/A,#N/A,FALSE,"Talbot Woods";#N/A,#N/A,FALSE,"Parkview";#N/A,#N/A,FALSE,"Westgate"}</definedName>
    <definedName name="lsit" hidden="1">{#N/A,#N/A,FALSE,"Bennington";#N/A,#N/A,FALSE,"Castle Court";#N/A,#N/A,FALSE,"Century Hills";#N/A,#N/A,FALSE,"Edgewater Hills";#N/A,#N/A,FALSE,"Edgewater Terrace";#N/A,#N/A,FALSE,"Edgewater Village";#N/A,#N/A,FALSE,"Fairfax";#N/A,#N/A,FALSE,"Gen. Wash.";#N/A,#N/A,FALSE,"Huntington-Unfurnished";#N/A,#N/A,FALSE,"Huntington-Furnished";#N/A,#N/A,FALSE,"Iris Court";#N/A,#N/A,FALSE,"North Park";#N/A,#N/A,FALSE,"Talbot Woods";#N/A,#N/A,FALSE,"Parkview";#N/A,#N/A,FALSE,"Westgate"}</definedName>
    <definedName name="ltv" localSheetId="4">#REF!</definedName>
    <definedName name="ltv" localSheetId="3">#REF!</definedName>
    <definedName name="ltv" localSheetId="5">#REF!</definedName>
    <definedName name="m" localSheetId="21" hidden="1">{#N/A,#N/A,FALSE,"matx B4 DS";#N/A,#N/A,FALSE,"matx B4 DS Hac";#N/A,#N/A,FALSE,"matx B4 DS Chabot";#N/A,#N/A,FALSE,"matx B4 DS Diablo"}</definedName>
    <definedName name="m" localSheetId="22" hidden="1">{#N/A,#N/A,FALSE,"matx B4 DS";#N/A,#N/A,FALSE,"matx B4 DS Hac";#N/A,#N/A,FALSE,"matx B4 DS Chabot";#N/A,#N/A,FALSE,"matx B4 DS Diablo"}</definedName>
    <definedName name="m" localSheetId="17" hidden="1">{#N/A,#N/A,FALSE,"matx B4 DS";#N/A,#N/A,FALSE,"matx B4 DS Hac";#N/A,#N/A,FALSE,"matx B4 DS Chabot";#N/A,#N/A,FALSE,"matx B4 DS Diablo"}</definedName>
    <definedName name="m" localSheetId="10" hidden="1">{#N/A,#N/A,FALSE,"matx B4 DS";#N/A,#N/A,FALSE,"matx B4 DS Hac";#N/A,#N/A,FALSE,"matx B4 DS Chabot";#N/A,#N/A,FALSE,"matx B4 DS Diablo"}</definedName>
    <definedName name="m" hidden="1">{#N/A,#N/A,FALSE,"matx B4 DS";#N/A,#N/A,FALSE,"matx B4 DS Hac";#N/A,#N/A,FALSE,"matx B4 DS Chabot";#N/A,#N/A,FALSE,"matx B4 DS Diablo"}</definedName>
    <definedName name="MaxRate" localSheetId="18">'Clean UW'!#REF!</definedName>
    <definedName name="MaxRate">'Debt Sizing'!#REF!</definedName>
    <definedName name="meth_1" localSheetId="4">#REF!</definedName>
    <definedName name="meth_1" localSheetId="5">#REF!</definedName>
    <definedName name="Minor_Page_01" localSheetId="4">#REF!</definedName>
    <definedName name="Minor_Page_01" localSheetId="5">#REF!</definedName>
    <definedName name="Minor_Page_02" localSheetId="4">#REF!</definedName>
    <definedName name="Minor_Page_02" localSheetId="5">#REF!</definedName>
    <definedName name="Minor_Page_03" localSheetId="4">#REF!</definedName>
    <definedName name="Minor_Page_03" localSheetId="5">#REF!</definedName>
    <definedName name="Minor_Page_04" localSheetId="4">#REF!</definedName>
    <definedName name="Minor_Page_04" localSheetId="5">#REF!</definedName>
    <definedName name="Minor_Page_05" localSheetId="4">#REF!</definedName>
    <definedName name="Minor_Page_05" localSheetId="5">#REF!</definedName>
    <definedName name="Minor_Page_06" localSheetId="4">#REF!</definedName>
    <definedName name="Minor_Page_06" localSheetId="5">#REF!</definedName>
    <definedName name="Minor_Page_07" localSheetId="4">#REF!</definedName>
    <definedName name="Minor_Page_07" localSheetId="5">#REF!</definedName>
    <definedName name="Minor_Page_08" localSheetId="4">#REF!</definedName>
    <definedName name="Minor_Page_08" localSheetId="5">#REF!</definedName>
    <definedName name="Minor_Page_09" localSheetId="4">#REF!</definedName>
    <definedName name="Minor_Page_09" localSheetId="5">#REF!</definedName>
    <definedName name="Minor_Page_10" localSheetId="4">#REF!</definedName>
    <definedName name="Minor_Page_10" localSheetId="5">#REF!</definedName>
    <definedName name="Minor_Page_11" localSheetId="4">#REF!</definedName>
    <definedName name="Minor_Page_11" localSheetId="5">#REF!</definedName>
    <definedName name="Minor_Page_12" localSheetId="4">#REF!</definedName>
    <definedName name="Minor_Page_12" localSheetId="5">#REF!</definedName>
    <definedName name="Minor_Page_13" localSheetId="4">#REF!</definedName>
    <definedName name="Minor_Page_13" localSheetId="5">#REF!</definedName>
    <definedName name="Minor_Page_14" localSheetId="4">#REF!</definedName>
    <definedName name="Minor_Page_14" localSheetId="5">#REF!</definedName>
    <definedName name="Minor_Page_15" localSheetId="4">#REF!</definedName>
    <definedName name="Minor_Page_15" localSheetId="5">#REF!</definedName>
    <definedName name="Minor_Page_16" localSheetId="4">#REF!</definedName>
    <definedName name="Minor_Page_16" localSheetId="5">#REF!</definedName>
    <definedName name="Minor_Page_17" localSheetId="4">#REF!</definedName>
    <definedName name="Minor_Page_17" localSheetId="5">#REF!</definedName>
    <definedName name="Minor_Page_18" localSheetId="4">#REF!</definedName>
    <definedName name="Minor_Page_18" localSheetId="5">#REF!</definedName>
    <definedName name="Minor_Page_19" localSheetId="4">#REF!</definedName>
    <definedName name="Minor_Page_19" localSheetId="5">#REF!</definedName>
    <definedName name="Minor_Page_20" localSheetId="4">#REF!</definedName>
    <definedName name="Minor_Page_20" localSheetId="5">#REF!</definedName>
    <definedName name="Minor_Page_21" localSheetId="4">#REF!</definedName>
    <definedName name="Minor_Page_21" localSheetId="5">#REF!</definedName>
    <definedName name="Minor_Page_22" localSheetId="4">#REF!</definedName>
    <definedName name="Minor_Page_22" localSheetId="5">#REF!</definedName>
    <definedName name="Minor_Page_23" localSheetId="4">#REF!</definedName>
    <definedName name="Minor_Page_23" localSheetId="5">#REF!</definedName>
    <definedName name="Minor_Page_24" localSheetId="4">#REF!</definedName>
    <definedName name="Minor_Page_24" localSheetId="5">#REF!</definedName>
    <definedName name="MV" hidden="1">{"Texas Sub_Consolidation",#N/A,TRUE,"Texas";"Texas Trial Balances",#N/A,TRUE,"Texas";"Texas Investment Analysis",#N/A,TRUE,"Texas";"Texas AJEs",#N/A,TRUE,"Texas";"Texas AJE Summary",#N/A,TRUE,"Texas";"Texas_P_L_Minority",#N/A,TRUE,"Texas"}</definedName>
    <definedName name="NA" localSheetId="4" hidden="1">'Amo Schedule - Refi'!#REF!</definedName>
    <definedName name="NA" localSheetId="5" hidden="1">'Amo Schedule - Supplemental'!#REF!</definedName>
    <definedName name="NA" localSheetId="20" hidden="1">'Annual Summary'!#REF!</definedName>
    <definedName name="NA" localSheetId="2" hidden="1">'Inputs and Assumptions'!#REF!</definedName>
    <definedName name="NA" localSheetId="21" hidden="1">'JV Waterfall'!#REF!</definedName>
    <definedName name="NA" localSheetId="19" hidden="1">'Monthly Cash Flow'!#REF!</definedName>
    <definedName name="NA" localSheetId="22" hidden="1">'Pure Promote Waterfall'!#REF!</definedName>
    <definedName name="NA" localSheetId="7" hidden="1">'RRT Summary (Paste)'!#REF!</definedName>
    <definedName name="NA" localSheetId="8" hidden="1">'RRT Unit Mix (Paste)'!#REF!</definedName>
    <definedName name="NA" localSheetId="10" hidden="1">'Sponsor Pro Forma'!#REF!</definedName>
    <definedName name="NA" hidden="1">#REF!</definedName>
    <definedName name="name1" localSheetId="2" hidden="1">{"SIMPLIFD_P1",#N/A,FALSE,"SIMPLIFD"}</definedName>
    <definedName name="name1" localSheetId="21" hidden="1">{"SIMPLIFD_P1",#N/A,FALSE,"SIMPLIFD"}</definedName>
    <definedName name="name1" localSheetId="22" hidden="1">{"SIMPLIFD_P1",#N/A,FALSE,"SIMPLIFD"}</definedName>
    <definedName name="name1" localSheetId="15" hidden="1">{"SIMPLIFD_P1",#N/A,FALSE,"SIMPLIFD"}</definedName>
    <definedName name="name1" localSheetId="17" hidden="1">{"SIMPLIFD_P1",#N/A,FALSE,"SIMPLIFD"}</definedName>
    <definedName name="name1" localSheetId="10" hidden="1">{"SIMPLIFD_P1",#N/A,FALSE,"SIMPLIFD"}</definedName>
    <definedName name="name1" localSheetId="13" hidden="1">{"SIMPLIFD_P1",#N/A,FALSE,"SIMPLIFD"}</definedName>
    <definedName name="name1" hidden="1">{"SIMPLIFD_P1",#N/A,FALSE,"SIMPLIFD"}</definedName>
    <definedName name="Nane2" localSheetId="2" hidden="1">{"TEST1",#N/A,FALSE,"SIMPLIFD"}</definedName>
    <definedName name="Nane2" localSheetId="21" hidden="1">{"TEST1",#N/A,FALSE,"SIMPLIFD"}</definedName>
    <definedName name="Nane2" localSheetId="22" hidden="1">{"TEST1",#N/A,FALSE,"SIMPLIFD"}</definedName>
    <definedName name="Nane2" localSheetId="15" hidden="1">{"TEST1",#N/A,FALSE,"SIMPLIFD"}</definedName>
    <definedName name="Nane2" localSheetId="17" hidden="1">{"TEST1",#N/A,FALSE,"SIMPLIFD"}</definedName>
    <definedName name="Nane2" localSheetId="10" hidden="1">{"TEST1",#N/A,FALSE,"SIMPLIFD"}</definedName>
    <definedName name="Nane2" localSheetId="13" hidden="1">{"TEST1",#N/A,FALSE,"SIMPLIFD"}</definedName>
    <definedName name="Nane2" hidden="1">{"TEST1",#N/A,FALSE,"SIMPLIFD"}</definedName>
    <definedName name="NB" localSheetId="4" hidden="1">'Amo Schedule - Refi'!#REF!</definedName>
    <definedName name="NB" localSheetId="5" hidden="1">'Amo Schedule - Supplemental'!#REF!</definedName>
    <definedName name="NB" localSheetId="20" hidden="1">'Annual Summary'!#REF!</definedName>
    <definedName name="NB" localSheetId="2" hidden="1">'Inputs and Assumptions'!#REF!</definedName>
    <definedName name="NB" localSheetId="21" hidden="1">'JV Waterfall'!#REF!</definedName>
    <definedName name="NB" localSheetId="19" hidden="1">'Monthly Cash Flow'!#REF!</definedName>
    <definedName name="NB" localSheetId="22" hidden="1">'Pure Promote Waterfall'!#REF!</definedName>
    <definedName name="NB" localSheetId="7" hidden="1">'RRT Summary (Paste)'!#REF!</definedName>
    <definedName name="NB" localSheetId="8" hidden="1">'RRT Unit Mix (Paste)'!#REF!</definedName>
    <definedName name="NB" localSheetId="10" hidden="1">'Sponsor Pro Forma'!#REF!</definedName>
    <definedName name="NB" hidden="1">#REF!</definedName>
    <definedName name="new" localSheetId="21" hidden="1">{#N/A,#N/A,FALSE,"CF Consolidated 2";#N/A,#N/A,FALSE,"Retail Assump";#N/A,#N/A,FALSE,"CF Retail";#N/A,#N/A,FALSE,"Garage Assumpt 1";#N/A,#N/A,FALSE,"Garage Op Proj";#N/A,#N/A,FALSE,"Hist I&amp;E";#N/A,#N/A,FALSE,"Rent Roll";#N/A,#N/A,FALSE,"RE Taxes";#N/A,#N/A,FALSE,"CAM - BH";#N/A,#N/A,FALSE,"Comm.Condo CAM"}</definedName>
    <definedName name="new" localSheetId="22" hidden="1">{#N/A,#N/A,FALSE,"CF Consolidated 2";#N/A,#N/A,FALSE,"Retail Assump";#N/A,#N/A,FALSE,"CF Retail";#N/A,#N/A,FALSE,"Garage Assumpt 1";#N/A,#N/A,FALSE,"Garage Op Proj";#N/A,#N/A,FALSE,"Hist I&amp;E";#N/A,#N/A,FALSE,"Rent Roll";#N/A,#N/A,FALSE,"RE Taxes";#N/A,#N/A,FALSE,"CAM - BH";#N/A,#N/A,FALSE,"Comm.Condo CAM"}</definedName>
    <definedName name="new" localSheetId="17" hidden="1">{#N/A,#N/A,FALSE,"CF Consolidated 2";#N/A,#N/A,FALSE,"Retail Assump";#N/A,#N/A,FALSE,"CF Retail";#N/A,#N/A,FALSE,"Garage Assumpt 1";#N/A,#N/A,FALSE,"Garage Op Proj";#N/A,#N/A,FALSE,"Hist I&amp;E";#N/A,#N/A,FALSE,"Rent Roll";#N/A,#N/A,FALSE,"RE Taxes";#N/A,#N/A,FALSE,"CAM - BH";#N/A,#N/A,FALSE,"Comm.Condo CAM"}</definedName>
    <definedName name="new" localSheetId="10" hidden="1">{#N/A,#N/A,FALSE,"CF Consolidated 2";#N/A,#N/A,FALSE,"Retail Assump";#N/A,#N/A,FALSE,"CF Retail";#N/A,#N/A,FALSE,"Garage Assumpt 1";#N/A,#N/A,FALSE,"Garage Op Proj";#N/A,#N/A,FALSE,"Hist I&amp;E";#N/A,#N/A,FALSE,"Rent Roll";#N/A,#N/A,FALSE,"RE Taxes";#N/A,#N/A,FALSE,"CAM - BH";#N/A,#N/A,FALSE,"Comm.Condo CAM"}</definedName>
    <definedName name="new" hidden="1">{#N/A,#N/A,FALSE,"CF Consolidated 2";#N/A,#N/A,FALSE,"Retail Assump";#N/A,#N/A,FALSE,"CF Retail";#N/A,#N/A,FALSE,"Garage Assumpt 1";#N/A,#N/A,FALSE,"Garage Op Proj";#N/A,#N/A,FALSE,"Hist I&amp;E";#N/A,#N/A,FALSE,"Rent Roll";#N/A,#N/A,FALSE,"RE Taxes";#N/A,#N/A,FALSE,"CAM - BH";#N/A,#N/A,FALSE,"Comm.Condo CAM"}</definedName>
    <definedName name="newhtml" localSheetId="21" hidden="1">{"'Assump'!$F$6:$J$6"}</definedName>
    <definedName name="newhtml" localSheetId="22" hidden="1">{"'Assump'!$F$6:$J$6"}</definedName>
    <definedName name="newhtml" localSheetId="17" hidden="1">{"'Assump'!$F$6:$J$6"}</definedName>
    <definedName name="newhtml" localSheetId="10" hidden="1">{"'Assump'!$F$6:$J$6"}</definedName>
    <definedName name="newhtml" hidden="1">{"'Assump'!$F$6:$J$6"}</definedName>
    <definedName name="newrange" localSheetId="2" hidden="1">{"Annual Cash Flows",#N/A,FALSE,"Annual Summary"}</definedName>
    <definedName name="newrange" localSheetId="21" hidden="1">{"Annual Cash Flows",#N/A,FALSE,"Annual Summary"}</definedName>
    <definedName name="newrange" localSheetId="22" hidden="1">{"Annual Cash Flows",#N/A,FALSE,"Annual Summary"}</definedName>
    <definedName name="newrange" localSheetId="15" hidden="1">{"Annual Cash Flows",#N/A,FALSE,"Annual Summary"}</definedName>
    <definedName name="newrange" localSheetId="17" hidden="1">{"Annual Cash Flows",#N/A,FALSE,"Annual Summary"}</definedName>
    <definedName name="newrange" localSheetId="10" hidden="1">{"Annual Cash Flows",#N/A,FALSE,"Annual Summary"}</definedName>
    <definedName name="newrange" localSheetId="13" hidden="1">{"Annual Cash Flows",#N/A,FALSE,"Annual Summary"}</definedName>
    <definedName name="newrange" hidden="1">{"Annual Cash Flows",#N/A,FALSE,"Annual Summary"}</definedName>
    <definedName name="nper" localSheetId="18">[0]!Term*12</definedName>
    <definedName name="nper" localSheetId="17">[0]!Term*12</definedName>
    <definedName name="nper">[0]!Term*12</definedName>
    <definedName name="NUMCHECK" localSheetId="4">AND(ISNUMBER(#REF!),ISNUMBER(#REF!),ISNUMBER(#REF!),ISNUMBER(#REF!))</definedName>
    <definedName name="NUMCHECK" localSheetId="5">AND(ISNUMBER(#REF!),ISNUMBER(#REF!),ISNUMBER(#REF!),ISNUMBER(#REF!))</definedName>
    <definedName name="o" localSheetId="21" hidden="1">{#N/A,#N/A,FALSE,"Actual";#N/A,#N/A,FALSE,"Management Report 2";#N/A,#N/A,FALSE,"Management Report 3";#N/A,#N/A,FALSE,"Ergebnis";#N/A,#N/A,FALSE,"Summary";#N/A,#N/A,FALSE,"Konrzern";#N/A,#N/A,FALSE,"Abweichung Budget-Actuell"}</definedName>
    <definedName name="o" localSheetId="22" hidden="1">{#N/A,#N/A,FALSE,"Actual";#N/A,#N/A,FALSE,"Management Report 2";#N/A,#N/A,FALSE,"Management Report 3";#N/A,#N/A,FALSE,"Ergebnis";#N/A,#N/A,FALSE,"Summary";#N/A,#N/A,FALSE,"Konrzern";#N/A,#N/A,FALSE,"Abweichung Budget-Actuell"}</definedName>
    <definedName name="o" localSheetId="17" hidden="1">{#N/A,#N/A,FALSE,"Actual";#N/A,#N/A,FALSE,"Management Report 2";#N/A,#N/A,FALSE,"Management Report 3";#N/A,#N/A,FALSE,"Ergebnis";#N/A,#N/A,FALSE,"Summary";#N/A,#N/A,FALSE,"Konrzern";#N/A,#N/A,FALSE,"Abweichung Budget-Actuell"}</definedName>
    <definedName name="o" hidden="1">{#N/A,#N/A,FALSE,"Actual";#N/A,#N/A,FALSE,"Management Report 2";#N/A,#N/A,FALSE,"Management Report 3";#N/A,#N/A,FALSE,"Ergebnis";#N/A,#N/A,FALSE,"Summary";#N/A,#N/A,FALSE,"Konrzern";#N/A,#N/A,FALSE,"Abweichung Budget-Actuell"}</definedName>
    <definedName name="old" hidden="1">{"Texas Sub_Consolidation",#N/A,TRUE,"Texas";"Texas Trial Balances",#N/A,TRUE,"Texas";"Texas Investment Analysis",#N/A,TRUE,"Texas";"Texas AJEs",#N/A,TRUE,"Texas";"Texas AJE Summary",#N/A,TRUE,"Texas";"Texas_P_L_Minority",#N/A,TRUE,"Texas"}</definedName>
    <definedName name="OldDateStamp" hidden="1">#REF!</definedName>
    <definedName name="oldhtl" localSheetId="21" hidden="1">{"'Assump'!$F$6:$J$6"}</definedName>
    <definedName name="oldhtl" localSheetId="22" hidden="1">{"'Assump'!$F$6:$J$6"}</definedName>
    <definedName name="oldhtl" localSheetId="17" hidden="1">{"'Assump'!$F$6:$J$6"}</definedName>
    <definedName name="oldhtl" localSheetId="10" hidden="1">{"'Assump'!$F$6:$J$6"}</definedName>
    <definedName name="oldhtl" hidden="1">{"'Assump'!$F$6:$J$6"}</definedName>
    <definedName name="p" localSheetId="21" hidden="1">{#N/A,#N/A,FALSE,"Lse-ex";#N/A,#N/A,FALSE,"Rollover";#N/A,#N/A,FALSE,"Hist Sales";#N/A,#N/A,FALSE,"97 Occup Cst";#N/A,#N/A,FALSE,"Breakpoint";#N/A,#N/A,FALSE,"Rentroll";#N/A,#N/A,FALSE,"Hst I&amp;E";#N/A,#N/A,FALSE,"Owners";#N/A,#N/A,FALSE,"PROPS96";#N/A,#N/A,FALSE,"Props on mkt";#N/A,#N/A,FALSE,"Portfolios on mkt"}</definedName>
    <definedName name="p" localSheetId="22" hidden="1">{#N/A,#N/A,FALSE,"Lse-ex";#N/A,#N/A,FALSE,"Rollover";#N/A,#N/A,FALSE,"Hist Sales";#N/A,#N/A,FALSE,"97 Occup Cst";#N/A,#N/A,FALSE,"Breakpoint";#N/A,#N/A,FALSE,"Rentroll";#N/A,#N/A,FALSE,"Hst I&amp;E";#N/A,#N/A,FALSE,"Owners";#N/A,#N/A,FALSE,"PROPS96";#N/A,#N/A,FALSE,"Props on mkt";#N/A,#N/A,FALSE,"Portfolios on mkt"}</definedName>
    <definedName name="p" localSheetId="17" hidden="1">{#N/A,#N/A,FALSE,"Lse-ex";#N/A,#N/A,FALSE,"Rollover";#N/A,#N/A,FALSE,"Hist Sales";#N/A,#N/A,FALSE,"97 Occup Cst";#N/A,#N/A,FALSE,"Breakpoint";#N/A,#N/A,FALSE,"Rentroll";#N/A,#N/A,FALSE,"Hst I&amp;E";#N/A,#N/A,FALSE,"Owners";#N/A,#N/A,FALSE,"PROPS96";#N/A,#N/A,FALSE,"Props on mkt";#N/A,#N/A,FALSE,"Portfolios on mkt"}</definedName>
    <definedName name="p" localSheetId="10" hidden="1">{#N/A,#N/A,FALSE,"Lse-ex";#N/A,#N/A,FALSE,"Rollover";#N/A,#N/A,FALSE,"Hist Sales";#N/A,#N/A,FALSE,"97 Occup Cst";#N/A,#N/A,FALSE,"Breakpoint";#N/A,#N/A,FALSE,"Rentroll";#N/A,#N/A,FALSE,"Hst I&amp;E";#N/A,#N/A,FALSE,"Owners";#N/A,#N/A,FALSE,"PROPS96";#N/A,#N/A,FALSE,"Props on mkt";#N/A,#N/A,FALSE,"Portfolios on mkt"}</definedName>
    <definedName name="p" hidden="1">{#N/A,#N/A,FALSE,"Lse-ex";#N/A,#N/A,FALSE,"Rollover";#N/A,#N/A,FALSE,"Hist Sales";#N/A,#N/A,FALSE,"97 Occup Cst";#N/A,#N/A,FALSE,"Breakpoint";#N/A,#N/A,FALSE,"Rentroll";#N/A,#N/A,FALSE,"Hst I&amp;E";#N/A,#N/A,FALSE,"Owners";#N/A,#N/A,FALSE,"PROPS96";#N/A,#N/A,FALSE,"Props on mkt";#N/A,#N/A,FALSE,"Portfolios on mkt"}</definedName>
    <definedName name="PAGE1" localSheetId="4">#REF!</definedName>
    <definedName name="PAGE1" localSheetId="5">#REF!</definedName>
    <definedName name="PAGE3_1" localSheetId="4">#REF!</definedName>
    <definedName name="PAGE3_1" localSheetId="5">#REF!</definedName>
    <definedName name="Payment_Number" localSheetId="18">ROW()-[0]!Header_Row</definedName>
    <definedName name="Payment_Number" localSheetId="21">ROW()-[0]!Header_Row</definedName>
    <definedName name="Payment_Number" localSheetId="22">ROW()-'Pure Promote Waterfall'!Header_Row</definedName>
    <definedName name="Payment_Number" localSheetId="17">ROW()-[0]!Header_Row</definedName>
    <definedName name="Payment_Number" localSheetId="7">ROW()-'RRT Summary (Paste)'!Header_Row</definedName>
    <definedName name="Payment_Number" localSheetId="8">ROW()-'RRT Unit Mix (Paste)'!Header_Row</definedName>
    <definedName name="Payment_Number">ROW()-[0]!Header_Row</definedName>
    <definedName name="PD" localSheetId="4">#REF!</definedName>
    <definedName name="PD" localSheetId="5">#REF!</definedName>
    <definedName name="pier90" localSheetId="21" hidden="1">{"excavation",#N/A,FALSE,"DETAIL.XLS"}</definedName>
    <definedName name="pier90" localSheetId="22" hidden="1">{"excavation",#N/A,FALSE,"DETAIL.XLS"}</definedName>
    <definedName name="pier90" localSheetId="17" hidden="1">{"excavation",#N/A,FALSE,"DETAIL.XLS"}</definedName>
    <definedName name="pier90" localSheetId="10" hidden="1">{"excavation",#N/A,FALSE,"DETAIL.XLS"}</definedName>
    <definedName name="pier90" hidden="1">{"excavation",#N/A,FALSE,"DETAIL.XLS"}</definedName>
    <definedName name="platform" localSheetId="21" hidden="1">{#N/A,#N/A,TRUE,"Ericsson Stadium PCD ";#N/A,#N/A,TRUE,"Ericsson Stadium IOR"}</definedName>
    <definedName name="platform" localSheetId="22" hidden="1">{#N/A,#N/A,TRUE,"Ericsson Stadium PCD ";#N/A,#N/A,TRUE,"Ericsson Stadium IOR"}</definedName>
    <definedName name="platform" localSheetId="17" hidden="1">{#N/A,#N/A,TRUE,"Ericsson Stadium PCD ";#N/A,#N/A,TRUE,"Ericsson Stadium IOR"}</definedName>
    <definedName name="platform" localSheetId="10" hidden="1">{#N/A,#N/A,TRUE,"Ericsson Stadium PCD ";#N/A,#N/A,TRUE,"Ericsson Stadium IOR"}</definedName>
    <definedName name="platform" hidden="1">{#N/A,#N/A,TRUE,"Ericsson Stadium PCD ";#N/A,#N/A,TRUE,"Ericsson Stadium IOR"}</definedName>
    <definedName name="platforma" localSheetId="21" hidden="1">{#N/A,#N/A,TRUE,"Ericsson Stadium PCD ";#N/A,#N/A,TRUE,"Ericsson Stadium IOR"}</definedName>
    <definedName name="platforma" localSheetId="22" hidden="1">{#N/A,#N/A,TRUE,"Ericsson Stadium PCD ";#N/A,#N/A,TRUE,"Ericsson Stadium IOR"}</definedName>
    <definedName name="platforma" localSheetId="17" hidden="1">{#N/A,#N/A,TRUE,"Ericsson Stadium PCD ";#N/A,#N/A,TRUE,"Ericsson Stadium IOR"}</definedName>
    <definedName name="platforma" localSheetId="10" hidden="1">{#N/A,#N/A,TRUE,"Ericsson Stadium PCD ";#N/A,#N/A,TRUE,"Ericsson Stadium IOR"}</definedName>
    <definedName name="platforma" hidden="1">{#N/A,#N/A,TRUE,"Ericsson Stadium PCD ";#N/A,#N/A,TRUE,"Ericsson Stadium IOR"}</definedName>
    <definedName name="pm" localSheetId="21" hidden="1">{#N/A,#N/A,FALSE,"Assumptions";#N/A,#N/A,FALSE,"Impact Assumptions";#N/A,#N/A,FALSE,"10-Yr - detail";#N/A,#N/A,FALSE,"1,5,10 yr comp";#N/A,#N/A,FALSE,"Lse-Exp.";#N/A,#N/A,FALSE,"Rent Roll";#N/A,#N/A,FALSE,"Historical (2)";#N/A,#N/A,FALSE,"RET's";#N/A,#N/A,FALSE,"Lease Rollover"}</definedName>
    <definedName name="pm" localSheetId="22" hidden="1">{#N/A,#N/A,FALSE,"Assumptions";#N/A,#N/A,FALSE,"Impact Assumptions";#N/A,#N/A,FALSE,"10-Yr - detail";#N/A,#N/A,FALSE,"1,5,10 yr comp";#N/A,#N/A,FALSE,"Lse-Exp.";#N/A,#N/A,FALSE,"Rent Roll";#N/A,#N/A,FALSE,"Historical (2)";#N/A,#N/A,FALSE,"RET's";#N/A,#N/A,FALSE,"Lease Rollover"}</definedName>
    <definedName name="pm" localSheetId="17" hidden="1">{#N/A,#N/A,FALSE,"Assumptions";#N/A,#N/A,FALSE,"Impact Assumptions";#N/A,#N/A,FALSE,"10-Yr - detail";#N/A,#N/A,FALSE,"1,5,10 yr comp";#N/A,#N/A,FALSE,"Lse-Exp.";#N/A,#N/A,FALSE,"Rent Roll";#N/A,#N/A,FALSE,"Historical (2)";#N/A,#N/A,FALSE,"RET's";#N/A,#N/A,FALSE,"Lease Rollover"}</definedName>
    <definedName name="pm" localSheetId="10" hidden="1">{#N/A,#N/A,FALSE,"Assumptions";#N/A,#N/A,FALSE,"Impact Assumptions";#N/A,#N/A,FALSE,"10-Yr - detail";#N/A,#N/A,FALSE,"1,5,10 yr comp";#N/A,#N/A,FALSE,"Lse-Exp.";#N/A,#N/A,FALSE,"Rent Roll";#N/A,#N/A,FALSE,"Historical (2)";#N/A,#N/A,FALSE,"RET's";#N/A,#N/A,FALSE,"Lease Rollover"}</definedName>
    <definedName name="pm" hidden="1">{#N/A,#N/A,FALSE,"Assumptions";#N/A,#N/A,FALSE,"Impact Assumptions";#N/A,#N/A,FALSE,"10-Yr - detail";#N/A,#N/A,FALSE,"1,5,10 yr comp";#N/A,#N/A,FALSE,"Lse-Exp.";#N/A,#N/A,FALSE,"Rent Roll";#N/A,#N/A,FALSE,"Historical (2)";#N/A,#N/A,FALSE,"RET's";#N/A,#N/A,FALSE,"Lease Rollover"}</definedName>
    <definedName name="pmt" localSheetId="4">#REF!</definedName>
    <definedName name="pmt" localSheetId="5">#REF!</definedName>
    <definedName name="Port_fill" localSheetId="4" hidden="1">#REF!</definedName>
    <definedName name="Port_fill" localSheetId="5" hidden="1">#REF!</definedName>
    <definedName name="Port_fill" localSheetId="20" hidden="1">#REF!</definedName>
    <definedName name="Port_fill" localSheetId="2" hidden="1">#REF!</definedName>
    <definedName name="Port_fill" localSheetId="21" hidden="1">#REF!</definedName>
    <definedName name="Port_fill" localSheetId="19" hidden="1">#REF!</definedName>
    <definedName name="Port_fill" localSheetId="22" hidden="1">#REF!</definedName>
    <definedName name="Port_fill" localSheetId="7" hidden="1">#REF!</definedName>
    <definedName name="Port_fill" localSheetId="8" hidden="1">#REF!</definedName>
    <definedName name="Port_fill" localSheetId="10" hidden="1">#REF!</definedName>
    <definedName name="Port_fill" hidden="1">#REF!</definedName>
    <definedName name="Port_Fill2" localSheetId="4" hidden="1">#REF!</definedName>
    <definedName name="Port_Fill2" localSheetId="5" hidden="1">#REF!</definedName>
    <definedName name="Port_Fill2" localSheetId="20" hidden="1">#REF!</definedName>
    <definedName name="Port_Fill2" localSheetId="2" hidden="1">#REF!</definedName>
    <definedName name="Port_Fill2" localSheetId="21" hidden="1">#REF!</definedName>
    <definedName name="Port_Fill2" localSheetId="19" hidden="1">#REF!</definedName>
    <definedName name="Port_Fill2" localSheetId="22" hidden="1">#REF!</definedName>
    <definedName name="Port_Fill2" localSheetId="7" hidden="1">#REF!</definedName>
    <definedName name="Port_Fill2" localSheetId="8" hidden="1">#REF!</definedName>
    <definedName name="Port_Fill2" localSheetId="10" hidden="1">#REF!</definedName>
    <definedName name="Port_Fill2" hidden="1">#REF!</definedName>
    <definedName name="PRA_Val_Matrix" localSheetId="2" hidden="1">{"BankView",#N/A,FALSE,"TransSum";#N/A,#N/A,FALSE,"Lab";#N/A,#N/A,FALSE,"Micro wo HiPur";#N/A,#N/A,FALSE,"Texas";#N/A,#N/A,FALSE,"Temple";#N/A,#N/A,FALSE,"Micro";#N/A,#N/A,FALSE,"BuyResale";#N/A,#N/A,FALSE,"Spec.";#N/A,#N/A,FALSE,"Comb";#N/A,#N/A,FALSE,"StandAlon";#N/A,#N/A,FALSE,"IncStmt";#N/A,#N/A,FALSE,"BalSht";#N/A,#N/A,FALSE,"CapEx";#N/A,#N/A,FALSE,"CashFlow";#N/A,#N/A,FALSE,"TBS"}</definedName>
    <definedName name="PRA_Val_Matrix" localSheetId="21" hidden="1">{"BankView",#N/A,FALSE,"TransSum";#N/A,#N/A,FALSE,"Lab";#N/A,#N/A,FALSE,"Micro wo HiPur";#N/A,#N/A,FALSE,"Texas";#N/A,#N/A,FALSE,"Temple";#N/A,#N/A,FALSE,"Micro";#N/A,#N/A,FALSE,"BuyResale";#N/A,#N/A,FALSE,"Spec.";#N/A,#N/A,FALSE,"Comb";#N/A,#N/A,FALSE,"StandAlon";#N/A,#N/A,FALSE,"IncStmt";#N/A,#N/A,FALSE,"BalSht";#N/A,#N/A,FALSE,"CapEx";#N/A,#N/A,FALSE,"CashFlow";#N/A,#N/A,FALSE,"TBS"}</definedName>
    <definedName name="PRA_Val_Matrix" localSheetId="22" hidden="1">{"BankView",#N/A,FALSE,"TransSum";#N/A,#N/A,FALSE,"Lab";#N/A,#N/A,FALSE,"Micro wo HiPur";#N/A,#N/A,FALSE,"Texas";#N/A,#N/A,FALSE,"Temple";#N/A,#N/A,FALSE,"Micro";#N/A,#N/A,FALSE,"BuyResale";#N/A,#N/A,FALSE,"Spec.";#N/A,#N/A,FALSE,"Comb";#N/A,#N/A,FALSE,"StandAlon";#N/A,#N/A,FALSE,"IncStmt";#N/A,#N/A,FALSE,"BalSht";#N/A,#N/A,FALSE,"CapEx";#N/A,#N/A,FALSE,"CashFlow";#N/A,#N/A,FALSE,"TBS"}</definedName>
    <definedName name="PRA_Val_Matrix" localSheetId="15" hidden="1">{"BankView",#N/A,FALSE,"TransSum";#N/A,#N/A,FALSE,"Lab";#N/A,#N/A,FALSE,"Micro wo HiPur";#N/A,#N/A,FALSE,"Texas";#N/A,#N/A,FALSE,"Temple";#N/A,#N/A,FALSE,"Micro";#N/A,#N/A,FALSE,"BuyResale";#N/A,#N/A,FALSE,"Spec.";#N/A,#N/A,FALSE,"Comb";#N/A,#N/A,FALSE,"StandAlon";#N/A,#N/A,FALSE,"IncStmt";#N/A,#N/A,FALSE,"BalSht";#N/A,#N/A,FALSE,"CapEx";#N/A,#N/A,FALSE,"CashFlow";#N/A,#N/A,FALSE,"TBS"}</definedName>
    <definedName name="PRA_Val_Matrix" localSheetId="17" hidden="1">{"BankView",#N/A,FALSE,"TransSum";#N/A,#N/A,FALSE,"Lab";#N/A,#N/A,FALSE,"Micro wo HiPur";#N/A,#N/A,FALSE,"Texas";#N/A,#N/A,FALSE,"Temple";#N/A,#N/A,FALSE,"Micro";#N/A,#N/A,FALSE,"BuyResale";#N/A,#N/A,FALSE,"Spec.";#N/A,#N/A,FALSE,"Comb";#N/A,#N/A,FALSE,"StandAlon";#N/A,#N/A,FALSE,"IncStmt";#N/A,#N/A,FALSE,"BalSht";#N/A,#N/A,FALSE,"CapEx";#N/A,#N/A,FALSE,"CashFlow";#N/A,#N/A,FALSE,"TBS"}</definedName>
    <definedName name="PRA_Val_Matrix" localSheetId="10" hidden="1">{"BankView",#N/A,FALSE,"TransSum";#N/A,#N/A,FALSE,"Lab";#N/A,#N/A,FALSE,"Micro wo HiPur";#N/A,#N/A,FALSE,"Texas";#N/A,#N/A,FALSE,"Temple";#N/A,#N/A,FALSE,"Micro";#N/A,#N/A,FALSE,"BuyResale";#N/A,#N/A,FALSE,"Spec.";#N/A,#N/A,FALSE,"Comb";#N/A,#N/A,FALSE,"StandAlon";#N/A,#N/A,FALSE,"IncStmt";#N/A,#N/A,FALSE,"BalSht";#N/A,#N/A,FALSE,"CapEx";#N/A,#N/A,FALSE,"CashFlow";#N/A,#N/A,FALSE,"TBS"}</definedName>
    <definedName name="PRA_Val_Matrix" localSheetId="13" hidden="1">{"BankView",#N/A,FALSE,"TransSum";#N/A,#N/A,FALSE,"Lab";#N/A,#N/A,FALSE,"Micro wo HiPur";#N/A,#N/A,FALSE,"Texas";#N/A,#N/A,FALSE,"Temple";#N/A,#N/A,FALSE,"Micro";#N/A,#N/A,FALSE,"BuyResale";#N/A,#N/A,FALSE,"Spec.";#N/A,#N/A,FALSE,"Comb";#N/A,#N/A,FALSE,"StandAlon";#N/A,#N/A,FALSE,"IncStmt";#N/A,#N/A,FALSE,"BalSht";#N/A,#N/A,FALSE,"CapEx";#N/A,#N/A,FALSE,"CashFlow";#N/A,#N/A,FALSE,"TBS"}</definedName>
    <definedName name="PRA_Val_Matrix" hidden="1">{"BankView",#N/A,FALSE,"TransSum";#N/A,#N/A,FALSE,"Lab";#N/A,#N/A,FALSE,"Micro wo HiPur";#N/A,#N/A,FALSE,"Texas";#N/A,#N/A,FALSE,"Temple";#N/A,#N/A,FALSE,"Micro";#N/A,#N/A,FALSE,"BuyResale";#N/A,#N/A,FALSE,"Spec.";#N/A,#N/A,FALSE,"Comb";#N/A,#N/A,FALSE,"StandAlon";#N/A,#N/A,FALSE,"IncStmt";#N/A,#N/A,FALSE,"BalSht";#N/A,#N/A,FALSE,"CapEx";#N/A,#N/A,FALSE,"CashFlow";#N/A,#N/A,FALSE,"TBS"}</definedName>
    <definedName name="pref_return" localSheetId="4">#REF!</definedName>
    <definedName name="pref_return" localSheetId="5">#REF!</definedName>
    <definedName name="_xlnm.Print_Area" localSheetId="16">'Agency Quote Snip'!$A$1:$F$16</definedName>
    <definedName name="_xlnm.Print_Area" localSheetId="20">'Annual Summary'!$B$1:$D$39</definedName>
    <definedName name="_xlnm.Print_Area" localSheetId="18">'Clean UW'!$B$2:$M$46</definedName>
    <definedName name="_xlnm.Print_Area" localSheetId="12">'Debt Sizing'!$A$1:$X$87</definedName>
    <definedName name="_xlnm.Print_Area" localSheetId="2">'Inputs and Assumptions'!$A$1:$I$26</definedName>
    <definedName name="_xlnm.Print_Area" localSheetId="19">'Monthly Cash Flow'!$B$1:$D$96</definedName>
    <definedName name="_xlnm.Print_Area" localSheetId="0">'Package Charts'!$A$3:$F$24</definedName>
    <definedName name="_xlnm.Print_Area" localSheetId="1">'Property Overview'!$A$2:$U$64</definedName>
    <definedName name="_xlnm.Print_Area" localSheetId="15">'Quote Sheet'!$B$2:$Y$95</definedName>
    <definedName name="_xlnm.Print_Area" localSheetId="17">'Quote Sheet 2'!$B$2:$AL$58</definedName>
    <definedName name="_xlnm.Print_Area" localSheetId="8">'RRT Unit Mix (Paste)'!$A$1:$I$18</definedName>
    <definedName name="PROFORMA" localSheetId="4">#REF!</definedName>
    <definedName name="PROFORMA" localSheetId="5">#REF!</definedName>
    <definedName name="promte" localSheetId="2" hidden="1">{"Assumptions",#N/A,FALSE,"Assumptions"}</definedName>
    <definedName name="promte" localSheetId="21" hidden="1">{"Assumptions",#N/A,FALSE,"Assumptions"}</definedName>
    <definedName name="promte" localSheetId="22" hidden="1">{"Assumptions",#N/A,FALSE,"Assumptions"}</definedName>
    <definedName name="promte" localSheetId="15" hidden="1">{"Assumptions",#N/A,FALSE,"Assumptions"}</definedName>
    <definedName name="promte" localSheetId="17" hidden="1">{"Assumptions",#N/A,FALSE,"Assumptions"}</definedName>
    <definedName name="promte" localSheetId="10" hidden="1">{"Assumptions",#N/A,FALSE,"Assumptions"}</definedName>
    <definedName name="promte" localSheetId="13" hidden="1">{"Assumptions",#N/A,FALSE,"Assumptions"}</definedName>
    <definedName name="promte" hidden="1">{"Assumptions",#N/A,FALSE,"Assumptions"}</definedName>
    <definedName name="property_name" localSheetId="2">'Inputs and Assumptions'!$D$6</definedName>
    <definedName name="proxy1" localSheetId="2" hidden="1">{"Full Sheet",#N/A,FALSE,"Expense Comparison"}</definedName>
    <definedName name="proxy1" localSheetId="21" hidden="1">{"Full Sheet",#N/A,FALSE,"Expense Comparison"}</definedName>
    <definedName name="proxy1" localSheetId="22" hidden="1">{"Full Sheet",#N/A,FALSE,"Expense Comparison"}</definedName>
    <definedName name="proxy1" localSheetId="15" hidden="1">{"Full Sheet",#N/A,FALSE,"Expense Comparison"}</definedName>
    <definedName name="proxy1" localSheetId="17" hidden="1">{"Full Sheet",#N/A,FALSE,"Expense Comparison"}</definedName>
    <definedName name="proxy1" localSheetId="10" hidden="1">{"Full Sheet",#N/A,FALSE,"Expense Comparison"}</definedName>
    <definedName name="proxy1" localSheetId="13" hidden="1">{"Full Sheet",#N/A,FALSE,"Expense Comparison"}</definedName>
    <definedName name="proxy1" hidden="1">{"Full Sheet",#N/A,FALSE,"Expense Comparison"}</definedName>
    <definedName name="proxy2" localSheetId="2" hidden="1">{#N/A,#N/A,FALSE,"Expense Comparison"}</definedName>
    <definedName name="proxy2" localSheetId="21" hidden="1">{#N/A,#N/A,FALSE,"Expense Comparison"}</definedName>
    <definedName name="proxy2" localSheetId="22" hidden="1">{#N/A,#N/A,FALSE,"Expense Comparison"}</definedName>
    <definedName name="proxy2" localSheetId="15" hidden="1">{#N/A,#N/A,FALSE,"Expense Comparison"}</definedName>
    <definedName name="proxy2" localSheetId="17" hidden="1">{#N/A,#N/A,FALSE,"Expense Comparison"}</definedName>
    <definedName name="proxy2" localSheetId="10" hidden="1">{#N/A,#N/A,FALSE,"Expense Comparison"}</definedName>
    <definedName name="proxy2" localSheetId="13" hidden="1">{#N/A,#N/A,FALSE,"Expense Comparison"}</definedName>
    <definedName name="proxy2" hidden="1">{#N/A,#N/A,FALSE,"Expense Comparison"}</definedName>
    <definedName name="proxy3" localSheetId="2" hidden="1">{"Full Sheet",#N/A,FALSE,"Expense Comparison"}</definedName>
    <definedName name="proxy3" localSheetId="21" hidden="1">{"Full Sheet",#N/A,FALSE,"Expense Comparison"}</definedName>
    <definedName name="proxy3" localSheetId="22" hidden="1">{"Full Sheet",#N/A,FALSE,"Expense Comparison"}</definedName>
    <definedName name="proxy3" localSheetId="15" hidden="1">{"Full Sheet",#N/A,FALSE,"Expense Comparison"}</definedName>
    <definedName name="proxy3" localSheetId="17" hidden="1">{"Full Sheet",#N/A,FALSE,"Expense Comparison"}</definedName>
    <definedName name="proxy3" localSheetId="10" hidden="1">{"Full Sheet",#N/A,FALSE,"Expense Comparison"}</definedName>
    <definedName name="proxy3" localSheetId="13" hidden="1">{"Full Sheet",#N/A,FALSE,"Expense Comparison"}</definedName>
    <definedName name="proxy3" hidden="1">{"Full Sheet",#N/A,FALSE,"Expense Comparison"}</definedName>
    <definedName name="proxy4" localSheetId="2" hidden="1">{#N/A,#N/A,FALSE,"Expense Comparison"}</definedName>
    <definedName name="proxy4" localSheetId="21" hidden="1">{#N/A,#N/A,FALSE,"Expense Comparison"}</definedName>
    <definedName name="proxy4" localSheetId="22" hidden="1">{#N/A,#N/A,FALSE,"Expense Comparison"}</definedName>
    <definedName name="proxy4" localSheetId="15" hidden="1">{#N/A,#N/A,FALSE,"Expense Comparison"}</definedName>
    <definedName name="proxy4" localSheetId="17" hidden="1">{#N/A,#N/A,FALSE,"Expense Comparison"}</definedName>
    <definedName name="proxy4" localSheetId="10" hidden="1">{#N/A,#N/A,FALSE,"Expense Comparison"}</definedName>
    <definedName name="proxy4" localSheetId="13" hidden="1">{#N/A,#N/A,FALSE,"Expense Comparison"}</definedName>
    <definedName name="proxy4" hidden="1">{#N/A,#N/A,FALSE,"Expense Comparison"}</definedName>
    <definedName name="PUB_FileID" hidden="1">"N10005525.xls"</definedName>
    <definedName name="PUB_UserID" hidden="1">"ZITHAR"</definedName>
    <definedName name="pwa" localSheetId="21" hidden="1">{"LBO Summary",#N/A,FALSE,"Summary";"Income Statement",#N/A,FALSE,"Model";"Cash Flow",#N/A,FALSE,"Model";"Balance Sheet",#N/A,FALSE,"Model";"Working Capital",#N/A,FALSE,"Model";"Pro Forma Balance Sheets",#N/A,FALSE,"PFBS";"Debt Balances",#N/A,FALSE,"Model";"Fee Schedules",#N/A,FALSE,"Model"}</definedName>
    <definedName name="pwa" localSheetId="22" hidden="1">{"LBO Summary",#N/A,FALSE,"Summary";"Income Statement",#N/A,FALSE,"Model";"Cash Flow",#N/A,FALSE,"Model";"Balance Sheet",#N/A,FALSE,"Model";"Working Capital",#N/A,FALSE,"Model";"Pro Forma Balance Sheets",#N/A,FALSE,"PFBS";"Debt Balances",#N/A,FALSE,"Model";"Fee Schedules",#N/A,FALSE,"Model"}</definedName>
    <definedName name="pwa" localSheetId="17" hidden="1">{"LBO Summary",#N/A,FALSE,"Summary";"Income Statement",#N/A,FALSE,"Model";"Cash Flow",#N/A,FALSE,"Model";"Balance Sheet",#N/A,FALSE,"Model";"Working Capital",#N/A,FALSE,"Model";"Pro Forma Balance Sheets",#N/A,FALSE,"PFBS";"Debt Balances",#N/A,FALSE,"Model";"Fee Schedules",#N/A,FALSE,"Model"}</definedName>
    <definedName name="pwa" hidden="1">{"LBO Summary",#N/A,FALSE,"Summary";"Income Statement",#N/A,FALSE,"Model";"Cash Flow",#N/A,FALSE,"Model";"Balance Sheet",#N/A,FALSE,"Model";"Working Capital",#N/A,FALSE,"Model";"Pro Forma Balance Sheets",#N/A,FALSE,"PFBS";"Debt Balances",#N/A,FALSE,"Model";"Fee Schedules",#N/A,FALSE,"Model"}</definedName>
    <definedName name="qq" localSheetId="2" hidden="1">{"SIMPLIFD_P1",#N/A,FALSE,"SIMPLIFD"}</definedName>
    <definedName name="qq" localSheetId="21" hidden="1">{"SIMPLIFD_P1",#N/A,FALSE,"SIMPLIFD"}</definedName>
    <definedName name="qq" localSheetId="22" hidden="1">{"SIMPLIFD_P1",#N/A,FALSE,"SIMPLIFD"}</definedName>
    <definedName name="qq" localSheetId="15" hidden="1">{"SIMPLIFD_P1",#N/A,FALSE,"SIMPLIFD"}</definedName>
    <definedName name="qq" localSheetId="17" hidden="1">{"SIMPLIFD_P1",#N/A,FALSE,"SIMPLIFD"}</definedName>
    <definedName name="qq" localSheetId="10" hidden="1">{"SIMPLIFD_P1",#N/A,FALSE,"SIMPLIFD"}</definedName>
    <definedName name="qq" localSheetId="13" hidden="1">{"SIMPLIFD_P1",#N/A,FALSE,"SIMPLIFD"}</definedName>
    <definedName name="qq" hidden="1">{"SIMPLIFD_P1",#N/A,FALSE,"SIMPLIFD"}</definedName>
    <definedName name="qqq" localSheetId="2" hidden="1">{"TEST1",#N/A,FALSE,"SIMPLIFD"}</definedName>
    <definedName name="qqq" localSheetId="21" hidden="1">{"TEST1",#N/A,FALSE,"SIMPLIFD"}</definedName>
    <definedName name="qqq" localSheetId="22" hidden="1">{"TEST1",#N/A,FALSE,"SIMPLIFD"}</definedName>
    <definedName name="qqq" localSheetId="15" hidden="1">{"TEST1",#N/A,FALSE,"SIMPLIFD"}</definedName>
    <definedName name="qqq" localSheetId="17" hidden="1">{"TEST1",#N/A,FALSE,"SIMPLIFD"}</definedName>
    <definedName name="qqq" localSheetId="10" hidden="1">{"TEST1",#N/A,FALSE,"SIMPLIFD"}</definedName>
    <definedName name="qqq" localSheetId="13" hidden="1">{"TEST1",#N/A,FALSE,"SIMPLIFD"}</definedName>
    <definedName name="qqq" hidden="1">{"TEST1",#N/A,FALSE,"SIMPLIFD"}</definedName>
    <definedName name="report" localSheetId="21" hidden="1">{#N/A,#N/A,FALSE,"Summary";#N/A,#N/A,FALSE,"Assumptions";#N/A,#N/A,FALSE,"Cash Flow";#N/A,#N/A,FALSE,"Residual Calculation";#N/A,#N/A,FALSE,"Pricing Matrix";#N/A,#N/A,FALSE,"Pricing Matrix II";#N/A,#N/A,FALSE,"Expiration Schedule"}</definedName>
    <definedName name="report" localSheetId="22" hidden="1">{#N/A,#N/A,FALSE,"Summary";#N/A,#N/A,FALSE,"Assumptions";#N/A,#N/A,FALSE,"Cash Flow";#N/A,#N/A,FALSE,"Residual Calculation";#N/A,#N/A,FALSE,"Pricing Matrix";#N/A,#N/A,FALSE,"Pricing Matrix II";#N/A,#N/A,FALSE,"Expiration Schedule"}</definedName>
    <definedName name="report" localSheetId="17" hidden="1">{#N/A,#N/A,FALSE,"Summary";#N/A,#N/A,FALSE,"Assumptions";#N/A,#N/A,FALSE,"Cash Flow";#N/A,#N/A,FALSE,"Residual Calculation";#N/A,#N/A,FALSE,"Pricing Matrix";#N/A,#N/A,FALSE,"Pricing Matrix II";#N/A,#N/A,FALSE,"Expiration Schedule"}</definedName>
    <definedName name="report" localSheetId="10" hidden="1">{#N/A,#N/A,FALSE,"Summary";#N/A,#N/A,FALSE,"Assumptions";#N/A,#N/A,FALSE,"Cash Flow";#N/A,#N/A,FALSE,"Residual Calculation";#N/A,#N/A,FALSE,"Pricing Matrix";#N/A,#N/A,FALSE,"Pricing Matrix II";#N/A,#N/A,FALSE,"Expiration Schedule"}</definedName>
    <definedName name="report" hidden="1">{#N/A,#N/A,FALSE,"Summary";#N/A,#N/A,FALSE,"Assumptions";#N/A,#N/A,FALSE,"Cash Flow";#N/A,#N/A,FALSE,"Residual Calculation";#N/A,#N/A,FALSE,"Pricing Matrix";#N/A,#N/A,FALSE,"Pricing Matrix II";#N/A,#N/A,FALSE,"Expiration Schedule"}</definedName>
    <definedName name="Rock2" localSheetId="21" hidden="1">{"LBO Summary",#N/A,FALSE,"Summary";"Income Statement",#N/A,FALSE,"Model";"Cash Flow",#N/A,FALSE,"Model";"Balance Sheet",#N/A,FALSE,"Model";"Working Capital",#N/A,FALSE,"Model";"Pro Forma Balance Sheets",#N/A,FALSE,"PFBS";"Debt Balances",#N/A,FALSE,"Model";"Fee Schedules",#N/A,FALSE,"Model"}</definedName>
    <definedName name="Rock2" localSheetId="22" hidden="1">{"LBO Summary",#N/A,FALSE,"Summary";"Income Statement",#N/A,FALSE,"Model";"Cash Flow",#N/A,FALSE,"Model";"Balance Sheet",#N/A,FALSE,"Model";"Working Capital",#N/A,FALSE,"Model";"Pro Forma Balance Sheets",#N/A,FALSE,"PFBS";"Debt Balances",#N/A,FALSE,"Model";"Fee Schedules",#N/A,FALSE,"Model"}</definedName>
    <definedName name="Rock2" localSheetId="17" hidden="1">{"LBO Summary",#N/A,FALSE,"Summary";"Income Statement",#N/A,FALSE,"Model";"Cash Flow",#N/A,FALSE,"Model";"Balance Sheet",#N/A,FALSE,"Model";"Working Capital",#N/A,FALSE,"Model";"Pro Forma Balance Sheets",#N/A,FALSE,"PFBS";"Debt Balances",#N/A,FALSE,"Model";"Fee Schedules",#N/A,FALSE,"Model"}</definedName>
    <definedName name="Rock2" hidden="1">{"LBO Summary",#N/A,FALSE,"Summary";"Income Statement",#N/A,FALSE,"Model";"Cash Flow",#N/A,FALSE,"Model";"Balance Sheet",#N/A,FALSE,"Model";"Working Capital",#N/A,FALSE,"Model";"Pro Forma Balance Sheets",#N/A,FALSE,"PFBS";"Debt Balances",#N/A,FALSE,"Model";"Fee Schedules",#N/A,FALSE,"Model"}</definedName>
    <definedName name="Rock3" localSheetId="21" hidden="1">{"LBO Summary",#N/A,FALSE,"Summary";"Income Statement",#N/A,FALSE,"Model";"Cash Flow",#N/A,FALSE,"Model";"Balance Sheet",#N/A,FALSE,"Model";"Working Capital",#N/A,FALSE,"Model";"Pro Forma Balance Sheets",#N/A,FALSE,"PFBS";"Debt Balances",#N/A,FALSE,"Model";"Fee Schedules",#N/A,FALSE,"Model"}</definedName>
    <definedName name="Rock3" localSheetId="22" hidden="1">{"LBO Summary",#N/A,FALSE,"Summary";"Income Statement",#N/A,FALSE,"Model";"Cash Flow",#N/A,FALSE,"Model";"Balance Sheet",#N/A,FALSE,"Model";"Working Capital",#N/A,FALSE,"Model";"Pro Forma Balance Sheets",#N/A,FALSE,"PFBS";"Debt Balances",#N/A,FALSE,"Model";"Fee Schedules",#N/A,FALSE,"Model"}</definedName>
    <definedName name="Rock3" localSheetId="17" hidden="1">{"LBO Summary",#N/A,FALSE,"Summary";"Income Statement",#N/A,FALSE,"Model";"Cash Flow",#N/A,FALSE,"Model";"Balance Sheet",#N/A,FALSE,"Model";"Working Capital",#N/A,FALSE,"Model";"Pro Forma Balance Sheets",#N/A,FALSE,"PFBS";"Debt Balances",#N/A,FALSE,"Model";"Fee Schedules",#N/A,FALSE,"Model"}</definedName>
    <definedName name="Rock3" hidden="1">{"LBO Summary",#N/A,FALSE,"Summary";"Income Statement",#N/A,FALSE,"Model";"Cash Flow",#N/A,FALSE,"Model";"Balance Sheet",#N/A,FALSE,"Model";"Working Capital",#N/A,FALSE,"Model";"Pro Forma Balance Sheets",#N/A,FALSE,"PFBS";"Debt Balances",#N/A,FALSE,"Model";"Fee Schedules",#N/A,FALSE,"Model"}</definedName>
    <definedName name="rsAcqfee">'[1]Project Summary'!$C$16</definedName>
    <definedName name="rsClosingcosts">'[1]Project Summary'!$C$15</definedName>
    <definedName name="RSF" localSheetId="4">#REF!</definedName>
    <definedName name="RSF" localSheetId="5">#REF!</definedName>
    <definedName name="RTHDaily" hidden="1">2</definedName>
    <definedName name="RTHDefault" hidden="1">1</definedName>
    <definedName name="RTHIncludeActive" hidden="1">1</definedName>
    <definedName name="RTHIncludeActiveNonActive" hidden="1">2</definedName>
    <definedName name="RTHIncludeAll" hidden="1">3</definedName>
    <definedName name="RTHIncludeWeekdays" hidden="1">2</definedName>
    <definedName name="RTHMonthly" hidden="1">4</definedName>
    <definedName name="RTHOrientCol" hidden="1">2</definedName>
    <definedName name="RTHOrientRow" hidden="1">1</definedName>
    <definedName name="RTHQuarterly" hidden="1">5</definedName>
    <definedName name="RTHSortAscend" hidden="1">1</definedName>
    <definedName name="RTHSortDescend" hidden="1">2</definedName>
    <definedName name="RTHWeekly" hidden="1">3</definedName>
    <definedName name="RTHYearly" hidden="1">6</definedName>
    <definedName name="S_U" localSheetId="4">#REF!</definedName>
    <definedName name="S_U" localSheetId="5">#REF!</definedName>
    <definedName name="saa" localSheetId="2" hidden="1">{"rtn",#N/A,FALSE,"RTN";"tables",#N/A,FALSE,"RTN";"cf",#N/A,FALSE,"CF";"stats",#N/A,FALSE,"Stats";"prop",#N/A,FALSE,"Prop"}</definedName>
    <definedName name="saa" localSheetId="21" hidden="1">{"rtn",#N/A,FALSE,"RTN";"tables",#N/A,FALSE,"RTN";"cf",#N/A,FALSE,"CF";"stats",#N/A,FALSE,"Stats";"prop",#N/A,FALSE,"Prop"}</definedName>
    <definedName name="saa" localSheetId="22" hidden="1">{"rtn",#N/A,FALSE,"RTN";"tables",#N/A,FALSE,"RTN";"cf",#N/A,FALSE,"CF";"stats",#N/A,FALSE,"Stats";"prop",#N/A,FALSE,"Prop"}</definedName>
    <definedName name="saa" localSheetId="15" hidden="1">{"rtn",#N/A,FALSE,"RTN";"tables",#N/A,FALSE,"RTN";"cf",#N/A,FALSE,"CF";"stats",#N/A,FALSE,"Stats";"prop",#N/A,FALSE,"Prop"}</definedName>
    <definedName name="saa" localSheetId="17" hidden="1">{"rtn",#N/A,FALSE,"RTN";"tables",#N/A,FALSE,"RTN";"cf",#N/A,FALSE,"CF";"stats",#N/A,FALSE,"Stats";"prop",#N/A,FALSE,"Prop"}</definedName>
    <definedName name="saa" localSheetId="10" hidden="1">{"rtn",#N/A,FALSE,"RTN";"tables",#N/A,FALSE,"RTN";"cf",#N/A,FALSE,"CF";"stats",#N/A,FALSE,"Stats";"prop",#N/A,FALSE,"Prop"}</definedName>
    <definedName name="saa" localSheetId="13" hidden="1">{"rtn",#N/A,FALSE,"RTN";"tables",#N/A,FALSE,"RTN";"cf",#N/A,FALSE,"CF";"stats",#N/A,FALSE,"Stats";"prop",#N/A,FALSE,"Prop"}</definedName>
    <definedName name="saa" hidden="1">{"rtn",#N/A,FALSE,"RTN";"tables",#N/A,FALSE,"RTN";"cf",#N/A,FALSE,"CF";"stats",#N/A,FALSE,"Stats";"prop",#N/A,FALSE,"Prop"}</definedName>
    <definedName name="sadd" localSheetId="2" hidden="1">{"MonthlyRentRoll",#N/A,FALSE,"RentRoll"}</definedName>
    <definedName name="sadd" localSheetId="21" hidden="1">{"MonthlyRentRoll",#N/A,FALSE,"RentRoll"}</definedName>
    <definedName name="sadd" localSheetId="22" hidden="1">{"MonthlyRentRoll",#N/A,FALSE,"RentRoll"}</definedName>
    <definedName name="sadd" localSheetId="15" hidden="1">{"MonthlyRentRoll",#N/A,FALSE,"RentRoll"}</definedName>
    <definedName name="sadd" localSheetId="17" hidden="1">{"MonthlyRentRoll",#N/A,FALSE,"RentRoll"}</definedName>
    <definedName name="sadd" localSheetId="10" hidden="1">{"MonthlyRentRoll",#N/A,FALSE,"RentRoll"}</definedName>
    <definedName name="sadd" localSheetId="13" hidden="1">{"MonthlyRentRoll",#N/A,FALSE,"RentRoll"}</definedName>
    <definedName name="sadd" hidden="1">{"MonthlyRentRoll",#N/A,FALSE,"RentRoll"}</definedName>
    <definedName name="sadd2" localSheetId="2" hidden="1">{"MonthlyRentRoll",#N/A,FALSE,"RentRoll"}</definedName>
    <definedName name="sadd2" localSheetId="21" hidden="1">{"MonthlyRentRoll",#N/A,FALSE,"RentRoll"}</definedName>
    <definedName name="sadd2" localSheetId="22" hidden="1">{"MonthlyRentRoll",#N/A,FALSE,"RentRoll"}</definedName>
    <definedName name="sadd2" localSheetId="15" hidden="1">{"MonthlyRentRoll",#N/A,FALSE,"RentRoll"}</definedName>
    <definedName name="sadd2" localSheetId="17" hidden="1">{"MonthlyRentRoll",#N/A,FALSE,"RentRoll"}</definedName>
    <definedName name="sadd2" localSheetId="10" hidden="1">{"MonthlyRentRoll",#N/A,FALSE,"RentRoll"}</definedName>
    <definedName name="sadd2" localSheetId="13" hidden="1">{"MonthlyRentRoll",#N/A,FALSE,"RentRoll"}</definedName>
    <definedName name="sadd2" hidden="1">{"MonthlyRentRoll",#N/A,FALSE,"RentRoll"}</definedName>
    <definedName name="saddd" localSheetId="2" hidden="1">{"AnnualRentRoll",#N/A,FALSE,"RentRoll"}</definedName>
    <definedName name="saddd" localSheetId="21" hidden="1">{"AnnualRentRoll",#N/A,FALSE,"RentRoll"}</definedName>
    <definedName name="saddd" localSheetId="22" hidden="1">{"AnnualRentRoll",#N/A,FALSE,"RentRoll"}</definedName>
    <definedName name="saddd" localSheetId="15" hidden="1">{"AnnualRentRoll",#N/A,FALSE,"RentRoll"}</definedName>
    <definedName name="saddd" localSheetId="17" hidden="1">{"AnnualRentRoll",#N/A,FALSE,"RentRoll"}</definedName>
    <definedName name="saddd" localSheetId="10" hidden="1">{"AnnualRentRoll",#N/A,FALSE,"RentRoll"}</definedName>
    <definedName name="saddd" localSheetId="13" hidden="1">{"AnnualRentRoll",#N/A,FALSE,"RentRoll"}</definedName>
    <definedName name="saddd" hidden="1">{"AnnualRentRoll",#N/A,FALSE,"RentRoll"}</definedName>
    <definedName name="saddd2" localSheetId="2" hidden="1">{"AnnualRentRoll",#N/A,FALSE,"RentRoll"}</definedName>
    <definedName name="saddd2" localSheetId="21" hidden="1">{"AnnualRentRoll",#N/A,FALSE,"RentRoll"}</definedName>
    <definedName name="saddd2" localSheetId="22" hidden="1">{"AnnualRentRoll",#N/A,FALSE,"RentRoll"}</definedName>
    <definedName name="saddd2" localSheetId="15" hidden="1">{"AnnualRentRoll",#N/A,FALSE,"RentRoll"}</definedName>
    <definedName name="saddd2" localSheetId="17" hidden="1">{"AnnualRentRoll",#N/A,FALSE,"RentRoll"}</definedName>
    <definedName name="saddd2" localSheetId="10" hidden="1">{"AnnualRentRoll",#N/A,FALSE,"RentRoll"}</definedName>
    <definedName name="saddd2" localSheetId="13" hidden="1">{"AnnualRentRoll",#N/A,FALSE,"RentRoll"}</definedName>
    <definedName name="saddd2" hidden="1">{"AnnualRentRoll",#N/A,FALSE,"RentRoll"}</definedName>
    <definedName name="sadddd2" localSheetId="2" hidden="1">{"AnnualRentRoll",#N/A,FALSE,"RentRoll"}</definedName>
    <definedName name="sadddd2" localSheetId="21" hidden="1">{"AnnualRentRoll",#N/A,FALSE,"RentRoll"}</definedName>
    <definedName name="sadddd2" localSheetId="22" hidden="1">{"AnnualRentRoll",#N/A,FALSE,"RentRoll"}</definedName>
    <definedName name="sadddd2" localSheetId="15" hidden="1">{"AnnualRentRoll",#N/A,FALSE,"RentRoll"}</definedName>
    <definedName name="sadddd2" localSheetId="17" hidden="1">{"AnnualRentRoll",#N/A,FALSE,"RentRoll"}</definedName>
    <definedName name="sadddd2" localSheetId="10" hidden="1">{"AnnualRentRoll",#N/A,FALSE,"RentRoll"}</definedName>
    <definedName name="sadddd2" localSheetId="13" hidden="1">{"AnnualRentRoll",#N/A,FALSE,"RentRoll"}</definedName>
    <definedName name="sadddd2" hidden="1">{"AnnualRentRoll",#N/A,FALSE,"RentRoll"}</definedName>
    <definedName name="saddddd" localSheetId="2" hidden="1">{"AnnualRentRoll",#N/A,FALSE,"RentRoll"}</definedName>
    <definedName name="saddddd" localSheetId="21" hidden="1">{"AnnualRentRoll",#N/A,FALSE,"RentRoll"}</definedName>
    <definedName name="saddddd" localSheetId="22" hidden="1">{"AnnualRentRoll",#N/A,FALSE,"RentRoll"}</definedName>
    <definedName name="saddddd" localSheetId="15" hidden="1">{"AnnualRentRoll",#N/A,FALSE,"RentRoll"}</definedName>
    <definedName name="saddddd" localSheetId="17" hidden="1">{"AnnualRentRoll",#N/A,FALSE,"RentRoll"}</definedName>
    <definedName name="saddddd" localSheetId="10" hidden="1">{"AnnualRentRoll",#N/A,FALSE,"RentRoll"}</definedName>
    <definedName name="saddddd" localSheetId="13" hidden="1">{"AnnualRentRoll",#N/A,FALSE,"RentRoll"}</definedName>
    <definedName name="saddddd" hidden="1">{"AnnualRentRoll",#N/A,FALSE,"RentRoll"}</definedName>
    <definedName name="saddddddd2" localSheetId="2" hidden="1">{#N/A,#N/A,FALSE,"ExitStratigy"}</definedName>
    <definedName name="saddddddd2" localSheetId="21" hidden="1">{#N/A,#N/A,FALSE,"ExitStratigy"}</definedName>
    <definedName name="saddddddd2" localSheetId="22" hidden="1">{#N/A,#N/A,FALSE,"ExitStratigy"}</definedName>
    <definedName name="saddddddd2" localSheetId="15" hidden="1">{#N/A,#N/A,FALSE,"ExitStratigy"}</definedName>
    <definedName name="saddddddd2" localSheetId="17" hidden="1">{#N/A,#N/A,FALSE,"ExitStratigy"}</definedName>
    <definedName name="saddddddd2" localSheetId="10" hidden="1">{#N/A,#N/A,FALSE,"ExitStratigy"}</definedName>
    <definedName name="saddddddd2" localSheetId="13" hidden="1">{#N/A,#N/A,FALSE,"ExitStratigy"}</definedName>
    <definedName name="saddddddd2" hidden="1">{#N/A,#N/A,FALSE,"ExitStratigy"}</definedName>
    <definedName name="sadddddddd" localSheetId="2" hidden="1">{#N/A,#N/A,FALSE,"ExitStratigy"}</definedName>
    <definedName name="sadddddddd" localSheetId="21" hidden="1">{#N/A,#N/A,FALSE,"ExitStratigy"}</definedName>
    <definedName name="sadddddddd" localSheetId="22" hidden="1">{#N/A,#N/A,FALSE,"ExitStratigy"}</definedName>
    <definedName name="sadddddddd" localSheetId="15" hidden="1">{#N/A,#N/A,FALSE,"ExitStratigy"}</definedName>
    <definedName name="sadddddddd" localSheetId="17" hidden="1">{#N/A,#N/A,FALSE,"ExitStratigy"}</definedName>
    <definedName name="sadddddddd" localSheetId="10" hidden="1">{#N/A,#N/A,FALSE,"ExitStratigy"}</definedName>
    <definedName name="sadddddddd" localSheetId="13" hidden="1">{#N/A,#N/A,FALSE,"ExitStratigy"}</definedName>
    <definedName name="sadddddddd" hidden="1">{#N/A,#N/A,FALSE,"ExitStratigy"}</definedName>
    <definedName name="saddddddddd2" localSheetId="2" hidden="1">{#N/A,#N/A,FALSE,"LoanAssumptions"}</definedName>
    <definedName name="saddddddddd2" localSheetId="21" hidden="1">{#N/A,#N/A,FALSE,"LoanAssumptions"}</definedName>
    <definedName name="saddddddddd2" localSheetId="22" hidden="1">{#N/A,#N/A,FALSE,"LoanAssumptions"}</definedName>
    <definedName name="saddddddddd2" localSheetId="15" hidden="1">{#N/A,#N/A,FALSE,"LoanAssumptions"}</definedName>
    <definedName name="saddddddddd2" localSheetId="17" hidden="1">{#N/A,#N/A,FALSE,"LoanAssumptions"}</definedName>
    <definedName name="saddddddddd2" localSheetId="10" hidden="1">{#N/A,#N/A,FALSE,"LoanAssumptions"}</definedName>
    <definedName name="saddddddddd2" localSheetId="13" hidden="1">{#N/A,#N/A,FALSE,"LoanAssumptions"}</definedName>
    <definedName name="saddddddddd2" hidden="1">{#N/A,#N/A,FALSE,"LoanAssumptions"}</definedName>
    <definedName name="sadddddddddd" localSheetId="2" hidden="1">{#N/A,#N/A,FALSE,"LoanAssumptions"}</definedName>
    <definedName name="sadddddddddd" localSheetId="21" hidden="1">{#N/A,#N/A,FALSE,"LoanAssumptions"}</definedName>
    <definedName name="sadddddddddd" localSheetId="22" hidden="1">{#N/A,#N/A,FALSE,"LoanAssumptions"}</definedName>
    <definedName name="sadddddddddd" localSheetId="15" hidden="1">{#N/A,#N/A,FALSE,"LoanAssumptions"}</definedName>
    <definedName name="sadddddddddd" localSheetId="17" hidden="1">{#N/A,#N/A,FALSE,"LoanAssumptions"}</definedName>
    <definedName name="sadddddddddd" localSheetId="10" hidden="1">{#N/A,#N/A,FALSE,"LoanAssumptions"}</definedName>
    <definedName name="sadddddddddd" localSheetId="13" hidden="1">{#N/A,#N/A,FALSE,"LoanAssumptions"}</definedName>
    <definedName name="sadddddddddd" hidden="1">{#N/A,#N/A,FALSE,"LoanAssumptions"}</definedName>
    <definedName name="saddddddddddd2" localSheetId="2" hidden="1">{#N/A,#N/A,FALSE,"OperatingAssumptions"}</definedName>
    <definedName name="saddddddddddd2" localSheetId="21" hidden="1">{#N/A,#N/A,FALSE,"OperatingAssumptions"}</definedName>
    <definedName name="saddddddddddd2" localSheetId="22" hidden="1">{#N/A,#N/A,FALSE,"OperatingAssumptions"}</definedName>
    <definedName name="saddddddddddd2" localSheetId="15" hidden="1">{#N/A,#N/A,FALSE,"OperatingAssumptions"}</definedName>
    <definedName name="saddddddddddd2" localSheetId="17" hidden="1">{#N/A,#N/A,FALSE,"OperatingAssumptions"}</definedName>
    <definedName name="saddddddddddd2" localSheetId="10" hidden="1">{#N/A,#N/A,FALSE,"OperatingAssumptions"}</definedName>
    <definedName name="saddddddddddd2" localSheetId="13" hidden="1">{#N/A,#N/A,FALSE,"OperatingAssumptions"}</definedName>
    <definedName name="saddddddddddd2" hidden="1">{#N/A,#N/A,FALSE,"OperatingAssumptions"}</definedName>
    <definedName name="saddddddddddddd" localSheetId="2" hidden="1">{#N/A,#N/A,FALSE,"OperatingAssumptions"}</definedName>
    <definedName name="saddddddddddddd" localSheetId="21" hidden="1">{#N/A,#N/A,FALSE,"OperatingAssumptions"}</definedName>
    <definedName name="saddddddddddddd" localSheetId="22" hidden="1">{#N/A,#N/A,FALSE,"OperatingAssumptions"}</definedName>
    <definedName name="saddddddddddddd" localSheetId="15" hidden="1">{#N/A,#N/A,FALSE,"OperatingAssumptions"}</definedName>
    <definedName name="saddddddddddddd" localSheetId="17" hidden="1">{#N/A,#N/A,FALSE,"OperatingAssumptions"}</definedName>
    <definedName name="saddddddddddddd" localSheetId="10" hidden="1">{#N/A,#N/A,FALSE,"OperatingAssumptions"}</definedName>
    <definedName name="saddddddddddddd" localSheetId="13" hidden="1">{#N/A,#N/A,FALSE,"OperatingAssumptions"}</definedName>
    <definedName name="saddddddddddddd" hidden="1">{#N/A,#N/A,FALSE,"OperatingAssumptions"}</definedName>
    <definedName name="sadsadsa" localSheetId="21" hidden="1">{"'Assump'!$F$6:$J$6"}</definedName>
    <definedName name="sadsadsa" localSheetId="22" hidden="1">{"'Assump'!$F$6:$J$6"}</definedName>
    <definedName name="sadsadsa" localSheetId="17" hidden="1">{"'Assump'!$F$6:$J$6"}</definedName>
    <definedName name="sadsadsa" localSheetId="10" hidden="1">{"'Assump'!$F$6:$J$6"}</definedName>
    <definedName name="sadsadsa" hidden="1">{"'Assump'!$F$6:$J$6"}</definedName>
    <definedName name="SAPBEXhrIndnt" hidden="1">1</definedName>
    <definedName name="SAPBEXrevision" hidden="1">1</definedName>
    <definedName name="SAPBEXsysID" hidden="1">"BWP"</definedName>
    <definedName name="SAPBEXwbID" localSheetId="11" hidden="1">"0X9GWCGY9JFSJI9RS1H14J10Z"</definedName>
    <definedName name="SAPBEXwbID" hidden="1">"97TGO3MUQQJKGLDFZCKVCYHCU"</definedName>
    <definedName name="sas" localSheetId="2" hidden="1">{"Outflow 1",#N/A,FALSE,"Outflows-Inflows";"Outflow 2",#N/A,FALSE,"Outflows-Inflows";"Inflow 1",#N/A,FALSE,"Outflows-Inflows";"Inflow 2",#N/A,FALSE,"Outflows-Inflows"}</definedName>
    <definedName name="sas" localSheetId="21" hidden="1">{"Outflow 1",#N/A,FALSE,"Outflows-Inflows";"Outflow 2",#N/A,FALSE,"Outflows-Inflows";"Inflow 1",#N/A,FALSE,"Outflows-Inflows";"Inflow 2",#N/A,FALSE,"Outflows-Inflows"}</definedName>
    <definedName name="sas" localSheetId="22" hidden="1">{"Outflow 1",#N/A,FALSE,"Outflows-Inflows";"Outflow 2",#N/A,FALSE,"Outflows-Inflows";"Inflow 1",#N/A,FALSE,"Outflows-Inflows";"Inflow 2",#N/A,FALSE,"Outflows-Inflows"}</definedName>
    <definedName name="sas" localSheetId="15" hidden="1">{"Outflow 1",#N/A,FALSE,"Outflows-Inflows";"Outflow 2",#N/A,FALSE,"Outflows-Inflows";"Inflow 1",#N/A,FALSE,"Outflows-Inflows";"Inflow 2",#N/A,FALSE,"Outflows-Inflows"}</definedName>
    <definedName name="sas" localSheetId="17" hidden="1">{"Outflow 1",#N/A,FALSE,"Outflows-Inflows";"Outflow 2",#N/A,FALSE,"Outflows-Inflows";"Inflow 1",#N/A,FALSE,"Outflows-Inflows";"Inflow 2",#N/A,FALSE,"Outflows-Inflows"}</definedName>
    <definedName name="sas" localSheetId="10" hidden="1">{"Outflow 1",#N/A,FALSE,"Outflows-Inflows";"Outflow 2",#N/A,FALSE,"Outflows-Inflows";"Inflow 1",#N/A,FALSE,"Outflows-Inflows";"Inflow 2",#N/A,FALSE,"Outflows-Inflows"}</definedName>
    <definedName name="sas" localSheetId="13" hidden="1">{"Outflow 1",#N/A,FALSE,"Outflows-Inflows";"Outflow 2",#N/A,FALSE,"Outflows-Inflows";"Inflow 1",#N/A,FALSE,"Outflows-Inflows";"Inflow 2",#N/A,FALSE,"Outflows-Inflows"}</definedName>
    <definedName name="sas" hidden="1">{"Outflow 1",#N/A,FALSE,"Outflows-Inflows";"Outflow 2",#N/A,FALSE,"Outflows-Inflows";"Inflow 1",#N/A,FALSE,"Outflows-Inflows";"Inflow 2",#N/A,FALSE,"Outflows-Inflows"}</definedName>
    <definedName name="SC_Fill" localSheetId="4" hidden="1">#REF!</definedName>
    <definedName name="SC_Fill" localSheetId="5" hidden="1">#REF!</definedName>
    <definedName name="SC_Fill" localSheetId="20" hidden="1">#REF!</definedName>
    <definedName name="SC_Fill" localSheetId="2" hidden="1">#REF!</definedName>
    <definedName name="SC_Fill" localSheetId="21" hidden="1">#REF!</definedName>
    <definedName name="SC_Fill" localSheetId="19" hidden="1">#REF!</definedName>
    <definedName name="SC_Fill" localSheetId="22" hidden="1">#REF!</definedName>
    <definedName name="SC_Fill" localSheetId="7" hidden="1">#REF!</definedName>
    <definedName name="SC_Fill" localSheetId="8" hidden="1">#REF!</definedName>
    <definedName name="SC_Fill" localSheetId="10" hidden="1">#REF!</definedName>
    <definedName name="SC_Fill" hidden="1">#REF!</definedName>
    <definedName name="SC_Fill2" localSheetId="4" hidden="1">#REF!</definedName>
    <definedName name="SC_Fill2" localSheetId="5" hidden="1">#REF!</definedName>
    <definedName name="SC_Fill2" localSheetId="20" hidden="1">#REF!</definedName>
    <definedName name="SC_Fill2" localSheetId="2" hidden="1">#REF!</definedName>
    <definedName name="SC_Fill2" localSheetId="21" hidden="1">#REF!</definedName>
    <definedName name="SC_Fill2" localSheetId="19" hidden="1">#REF!</definedName>
    <definedName name="SC_Fill2" localSheetId="22" hidden="1">#REF!</definedName>
    <definedName name="SC_Fill2" localSheetId="7" hidden="1">#REF!</definedName>
    <definedName name="SC_Fill2" localSheetId="8" hidden="1">#REF!</definedName>
    <definedName name="SC_Fill2" localSheetId="10" hidden="1">#REF!</definedName>
    <definedName name="SC_Fill2" hidden="1">#REF!</definedName>
    <definedName name="sdcds" localSheetId="21" hidden="1">{"'Assump'!$F$6:$J$6"}</definedName>
    <definedName name="sdcds" localSheetId="22" hidden="1">{"'Assump'!$F$6:$J$6"}</definedName>
    <definedName name="sdcds" localSheetId="17" hidden="1">{"'Assump'!$F$6:$J$6"}</definedName>
    <definedName name="sdcds" localSheetId="10" hidden="1">{"'Assump'!$F$6:$J$6"}</definedName>
    <definedName name="sdcds" hidden="1">{"'Assump'!$F$6:$J$6"}</definedName>
    <definedName name="sdf" localSheetId="4" hidden="1">'Amo Schedule - Refi'!#REF!</definedName>
    <definedName name="sdf" localSheetId="3" hidden="1">'Amo Schedule - Senior'!#REF!</definedName>
    <definedName name="sdf" localSheetId="5" hidden="1">'Amo Schedule - Supplemental'!#REF!</definedName>
    <definedName name="sdf" localSheetId="2" hidden="1">{"cover",#N/A,TRUE,"Cover";"toc1",#N/A,TRUE,"TOC";"ts1",#N/A,TRUE,"Transaction Summary";"ei2",#N/A,TRUE,"Earnings Impact";"ad2",#N/A,TRUE,"accretion dilution"}</definedName>
    <definedName name="sdf" localSheetId="21" hidden="1">{"cover",#N/A,TRUE,"Cover";"toc1",#N/A,TRUE,"TOC";"ts1",#N/A,TRUE,"Transaction Summary";"ei2",#N/A,TRUE,"Earnings Impact";"ad2",#N/A,TRUE,"accretion dilution"}</definedName>
    <definedName name="sdf" localSheetId="22" hidden="1">{"cover",#N/A,TRUE,"Cover";"toc1",#N/A,TRUE,"TOC";"ts1",#N/A,TRUE,"Transaction Summary";"ei2",#N/A,TRUE,"Earnings Impact";"ad2",#N/A,TRUE,"accretion dilution"}</definedName>
    <definedName name="sdf" localSheetId="15" hidden="1">{"cover",#N/A,TRUE,"Cover";"toc1",#N/A,TRUE,"TOC";"ts1",#N/A,TRUE,"Transaction Summary";"ei2",#N/A,TRUE,"Earnings Impact";"ad2",#N/A,TRUE,"accretion dilution"}</definedName>
    <definedName name="sdf" localSheetId="17" hidden="1">{"cover",#N/A,TRUE,"Cover";"toc1",#N/A,TRUE,"TOC";"ts1",#N/A,TRUE,"Transaction Summary";"ei2",#N/A,TRUE,"Earnings Impact";"ad2",#N/A,TRUE,"accretion dilution"}</definedName>
    <definedName name="sdf" localSheetId="10" hidden="1">{"cover",#N/A,TRUE,"Cover";"toc1",#N/A,TRUE,"TOC";"ts1",#N/A,TRUE,"Transaction Summary";"ei2",#N/A,TRUE,"Earnings Impact";"ad2",#N/A,TRUE,"accretion dilution"}</definedName>
    <definedName name="sdf" localSheetId="13" hidden="1">{"cover",#N/A,TRUE,"Cover";"toc1",#N/A,TRUE,"TOC";"ts1",#N/A,TRUE,"Transaction Summary";"ei2",#N/A,TRUE,"Earnings Impact";"ad2",#N/A,TRUE,"accretion dilution"}</definedName>
    <definedName name="sdf" hidden="1">{"cover",#N/A,TRUE,"Cover";"toc1",#N/A,TRUE,"TOC";"ts1",#N/A,TRUE,"Transaction Summary";"ei2",#N/A,TRUE,"Earnings Impact";"ad2",#N/A,TRUE,"accretion dilution"}</definedName>
    <definedName name="sdfass" localSheetId="2" hidden="1">{"Outflow 1",#N/A,FALSE,"Outflows-Inflows";"Outflow 2",#N/A,FALSE,"Outflows-Inflows";"Inflow 1",#N/A,FALSE,"Outflows-Inflows";"Inflow 2",#N/A,FALSE,"Outflows-Inflows"}</definedName>
    <definedName name="sdfass" localSheetId="21" hidden="1">{"Outflow 1",#N/A,FALSE,"Outflows-Inflows";"Outflow 2",#N/A,FALSE,"Outflows-Inflows";"Inflow 1",#N/A,FALSE,"Outflows-Inflows";"Inflow 2",#N/A,FALSE,"Outflows-Inflows"}</definedName>
    <definedName name="sdfass" localSheetId="22" hidden="1">{"Outflow 1",#N/A,FALSE,"Outflows-Inflows";"Outflow 2",#N/A,FALSE,"Outflows-Inflows";"Inflow 1",#N/A,FALSE,"Outflows-Inflows";"Inflow 2",#N/A,FALSE,"Outflows-Inflows"}</definedName>
    <definedName name="sdfass" localSheetId="15" hidden="1">{"Outflow 1",#N/A,FALSE,"Outflows-Inflows";"Outflow 2",#N/A,FALSE,"Outflows-Inflows";"Inflow 1",#N/A,FALSE,"Outflows-Inflows";"Inflow 2",#N/A,FALSE,"Outflows-Inflows"}</definedName>
    <definedName name="sdfass" localSheetId="17" hidden="1">{"Outflow 1",#N/A,FALSE,"Outflows-Inflows";"Outflow 2",#N/A,FALSE,"Outflows-Inflows";"Inflow 1",#N/A,FALSE,"Outflows-Inflows";"Inflow 2",#N/A,FALSE,"Outflows-Inflows"}</definedName>
    <definedName name="sdfass" localSheetId="10" hidden="1">{"Outflow 1",#N/A,FALSE,"Outflows-Inflows";"Outflow 2",#N/A,FALSE,"Outflows-Inflows";"Inflow 1",#N/A,FALSE,"Outflows-Inflows";"Inflow 2",#N/A,FALSE,"Outflows-Inflows"}</definedName>
    <definedName name="sdfass" localSheetId="13" hidden="1">{"Outflow 1",#N/A,FALSE,"Outflows-Inflows";"Outflow 2",#N/A,FALSE,"Outflows-Inflows";"Inflow 1",#N/A,FALSE,"Outflows-Inflows";"Inflow 2",#N/A,FALSE,"Outflows-Inflows"}</definedName>
    <definedName name="sdfass" hidden="1">{"Outflow 1",#N/A,FALSE,"Outflows-Inflows";"Outflow 2",#N/A,FALSE,"Outflows-Inflows";"Inflow 1",#N/A,FALSE,"Outflows-Inflows";"Inflow 2",#N/A,FALSE,"Outflows-Inflows"}</definedName>
    <definedName name="sdfds" hidden="1">#REF!</definedName>
    <definedName name="SG_Fill" localSheetId="4" hidden="1">#REF!</definedName>
    <definedName name="SG_Fill" localSheetId="5" hidden="1">#REF!</definedName>
    <definedName name="SG_Fill" localSheetId="20" hidden="1">#REF!</definedName>
    <definedName name="SG_Fill" localSheetId="2" hidden="1">#REF!</definedName>
    <definedName name="SG_Fill" localSheetId="21" hidden="1">#REF!</definedName>
    <definedName name="SG_Fill" localSheetId="19" hidden="1">#REF!</definedName>
    <definedName name="SG_Fill" localSheetId="22" hidden="1">#REF!</definedName>
    <definedName name="SG_Fill" localSheetId="7" hidden="1">#REF!</definedName>
    <definedName name="SG_Fill" localSheetId="8" hidden="1">#REF!</definedName>
    <definedName name="SG_Fill" localSheetId="10" hidden="1">#REF!</definedName>
    <definedName name="SG_Fill" hidden="1">#REF!</definedName>
    <definedName name="shoot" localSheetId="2" hidden="1">{#N/A,#N/A,FALSE,"Expense Comparison"}</definedName>
    <definedName name="shoot" localSheetId="21" hidden="1">{#N/A,#N/A,FALSE,"Expense Comparison"}</definedName>
    <definedName name="shoot" localSheetId="22" hidden="1">{#N/A,#N/A,FALSE,"Expense Comparison"}</definedName>
    <definedName name="shoot" localSheetId="15" hidden="1">{#N/A,#N/A,FALSE,"Expense Comparison"}</definedName>
    <definedName name="shoot" localSheetId="17" hidden="1">{#N/A,#N/A,FALSE,"Expense Comparison"}</definedName>
    <definedName name="shoot" localSheetId="10" hidden="1">{#N/A,#N/A,FALSE,"Expense Comparison"}</definedName>
    <definedName name="shoot" localSheetId="13" hidden="1">{#N/A,#N/A,FALSE,"Expense Comparison"}</definedName>
    <definedName name="shoot" hidden="1">{#N/A,#N/A,FALSE,"Expense Comparison"}</definedName>
    <definedName name="shucks" localSheetId="2" hidden="1">{"Full Sheet",#N/A,FALSE,"Expense Comparison"}</definedName>
    <definedName name="shucks" localSheetId="21" hidden="1">{"Full Sheet",#N/A,FALSE,"Expense Comparison"}</definedName>
    <definedName name="shucks" localSheetId="22" hidden="1">{"Full Sheet",#N/A,FALSE,"Expense Comparison"}</definedName>
    <definedName name="shucks" localSheetId="15" hidden="1">{"Full Sheet",#N/A,FALSE,"Expense Comparison"}</definedName>
    <definedName name="shucks" localSheetId="17" hidden="1">{"Full Sheet",#N/A,FALSE,"Expense Comparison"}</definedName>
    <definedName name="shucks" localSheetId="10" hidden="1">{"Full Sheet",#N/A,FALSE,"Expense Comparison"}</definedName>
    <definedName name="shucks" localSheetId="13" hidden="1">{"Full Sheet",#N/A,FALSE,"Expense Comparison"}</definedName>
    <definedName name="shucks" hidden="1">{"Full Sheet",#N/A,FALSE,"Expense Comparison"}</definedName>
    <definedName name="shuckss" localSheetId="2" hidden="1">{"Full Sheet",#N/A,FALSE,"Expense Comparison"}</definedName>
    <definedName name="shuckss" localSheetId="21" hidden="1">{"Full Sheet",#N/A,FALSE,"Expense Comparison"}</definedName>
    <definedName name="shuckss" localSheetId="22" hidden="1">{"Full Sheet",#N/A,FALSE,"Expense Comparison"}</definedName>
    <definedName name="shuckss" localSheetId="15" hidden="1">{"Full Sheet",#N/A,FALSE,"Expense Comparison"}</definedName>
    <definedName name="shuckss" localSheetId="17" hidden="1">{"Full Sheet",#N/A,FALSE,"Expense Comparison"}</definedName>
    <definedName name="shuckss" localSheetId="10" hidden="1">{"Full Sheet",#N/A,FALSE,"Expense Comparison"}</definedName>
    <definedName name="shuckss" localSheetId="13" hidden="1">{"Full Sheet",#N/A,FALSE,"Expense Comparison"}</definedName>
    <definedName name="shuckss" hidden="1">{"Full Sheet",#N/A,FALSE,"Expense Comparison"}</definedName>
    <definedName name="shucksssss" localSheetId="2" hidden="1">{#N/A,#N/A,FALSE,"Expense Comparison"}</definedName>
    <definedName name="shucksssss" localSheetId="21" hidden="1">{#N/A,#N/A,FALSE,"Expense Comparison"}</definedName>
    <definedName name="shucksssss" localSheetId="22" hidden="1">{#N/A,#N/A,FALSE,"Expense Comparison"}</definedName>
    <definedName name="shucksssss" localSheetId="15" hidden="1">{#N/A,#N/A,FALSE,"Expense Comparison"}</definedName>
    <definedName name="shucksssss" localSheetId="17" hidden="1">{#N/A,#N/A,FALSE,"Expense Comparison"}</definedName>
    <definedName name="shucksssss" localSheetId="10" hidden="1">{#N/A,#N/A,FALSE,"Expense Comparison"}</definedName>
    <definedName name="shucksssss" localSheetId="13" hidden="1">{#N/A,#N/A,FALSE,"Expense Comparison"}</definedName>
    <definedName name="shucksssss" hidden="1">{#N/A,#N/A,FALSE,"Expense Comparison"}</definedName>
    <definedName name="spread_1" localSheetId="4">#REF!</definedName>
    <definedName name="spread_1" localSheetId="5">#REF!</definedName>
    <definedName name="Square_Feet" localSheetId="4">#REF!</definedName>
    <definedName name="Square_Feet" localSheetId="5">#REF!</definedName>
    <definedName name="SSO" localSheetId="21" hidden="1">{#N/A,#N/A,FALSE,"CF Consolidated 2";#N/A,#N/A,FALSE,"Retail Assump";#N/A,#N/A,FALSE,"CF Retail";#N/A,#N/A,FALSE,"Garage Assumpt 1";#N/A,#N/A,FALSE,"Garage Op Proj";#N/A,#N/A,FALSE,"Hist I&amp;E";#N/A,#N/A,FALSE,"Rent Roll";#N/A,#N/A,FALSE,"RE Taxes";#N/A,#N/A,FALSE,"CAM - BH";#N/A,#N/A,FALSE,"Comm.Condo CAM"}</definedName>
    <definedName name="SSO" localSheetId="22" hidden="1">{#N/A,#N/A,FALSE,"CF Consolidated 2";#N/A,#N/A,FALSE,"Retail Assump";#N/A,#N/A,FALSE,"CF Retail";#N/A,#N/A,FALSE,"Garage Assumpt 1";#N/A,#N/A,FALSE,"Garage Op Proj";#N/A,#N/A,FALSE,"Hist I&amp;E";#N/A,#N/A,FALSE,"Rent Roll";#N/A,#N/A,FALSE,"RE Taxes";#N/A,#N/A,FALSE,"CAM - BH";#N/A,#N/A,FALSE,"Comm.Condo CAM"}</definedName>
    <definedName name="SSO" localSheetId="17" hidden="1">{#N/A,#N/A,FALSE,"CF Consolidated 2";#N/A,#N/A,FALSE,"Retail Assump";#N/A,#N/A,FALSE,"CF Retail";#N/A,#N/A,FALSE,"Garage Assumpt 1";#N/A,#N/A,FALSE,"Garage Op Proj";#N/A,#N/A,FALSE,"Hist I&amp;E";#N/A,#N/A,FALSE,"Rent Roll";#N/A,#N/A,FALSE,"RE Taxes";#N/A,#N/A,FALSE,"CAM - BH";#N/A,#N/A,FALSE,"Comm.Condo CAM"}</definedName>
    <definedName name="SSO" localSheetId="10" hidden="1">{#N/A,#N/A,FALSE,"CF Consolidated 2";#N/A,#N/A,FALSE,"Retail Assump";#N/A,#N/A,FALSE,"CF Retail";#N/A,#N/A,FALSE,"Garage Assumpt 1";#N/A,#N/A,FALSE,"Garage Op Proj";#N/A,#N/A,FALSE,"Hist I&amp;E";#N/A,#N/A,FALSE,"Rent Roll";#N/A,#N/A,FALSE,"RE Taxes";#N/A,#N/A,FALSE,"CAM - BH";#N/A,#N/A,FALSE,"Comm.Condo CAM"}</definedName>
    <definedName name="SSO" hidden="1">{#N/A,#N/A,FALSE,"CF Consolidated 2";#N/A,#N/A,FALSE,"Retail Assump";#N/A,#N/A,FALSE,"CF Retail";#N/A,#N/A,FALSE,"Garage Assumpt 1";#N/A,#N/A,FALSE,"Garage Op Proj";#N/A,#N/A,FALSE,"Hist I&amp;E";#N/A,#N/A,FALSE,"Rent Roll";#N/A,#N/A,FALSE,"RE Taxes";#N/A,#N/A,FALSE,"CAM - BH";#N/A,#N/A,FALSE,"Comm.Condo CAM"}</definedName>
    <definedName name="Stabilized_Occupancy" localSheetId="4">#REF!</definedName>
    <definedName name="Stabilized_Occupancy" localSheetId="5">#REF!</definedName>
    <definedName name="Stadium" localSheetId="21" hidden="1">{#N/A,#N/A,TRUE,"Ericsson Stadium PCD ";#N/A,#N/A,TRUE,"Ericsson Stadium IOR"}</definedName>
    <definedName name="Stadium" localSheetId="22" hidden="1">{#N/A,#N/A,TRUE,"Ericsson Stadium PCD ";#N/A,#N/A,TRUE,"Ericsson Stadium IOR"}</definedName>
    <definedName name="Stadium" localSheetId="17" hidden="1">{#N/A,#N/A,TRUE,"Ericsson Stadium PCD ";#N/A,#N/A,TRUE,"Ericsson Stadium IOR"}</definedName>
    <definedName name="Stadium" localSheetId="10" hidden="1">{#N/A,#N/A,TRUE,"Ericsson Stadium PCD ";#N/A,#N/A,TRUE,"Ericsson Stadium IOR"}</definedName>
    <definedName name="Stadium" hidden="1">{#N/A,#N/A,TRUE,"Ericsson Stadium PCD ";#N/A,#N/A,TRUE,"Ericsson Stadium IOR"}</definedName>
    <definedName name="stadiuma" localSheetId="21" hidden="1">{#N/A,#N/A,TRUE,"Ericsson Stadium PCD ";#N/A,#N/A,TRUE,"Ericsson Stadium IOR"}</definedName>
    <definedName name="stadiuma" localSheetId="22" hidden="1">{#N/A,#N/A,TRUE,"Ericsson Stadium PCD ";#N/A,#N/A,TRUE,"Ericsson Stadium IOR"}</definedName>
    <definedName name="stadiuma" localSheetId="17" hidden="1">{#N/A,#N/A,TRUE,"Ericsson Stadium PCD ";#N/A,#N/A,TRUE,"Ericsson Stadium IOR"}</definedName>
    <definedName name="stadiuma" localSheetId="10" hidden="1">{#N/A,#N/A,TRUE,"Ericsson Stadium PCD ";#N/A,#N/A,TRUE,"Ericsson Stadium IOR"}</definedName>
    <definedName name="stadiuma" hidden="1">{#N/A,#N/A,TRUE,"Ericsson Stadium PCD ";#N/A,#N/A,TRUE,"Ericsson Stadium IOR"}</definedName>
    <definedName name="test" localSheetId="2" hidden="1">{"Full Sheet",#N/A,FALSE,"Expense Comparison"}</definedName>
    <definedName name="test" localSheetId="21" hidden="1">{"Full Sheet",#N/A,FALSE,"Expense Comparison"}</definedName>
    <definedName name="test" localSheetId="22" hidden="1">{"Full Sheet",#N/A,FALSE,"Expense Comparison"}</definedName>
    <definedName name="test" localSheetId="15" hidden="1">{"Full Sheet",#N/A,FALSE,"Expense Comparison"}</definedName>
    <definedName name="test" localSheetId="17" hidden="1">{"Full Sheet",#N/A,FALSE,"Expense Comparison"}</definedName>
    <definedName name="test" localSheetId="10" hidden="1">{"Full Sheet",#N/A,FALSE,"Expense Comparison"}</definedName>
    <definedName name="test" localSheetId="13" hidden="1">{"Full Sheet",#N/A,FALSE,"Expense Comparison"}</definedName>
    <definedName name="test" hidden="1">{"Full Sheet",#N/A,FALSE,"Expense Comparison"}</definedName>
    <definedName name="TextRefCopyRangeCount" hidden="1">9</definedName>
    <definedName name="tina" localSheetId="2" hidden="1">{"cover",#N/A,TRUE,"Cover";"toc3",#N/A,TRUE,"TOC";"over",#N/A,TRUE,"Overview";"ts2",#N/A,TRUE,"Det_Trans_Sum";"ei1c",#N/A,TRUE,"Earnings Impact";"ad1",#N/A,TRUE,"accretion dilution";"pfis1",#N/A,TRUE,"Pro Forma Income Statement";"acq1c",#N/A,TRUE,"Acquirer";"tar1c",#N/A,TRUE,"Target"}</definedName>
    <definedName name="tina" localSheetId="21" hidden="1">{"cover",#N/A,TRUE,"Cover";"toc3",#N/A,TRUE,"TOC";"over",#N/A,TRUE,"Overview";"ts2",#N/A,TRUE,"Det_Trans_Sum";"ei1c",#N/A,TRUE,"Earnings Impact";"ad1",#N/A,TRUE,"accretion dilution";"pfis1",#N/A,TRUE,"Pro Forma Income Statement";"acq1c",#N/A,TRUE,"Acquirer";"tar1c",#N/A,TRUE,"Target"}</definedName>
    <definedName name="tina" localSheetId="22" hidden="1">{"cover",#N/A,TRUE,"Cover";"toc3",#N/A,TRUE,"TOC";"over",#N/A,TRUE,"Overview";"ts2",#N/A,TRUE,"Det_Trans_Sum";"ei1c",#N/A,TRUE,"Earnings Impact";"ad1",#N/A,TRUE,"accretion dilution";"pfis1",#N/A,TRUE,"Pro Forma Income Statement";"acq1c",#N/A,TRUE,"Acquirer";"tar1c",#N/A,TRUE,"Target"}</definedName>
    <definedName name="tina" localSheetId="15" hidden="1">{"cover",#N/A,TRUE,"Cover";"toc3",#N/A,TRUE,"TOC";"over",#N/A,TRUE,"Overview";"ts2",#N/A,TRUE,"Det_Trans_Sum";"ei1c",#N/A,TRUE,"Earnings Impact";"ad1",#N/A,TRUE,"accretion dilution";"pfis1",#N/A,TRUE,"Pro Forma Income Statement";"acq1c",#N/A,TRUE,"Acquirer";"tar1c",#N/A,TRUE,"Target"}</definedName>
    <definedName name="tina" localSheetId="17" hidden="1">{"cover",#N/A,TRUE,"Cover";"toc3",#N/A,TRUE,"TOC";"over",#N/A,TRUE,"Overview";"ts2",#N/A,TRUE,"Det_Trans_Sum";"ei1c",#N/A,TRUE,"Earnings Impact";"ad1",#N/A,TRUE,"accretion dilution";"pfis1",#N/A,TRUE,"Pro Forma Income Statement";"acq1c",#N/A,TRUE,"Acquirer";"tar1c",#N/A,TRUE,"Target"}</definedName>
    <definedName name="tina" localSheetId="10" hidden="1">{"cover",#N/A,TRUE,"Cover";"toc3",#N/A,TRUE,"TOC";"over",#N/A,TRUE,"Overview";"ts2",#N/A,TRUE,"Det_Trans_Sum";"ei1c",#N/A,TRUE,"Earnings Impact";"ad1",#N/A,TRUE,"accretion dilution";"pfis1",#N/A,TRUE,"Pro Forma Income Statement";"acq1c",#N/A,TRUE,"Acquirer";"tar1c",#N/A,TRUE,"Target"}</definedName>
    <definedName name="tina" localSheetId="13" hidden="1">{"cover",#N/A,TRUE,"Cover";"toc3",#N/A,TRUE,"TOC";"over",#N/A,TRUE,"Overview";"ts2",#N/A,TRUE,"Det_Trans_Sum";"ei1c",#N/A,TRUE,"Earnings Impact";"ad1",#N/A,TRUE,"accretion dilution";"pfis1",#N/A,TRUE,"Pro Forma Income Statement";"acq1c",#N/A,TRUE,"Acquirer";"tar1c",#N/A,TRUE,"Target"}</definedName>
    <definedName name="tina" hidden="1">{"cover",#N/A,TRUE,"Cover";"toc3",#N/A,TRUE,"TOC";"over",#N/A,TRUE,"Overview";"ts2",#N/A,TRUE,"Det_Trans_Sum";"ei1c",#N/A,TRUE,"Earnings Impact";"ad1",#N/A,TRUE,"accretion dilution";"pfis1",#N/A,TRUE,"Pro Forma Income Statement";"acq1c",#N/A,TRUE,"Acquirer";"tar1c",#N/A,TRUE,"Target"}</definedName>
    <definedName name="Trx" localSheetId="21" hidden="1">{#N/A,#N/A,FALSE,"Group Fcst";#N/A,#N/A,FALSE,"Group Fcst Variance";#N/A,#N/A,FALSE,"Consolidated";#N/A,#N/A,FALSE,"Subscriber Mktg";#N/A,#N/A,FALSE,"Vendor Mktg";#N/A,#N/A,FALSE,"Corporate";#N/A,#N/A,FALSE,"Finance";#N/A,#N/A,FALSE,"Cust Svc-Legal";#N/A,#N/A,FALSE,"Legal";#N/A,#N/A,FALSE,"Cust Supp";#N/A,#N/A,FALSE,"Logistics";#N/A,#N/A,FALSE,"Service Mgmt";#N/A,#N/A,FALSE,"GlobalFares";#N/A,#N/A,FALSE,"HR";#N/A,#N/A,FALSE,"President";#N/A,#N/A,FALSE,"Information Services";#N/A,#N/A,FALSE,"Systems Dev";#N/A,#N/A,FALSE,"Network Services";#N/A,#N/A,FALSE,"Data Center"}</definedName>
    <definedName name="Trx" localSheetId="22" hidden="1">{#N/A,#N/A,FALSE,"Group Fcst";#N/A,#N/A,FALSE,"Group Fcst Variance";#N/A,#N/A,FALSE,"Consolidated";#N/A,#N/A,FALSE,"Subscriber Mktg";#N/A,#N/A,FALSE,"Vendor Mktg";#N/A,#N/A,FALSE,"Corporate";#N/A,#N/A,FALSE,"Finance";#N/A,#N/A,FALSE,"Cust Svc-Legal";#N/A,#N/A,FALSE,"Legal";#N/A,#N/A,FALSE,"Cust Supp";#N/A,#N/A,FALSE,"Logistics";#N/A,#N/A,FALSE,"Service Mgmt";#N/A,#N/A,FALSE,"GlobalFares";#N/A,#N/A,FALSE,"HR";#N/A,#N/A,FALSE,"President";#N/A,#N/A,FALSE,"Information Services";#N/A,#N/A,FALSE,"Systems Dev";#N/A,#N/A,FALSE,"Network Services";#N/A,#N/A,FALSE,"Data Center"}</definedName>
    <definedName name="Trx" localSheetId="17" hidden="1">{#N/A,#N/A,FALSE,"Group Fcst";#N/A,#N/A,FALSE,"Group Fcst Variance";#N/A,#N/A,FALSE,"Consolidated";#N/A,#N/A,FALSE,"Subscriber Mktg";#N/A,#N/A,FALSE,"Vendor Mktg";#N/A,#N/A,FALSE,"Corporate";#N/A,#N/A,FALSE,"Finance";#N/A,#N/A,FALSE,"Cust Svc-Legal";#N/A,#N/A,FALSE,"Legal";#N/A,#N/A,FALSE,"Cust Supp";#N/A,#N/A,FALSE,"Logistics";#N/A,#N/A,FALSE,"Service Mgmt";#N/A,#N/A,FALSE,"GlobalFares";#N/A,#N/A,FALSE,"HR";#N/A,#N/A,FALSE,"President";#N/A,#N/A,FALSE,"Information Services";#N/A,#N/A,FALSE,"Systems Dev";#N/A,#N/A,FALSE,"Network Services";#N/A,#N/A,FALSE,"Data Center"}</definedName>
    <definedName name="Trx" hidden="1">{#N/A,#N/A,FALSE,"Group Fcst";#N/A,#N/A,FALSE,"Group Fcst Variance";#N/A,#N/A,FALSE,"Consolidated";#N/A,#N/A,FALSE,"Subscriber Mktg";#N/A,#N/A,FALSE,"Vendor Mktg";#N/A,#N/A,FALSE,"Corporate";#N/A,#N/A,FALSE,"Finance";#N/A,#N/A,FALSE,"Cust Svc-Legal";#N/A,#N/A,FALSE,"Legal";#N/A,#N/A,FALSE,"Cust Supp";#N/A,#N/A,FALSE,"Logistics";#N/A,#N/A,FALSE,"Service Mgmt";#N/A,#N/A,FALSE,"GlobalFares";#N/A,#N/A,FALSE,"HR";#N/A,#N/A,FALSE,"President";#N/A,#N/A,FALSE,"Information Services";#N/A,#N/A,FALSE,"Systems Dev";#N/A,#N/A,FALSE,"Network Services";#N/A,#N/A,FALSE,"Data Center"}</definedName>
    <definedName name="turn" localSheetId="4">#REF!</definedName>
    <definedName name="turn" localSheetId="5">#REF!</definedName>
    <definedName name="units" localSheetId="17">'Inputs and Assumptions'!$D$10</definedName>
    <definedName name="units">'Inputs and Assumptions'!$D$10</definedName>
    <definedName name="UnitsPopulated" hidden="1">#REF!</definedName>
    <definedName name="v_Key1" hidden="1">#REF!</definedName>
    <definedName name="v_Key2" hidden="1">#REF!</definedName>
    <definedName name="vj" localSheetId="21" hidden="1">{#N/A,#N/A,FALSE,"Assumptions";#N/A,#N/A,FALSE,"10-Yr - detail";#N/A,#N/A,FALSE,"Rent Roll";#N/A,#N/A,FALSE,"Historical (2)";#N/A,#N/A,FALSE,"RET's";#N/A,#N/A,FALSE,"Lse-Exp.";#N/A,#N/A,FALSE,"Lease Rollover";#N/A,#N/A,FALSE,"Service Contracts"}</definedName>
    <definedName name="vj" localSheetId="22" hidden="1">{#N/A,#N/A,FALSE,"Assumptions";#N/A,#N/A,FALSE,"10-Yr - detail";#N/A,#N/A,FALSE,"Rent Roll";#N/A,#N/A,FALSE,"Historical (2)";#N/A,#N/A,FALSE,"RET's";#N/A,#N/A,FALSE,"Lse-Exp.";#N/A,#N/A,FALSE,"Lease Rollover";#N/A,#N/A,FALSE,"Service Contracts"}</definedName>
    <definedName name="vj" localSheetId="17" hidden="1">{#N/A,#N/A,FALSE,"Assumptions";#N/A,#N/A,FALSE,"10-Yr - detail";#N/A,#N/A,FALSE,"Rent Roll";#N/A,#N/A,FALSE,"Historical (2)";#N/A,#N/A,FALSE,"RET's";#N/A,#N/A,FALSE,"Lse-Exp.";#N/A,#N/A,FALSE,"Lease Rollover";#N/A,#N/A,FALSE,"Service Contracts"}</definedName>
    <definedName name="vj" localSheetId="10" hidden="1">{#N/A,#N/A,FALSE,"Assumptions";#N/A,#N/A,FALSE,"10-Yr - detail";#N/A,#N/A,FALSE,"Rent Roll";#N/A,#N/A,FALSE,"Historical (2)";#N/A,#N/A,FALSE,"RET's";#N/A,#N/A,FALSE,"Lse-Exp.";#N/A,#N/A,FALSE,"Lease Rollover";#N/A,#N/A,FALSE,"Service Contracts"}</definedName>
    <definedName name="vj" hidden="1">{#N/A,#N/A,FALSE,"Assumptions";#N/A,#N/A,FALSE,"10-Yr - detail";#N/A,#N/A,FALSE,"Rent Roll";#N/A,#N/A,FALSE,"Historical (2)";#N/A,#N/A,FALSE,"RET's";#N/A,#N/A,FALSE,"Lse-Exp.";#N/A,#N/A,FALSE,"Lease Rollover";#N/A,#N/A,FALSE,"Service Contracts"}</definedName>
    <definedName name="w" localSheetId="4" hidden="1">#REF!</definedName>
    <definedName name="w" localSheetId="5" hidden="1">#REF!</definedName>
    <definedName name="w" localSheetId="20" hidden="1">#REF!</definedName>
    <definedName name="w" localSheetId="2" hidden="1">#REF!</definedName>
    <definedName name="w" localSheetId="21" hidden="1">#REF!</definedName>
    <definedName name="w" localSheetId="19" hidden="1">#REF!</definedName>
    <definedName name="w" localSheetId="22" hidden="1">#REF!</definedName>
    <definedName name="w" localSheetId="7" hidden="1">#REF!</definedName>
    <definedName name="w" localSheetId="8" hidden="1">#REF!</definedName>
    <definedName name="w" localSheetId="10" hidden="1">#REF!</definedName>
    <definedName name="w" hidden="1">#REF!</definedName>
    <definedName name="wer" localSheetId="2" hidden="1">{"cover",#N/A,TRUE,"Cover";"toc6",#N/A,TRUE,"TOC";"pfis3",#N/A,TRUE,"Overview";"ts2",#N/A,TRUE,"Det_Trans_Sum";"ei2c",#N/A,TRUE,"Earnings Impact";"ad2",#N/A,TRUE,"accretion dilution";"hg2",#N/A,TRUE,"Has-Gets";"pfis2",#N/A,TRUE,"Pro Forma Income Statement";"ca2",#N/A,TRUE,"Contribution_Analysis";"acq2c",#N/A,TRUE,"Acquirer";"tar2c",#N/A,TRUE,"Target"}</definedName>
    <definedName name="wer" localSheetId="21" hidden="1">{"cover",#N/A,TRUE,"Cover";"toc6",#N/A,TRUE,"TOC";"pfis3",#N/A,TRUE,"Overview";"ts2",#N/A,TRUE,"Det_Trans_Sum";"ei2c",#N/A,TRUE,"Earnings Impact";"ad2",#N/A,TRUE,"accretion dilution";"hg2",#N/A,TRUE,"Has-Gets";"pfis2",#N/A,TRUE,"Pro Forma Income Statement";"ca2",#N/A,TRUE,"Contribution_Analysis";"acq2c",#N/A,TRUE,"Acquirer";"tar2c",#N/A,TRUE,"Target"}</definedName>
    <definedName name="wer" localSheetId="22" hidden="1">{"cover",#N/A,TRUE,"Cover";"toc6",#N/A,TRUE,"TOC";"pfis3",#N/A,TRUE,"Overview";"ts2",#N/A,TRUE,"Det_Trans_Sum";"ei2c",#N/A,TRUE,"Earnings Impact";"ad2",#N/A,TRUE,"accretion dilution";"hg2",#N/A,TRUE,"Has-Gets";"pfis2",#N/A,TRUE,"Pro Forma Income Statement";"ca2",#N/A,TRUE,"Contribution_Analysis";"acq2c",#N/A,TRUE,"Acquirer";"tar2c",#N/A,TRUE,"Target"}</definedName>
    <definedName name="wer" localSheetId="15" hidden="1">{"cover",#N/A,TRUE,"Cover";"toc6",#N/A,TRUE,"TOC";"pfis3",#N/A,TRUE,"Overview";"ts2",#N/A,TRUE,"Det_Trans_Sum";"ei2c",#N/A,TRUE,"Earnings Impact";"ad2",#N/A,TRUE,"accretion dilution";"hg2",#N/A,TRUE,"Has-Gets";"pfis2",#N/A,TRUE,"Pro Forma Income Statement";"ca2",#N/A,TRUE,"Contribution_Analysis";"acq2c",#N/A,TRUE,"Acquirer";"tar2c",#N/A,TRUE,"Target"}</definedName>
    <definedName name="wer" localSheetId="17" hidden="1">{"cover",#N/A,TRUE,"Cover";"toc6",#N/A,TRUE,"TOC";"pfis3",#N/A,TRUE,"Overview";"ts2",#N/A,TRUE,"Det_Trans_Sum";"ei2c",#N/A,TRUE,"Earnings Impact";"ad2",#N/A,TRUE,"accretion dilution";"hg2",#N/A,TRUE,"Has-Gets";"pfis2",#N/A,TRUE,"Pro Forma Income Statement";"ca2",#N/A,TRUE,"Contribution_Analysis";"acq2c",#N/A,TRUE,"Acquirer";"tar2c",#N/A,TRUE,"Target"}</definedName>
    <definedName name="wer" localSheetId="10" hidden="1">{"cover",#N/A,TRUE,"Cover";"toc6",#N/A,TRUE,"TOC";"pfis3",#N/A,TRUE,"Overview";"ts2",#N/A,TRUE,"Det_Trans_Sum";"ei2c",#N/A,TRUE,"Earnings Impact";"ad2",#N/A,TRUE,"accretion dilution";"hg2",#N/A,TRUE,"Has-Gets";"pfis2",#N/A,TRUE,"Pro Forma Income Statement";"ca2",#N/A,TRUE,"Contribution_Analysis";"acq2c",#N/A,TRUE,"Acquirer";"tar2c",#N/A,TRUE,"Target"}</definedName>
    <definedName name="wer" localSheetId="13" hidden="1">{"cover",#N/A,TRUE,"Cover";"toc6",#N/A,TRUE,"TOC";"pfis3",#N/A,TRUE,"Overview";"ts2",#N/A,TRUE,"Det_Trans_Sum";"ei2c",#N/A,TRUE,"Earnings Impact";"ad2",#N/A,TRUE,"accretion dilution";"hg2",#N/A,TRUE,"Has-Gets";"pfis2",#N/A,TRUE,"Pro Forma Income Statement";"ca2",#N/A,TRUE,"Contribution_Analysis";"acq2c",#N/A,TRUE,"Acquirer";"tar2c",#N/A,TRUE,"Target"}</definedName>
    <definedName name="wer" hidden="1">{"cover",#N/A,TRUE,"Cover";"toc6",#N/A,TRUE,"TOC";"pfis3",#N/A,TRUE,"Overview";"ts2",#N/A,TRUE,"Det_Trans_Sum";"ei2c",#N/A,TRUE,"Earnings Impact";"ad2",#N/A,TRUE,"accretion dilution";"hg2",#N/A,TRUE,"Has-Gets";"pfis2",#N/A,TRUE,"Pro Forma Income Statement";"ca2",#N/A,TRUE,"Contribution_Analysis";"acq2c",#N/A,TRUE,"Acquirer";"tar2c",#N/A,TRUE,"Target"}</definedName>
    <definedName name="wererwer" localSheetId="2" hidden="1">{"cover",#N/A,TRUE,"Cover";"toc5",#N/A,TRUE,"TOC";"over",#N/A,TRUE,"Overview";"ts2",#N/A,TRUE,"Det_Trans_Sum";"ei",#N/A,TRUE,"Earnings Impact";"ad",#N/A,TRUE,"accretion dilution";"pfis",#N/A,TRUE,"Pro Forma Income Statement";"ca",#N/A,TRUE,"Contribution_Analysis";"acq",#N/A,TRUE,"Acquirer";"tar",#N/A,TRUE,"Target"}</definedName>
    <definedName name="wererwer" localSheetId="21" hidden="1">{"cover",#N/A,TRUE,"Cover";"toc5",#N/A,TRUE,"TOC";"over",#N/A,TRUE,"Overview";"ts2",#N/A,TRUE,"Det_Trans_Sum";"ei",#N/A,TRUE,"Earnings Impact";"ad",#N/A,TRUE,"accretion dilution";"pfis",#N/A,TRUE,"Pro Forma Income Statement";"ca",#N/A,TRUE,"Contribution_Analysis";"acq",#N/A,TRUE,"Acquirer";"tar",#N/A,TRUE,"Target"}</definedName>
    <definedName name="wererwer" localSheetId="22" hidden="1">{"cover",#N/A,TRUE,"Cover";"toc5",#N/A,TRUE,"TOC";"over",#N/A,TRUE,"Overview";"ts2",#N/A,TRUE,"Det_Trans_Sum";"ei",#N/A,TRUE,"Earnings Impact";"ad",#N/A,TRUE,"accretion dilution";"pfis",#N/A,TRUE,"Pro Forma Income Statement";"ca",#N/A,TRUE,"Contribution_Analysis";"acq",#N/A,TRUE,"Acquirer";"tar",#N/A,TRUE,"Target"}</definedName>
    <definedName name="wererwer" localSheetId="15" hidden="1">{"cover",#N/A,TRUE,"Cover";"toc5",#N/A,TRUE,"TOC";"over",#N/A,TRUE,"Overview";"ts2",#N/A,TRUE,"Det_Trans_Sum";"ei",#N/A,TRUE,"Earnings Impact";"ad",#N/A,TRUE,"accretion dilution";"pfis",#N/A,TRUE,"Pro Forma Income Statement";"ca",#N/A,TRUE,"Contribution_Analysis";"acq",#N/A,TRUE,"Acquirer";"tar",#N/A,TRUE,"Target"}</definedName>
    <definedName name="wererwer" localSheetId="17" hidden="1">{"cover",#N/A,TRUE,"Cover";"toc5",#N/A,TRUE,"TOC";"over",#N/A,TRUE,"Overview";"ts2",#N/A,TRUE,"Det_Trans_Sum";"ei",#N/A,TRUE,"Earnings Impact";"ad",#N/A,TRUE,"accretion dilution";"pfis",#N/A,TRUE,"Pro Forma Income Statement";"ca",#N/A,TRUE,"Contribution_Analysis";"acq",#N/A,TRUE,"Acquirer";"tar",#N/A,TRUE,"Target"}</definedName>
    <definedName name="wererwer" localSheetId="10" hidden="1">{"cover",#N/A,TRUE,"Cover";"toc5",#N/A,TRUE,"TOC";"over",#N/A,TRUE,"Overview";"ts2",#N/A,TRUE,"Det_Trans_Sum";"ei",#N/A,TRUE,"Earnings Impact";"ad",#N/A,TRUE,"accretion dilution";"pfis",#N/A,TRUE,"Pro Forma Income Statement";"ca",#N/A,TRUE,"Contribution_Analysis";"acq",#N/A,TRUE,"Acquirer";"tar",#N/A,TRUE,"Target"}</definedName>
    <definedName name="wererwer" localSheetId="13" hidden="1">{"cover",#N/A,TRUE,"Cover";"toc5",#N/A,TRUE,"TOC";"over",#N/A,TRUE,"Overview";"ts2",#N/A,TRUE,"Det_Trans_Sum";"ei",#N/A,TRUE,"Earnings Impact";"ad",#N/A,TRUE,"accretion dilution";"pfis",#N/A,TRUE,"Pro Forma Income Statement";"ca",#N/A,TRUE,"Contribution_Analysis";"acq",#N/A,TRUE,"Acquirer";"tar",#N/A,TRUE,"Target"}</definedName>
    <definedName name="wererwer" hidden="1">{"cover",#N/A,TRUE,"Cover";"toc5",#N/A,TRUE,"TOC";"over",#N/A,TRUE,"Overview";"ts2",#N/A,TRUE,"Det_Trans_Sum";"ei",#N/A,TRUE,"Earnings Impact";"ad",#N/A,TRUE,"accretion dilution";"pfis",#N/A,TRUE,"Pro Forma Income Statement";"ca",#N/A,TRUE,"Contribution_Analysis";"acq",#N/A,TRUE,"Acquirer";"tar",#N/A,TRUE,"Target"}</definedName>
    <definedName name="wern" localSheetId="2" hidden="1">{"cover",#N/A,TRUE,"Cover";"toc6",#N/A,TRUE,"TOC";"over",#N/A,TRUE,"Overview";"ts2",#N/A,TRUE,"Det_Trans_Sum";"ei2",#N/A,TRUE,"Earnings Impact";"ad2",#N/A,TRUE,"accretion dilution";"hg2",#N/A,TRUE,"Has-Gets";"pfis2",#N/A,TRUE,"Pro Forma Income Statement";"ca2",#N/A,TRUE,"Contribution_Analysis";"acq2",#N/A,TRUE,"Acquirer";"tar2",#N/A,TRUE,"Target"}</definedName>
    <definedName name="wern" localSheetId="21" hidden="1">{"cover",#N/A,TRUE,"Cover";"toc6",#N/A,TRUE,"TOC";"over",#N/A,TRUE,"Overview";"ts2",#N/A,TRUE,"Det_Trans_Sum";"ei2",#N/A,TRUE,"Earnings Impact";"ad2",#N/A,TRUE,"accretion dilution";"hg2",#N/A,TRUE,"Has-Gets";"pfis2",#N/A,TRUE,"Pro Forma Income Statement";"ca2",#N/A,TRUE,"Contribution_Analysis";"acq2",#N/A,TRUE,"Acquirer";"tar2",#N/A,TRUE,"Target"}</definedName>
    <definedName name="wern" localSheetId="22" hidden="1">{"cover",#N/A,TRUE,"Cover";"toc6",#N/A,TRUE,"TOC";"over",#N/A,TRUE,"Overview";"ts2",#N/A,TRUE,"Det_Trans_Sum";"ei2",#N/A,TRUE,"Earnings Impact";"ad2",#N/A,TRUE,"accretion dilution";"hg2",#N/A,TRUE,"Has-Gets";"pfis2",#N/A,TRUE,"Pro Forma Income Statement";"ca2",#N/A,TRUE,"Contribution_Analysis";"acq2",#N/A,TRUE,"Acquirer";"tar2",#N/A,TRUE,"Target"}</definedName>
    <definedName name="wern" localSheetId="15" hidden="1">{"cover",#N/A,TRUE,"Cover";"toc6",#N/A,TRUE,"TOC";"over",#N/A,TRUE,"Overview";"ts2",#N/A,TRUE,"Det_Trans_Sum";"ei2",#N/A,TRUE,"Earnings Impact";"ad2",#N/A,TRUE,"accretion dilution";"hg2",#N/A,TRUE,"Has-Gets";"pfis2",#N/A,TRUE,"Pro Forma Income Statement";"ca2",#N/A,TRUE,"Contribution_Analysis";"acq2",#N/A,TRUE,"Acquirer";"tar2",#N/A,TRUE,"Target"}</definedName>
    <definedName name="wern" localSheetId="17" hidden="1">{"cover",#N/A,TRUE,"Cover";"toc6",#N/A,TRUE,"TOC";"over",#N/A,TRUE,"Overview";"ts2",#N/A,TRUE,"Det_Trans_Sum";"ei2",#N/A,TRUE,"Earnings Impact";"ad2",#N/A,TRUE,"accretion dilution";"hg2",#N/A,TRUE,"Has-Gets";"pfis2",#N/A,TRUE,"Pro Forma Income Statement";"ca2",#N/A,TRUE,"Contribution_Analysis";"acq2",#N/A,TRUE,"Acquirer";"tar2",#N/A,TRUE,"Target"}</definedName>
    <definedName name="wern" localSheetId="10" hidden="1">{"cover",#N/A,TRUE,"Cover";"toc6",#N/A,TRUE,"TOC";"over",#N/A,TRUE,"Overview";"ts2",#N/A,TRUE,"Det_Trans_Sum";"ei2",#N/A,TRUE,"Earnings Impact";"ad2",#N/A,TRUE,"accretion dilution";"hg2",#N/A,TRUE,"Has-Gets";"pfis2",#N/A,TRUE,"Pro Forma Income Statement";"ca2",#N/A,TRUE,"Contribution_Analysis";"acq2",#N/A,TRUE,"Acquirer";"tar2",#N/A,TRUE,"Target"}</definedName>
    <definedName name="wern" localSheetId="13" hidden="1">{"cover",#N/A,TRUE,"Cover";"toc6",#N/A,TRUE,"TOC";"over",#N/A,TRUE,"Overview";"ts2",#N/A,TRUE,"Det_Trans_Sum";"ei2",#N/A,TRUE,"Earnings Impact";"ad2",#N/A,TRUE,"accretion dilution";"hg2",#N/A,TRUE,"Has-Gets";"pfis2",#N/A,TRUE,"Pro Forma Income Statement";"ca2",#N/A,TRUE,"Contribution_Analysis";"acq2",#N/A,TRUE,"Acquirer";"tar2",#N/A,TRUE,"Target"}</definedName>
    <definedName name="wern" hidden="1">{"cover",#N/A,TRUE,"Cover";"toc6",#N/A,TRUE,"TOC";"over",#N/A,TRUE,"Overview";"ts2",#N/A,TRUE,"Det_Trans_Sum";"ei2",#N/A,TRUE,"Earnings Impact";"ad2",#N/A,TRUE,"accretion dilution";"hg2",#N/A,TRUE,"Has-Gets";"pfis2",#N/A,TRUE,"Pro Forma Income Statement";"ca2",#N/A,TRUE,"Contribution_Analysis";"acq2",#N/A,TRUE,"Acquirer";"tar2",#N/A,TRUE,"Target"}</definedName>
    <definedName name="what" localSheetId="2" hidden="1">{#N/A,#N/A,FALSE,"Expense Comparison"}</definedName>
    <definedName name="what" localSheetId="21" hidden="1">{#N/A,#N/A,FALSE,"Expense Comparison"}</definedName>
    <definedName name="what" localSheetId="22" hidden="1">{#N/A,#N/A,FALSE,"Expense Comparison"}</definedName>
    <definedName name="what" localSheetId="15" hidden="1">{#N/A,#N/A,FALSE,"Expense Comparison"}</definedName>
    <definedName name="what" localSheetId="17" hidden="1">{#N/A,#N/A,FALSE,"Expense Comparison"}</definedName>
    <definedName name="what" localSheetId="10" hidden="1">{#N/A,#N/A,FALSE,"Expense Comparison"}</definedName>
    <definedName name="what" localSheetId="13" hidden="1">{#N/A,#N/A,FALSE,"Expense Comparison"}</definedName>
    <definedName name="what" hidden="1">{#N/A,#N/A,FALSE,"Expense Comparison"}</definedName>
    <definedName name="what_asdf2" localSheetId="2" hidden="1">{#N/A,#N/A,FALSE,"OperatingAssumptions"}</definedName>
    <definedName name="what_asdf2" localSheetId="21" hidden="1">{#N/A,#N/A,FALSE,"OperatingAssumptions"}</definedName>
    <definedName name="what_asdf2" localSheetId="22" hidden="1">{#N/A,#N/A,FALSE,"OperatingAssumptions"}</definedName>
    <definedName name="what_asdf2" localSheetId="15" hidden="1">{#N/A,#N/A,FALSE,"OperatingAssumptions"}</definedName>
    <definedName name="what_asdf2" localSheetId="17" hidden="1">{#N/A,#N/A,FALSE,"OperatingAssumptions"}</definedName>
    <definedName name="what_asdf2" localSheetId="10" hidden="1">{#N/A,#N/A,FALSE,"OperatingAssumptions"}</definedName>
    <definedName name="what_asdf2" localSheetId="13" hidden="1">{#N/A,#N/A,FALSE,"OperatingAssumptions"}</definedName>
    <definedName name="what_asdf2" hidden="1">{#N/A,#N/A,FALSE,"OperatingAssumptions"}</definedName>
    <definedName name="whatt" localSheetId="2" hidden="1">{#N/A,#N/A,FALSE,"Expense Comparison"}</definedName>
    <definedName name="whatt" localSheetId="21" hidden="1">{#N/A,#N/A,FALSE,"Expense Comparison"}</definedName>
    <definedName name="whatt" localSheetId="22" hidden="1">{#N/A,#N/A,FALSE,"Expense Comparison"}</definedName>
    <definedName name="whatt" localSheetId="15" hidden="1">{#N/A,#N/A,FALSE,"Expense Comparison"}</definedName>
    <definedName name="whatt" localSheetId="17" hidden="1">{#N/A,#N/A,FALSE,"Expense Comparison"}</definedName>
    <definedName name="whatt" localSheetId="10" hidden="1">{#N/A,#N/A,FALSE,"Expense Comparison"}</definedName>
    <definedName name="whatt" localSheetId="13" hidden="1">{#N/A,#N/A,FALSE,"Expense Comparison"}</definedName>
    <definedName name="whatt" hidden="1">{#N/A,#N/A,FALSE,"Expense Comparison"}</definedName>
    <definedName name="whattt" localSheetId="2" hidden="1">{#N/A,#N/A,FALSE,"Expense Comparison"}</definedName>
    <definedName name="whattt" localSheetId="21" hidden="1">{#N/A,#N/A,FALSE,"Expense Comparison"}</definedName>
    <definedName name="whattt" localSheetId="22" hidden="1">{#N/A,#N/A,FALSE,"Expense Comparison"}</definedName>
    <definedName name="whattt" localSheetId="15" hidden="1">{#N/A,#N/A,FALSE,"Expense Comparison"}</definedName>
    <definedName name="whattt" localSheetId="17" hidden="1">{#N/A,#N/A,FALSE,"Expense Comparison"}</definedName>
    <definedName name="whattt" localSheetId="10" hidden="1">{#N/A,#N/A,FALSE,"Expense Comparison"}</definedName>
    <definedName name="whattt" localSheetId="13" hidden="1">{#N/A,#N/A,FALSE,"Expense Comparison"}</definedName>
    <definedName name="whattt" hidden="1">{#N/A,#N/A,FALSE,"Expense Comparison"}</definedName>
    <definedName name="whatttt" localSheetId="2" hidden="1">{"Full Sheet",#N/A,FALSE,"Expense Comparison"}</definedName>
    <definedName name="whatttt" localSheetId="21" hidden="1">{"Full Sheet",#N/A,FALSE,"Expense Comparison"}</definedName>
    <definedName name="whatttt" localSheetId="22" hidden="1">{"Full Sheet",#N/A,FALSE,"Expense Comparison"}</definedName>
    <definedName name="whatttt" localSheetId="15" hidden="1">{"Full Sheet",#N/A,FALSE,"Expense Comparison"}</definedName>
    <definedName name="whatttt" localSheetId="17" hidden="1">{"Full Sheet",#N/A,FALSE,"Expense Comparison"}</definedName>
    <definedName name="whatttt" localSheetId="10" hidden="1">{"Full Sheet",#N/A,FALSE,"Expense Comparison"}</definedName>
    <definedName name="whatttt" localSheetId="13" hidden="1">{"Full Sheet",#N/A,FALSE,"Expense Comparison"}</definedName>
    <definedName name="whatttt" hidden="1">{"Full Sheet",#N/A,FALSE,"Expense Comparison"}</definedName>
    <definedName name="whattttt" localSheetId="2" hidden="1">{#N/A,#N/A,FALSE,"Expense Comparison"}</definedName>
    <definedName name="whattttt" localSheetId="21" hidden="1">{#N/A,#N/A,FALSE,"Expense Comparison"}</definedName>
    <definedName name="whattttt" localSheetId="22" hidden="1">{#N/A,#N/A,FALSE,"Expense Comparison"}</definedName>
    <definedName name="whattttt" localSheetId="15" hidden="1">{#N/A,#N/A,FALSE,"Expense Comparison"}</definedName>
    <definedName name="whattttt" localSheetId="17" hidden="1">{#N/A,#N/A,FALSE,"Expense Comparison"}</definedName>
    <definedName name="whattttt" localSheetId="10" hidden="1">{#N/A,#N/A,FALSE,"Expense Comparison"}</definedName>
    <definedName name="whattttt" localSheetId="13" hidden="1">{#N/A,#N/A,FALSE,"Expense Comparison"}</definedName>
    <definedName name="whattttt" hidden="1">{#N/A,#N/A,FALSE,"Expense Comparison"}</definedName>
    <definedName name="whatttttt" localSheetId="2" hidden="1">{"Full Sheet",#N/A,FALSE,"Expense Comparison"}</definedName>
    <definedName name="whatttttt" localSheetId="21" hidden="1">{"Full Sheet",#N/A,FALSE,"Expense Comparison"}</definedName>
    <definedName name="whatttttt" localSheetId="22" hidden="1">{"Full Sheet",#N/A,FALSE,"Expense Comparison"}</definedName>
    <definedName name="whatttttt" localSheetId="15" hidden="1">{"Full Sheet",#N/A,FALSE,"Expense Comparison"}</definedName>
    <definedName name="whatttttt" localSheetId="17" hidden="1">{"Full Sheet",#N/A,FALSE,"Expense Comparison"}</definedName>
    <definedName name="whatttttt" localSheetId="10" hidden="1">{"Full Sheet",#N/A,FALSE,"Expense Comparison"}</definedName>
    <definedName name="whatttttt" localSheetId="13" hidden="1">{"Full Sheet",#N/A,FALSE,"Expense Comparison"}</definedName>
    <definedName name="whatttttt" hidden="1">{"Full Sheet",#N/A,FALSE,"Expense Comparison"}</definedName>
    <definedName name="white" localSheetId="4">#REF!</definedName>
    <definedName name="white" localSheetId="5">#REF!</definedName>
    <definedName name="wrd.2._.pagers.3" localSheetId="2" hidden="1">{"Cover",#N/A,FALSE,"Cover";"Summary",#N/A,FALSE,"Summarpage"}</definedName>
    <definedName name="wrd.2._.pagers.3" localSheetId="21" hidden="1">{"Cover",#N/A,FALSE,"Cover";"Summary",#N/A,FALSE,"Summarpage"}</definedName>
    <definedName name="wrd.2._.pagers.3" localSheetId="22" hidden="1">{"Cover",#N/A,FALSE,"Cover";"Summary",#N/A,FALSE,"Summarpage"}</definedName>
    <definedName name="wrd.2._.pagers.3" localSheetId="15" hidden="1">{"Cover",#N/A,FALSE,"Cover";"Summary",#N/A,FALSE,"Summarpage"}</definedName>
    <definedName name="wrd.2._.pagers.3" localSheetId="17" hidden="1">{"Cover",#N/A,FALSE,"Cover";"Summary",#N/A,FALSE,"Summarpage"}</definedName>
    <definedName name="wrd.2._.pagers.3" localSheetId="10" hidden="1">{"Cover",#N/A,FALSE,"Cover";"Summary",#N/A,FALSE,"Summarpage"}</definedName>
    <definedName name="wrd.2._.pagers.3" localSheetId="13" hidden="1">{"Cover",#N/A,FALSE,"Cover";"Summary",#N/A,FALSE,"Summarpage"}</definedName>
    <definedName name="wrd.2._.pagers.3" hidden="1">{"Cover",#N/A,FALSE,"Cover";"Summary",#N/A,FALSE,"Summarpage"}</definedName>
    <definedName name="wrn.1." localSheetId="2" hidden="1">{"cover",#N/A,TRUE,"Cover";"toc1",#N/A,TRUE,"TOC";"ts1",#N/A,TRUE,"Transaction Summary";"ei",#N/A,TRUE,"Earnings Impact";"ad",#N/A,TRUE,"accretion dilution"}</definedName>
    <definedName name="wrn.1." localSheetId="21" hidden="1">{"cover",#N/A,TRUE,"Cover";"toc1",#N/A,TRUE,"TOC";"ts1",#N/A,TRUE,"Transaction Summary";"ei",#N/A,TRUE,"Earnings Impact";"ad",#N/A,TRUE,"accretion dilution"}</definedName>
    <definedName name="wrn.1." localSheetId="22" hidden="1">{"cover",#N/A,TRUE,"Cover";"toc1",#N/A,TRUE,"TOC";"ts1",#N/A,TRUE,"Transaction Summary";"ei",#N/A,TRUE,"Earnings Impact";"ad",#N/A,TRUE,"accretion dilution"}</definedName>
    <definedName name="wrn.1." localSheetId="15" hidden="1">{"cover",#N/A,TRUE,"Cover";"toc1",#N/A,TRUE,"TOC";"ts1",#N/A,TRUE,"Transaction Summary";"ei",#N/A,TRUE,"Earnings Impact";"ad",#N/A,TRUE,"accretion dilution"}</definedName>
    <definedName name="wrn.1." localSheetId="17" hidden="1">{"cover",#N/A,TRUE,"Cover";"toc1",#N/A,TRUE,"TOC";"ts1",#N/A,TRUE,"Transaction Summary";"ei",#N/A,TRUE,"Earnings Impact";"ad",#N/A,TRUE,"accretion dilution"}</definedName>
    <definedName name="wrn.1." localSheetId="10" hidden="1">{"cover",#N/A,TRUE,"Cover";"toc1",#N/A,TRUE,"TOC";"ts1",#N/A,TRUE,"Transaction Summary";"ei",#N/A,TRUE,"Earnings Impact";"ad",#N/A,TRUE,"accretion dilution"}</definedName>
    <definedName name="wrn.1." localSheetId="13" hidden="1">{"cover",#N/A,TRUE,"Cover";"toc1",#N/A,TRUE,"TOC";"ts1",#N/A,TRUE,"Transaction Summary";"ei",#N/A,TRUE,"Earnings Impact";"ad",#N/A,TRUE,"accretion dilution"}</definedName>
    <definedName name="wrn.1." hidden="1">{"cover",#N/A,TRUE,"Cover";"toc1",#N/A,TRUE,"TOC";"ts1",#N/A,TRUE,"Transaction Summary";"ei",#N/A,TRUE,"Earnings Impact";"ad",#N/A,TRUE,"accretion dilution"}</definedName>
    <definedName name="wrn.10." localSheetId="2" hidden="1">{"cover",#N/A,TRUE,"Cover";"toc3",#N/A,TRUE,"TOC";"over",#N/A,TRUE,"Overview";"ts2",#N/A,TRUE,"Det_Trans_Sum";"ei1c",#N/A,TRUE,"Earnings Impact";"ad1",#N/A,TRUE,"accretion dilution";"pfis1",#N/A,TRUE,"Pro Forma Income Statement";"acq1c",#N/A,TRUE,"Acquirer";"tar1c",#N/A,TRUE,"Target"}</definedName>
    <definedName name="wrn.10." localSheetId="21" hidden="1">{"cover",#N/A,TRUE,"Cover";"toc3",#N/A,TRUE,"TOC";"over",#N/A,TRUE,"Overview";"ts2",#N/A,TRUE,"Det_Trans_Sum";"ei1c",#N/A,TRUE,"Earnings Impact";"ad1",#N/A,TRUE,"accretion dilution";"pfis1",#N/A,TRUE,"Pro Forma Income Statement";"acq1c",#N/A,TRUE,"Acquirer";"tar1c",#N/A,TRUE,"Target"}</definedName>
    <definedName name="wrn.10." localSheetId="22" hidden="1">{"cover",#N/A,TRUE,"Cover";"toc3",#N/A,TRUE,"TOC";"over",#N/A,TRUE,"Overview";"ts2",#N/A,TRUE,"Det_Trans_Sum";"ei1c",#N/A,TRUE,"Earnings Impact";"ad1",#N/A,TRUE,"accretion dilution";"pfis1",#N/A,TRUE,"Pro Forma Income Statement";"acq1c",#N/A,TRUE,"Acquirer";"tar1c",#N/A,TRUE,"Target"}</definedName>
    <definedName name="wrn.10." localSheetId="15" hidden="1">{"cover",#N/A,TRUE,"Cover";"toc3",#N/A,TRUE,"TOC";"over",#N/A,TRUE,"Overview";"ts2",#N/A,TRUE,"Det_Trans_Sum";"ei1c",#N/A,TRUE,"Earnings Impact";"ad1",#N/A,TRUE,"accretion dilution";"pfis1",#N/A,TRUE,"Pro Forma Income Statement";"acq1c",#N/A,TRUE,"Acquirer";"tar1c",#N/A,TRUE,"Target"}</definedName>
    <definedName name="wrn.10." localSheetId="17" hidden="1">{"cover",#N/A,TRUE,"Cover";"toc3",#N/A,TRUE,"TOC";"over",#N/A,TRUE,"Overview";"ts2",#N/A,TRUE,"Det_Trans_Sum";"ei1c",#N/A,TRUE,"Earnings Impact";"ad1",#N/A,TRUE,"accretion dilution";"pfis1",#N/A,TRUE,"Pro Forma Income Statement";"acq1c",#N/A,TRUE,"Acquirer";"tar1c",#N/A,TRUE,"Target"}</definedName>
    <definedName name="wrn.10." localSheetId="10" hidden="1">{"cover",#N/A,TRUE,"Cover";"toc3",#N/A,TRUE,"TOC";"over",#N/A,TRUE,"Overview";"ts2",#N/A,TRUE,"Det_Trans_Sum";"ei1c",#N/A,TRUE,"Earnings Impact";"ad1",#N/A,TRUE,"accretion dilution";"pfis1",#N/A,TRUE,"Pro Forma Income Statement";"acq1c",#N/A,TRUE,"Acquirer";"tar1c",#N/A,TRUE,"Target"}</definedName>
    <definedName name="wrn.10." localSheetId="13" hidden="1">{"cover",#N/A,TRUE,"Cover";"toc3",#N/A,TRUE,"TOC";"over",#N/A,TRUE,"Overview";"ts2",#N/A,TRUE,"Det_Trans_Sum";"ei1c",#N/A,TRUE,"Earnings Impact";"ad1",#N/A,TRUE,"accretion dilution";"pfis1",#N/A,TRUE,"Pro Forma Income Statement";"acq1c",#N/A,TRUE,"Acquirer";"tar1c",#N/A,TRUE,"Target"}</definedName>
    <definedName name="wrn.10." hidden="1">{"cover",#N/A,TRUE,"Cover";"toc3",#N/A,TRUE,"TOC";"over",#N/A,TRUE,"Overview";"ts2",#N/A,TRUE,"Det_Trans_Sum";"ei1c",#N/A,TRUE,"Earnings Impact";"ad1",#N/A,TRUE,"accretion dilution";"pfis1",#N/A,TRUE,"Pro Forma Income Statement";"acq1c",#N/A,TRUE,"Acquirer";"tar1c",#N/A,TRUE,"Target"}</definedName>
    <definedName name="wrn.105" localSheetId="2"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105" localSheetId="21"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105" localSheetId="22"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105" localSheetId="15"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105" localSheetId="17"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105" localSheetId="10"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105" localSheetId="13"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105"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11." localSheetId="2" hidden="1">{"cover",#N/A,TRUE,"Cover";"toc3",#N/A,TRUE,"TOC";"over",#N/A,TRUE,"Overview";"ts2",#N/A,TRUE,"Det_Trans_Sum";"ei2c",#N/A,TRUE,"Earnings Impact";"ad2",#N/A,TRUE,"accretion dilution";"pfis2",#N/A,TRUE,"Pro Forma Income Statement";"acq2c",#N/A,TRUE,"Acquirer";"tar2c",#N/A,TRUE,"Target"}</definedName>
    <definedName name="wrn.11." localSheetId="21" hidden="1">{"cover",#N/A,TRUE,"Cover";"toc3",#N/A,TRUE,"TOC";"over",#N/A,TRUE,"Overview";"ts2",#N/A,TRUE,"Det_Trans_Sum";"ei2c",#N/A,TRUE,"Earnings Impact";"ad2",#N/A,TRUE,"accretion dilution";"pfis2",#N/A,TRUE,"Pro Forma Income Statement";"acq2c",#N/A,TRUE,"Acquirer";"tar2c",#N/A,TRUE,"Target"}</definedName>
    <definedName name="wrn.11." localSheetId="22" hidden="1">{"cover",#N/A,TRUE,"Cover";"toc3",#N/A,TRUE,"TOC";"over",#N/A,TRUE,"Overview";"ts2",#N/A,TRUE,"Det_Trans_Sum";"ei2c",#N/A,TRUE,"Earnings Impact";"ad2",#N/A,TRUE,"accretion dilution";"pfis2",#N/A,TRUE,"Pro Forma Income Statement";"acq2c",#N/A,TRUE,"Acquirer";"tar2c",#N/A,TRUE,"Target"}</definedName>
    <definedName name="wrn.11." localSheetId="15" hidden="1">{"cover",#N/A,TRUE,"Cover";"toc3",#N/A,TRUE,"TOC";"over",#N/A,TRUE,"Overview";"ts2",#N/A,TRUE,"Det_Trans_Sum";"ei2c",#N/A,TRUE,"Earnings Impact";"ad2",#N/A,TRUE,"accretion dilution";"pfis2",#N/A,TRUE,"Pro Forma Income Statement";"acq2c",#N/A,TRUE,"Acquirer";"tar2c",#N/A,TRUE,"Target"}</definedName>
    <definedName name="wrn.11." localSheetId="17" hidden="1">{"cover",#N/A,TRUE,"Cover";"toc3",#N/A,TRUE,"TOC";"over",#N/A,TRUE,"Overview";"ts2",#N/A,TRUE,"Det_Trans_Sum";"ei2c",#N/A,TRUE,"Earnings Impact";"ad2",#N/A,TRUE,"accretion dilution";"pfis2",#N/A,TRUE,"Pro Forma Income Statement";"acq2c",#N/A,TRUE,"Acquirer";"tar2c",#N/A,TRUE,"Target"}</definedName>
    <definedName name="wrn.11." localSheetId="10" hidden="1">{"cover",#N/A,TRUE,"Cover";"toc3",#N/A,TRUE,"TOC";"over",#N/A,TRUE,"Overview";"ts2",#N/A,TRUE,"Det_Trans_Sum";"ei2c",#N/A,TRUE,"Earnings Impact";"ad2",#N/A,TRUE,"accretion dilution";"pfis2",#N/A,TRUE,"Pro Forma Income Statement";"acq2c",#N/A,TRUE,"Acquirer";"tar2c",#N/A,TRUE,"Target"}</definedName>
    <definedName name="wrn.11." localSheetId="13" hidden="1">{"cover",#N/A,TRUE,"Cover";"toc3",#N/A,TRUE,"TOC";"over",#N/A,TRUE,"Overview";"ts2",#N/A,TRUE,"Det_Trans_Sum";"ei2c",#N/A,TRUE,"Earnings Impact";"ad2",#N/A,TRUE,"accretion dilution";"pfis2",#N/A,TRUE,"Pro Forma Income Statement";"acq2c",#N/A,TRUE,"Acquirer";"tar2c",#N/A,TRUE,"Target"}</definedName>
    <definedName name="wrn.11." hidden="1">{"cover",#N/A,TRUE,"Cover";"toc3",#N/A,TRUE,"TOC";"over",#N/A,TRUE,"Overview";"ts2",#N/A,TRUE,"Det_Trans_Sum";"ei2c",#N/A,TRUE,"Earnings Impact";"ad2",#N/A,TRUE,"accretion dilution";"pfis2",#N/A,TRUE,"Pro Forma Income Statement";"acq2c",#N/A,TRUE,"Acquirer";"tar2c",#N/A,TRUE,"Target"}</definedName>
    <definedName name="wrn.12." localSheetId="2" hidden="1">{"cover",#N/A,TRUE,"Cover";"toc3",#N/A,TRUE,"TOC";"over",#N/A,TRUE,"Overview";"ts2",#N/A,TRUE,"Det_Trans_Sum";"ei3c",#N/A,TRUE,"Earnings Impact";"ad3",#N/A,TRUE,"accretion dilution";"pfis3",#N/A,TRUE,"Pro Forma Income Statement";"acq3c",#N/A,TRUE,"Acquirer";"tar3c",#N/A,TRUE,"Target"}</definedName>
    <definedName name="wrn.12." localSheetId="21" hidden="1">{"cover",#N/A,TRUE,"Cover";"toc3",#N/A,TRUE,"TOC";"over",#N/A,TRUE,"Overview";"ts2",#N/A,TRUE,"Det_Trans_Sum";"ei3c",#N/A,TRUE,"Earnings Impact";"ad3",#N/A,TRUE,"accretion dilution";"pfis3",#N/A,TRUE,"Pro Forma Income Statement";"acq3c",#N/A,TRUE,"Acquirer";"tar3c",#N/A,TRUE,"Target"}</definedName>
    <definedName name="wrn.12." localSheetId="22" hidden="1">{"cover",#N/A,TRUE,"Cover";"toc3",#N/A,TRUE,"TOC";"over",#N/A,TRUE,"Overview";"ts2",#N/A,TRUE,"Det_Trans_Sum";"ei3c",#N/A,TRUE,"Earnings Impact";"ad3",#N/A,TRUE,"accretion dilution";"pfis3",#N/A,TRUE,"Pro Forma Income Statement";"acq3c",#N/A,TRUE,"Acquirer";"tar3c",#N/A,TRUE,"Target"}</definedName>
    <definedName name="wrn.12." localSheetId="15" hidden="1">{"cover",#N/A,TRUE,"Cover";"toc3",#N/A,TRUE,"TOC";"over",#N/A,TRUE,"Overview";"ts2",#N/A,TRUE,"Det_Trans_Sum";"ei3c",#N/A,TRUE,"Earnings Impact";"ad3",#N/A,TRUE,"accretion dilution";"pfis3",#N/A,TRUE,"Pro Forma Income Statement";"acq3c",#N/A,TRUE,"Acquirer";"tar3c",#N/A,TRUE,"Target"}</definedName>
    <definedName name="wrn.12." localSheetId="17" hidden="1">{"cover",#N/A,TRUE,"Cover";"toc3",#N/A,TRUE,"TOC";"over",#N/A,TRUE,"Overview";"ts2",#N/A,TRUE,"Det_Trans_Sum";"ei3c",#N/A,TRUE,"Earnings Impact";"ad3",#N/A,TRUE,"accretion dilution";"pfis3",#N/A,TRUE,"Pro Forma Income Statement";"acq3c",#N/A,TRUE,"Acquirer";"tar3c",#N/A,TRUE,"Target"}</definedName>
    <definedName name="wrn.12." localSheetId="10" hidden="1">{"cover",#N/A,TRUE,"Cover";"toc3",#N/A,TRUE,"TOC";"over",#N/A,TRUE,"Overview";"ts2",#N/A,TRUE,"Det_Trans_Sum";"ei3c",#N/A,TRUE,"Earnings Impact";"ad3",#N/A,TRUE,"accretion dilution";"pfis3",#N/A,TRUE,"Pro Forma Income Statement";"acq3c",#N/A,TRUE,"Acquirer";"tar3c",#N/A,TRUE,"Target"}</definedName>
    <definedName name="wrn.12." localSheetId="13" hidden="1">{"cover",#N/A,TRUE,"Cover";"toc3",#N/A,TRUE,"TOC";"over",#N/A,TRUE,"Overview";"ts2",#N/A,TRUE,"Det_Trans_Sum";"ei3c",#N/A,TRUE,"Earnings Impact";"ad3",#N/A,TRUE,"accretion dilution";"pfis3",#N/A,TRUE,"Pro Forma Income Statement";"acq3c",#N/A,TRUE,"Acquirer";"tar3c",#N/A,TRUE,"Target"}</definedName>
    <definedName name="wrn.12." hidden="1">{"cover",#N/A,TRUE,"Cover";"toc3",#N/A,TRUE,"TOC";"over",#N/A,TRUE,"Overview";"ts2",#N/A,TRUE,"Det_Trans_Sum";"ei3c",#N/A,TRUE,"Earnings Impact";"ad3",#N/A,TRUE,"accretion dilution";"pfis3",#N/A,TRUE,"Pro Forma Income Statement";"acq3c",#N/A,TRUE,"Acquirer";"tar3c",#N/A,TRUE,"Target"}</definedName>
    <definedName name="wrn.12._.MONTH._.SPREAD." localSheetId="2" hidden="1">{#N/A,#N/A,FALSE,"CPM";#N/A,#N/A,FALSE,"CVI";#N/A,#N/A,FALSE,"RNL";#N/A,#N/A,FALSE,"HAL";#N/A,#N/A,FALSE,"WPL";#N/A,#N/A,FALSE,"RPL";#N/A,#N/A,FALSE,"GVA";#N/A,#N/A,FALSE,"LRJKL";#N/A,#N/A,FALSE,"LPCVI";#N/A,#N/A,FALSE,"RGW and RGW2";#N/A,#N/A,FALSE,"RHL";#N/A,#N/A,FALSE,"HRP";#N/A,#N/A,FALSE,"WPE";#N/A,#N/A,FALSE,"DEL";#N/A,#N/A,FALSE,"PCA";#N/A,#N/A,FALSE,"PBL";#N/A,#N/A,FALSE,"KLL";#N/A,#N/A,FALSE,"RCR";#N/A,#N/A,FALSE,"LRJ#1";#N/A,#N/A,FALSE,"LRJ#2";#N/A,#N/A,FALSE,"OPL"}</definedName>
    <definedName name="wrn.12._.MONTH._.SPREAD." localSheetId="21" hidden="1">{#N/A,#N/A,FALSE,"CPM";#N/A,#N/A,FALSE,"CVI";#N/A,#N/A,FALSE,"RNL";#N/A,#N/A,FALSE,"HAL";#N/A,#N/A,FALSE,"WPL";#N/A,#N/A,FALSE,"RPL";#N/A,#N/A,FALSE,"GVA";#N/A,#N/A,FALSE,"LRJKL";#N/A,#N/A,FALSE,"LPCVI";#N/A,#N/A,FALSE,"RGW and RGW2";#N/A,#N/A,FALSE,"RHL";#N/A,#N/A,FALSE,"HRP";#N/A,#N/A,FALSE,"WPE";#N/A,#N/A,FALSE,"DEL";#N/A,#N/A,FALSE,"PCA";#N/A,#N/A,FALSE,"PBL";#N/A,#N/A,FALSE,"KLL";#N/A,#N/A,FALSE,"RCR";#N/A,#N/A,FALSE,"LRJ#1";#N/A,#N/A,FALSE,"LRJ#2";#N/A,#N/A,FALSE,"OPL"}</definedName>
    <definedName name="wrn.12._.MONTH._.SPREAD." localSheetId="11" hidden="1">{#N/A,#N/A,FALSE,"CPM";#N/A,#N/A,FALSE,"CVI";#N/A,#N/A,FALSE,"RNL";#N/A,#N/A,FALSE,"HAL";#N/A,#N/A,FALSE,"WPL";#N/A,#N/A,FALSE,"RPL";#N/A,#N/A,FALSE,"GVA";#N/A,#N/A,FALSE,"LRJKL";#N/A,#N/A,FALSE,"LPCVI";#N/A,#N/A,FALSE,"RGW and RGW2";#N/A,#N/A,FALSE,"RHL";#N/A,#N/A,FALSE,"HRP";#N/A,#N/A,FALSE,"WPE";#N/A,#N/A,FALSE,"DEL";#N/A,#N/A,FALSE,"PCA";#N/A,#N/A,FALSE,"PBL";#N/A,#N/A,FALSE,"KLL";#N/A,#N/A,FALSE,"RCR";#N/A,#N/A,FALSE,"LRJ#1";#N/A,#N/A,FALSE,"LRJ#2";#N/A,#N/A,FALSE,"OPL"}</definedName>
    <definedName name="wrn.12._.MONTH._.SPREAD." localSheetId="22" hidden="1">{#N/A,#N/A,FALSE,"CPM";#N/A,#N/A,FALSE,"CVI";#N/A,#N/A,FALSE,"RNL";#N/A,#N/A,FALSE,"HAL";#N/A,#N/A,FALSE,"WPL";#N/A,#N/A,FALSE,"RPL";#N/A,#N/A,FALSE,"GVA";#N/A,#N/A,FALSE,"LRJKL";#N/A,#N/A,FALSE,"LPCVI";#N/A,#N/A,FALSE,"RGW and RGW2";#N/A,#N/A,FALSE,"RHL";#N/A,#N/A,FALSE,"HRP";#N/A,#N/A,FALSE,"WPE";#N/A,#N/A,FALSE,"DEL";#N/A,#N/A,FALSE,"PCA";#N/A,#N/A,FALSE,"PBL";#N/A,#N/A,FALSE,"KLL";#N/A,#N/A,FALSE,"RCR";#N/A,#N/A,FALSE,"LRJ#1";#N/A,#N/A,FALSE,"LRJ#2";#N/A,#N/A,FALSE,"OPL"}</definedName>
    <definedName name="wrn.12._.MONTH._.SPREAD." localSheetId="15" hidden="1">{#N/A,#N/A,FALSE,"CPM";#N/A,#N/A,FALSE,"CVI";#N/A,#N/A,FALSE,"RNL";#N/A,#N/A,FALSE,"HAL";#N/A,#N/A,FALSE,"WPL";#N/A,#N/A,FALSE,"RPL";#N/A,#N/A,FALSE,"GVA";#N/A,#N/A,FALSE,"LRJKL";#N/A,#N/A,FALSE,"LPCVI";#N/A,#N/A,FALSE,"RGW and RGW2";#N/A,#N/A,FALSE,"RHL";#N/A,#N/A,FALSE,"HRP";#N/A,#N/A,FALSE,"WPE";#N/A,#N/A,FALSE,"DEL";#N/A,#N/A,FALSE,"PCA";#N/A,#N/A,FALSE,"PBL";#N/A,#N/A,FALSE,"KLL";#N/A,#N/A,FALSE,"RCR";#N/A,#N/A,FALSE,"LRJ#1";#N/A,#N/A,FALSE,"LRJ#2";#N/A,#N/A,FALSE,"OPL"}</definedName>
    <definedName name="wrn.12._.MONTH._.SPREAD." localSheetId="17" hidden="1">{#N/A,#N/A,FALSE,"CPM";#N/A,#N/A,FALSE,"CVI";#N/A,#N/A,FALSE,"RNL";#N/A,#N/A,FALSE,"HAL";#N/A,#N/A,FALSE,"WPL";#N/A,#N/A,FALSE,"RPL";#N/A,#N/A,FALSE,"GVA";#N/A,#N/A,FALSE,"LRJKL";#N/A,#N/A,FALSE,"LPCVI";#N/A,#N/A,FALSE,"RGW and RGW2";#N/A,#N/A,FALSE,"RHL";#N/A,#N/A,FALSE,"HRP";#N/A,#N/A,FALSE,"WPE";#N/A,#N/A,FALSE,"DEL";#N/A,#N/A,FALSE,"PCA";#N/A,#N/A,FALSE,"PBL";#N/A,#N/A,FALSE,"KLL";#N/A,#N/A,FALSE,"RCR";#N/A,#N/A,FALSE,"LRJ#1";#N/A,#N/A,FALSE,"LRJ#2";#N/A,#N/A,FALSE,"OPL"}</definedName>
    <definedName name="wrn.12._.MONTH._.SPREAD." localSheetId="10" hidden="1">{#N/A,#N/A,FALSE,"CPM";#N/A,#N/A,FALSE,"CVI";#N/A,#N/A,FALSE,"RNL";#N/A,#N/A,FALSE,"HAL";#N/A,#N/A,FALSE,"WPL";#N/A,#N/A,FALSE,"RPL";#N/A,#N/A,FALSE,"GVA";#N/A,#N/A,FALSE,"LRJKL";#N/A,#N/A,FALSE,"LPCVI";#N/A,#N/A,FALSE,"RGW and RGW2";#N/A,#N/A,FALSE,"RHL";#N/A,#N/A,FALSE,"HRP";#N/A,#N/A,FALSE,"WPE";#N/A,#N/A,FALSE,"DEL";#N/A,#N/A,FALSE,"PCA";#N/A,#N/A,FALSE,"PBL";#N/A,#N/A,FALSE,"KLL";#N/A,#N/A,FALSE,"RCR";#N/A,#N/A,FALSE,"LRJ#1";#N/A,#N/A,FALSE,"LRJ#2";#N/A,#N/A,FALSE,"OPL"}</definedName>
    <definedName name="wrn.12._.MONTH._.SPREAD." localSheetId="13" hidden="1">{#N/A,#N/A,FALSE,"CPM";#N/A,#N/A,FALSE,"CVI";#N/A,#N/A,FALSE,"RNL";#N/A,#N/A,FALSE,"HAL";#N/A,#N/A,FALSE,"WPL";#N/A,#N/A,FALSE,"RPL";#N/A,#N/A,FALSE,"GVA";#N/A,#N/A,FALSE,"LRJKL";#N/A,#N/A,FALSE,"LPCVI";#N/A,#N/A,FALSE,"RGW and RGW2";#N/A,#N/A,FALSE,"RHL";#N/A,#N/A,FALSE,"HRP";#N/A,#N/A,FALSE,"WPE";#N/A,#N/A,FALSE,"DEL";#N/A,#N/A,FALSE,"PCA";#N/A,#N/A,FALSE,"PBL";#N/A,#N/A,FALSE,"KLL";#N/A,#N/A,FALSE,"RCR";#N/A,#N/A,FALSE,"LRJ#1";#N/A,#N/A,FALSE,"LRJ#2";#N/A,#N/A,FALSE,"OPL"}</definedName>
    <definedName name="wrn.12._.MONTH._.SPREAD." hidden="1">{#N/A,#N/A,FALSE,"CPM";#N/A,#N/A,FALSE,"CVI";#N/A,#N/A,FALSE,"RNL";#N/A,#N/A,FALSE,"HAL";#N/A,#N/A,FALSE,"WPL";#N/A,#N/A,FALSE,"RPL";#N/A,#N/A,FALSE,"GVA";#N/A,#N/A,FALSE,"LRJKL";#N/A,#N/A,FALSE,"LPCVI";#N/A,#N/A,FALSE,"RGW and RGW2";#N/A,#N/A,FALSE,"RHL";#N/A,#N/A,FALSE,"HRP";#N/A,#N/A,FALSE,"WPE";#N/A,#N/A,FALSE,"DEL";#N/A,#N/A,FALSE,"PCA";#N/A,#N/A,FALSE,"PBL";#N/A,#N/A,FALSE,"KLL";#N/A,#N/A,FALSE,"RCR";#N/A,#N/A,FALSE,"LRJ#1";#N/A,#N/A,FALSE,"LRJ#2";#N/A,#N/A,FALSE,"OPL"}</definedName>
    <definedName name="wrn.120W45." localSheetId="21" hidden="1">{#N/A,#N/A,FALSE,"1";#N/A,#N/A,FALSE,"1x";#N/A,#N/A,FALSE,"2";#N/A,#N/A,FALSE,"2x";#N/A,#N/A,FALSE,"3";#N/A,#N/A,FALSE,"3x"}</definedName>
    <definedName name="wrn.120W45." localSheetId="22" hidden="1">{#N/A,#N/A,FALSE,"1";#N/A,#N/A,FALSE,"1x";#N/A,#N/A,FALSE,"2";#N/A,#N/A,FALSE,"2x";#N/A,#N/A,FALSE,"3";#N/A,#N/A,FALSE,"3x"}</definedName>
    <definedName name="wrn.120W45." localSheetId="17" hidden="1">{#N/A,#N/A,FALSE,"1";#N/A,#N/A,FALSE,"1x";#N/A,#N/A,FALSE,"2";#N/A,#N/A,FALSE,"2x";#N/A,#N/A,FALSE,"3";#N/A,#N/A,FALSE,"3x"}</definedName>
    <definedName name="wrn.120W45." localSheetId="10" hidden="1">{#N/A,#N/A,FALSE,"1";#N/A,#N/A,FALSE,"1x";#N/A,#N/A,FALSE,"2";#N/A,#N/A,FALSE,"2x";#N/A,#N/A,FALSE,"3";#N/A,#N/A,FALSE,"3x"}</definedName>
    <definedName name="wrn.120W45." hidden="1">{#N/A,#N/A,FALSE,"1";#N/A,#N/A,FALSE,"1x";#N/A,#N/A,FALSE,"2";#N/A,#N/A,FALSE,"2x";#N/A,#N/A,FALSE,"3";#N/A,#N/A,FALSE,"3x"}</definedName>
    <definedName name="wrn.13." localSheetId="2"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3." localSheetId="21"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3." localSheetId="22"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3." localSheetId="15"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3." localSheetId="17"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3." localSheetId="10"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3." localSheetId="13"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3."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4." localSheetId="2"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4." localSheetId="21"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4." localSheetId="22"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4." localSheetId="15"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4." localSheetId="17"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4." localSheetId="10"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4." localSheetId="13"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4."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5." localSheetId="2"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5." localSheetId="21"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5." localSheetId="22"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5." localSheetId="15"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5." localSheetId="17"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5." localSheetId="10"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5." localSheetId="13"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5."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6." localSheetId="2"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6." localSheetId="21"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6." localSheetId="22"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6." localSheetId="15"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6." localSheetId="17"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6." localSheetId="10"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6." localSheetId="13"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6."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7." localSheetId="2" hidden="1">{"cover",#N/A,TRUE,"Cover";"toc5",#N/A,TRUE,"TOC";"over",#N/A,TRUE,"Overview";"ts2",#N/A,TRUE,"Det_Trans_Sum";"eic",#N/A,TRUE,"Earnings Impact";"ad",#N/A,TRUE,"accretion dilution";"pfis",#N/A,TRUE,"Pro Forma Income Statement";"ca",#N/A,TRUE,"Contribution_Analysis";"acqc",#N/A,TRUE,"Acquirer";"tarc",#N/A,TRUE,"Target"}</definedName>
    <definedName name="wrn.17." localSheetId="21" hidden="1">{"cover",#N/A,TRUE,"Cover";"toc5",#N/A,TRUE,"TOC";"over",#N/A,TRUE,"Overview";"ts2",#N/A,TRUE,"Det_Trans_Sum";"eic",#N/A,TRUE,"Earnings Impact";"ad",#N/A,TRUE,"accretion dilution";"pfis",#N/A,TRUE,"Pro Forma Income Statement";"ca",#N/A,TRUE,"Contribution_Analysis";"acqc",#N/A,TRUE,"Acquirer";"tarc",#N/A,TRUE,"Target"}</definedName>
    <definedName name="wrn.17." localSheetId="22" hidden="1">{"cover",#N/A,TRUE,"Cover";"toc5",#N/A,TRUE,"TOC";"over",#N/A,TRUE,"Overview";"ts2",#N/A,TRUE,"Det_Trans_Sum";"eic",#N/A,TRUE,"Earnings Impact";"ad",#N/A,TRUE,"accretion dilution";"pfis",#N/A,TRUE,"Pro Forma Income Statement";"ca",#N/A,TRUE,"Contribution_Analysis";"acqc",#N/A,TRUE,"Acquirer";"tarc",#N/A,TRUE,"Target"}</definedName>
    <definedName name="wrn.17." localSheetId="15" hidden="1">{"cover",#N/A,TRUE,"Cover";"toc5",#N/A,TRUE,"TOC";"over",#N/A,TRUE,"Overview";"ts2",#N/A,TRUE,"Det_Trans_Sum";"eic",#N/A,TRUE,"Earnings Impact";"ad",#N/A,TRUE,"accretion dilution";"pfis",#N/A,TRUE,"Pro Forma Income Statement";"ca",#N/A,TRUE,"Contribution_Analysis";"acqc",#N/A,TRUE,"Acquirer";"tarc",#N/A,TRUE,"Target"}</definedName>
    <definedName name="wrn.17." localSheetId="17" hidden="1">{"cover",#N/A,TRUE,"Cover";"toc5",#N/A,TRUE,"TOC";"over",#N/A,TRUE,"Overview";"ts2",#N/A,TRUE,"Det_Trans_Sum";"eic",#N/A,TRUE,"Earnings Impact";"ad",#N/A,TRUE,"accretion dilution";"pfis",#N/A,TRUE,"Pro Forma Income Statement";"ca",#N/A,TRUE,"Contribution_Analysis";"acqc",#N/A,TRUE,"Acquirer";"tarc",#N/A,TRUE,"Target"}</definedName>
    <definedName name="wrn.17." localSheetId="10" hidden="1">{"cover",#N/A,TRUE,"Cover";"toc5",#N/A,TRUE,"TOC";"over",#N/A,TRUE,"Overview";"ts2",#N/A,TRUE,"Det_Trans_Sum";"eic",#N/A,TRUE,"Earnings Impact";"ad",#N/A,TRUE,"accretion dilution";"pfis",#N/A,TRUE,"Pro Forma Income Statement";"ca",#N/A,TRUE,"Contribution_Analysis";"acqc",#N/A,TRUE,"Acquirer";"tarc",#N/A,TRUE,"Target"}</definedName>
    <definedName name="wrn.17." localSheetId="13" hidden="1">{"cover",#N/A,TRUE,"Cover";"toc5",#N/A,TRUE,"TOC";"over",#N/A,TRUE,"Overview";"ts2",#N/A,TRUE,"Det_Trans_Sum";"eic",#N/A,TRUE,"Earnings Impact";"ad",#N/A,TRUE,"accretion dilution";"pfis",#N/A,TRUE,"Pro Forma Income Statement";"ca",#N/A,TRUE,"Contribution_Analysis";"acqc",#N/A,TRUE,"Acquirer";"tarc",#N/A,TRUE,"Target"}</definedName>
    <definedName name="wrn.17." hidden="1">{"cover",#N/A,TRUE,"Cover";"toc5",#N/A,TRUE,"TOC";"over",#N/A,TRUE,"Overview";"ts2",#N/A,TRUE,"Det_Trans_Sum";"eic",#N/A,TRUE,"Earnings Impact";"ad",#N/A,TRUE,"accretion dilution";"pfis",#N/A,TRUE,"Pro Forma Income Statement";"ca",#N/A,TRUE,"Contribution_Analysis";"acqc",#N/A,TRUE,"Acquirer";"tarc",#N/A,TRUE,"Target"}</definedName>
    <definedName name="wrn.18." localSheetId="2" hidden="1">{"cover",#N/A,TRUE,"Cover";"toc5",#N/A,TRUE,"TOC";"over",#N/A,TRUE,"Overview";"ts2",#N/A,TRUE,"Det_Trans_Sum";"ei1c",#N/A,TRUE,"Earnings Impact";"ad1",#N/A,TRUE,"accretion dilution";"pfis1",#N/A,TRUE,"Pro Forma Income Statement";"ca1",#N/A,TRUE,"Contribution_Analysis";"acq1c",#N/A,TRUE,"Acquirer";"tar1c",#N/A,TRUE,"Target"}</definedName>
    <definedName name="wrn.18." localSheetId="21" hidden="1">{"cover",#N/A,TRUE,"Cover";"toc5",#N/A,TRUE,"TOC";"over",#N/A,TRUE,"Overview";"ts2",#N/A,TRUE,"Det_Trans_Sum";"ei1c",#N/A,TRUE,"Earnings Impact";"ad1",#N/A,TRUE,"accretion dilution";"pfis1",#N/A,TRUE,"Pro Forma Income Statement";"ca1",#N/A,TRUE,"Contribution_Analysis";"acq1c",#N/A,TRUE,"Acquirer";"tar1c",#N/A,TRUE,"Target"}</definedName>
    <definedName name="wrn.18." localSheetId="22" hidden="1">{"cover",#N/A,TRUE,"Cover";"toc5",#N/A,TRUE,"TOC";"over",#N/A,TRUE,"Overview";"ts2",#N/A,TRUE,"Det_Trans_Sum";"ei1c",#N/A,TRUE,"Earnings Impact";"ad1",#N/A,TRUE,"accretion dilution";"pfis1",#N/A,TRUE,"Pro Forma Income Statement";"ca1",#N/A,TRUE,"Contribution_Analysis";"acq1c",#N/A,TRUE,"Acquirer";"tar1c",#N/A,TRUE,"Target"}</definedName>
    <definedName name="wrn.18." localSheetId="15" hidden="1">{"cover",#N/A,TRUE,"Cover";"toc5",#N/A,TRUE,"TOC";"over",#N/A,TRUE,"Overview";"ts2",#N/A,TRUE,"Det_Trans_Sum";"ei1c",#N/A,TRUE,"Earnings Impact";"ad1",#N/A,TRUE,"accretion dilution";"pfis1",#N/A,TRUE,"Pro Forma Income Statement";"ca1",#N/A,TRUE,"Contribution_Analysis";"acq1c",#N/A,TRUE,"Acquirer";"tar1c",#N/A,TRUE,"Target"}</definedName>
    <definedName name="wrn.18." localSheetId="17" hidden="1">{"cover",#N/A,TRUE,"Cover";"toc5",#N/A,TRUE,"TOC";"over",#N/A,TRUE,"Overview";"ts2",#N/A,TRUE,"Det_Trans_Sum";"ei1c",#N/A,TRUE,"Earnings Impact";"ad1",#N/A,TRUE,"accretion dilution";"pfis1",#N/A,TRUE,"Pro Forma Income Statement";"ca1",#N/A,TRUE,"Contribution_Analysis";"acq1c",#N/A,TRUE,"Acquirer";"tar1c",#N/A,TRUE,"Target"}</definedName>
    <definedName name="wrn.18." localSheetId="10" hidden="1">{"cover",#N/A,TRUE,"Cover";"toc5",#N/A,TRUE,"TOC";"over",#N/A,TRUE,"Overview";"ts2",#N/A,TRUE,"Det_Trans_Sum";"ei1c",#N/A,TRUE,"Earnings Impact";"ad1",#N/A,TRUE,"accretion dilution";"pfis1",#N/A,TRUE,"Pro Forma Income Statement";"ca1",#N/A,TRUE,"Contribution_Analysis";"acq1c",#N/A,TRUE,"Acquirer";"tar1c",#N/A,TRUE,"Target"}</definedName>
    <definedName name="wrn.18." localSheetId="13" hidden="1">{"cover",#N/A,TRUE,"Cover";"toc5",#N/A,TRUE,"TOC";"over",#N/A,TRUE,"Overview";"ts2",#N/A,TRUE,"Det_Trans_Sum";"ei1c",#N/A,TRUE,"Earnings Impact";"ad1",#N/A,TRUE,"accretion dilution";"pfis1",#N/A,TRUE,"Pro Forma Income Statement";"ca1",#N/A,TRUE,"Contribution_Analysis";"acq1c",#N/A,TRUE,"Acquirer";"tar1c",#N/A,TRUE,"Target"}</definedName>
    <definedName name="wrn.18." hidden="1">{"cover",#N/A,TRUE,"Cover";"toc5",#N/A,TRUE,"TOC";"over",#N/A,TRUE,"Overview";"ts2",#N/A,TRUE,"Det_Trans_Sum";"ei1c",#N/A,TRUE,"Earnings Impact";"ad1",#N/A,TRUE,"accretion dilution";"pfis1",#N/A,TRUE,"Pro Forma Income Statement";"ca1",#N/A,TRUE,"Contribution_Analysis";"acq1c",#N/A,TRUE,"Acquirer";"tar1c",#N/A,TRUE,"Target"}</definedName>
    <definedName name="wrn.19." localSheetId="2" hidden="1">{"cover",#N/A,TRUE,"Cover";"toc5",#N/A,TRUE,"TOC";"ts2",#N/A,TRUE,"Det_Trans_Sum";"over",#N/A,TRUE,"Overview";"ei2c",#N/A,TRUE,"Earnings Impact";"ad2",#N/A,TRUE,"accretion dilution";"pfis2",#N/A,TRUE,"Pro Forma Income Statement";"ca2",#N/A,TRUE,"Contribution_Analysis";"acq2c",#N/A,TRUE,"Acquirer";"tar2c",#N/A,TRUE,"Target"}</definedName>
    <definedName name="wrn.19." localSheetId="21" hidden="1">{"cover",#N/A,TRUE,"Cover";"toc5",#N/A,TRUE,"TOC";"ts2",#N/A,TRUE,"Det_Trans_Sum";"over",#N/A,TRUE,"Overview";"ei2c",#N/A,TRUE,"Earnings Impact";"ad2",#N/A,TRUE,"accretion dilution";"pfis2",#N/A,TRUE,"Pro Forma Income Statement";"ca2",#N/A,TRUE,"Contribution_Analysis";"acq2c",#N/A,TRUE,"Acquirer";"tar2c",#N/A,TRUE,"Target"}</definedName>
    <definedName name="wrn.19." localSheetId="22" hidden="1">{"cover",#N/A,TRUE,"Cover";"toc5",#N/A,TRUE,"TOC";"ts2",#N/A,TRUE,"Det_Trans_Sum";"over",#N/A,TRUE,"Overview";"ei2c",#N/A,TRUE,"Earnings Impact";"ad2",#N/A,TRUE,"accretion dilution";"pfis2",#N/A,TRUE,"Pro Forma Income Statement";"ca2",#N/A,TRUE,"Contribution_Analysis";"acq2c",#N/A,TRUE,"Acquirer";"tar2c",#N/A,TRUE,"Target"}</definedName>
    <definedName name="wrn.19." localSheetId="15" hidden="1">{"cover",#N/A,TRUE,"Cover";"toc5",#N/A,TRUE,"TOC";"ts2",#N/A,TRUE,"Det_Trans_Sum";"over",#N/A,TRUE,"Overview";"ei2c",#N/A,TRUE,"Earnings Impact";"ad2",#N/A,TRUE,"accretion dilution";"pfis2",#N/A,TRUE,"Pro Forma Income Statement";"ca2",#N/A,TRUE,"Contribution_Analysis";"acq2c",#N/A,TRUE,"Acquirer";"tar2c",#N/A,TRUE,"Target"}</definedName>
    <definedName name="wrn.19." localSheetId="17" hidden="1">{"cover",#N/A,TRUE,"Cover";"toc5",#N/A,TRUE,"TOC";"ts2",#N/A,TRUE,"Det_Trans_Sum";"over",#N/A,TRUE,"Overview";"ei2c",#N/A,TRUE,"Earnings Impact";"ad2",#N/A,TRUE,"accretion dilution";"pfis2",#N/A,TRUE,"Pro Forma Income Statement";"ca2",#N/A,TRUE,"Contribution_Analysis";"acq2c",#N/A,TRUE,"Acquirer";"tar2c",#N/A,TRUE,"Target"}</definedName>
    <definedName name="wrn.19." localSheetId="10" hidden="1">{"cover",#N/A,TRUE,"Cover";"toc5",#N/A,TRUE,"TOC";"ts2",#N/A,TRUE,"Det_Trans_Sum";"over",#N/A,TRUE,"Overview";"ei2c",#N/A,TRUE,"Earnings Impact";"ad2",#N/A,TRUE,"accretion dilution";"pfis2",#N/A,TRUE,"Pro Forma Income Statement";"ca2",#N/A,TRUE,"Contribution_Analysis";"acq2c",#N/A,TRUE,"Acquirer";"tar2c",#N/A,TRUE,"Target"}</definedName>
    <definedName name="wrn.19." localSheetId="13" hidden="1">{"cover",#N/A,TRUE,"Cover";"toc5",#N/A,TRUE,"TOC";"ts2",#N/A,TRUE,"Det_Trans_Sum";"over",#N/A,TRUE,"Overview";"ei2c",#N/A,TRUE,"Earnings Impact";"ad2",#N/A,TRUE,"accretion dilution";"pfis2",#N/A,TRUE,"Pro Forma Income Statement";"ca2",#N/A,TRUE,"Contribution_Analysis";"acq2c",#N/A,TRUE,"Acquirer";"tar2c",#N/A,TRUE,"Target"}</definedName>
    <definedName name="wrn.19." hidden="1">{"cover",#N/A,TRUE,"Cover";"toc5",#N/A,TRUE,"TOC";"ts2",#N/A,TRUE,"Det_Trans_Sum";"over",#N/A,TRUE,"Overview";"ei2c",#N/A,TRUE,"Earnings Impact";"ad2",#N/A,TRUE,"accretion dilution";"pfis2",#N/A,TRUE,"Pro Forma Income Statement";"ca2",#N/A,TRUE,"Contribution_Analysis";"acq2c",#N/A,TRUE,"Acquirer";"tar2c",#N/A,TRUE,"Target"}</definedName>
    <definedName name="wrn.2." localSheetId="2" hidden="1">{"cover",#N/A,TRUE,"Cover";"toc1",#N/A,TRUE,"TOC";"ts1",#N/A,TRUE,"Transaction Summary";"ei1",#N/A,TRUE,"Earnings Impact";"ad1",#N/A,TRUE,"accretion dilution"}</definedName>
    <definedName name="wrn.2." localSheetId="21" hidden="1">{"cover",#N/A,TRUE,"Cover";"toc1",#N/A,TRUE,"TOC";"ts1",#N/A,TRUE,"Transaction Summary";"ei1",#N/A,TRUE,"Earnings Impact";"ad1",#N/A,TRUE,"accretion dilution"}</definedName>
    <definedName name="wrn.2." localSheetId="22" hidden="1">{"cover",#N/A,TRUE,"Cover";"toc1",#N/A,TRUE,"TOC";"ts1",#N/A,TRUE,"Transaction Summary";"ei1",#N/A,TRUE,"Earnings Impact";"ad1",#N/A,TRUE,"accretion dilution"}</definedName>
    <definedName name="wrn.2." localSheetId="15" hidden="1">{"cover",#N/A,TRUE,"Cover";"toc1",#N/A,TRUE,"TOC";"ts1",#N/A,TRUE,"Transaction Summary";"ei1",#N/A,TRUE,"Earnings Impact";"ad1",#N/A,TRUE,"accretion dilution"}</definedName>
    <definedName name="wrn.2." localSheetId="17" hidden="1">{"cover",#N/A,TRUE,"Cover";"toc1",#N/A,TRUE,"TOC";"ts1",#N/A,TRUE,"Transaction Summary";"ei1",#N/A,TRUE,"Earnings Impact";"ad1",#N/A,TRUE,"accretion dilution"}</definedName>
    <definedName name="wrn.2." localSheetId="10" hidden="1">{"cover",#N/A,TRUE,"Cover";"toc1",#N/A,TRUE,"TOC";"ts1",#N/A,TRUE,"Transaction Summary";"ei1",#N/A,TRUE,"Earnings Impact";"ad1",#N/A,TRUE,"accretion dilution"}</definedName>
    <definedName name="wrn.2." localSheetId="13" hidden="1">{"cover",#N/A,TRUE,"Cover";"toc1",#N/A,TRUE,"TOC";"ts1",#N/A,TRUE,"Transaction Summary";"ei1",#N/A,TRUE,"Earnings Impact";"ad1",#N/A,TRUE,"accretion dilution"}</definedName>
    <definedName name="wrn.2." hidden="1">{"cover",#N/A,TRUE,"Cover";"toc1",#N/A,TRUE,"TOC";"ts1",#N/A,TRUE,"Transaction Summary";"ei1",#N/A,TRUE,"Earnings Impact";"ad1",#N/A,TRUE,"accretion dilution"}</definedName>
    <definedName name="wrn.2._.pagers." localSheetId="2" hidden="1">{"Cover",#N/A,FALSE,"Cover";"Summary",#N/A,FALSE,"Summarpage"}</definedName>
    <definedName name="wrn.2._.pagers." localSheetId="21" hidden="1">{"Cover",#N/A,FALSE,"Cover";"Summary",#N/A,FALSE,"Summarpage"}</definedName>
    <definedName name="wrn.2._.pagers." localSheetId="22" hidden="1">{"Cover",#N/A,FALSE,"Cover";"Summary",#N/A,FALSE,"Summarpage"}</definedName>
    <definedName name="wrn.2._.pagers." localSheetId="15" hidden="1">{"Cover",#N/A,FALSE,"Cover";"Summary",#N/A,FALSE,"Summarpage"}</definedName>
    <definedName name="wrn.2._.pagers." localSheetId="17" hidden="1">{"Cover",#N/A,FALSE,"Cover";"Summary",#N/A,FALSE,"Summarpage"}</definedName>
    <definedName name="wrn.2._.pagers." localSheetId="10" hidden="1">{"Cover",#N/A,FALSE,"Cover";"Summary",#N/A,FALSE,"Summarpage"}</definedName>
    <definedName name="wrn.2._.pagers." localSheetId="13" hidden="1">{"Cover",#N/A,FALSE,"Cover";"Summary",#N/A,FALSE,"Summarpage"}</definedName>
    <definedName name="wrn.2._.pagers." hidden="1">{"Cover",#N/A,FALSE,"Cover";"Summary",#N/A,FALSE,"Summarpage"}</definedName>
    <definedName name="wrn.2._.pagers.2" localSheetId="2" hidden="1">{"Cover",#N/A,FALSE,"Cover";"Summary",#N/A,FALSE,"Summarpage"}</definedName>
    <definedName name="wrn.2._.pagers.2" localSheetId="21" hidden="1">{"Cover",#N/A,FALSE,"Cover";"Summary",#N/A,FALSE,"Summarpage"}</definedName>
    <definedName name="wrn.2._.pagers.2" localSheetId="22" hidden="1">{"Cover",#N/A,FALSE,"Cover";"Summary",#N/A,FALSE,"Summarpage"}</definedName>
    <definedName name="wrn.2._.pagers.2" localSheetId="15" hidden="1">{"Cover",#N/A,FALSE,"Cover";"Summary",#N/A,FALSE,"Summarpage"}</definedName>
    <definedName name="wrn.2._.pagers.2" localSheetId="17" hidden="1">{"Cover",#N/A,FALSE,"Cover";"Summary",#N/A,FALSE,"Summarpage"}</definedName>
    <definedName name="wrn.2._.pagers.2" localSheetId="10" hidden="1">{"Cover",#N/A,FALSE,"Cover";"Summary",#N/A,FALSE,"Summarpage"}</definedName>
    <definedName name="wrn.2._.pagers.2" localSheetId="13" hidden="1">{"Cover",#N/A,FALSE,"Cover";"Summary",#N/A,FALSE,"Summarpage"}</definedName>
    <definedName name="wrn.2._.pagers.2" hidden="1">{"Cover",#N/A,FALSE,"Cover";"Summary",#N/A,FALSE,"Summarpage"}</definedName>
    <definedName name="wrn.20." localSheetId="2" hidden="1">{"cover",#N/A,TRUE,"Cover";"toc5",#N/A,TRUE,"TOC";"over",#N/A,TRUE,"Overview";"ts2",#N/A,TRUE,"Det_Trans_Sum";"ei3c",#N/A,TRUE,"Earnings Impact";"ad3",#N/A,TRUE,"accretion dilution";"pfis3",#N/A,TRUE,"Pro Forma Income Statement";"ca3",#N/A,TRUE,"Contribution_Analysis";"acq3c",#N/A,TRUE,"Acquirer";"tar3c",#N/A,TRUE,"Target"}</definedName>
    <definedName name="wrn.20." localSheetId="21" hidden="1">{"cover",#N/A,TRUE,"Cover";"toc5",#N/A,TRUE,"TOC";"over",#N/A,TRUE,"Overview";"ts2",#N/A,TRUE,"Det_Trans_Sum";"ei3c",#N/A,TRUE,"Earnings Impact";"ad3",#N/A,TRUE,"accretion dilution";"pfis3",#N/A,TRUE,"Pro Forma Income Statement";"ca3",#N/A,TRUE,"Contribution_Analysis";"acq3c",#N/A,TRUE,"Acquirer";"tar3c",#N/A,TRUE,"Target"}</definedName>
    <definedName name="wrn.20." localSheetId="22" hidden="1">{"cover",#N/A,TRUE,"Cover";"toc5",#N/A,TRUE,"TOC";"over",#N/A,TRUE,"Overview";"ts2",#N/A,TRUE,"Det_Trans_Sum";"ei3c",#N/A,TRUE,"Earnings Impact";"ad3",#N/A,TRUE,"accretion dilution";"pfis3",#N/A,TRUE,"Pro Forma Income Statement";"ca3",#N/A,TRUE,"Contribution_Analysis";"acq3c",#N/A,TRUE,"Acquirer";"tar3c",#N/A,TRUE,"Target"}</definedName>
    <definedName name="wrn.20." localSheetId="15" hidden="1">{"cover",#N/A,TRUE,"Cover";"toc5",#N/A,TRUE,"TOC";"over",#N/A,TRUE,"Overview";"ts2",#N/A,TRUE,"Det_Trans_Sum";"ei3c",#N/A,TRUE,"Earnings Impact";"ad3",#N/A,TRUE,"accretion dilution";"pfis3",#N/A,TRUE,"Pro Forma Income Statement";"ca3",#N/A,TRUE,"Contribution_Analysis";"acq3c",#N/A,TRUE,"Acquirer";"tar3c",#N/A,TRUE,"Target"}</definedName>
    <definedName name="wrn.20." localSheetId="17" hidden="1">{"cover",#N/A,TRUE,"Cover";"toc5",#N/A,TRUE,"TOC";"over",#N/A,TRUE,"Overview";"ts2",#N/A,TRUE,"Det_Trans_Sum";"ei3c",#N/A,TRUE,"Earnings Impact";"ad3",#N/A,TRUE,"accretion dilution";"pfis3",#N/A,TRUE,"Pro Forma Income Statement";"ca3",#N/A,TRUE,"Contribution_Analysis";"acq3c",#N/A,TRUE,"Acquirer";"tar3c",#N/A,TRUE,"Target"}</definedName>
    <definedName name="wrn.20." localSheetId="10" hidden="1">{"cover",#N/A,TRUE,"Cover";"toc5",#N/A,TRUE,"TOC";"over",#N/A,TRUE,"Overview";"ts2",#N/A,TRUE,"Det_Trans_Sum";"ei3c",#N/A,TRUE,"Earnings Impact";"ad3",#N/A,TRUE,"accretion dilution";"pfis3",#N/A,TRUE,"Pro Forma Income Statement";"ca3",#N/A,TRUE,"Contribution_Analysis";"acq3c",#N/A,TRUE,"Acquirer";"tar3c",#N/A,TRUE,"Target"}</definedName>
    <definedName name="wrn.20." localSheetId="13" hidden="1">{"cover",#N/A,TRUE,"Cover";"toc5",#N/A,TRUE,"TOC";"over",#N/A,TRUE,"Overview";"ts2",#N/A,TRUE,"Det_Trans_Sum";"ei3c",#N/A,TRUE,"Earnings Impact";"ad3",#N/A,TRUE,"accretion dilution";"pfis3",#N/A,TRUE,"Pro Forma Income Statement";"ca3",#N/A,TRUE,"Contribution_Analysis";"acq3c",#N/A,TRUE,"Acquirer";"tar3c",#N/A,TRUE,"Target"}</definedName>
    <definedName name="wrn.20." hidden="1">{"cover",#N/A,TRUE,"Cover";"toc5",#N/A,TRUE,"TOC";"over",#N/A,TRUE,"Overview";"ts2",#N/A,TRUE,"Det_Trans_Sum";"ei3c",#N/A,TRUE,"Earnings Impact";"ad3",#N/A,TRUE,"accretion dilution";"pfis3",#N/A,TRUE,"Pro Forma Income Statement";"ca3",#N/A,TRUE,"Contribution_Analysis";"acq3c",#N/A,TRUE,"Acquirer";"tar3c",#N/A,TRUE,"Target"}</definedName>
    <definedName name="wrn.2007._.all." localSheetId="2" hidden="1">{"2007",#N/A,FALSE,"SUMMARY";"2007",#N/A,FALSE,"RET ON CAP";"2007",#N/A,FALSE,"PROFORMA";"2007",#N/A,FALSE,"Assumptions";"2007",#N/A,FALSE,"Sales &amp; Marketing";"2007",#N/A,FALSE,"Overhead";"2007",#N/A,FALSE,"General Project";"2007",#N/A,FALSE,"Development"}</definedName>
    <definedName name="wrn.2007._.all." localSheetId="21" hidden="1">{"2007",#N/A,FALSE,"SUMMARY";"2007",#N/A,FALSE,"RET ON CAP";"2007",#N/A,FALSE,"PROFORMA";"2007",#N/A,FALSE,"Assumptions";"2007",#N/A,FALSE,"Sales &amp; Marketing";"2007",#N/A,FALSE,"Overhead";"2007",#N/A,FALSE,"General Project";"2007",#N/A,FALSE,"Development"}</definedName>
    <definedName name="wrn.2007._.all." localSheetId="22" hidden="1">{"2007",#N/A,FALSE,"SUMMARY";"2007",#N/A,FALSE,"RET ON CAP";"2007",#N/A,FALSE,"PROFORMA";"2007",#N/A,FALSE,"Assumptions";"2007",#N/A,FALSE,"Sales &amp; Marketing";"2007",#N/A,FALSE,"Overhead";"2007",#N/A,FALSE,"General Project";"2007",#N/A,FALSE,"Development"}</definedName>
    <definedName name="wrn.2007._.all." localSheetId="15" hidden="1">{"2007",#N/A,FALSE,"SUMMARY";"2007",#N/A,FALSE,"RET ON CAP";"2007",#N/A,FALSE,"PROFORMA";"2007",#N/A,FALSE,"Assumptions";"2007",#N/A,FALSE,"Sales &amp; Marketing";"2007",#N/A,FALSE,"Overhead";"2007",#N/A,FALSE,"General Project";"2007",#N/A,FALSE,"Development"}</definedName>
    <definedName name="wrn.2007._.all." localSheetId="17" hidden="1">{"2007",#N/A,FALSE,"SUMMARY";"2007",#N/A,FALSE,"RET ON CAP";"2007",#N/A,FALSE,"PROFORMA";"2007",#N/A,FALSE,"Assumptions";"2007",#N/A,FALSE,"Sales &amp; Marketing";"2007",#N/A,FALSE,"Overhead";"2007",#N/A,FALSE,"General Project";"2007",#N/A,FALSE,"Development"}</definedName>
    <definedName name="wrn.2007._.all." localSheetId="10" hidden="1">{"2007",#N/A,FALSE,"SUMMARY";"2007",#N/A,FALSE,"RET ON CAP";"2007",#N/A,FALSE,"PROFORMA";"2007",#N/A,FALSE,"Assumptions";"2007",#N/A,FALSE,"Sales &amp; Marketing";"2007",#N/A,FALSE,"Overhead";"2007",#N/A,FALSE,"General Project";"2007",#N/A,FALSE,"Development"}</definedName>
    <definedName name="wrn.2007._.all." localSheetId="13" hidden="1">{"2007",#N/A,FALSE,"SUMMARY";"2007",#N/A,FALSE,"RET ON CAP";"2007",#N/A,FALSE,"PROFORMA";"2007",#N/A,FALSE,"Assumptions";"2007",#N/A,FALSE,"Sales &amp; Marketing";"2007",#N/A,FALSE,"Overhead";"2007",#N/A,FALSE,"General Project";"2007",#N/A,FALSE,"Development"}</definedName>
    <definedName name="wrn.2007._.all." hidden="1">{"2007",#N/A,FALSE,"SUMMARY";"2007",#N/A,FALSE,"RET ON CAP";"2007",#N/A,FALSE,"PROFORMA";"2007",#N/A,FALSE,"Assumptions";"2007",#N/A,FALSE,"Sales &amp; Marketing";"2007",#N/A,FALSE,"Overhead";"2007",#N/A,FALSE,"General Project";"2007",#N/A,FALSE,"Development"}</definedName>
    <definedName name="wrn.2007._.summaries." localSheetId="2" hidden="1">{#N/A,#N/A,FALSE,"SUMMARY";#N/A,#N/A,FALSE,"RET ON CAP"}</definedName>
    <definedName name="wrn.2007._.summaries." localSheetId="21" hidden="1">{#N/A,#N/A,FALSE,"SUMMARY";#N/A,#N/A,FALSE,"RET ON CAP"}</definedName>
    <definedName name="wrn.2007._.summaries." localSheetId="22" hidden="1">{#N/A,#N/A,FALSE,"SUMMARY";#N/A,#N/A,FALSE,"RET ON CAP"}</definedName>
    <definedName name="wrn.2007._.summaries." localSheetId="15" hidden="1">{#N/A,#N/A,FALSE,"SUMMARY";#N/A,#N/A,FALSE,"RET ON CAP"}</definedName>
    <definedName name="wrn.2007._.summaries." localSheetId="17" hidden="1">{#N/A,#N/A,FALSE,"SUMMARY";#N/A,#N/A,FALSE,"RET ON CAP"}</definedName>
    <definedName name="wrn.2007._.summaries." localSheetId="10" hidden="1">{#N/A,#N/A,FALSE,"SUMMARY";#N/A,#N/A,FALSE,"RET ON CAP"}</definedName>
    <definedName name="wrn.2007._.summaries." localSheetId="13" hidden="1">{#N/A,#N/A,FALSE,"SUMMARY";#N/A,#N/A,FALSE,"RET ON CAP"}</definedName>
    <definedName name="wrn.2007._.summaries." hidden="1">{#N/A,#N/A,FALSE,"SUMMARY";#N/A,#N/A,FALSE,"RET ON CAP"}</definedName>
    <definedName name="wrn.21." localSheetId="2" hidden="1">{"cover",#N/A,TRUE,"Cover";"toc6",#N/A,TRUE,"TOC";"over",#N/A,TRUE,"Overview";"ts2",#N/A,TRUE,"Det_Trans_Sum";"eic",#N/A,TRUE,"Earnings Impact";"ad",#N/A,TRUE,"accretion dilution";"hg",#N/A,TRUE,"Has-Gets";"pfis",#N/A,TRUE,"Pro Forma Income Statement";"ca",#N/A,TRUE,"Contribution_Analysis";"acqc",#N/A,TRUE,"Acquirer";"tarc",#N/A,TRUE,"Target"}</definedName>
    <definedName name="wrn.21." localSheetId="21" hidden="1">{"cover",#N/A,TRUE,"Cover";"toc6",#N/A,TRUE,"TOC";"over",#N/A,TRUE,"Overview";"ts2",#N/A,TRUE,"Det_Trans_Sum";"eic",#N/A,TRUE,"Earnings Impact";"ad",#N/A,TRUE,"accretion dilution";"hg",#N/A,TRUE,"Has-Gets";"pfis",#N/A,TRUE,"Pro Forma Income Statement";"ca",#N/A,TRUE,"Contribution_Analysis";"acqc",#N/A,TRUE,"Acquirer";"tarc",#N/A,TRUE,"Target"}</definedName>
    <definedName name="wrn.21." localSheetId="22" hidden="1">{"cover",#N/A,TRUE,"Cover";"toc6",#N/A,TRUE,"TOC";"over",#N/A,TRUE,"Overview";"ts2",#N/A,TRUE,"Det_Trans_Sum";"eic",#N/A,TRUE,"Earnings Impact";"ad",#N/A,TRUE,"accretion dilution";"hg",#N/A,TRUE,"Has-Gets";"pfis",#N/A,TRUE,"Pro Forma Income Statement";"ca",#N/A,TRUE,"Contribution_Analysis";"acqc",#N/A,TRUE,"Acquirer";"tarc",#N/A,TRUE,"Target"}</definedName>
    <definedName name="wrn.21." localSheetId="15" hidden="1">{"cover",#N/A,TRUE,"Cover";"toc6",#N/A,TRUE,"TOC";"over",#N/A,TRUE,"Overview";"ts2",#N/A,TRUE,"Det_Trans_Sum";"eic",#N/A,TRUE,"Earnings Impact";"ad",#N/A,TRUE,"accretion dilution";"hg",#N/A,TRUE,"Has-Gets";"pfis",#N/A,TRUE,"Pro Forma Income Statement";"ca",#N/A,TRUE,"Contribution_Analysis";"acqc",#N/A,TRUE,"Acquirer";"tarc",#N/A,TRUE,"Target"}</definedName>
    <definedName name="wrn.21." localSheetId="17" hidden="1">{"cover",#N/A,TRUE,"Cover";"toc6",#N/A,TRUE,"TOC";"over",#N/A,TRUE,"Overview";"ts2",#N/A,TRUE,"Det_Trans_Sum";"eic",#N/A,TRUE,"Earnings Impact";"ad",#N/A,TRUE,"accretion dilution";"hg",#N/A,TRUE,"Has-Gets";"pfis",#N/A,TRUE,"Pro Forma Income Statement";"ca",#N/A,TRUE,"Contribution_Analysis";"acqc",#N/A,TRUE,"Acquirer";"tarc",#N/A,TRUE,"Target"}</definedName>
    <definedName name="wrn.21." localSheetId="10" hidden="1">{"cover",#N/A,TRUE,"Cover";"toc6",#N/A,TRUE,"TOC";"over",#N/A,TRUE,"Overview";"ts2",#N/A,TRUE,"Det_Trans_Sum";"eic",#N/A,TRUE,"Earnings Impact";"ad",#N/A,TRUE,"accretion dilution";"hg",#N/A,TRUE,"Has-Gets";"pfis",#N/A,TRUE,"Pro Forma Income Statement";"ca",#N/A,TRUE,"Contribution_Analysis";"acqc",#N/A,TRUE,"Acquirer";"tarc",#N/A,TRUE,"Target"}</definedName>
    <definedName name="wrn.21." localSheetId="13" hidden="1">{"cover",#N/A,TRUE,"Cover";"toc6",#N/A,TRUE,"TOC";"over",#N/A,TRUE,"Overview";"ts2",#N/A,TRUE,"Det_Trans_Sum";"eic",#N/A,TRUE,"Earnings Impact";"ad",#N/A,TRUE,"accretion dilution";"hg",#N/A,TRUE,"Has-Gets";"pfis",#N/A,TRUE,"Pro Forma Income Statement";"ca",#N/A,TRUE,"Contribution_Analysis";"acqc",#N/A,TRUE,"Acquirer";"tarc",#N/A,TRUE,"Target"}</definedName>
    <definedName name="wrn.21." hidden="1">{"cover",#N/A,TRUE,"Cover";"toc6",#N/A,TRUE,"TOC";"over",#N/A,TRUE,"Overview";"ts2",#N/A,TRUE,"Det_Trans_Sum";"eic",#N/A,TRUE,"Earnings Impact";"ad",#N/A,TRUE,"accretion dilution";"hg",#N/A,TRUE,"Has-Gets";"pfis",#N/A,TRUE,"Pro Forma Income Statement";"ca",#N/A,TRUE,"Contribution_Analysis";"acqc",#N/A,TRUE,"Acquirer";"tarc",#N/A,TRUE,"Target"}</definedName>
    <definedName name="wrn.22." localSheetId="2"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2." localSheetId="21"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2." localSheetId="22"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2." localSheetId="15"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2." localSheetId="17"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2." localSheetId="10"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2." localSheetId="13"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2."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3." localSheetId="2"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3." localSheetId="21"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3." localSheetId="22"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3." localSheetId="15"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3." localSheetId="17"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3." localSheetId="10"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3." localSheetId="13"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3."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4." localSheetId="2" hidden="1">{"cover",#N/A,TRUE,"Cover";"toc6",#N/A,TRUE,"TOC";"over",#N/A,TRUE,"Overview";"ts2",#N/A,TRUE,"Det_Trans_Sum";"ei3c",#N/A,TRUE,"Earnings Impact";"ad3",#N/A,TRUE,"accretion dilution";"hg3",#N/A,TRUE,"Has-Gets";"pfis",#N/A,TRUE,"Pro Forma Income Statement";"ca3",#N/A,TRUE,"Contribution_Analysis";"acq3c",#N/A,TRUE,"Acquirer";"tar3c",#N/A,TRUE,"Target"}</definedName>
    <definedName name="wrn.24." localSheetId="21" hidden="1">{"cover",#N/A,TRUE,"Cover";"toc6",#N/A,TRUE,"TOC";"over",#N/A,TRUE,"Overview";"ts2",#N/A,TRUE,"Det_Trans_Sum";"ei3c",#N/A,TRUE,"Earnings Impact";"ad3",#N/A,TRUE,"accretion dilution";"hg3",#N/A,TRUE,"Has-Gets";"pfis",#N/A,TRUE,"Pro Forma Income Statement";"ca3",#N/A,TRUE,"Contribution_Analysis";"acq3c",#N/A,TRUE,"Acquirer";"tar3c",#N/A,TRUE,"Target"}</definedName>
    <definedName name="wrn.24." localSheetId="22" hidden="1">{"cover",#N/A,TRUE,"Cover";"toc6",#N/A,TRUE,"TOC";"over",#N/A,TRUE,"Overview";"ts2",#N/A,TRUE,"Det_Trans_Sum";"ei3c",#N/A,TRUE,"Earnings Impact";"ad3",#N/A,TRUE,"accretion dilution";"hg3",#N/A,TRUE,"Has-Gets";"pfis",#N/A,TRUE,"Pro Forma Income Statement";"ca3",#N/A,TRUE,"Contribution_Analysis";"acq3c",#N/A,TRUE,"Acquirer";"tar3c",#N/A,TRUE,"Target"}</definedName>
    <definedName name="wrn.24." localSheetId="15" hidden="1">{"cover",#N/A,TRUE,"Cover";"toc6",#N/A,TRUE,"TOC";"over",#N/A,TRUE,"Overview";"ts2",#N/A,TRUE,"Det_Trans_Sum";"ei3c",#N/A,TRUE,"Earnings Impact";"ad3",#N/A,TRUE,"accretion dilution";"hg3",#N/A,TRUE,"Has-Gets";"pfis",#N/A,TRUE,"Pro Forma Income Statement";"ca3",#N/A,TRUE,"Contribution_Analysis";"acq3c",#N/A,TRUE,"Acquirer";"tar3c",#N/A,TRUE,"Target"}</definedName>
    <definedName name="wrn.24." localSheetId="17" hidden="1">{"cover",#N/A,TRUE,"Cover";"toc6",#N/A,TRUE,"TOC";"over",#N/A,TRUE,"Overview";"ts2",#N/A,TRUE,"Det_Trans_Sum";"ei3c",#N/A,TRUE,"Earnings Impact";"ad3",#N/A,TRUE,"accretion dilution";"hg3",#N/A,TRUE,"Has-Gets";"pfis",#N/A,TRUE,"Pro Forma Income Statement";"ca3",#N/A,TRUE,"Contribution_Analysis";"acq3c",#N/A,TRUE,"Acquirer";"tar3c",#N/A,TRUE,"Target"}</definedName>
    <definedName name="wrn.24." localSheetId="10" hidden="1">{"cover",#N/A,TRUE,"Cover";"toc6",#N/A,TRUE,"TOC";"over",#N/A,TRUE,"Overview";"ts2",#N/A,TRUE,"Det_Trans_Sum";"ei3c",#N/A,TRUE,"Earnings Impact";"ad3",#N/A,TRUE,"accretion dilution";"hg3",#N/A,TRUE,"Has-Gets";"pfis",#N/A,TRUE,"Pro Forma Income Statement";"ca3",#N/A,TRUE,"Contribution_Analysis";"acq3c",#N/A,TRUE,"Acquirer";"tar3c",#N/A,TRUE,"Target"}</definedName>
    <definedName name="wrn.24." localSheetId="13" hidden="1">{"cover",#N/A,TRUE,"Cover";"toc6",#N/A,TRUE,"TOC";"over",#N/A,TRUE,"Overview";"ts2",#N/A,TRUE,"Det_Trans_Sum";"ei3c",#N/A,TRUE,"Earnings Impact";"ad3",#N/A,TRUE,"accretion dilution";"hg3",#N/A,TRUE,"Has-Gets";"pfis",#N/A,TRUE,"Pro Forma Income Statement";"ca3",#N/A,TRUE,"Contribution_Analysis";"acq3c",#N/A,TRUE,"Acquirer";"tar3c",#N/A,TRUE,"Target"}</definedName>
    <definedName name="wrn.24." hidden="1">{"cover",#N/A,TRUE,"Cover";"toc6",#N/A,TRUE,"TOC";"over",#N/A,TRUE,"Overview";"ts2",#N/A,TRUE,"Det_Trans_Sum";"ei3c",#N/A,TRUE,"Earnings Impact";"ad3",#N/A,TRUE,"accretion dilution";"hg3",#N/A,TRUE,"Has-Gets";"pfis",#N/A,TRUE,"Pro Forma Income Statement";"ca3",#N/A,TRUE,"Contribution_Analysis";"acq3c",#N/A,TRUE,"Acquirer";"tar3c",#N/A,TRUE,"Target"}</definedName>
    <definedName name="wrn.25." localSheetId="2" hidden="1">{"cover",#N/A,TRUE,"Cover";"toc3",#N/A,TRUE,"TOC";"over",#N/A,TRUE,"Overview";"ts2",#N/A,TRUE,"Det_Trans_Sum";"ei",#N/A,TRUE,"Earnings Impact";"ad",#N/A,TRUE,"accretion dilution";"pfis",#N/A,TRUE,"Pro Forma Income Statement";"acq",#N/A,TRUE,"Acquirer";"tar",#N/A,TRUE,"Target"}</definedName>
    <definedName name="wrn.25." localSheetId="21" hidden="1">{"cover",#N/A,TRUE,"Cover";"toc3",#N/A,TRUE,"TOC";"over",#N/A,TRUE,"Overview";"ts2",#N/A,TRUE,"Det_Trans_Sum";"ei",#N/A,TRUE,"Earnings Impact";"ad",#N/A,TRUE,"accretion dilution";"pfis",#N/A,TRUE,"Pro Forma Income Statement";"acq",#N/A,TRUE,"Acquirer";"tar",#N/A,TRUE,"Target"}</definedName>
    <definedName name="wrn.25." localSheetId="22" hidden="1">{"cover",#N/A,TRUE,"Cover";"toc3",#N/A,TRUE,"TOC";"over",#N/A,TRUE,"Overview";"ts2",#N/A,TRUE,"Det_Trans_Sum";"ei",#N/A,TRUE,"Earnings Impact";"ad",#N/A,TRUE,"accretion dilution";"pfis",#N/A,TRUE,"Pro Forma Income Statement";"acq",#N/A,TRUE,"Acquirer";"tar",#N/A,TRUE,"Target"}</definedName>
    <definedName name="wrn.25." localSheetId="15" hidden="1">{"cover",#N/A,TRUE,"Cover";"toc3",#N/A,TRUE,"TOC";"over",#N/A,TRUE,"Overview";"ts2",#N/A,TRUE,"Det_Trans_Sum";"ei",#N/A,TRUE,"Earnings Impact";"ad",#N/A,TRUE,"accretion dilution";"pfis",#N/A,TRUE,"Pro Forma Income Statement";"acq",#N/A,TRUE,"Acquirer";"tar",#N/A,TRUE,"Target"}</definedName>
    <definedName name="wrn.25." localSheetId="17" hidden="1">{"cover",#N/A,TRUE,"Cover";"toc3",#N/A,TRUE,"TOC";"over",#N/A,TRUE,"Overview";"ts2",#N/A,TRUE,"Det_Trans_Sum";"ei",#N/A,TRUE,"Earnings Impact";"ad",#N/A,TRUE,"accretion dilution";"pfis",#N/A,TRUE,"Pro Forma Income Statement";"acq",#N/A,TRUE,"Acquirer";"tar",#N/A,TRUE,"Target"}</definedName>
    <definedName name="wrn.25." localSheetId="10" hidden="1">{"cover",#N/A,TRUE,"Cover";"toc3",#N/A,TRUE,"TOC";"over",#N/A,TRUE,"Overview";"ts2",#N/A,TRUE,"Det_Trans_Sum";"ei",#N/A,TRUE,"Earnings Impact";"ad",#N/A,TRUE,"accretion dilution";"pfis",#N/A,TRUE,"Pro Forma Income Statement";"acq",#N/A,TRUE,"Acquirer";"tar",#N/A,TRUE,"Target"}</definedName>
    <definedName name="wrn.25." localSheetId="13" hidden="1">{"cover",#N/A,TRUE,"Cover";"toc3",#N/A,TRUE,"TOC";"over",#N/A,TRUE,"Overview";"ts2",#N/A,TRUE,"Det_Trans_Sum";"ei",#N/A,TRUE,"Earnings Impact";"ad",#N/A,TRUE,"accretion dilution";"pfis",#N/A,TRUE,"Pro Forma Income Statement";"acq",#N/A,TRUE,"Acquirer";"tar",#N/A,TRUE,"Target"}</definedName>
    <definedName name="wrn.25." hidden="1">{"cover",#N/A,TRUE,"Cover";"toc3",#N/A,TRUE,"TOC";"over",#N/A,TRUE,"Overview";"ts2",#N/A,TRUE,"Det_Trans_Sum";"ei",#N/A,TRUE,"Earnings Impact";"ad",#N/A,TRUE,"accretion dilution";"pfis",#N/A,TRUE,"Pro Forma Income Statement";"acq",#N/A,TRUE,"Acquirer";"tar",#N/A,TRUE,"Target"}</definedName>
    <definedName name="wrn.26." localSheetId="2" hidden="1">{"cover",#N/A,TRUE,"Cover";"toc3",#N/A,TRUE,"TOC";"over",#N/A,TRUE,"Overview";"ts2",#N/A,TRUE,"Det_Trans_Sum";"ei1",#N/A,TRUE,"Earnings Impact";"ad1",#N/A,TRUE,"accretion dilution";"pfis1",#N/A,TRUE,"Pro Forma Income Statement";"acq1",#N/A,TRUE,"Acquirer";"tar1",#N/A,TRUE,"Target"}</definedName>
    <definedName name="wrn.26." localSheetId="21" hidden="1">{"cover",#N/A,TRUE,"Cover";"toc3",#N/A,TRUE,"TOC";"over",#N/A,TRUE,"Overview";"ts2",#N/A,TRUE,"Det_Trans_Sum";"ei1",#N/A,TRUE,"Earnings Impact";"ad1",#N/A,TRUE,"accretion dilution";"pfis1",#N/A,TRUE,"Pro Forma Income Statement";"acq1",#N/A,TRUE,"Acquirer";"tar1",#N/A,TRUE,"Target"}</definedName>
    <definedName name="wrn.26." localSheetId="22" hidden="1">{"cover",#N/A,TRUE,"Cover";"toc3",#N/A,TRUE,"TOC";"over",#N/A,TRUE,"Overview";"ts2",#N/A,TRUE,"Det_Trans_Sum";"ei1",#N/A,TRUE,"Earnings Impact";"ad1",#N/A,TRUE,"accretion dilution";"pfis1",#N/A,TRUE,"Pro Forma Income Statement";"acq1",#N/A,TRUE,"Acquirer";"tar1",#N/A,TRUE,"Target"}</definedName>
    <definedName name="wrn.26." localSheetId="15" hidden="1">{"cover",#N/A,TRUE,"Cover";"toc3",#N/A,TRUE,"TOC";"over",#N/A,TRUE,"Overview";"ts2",#N/A,TRUE,"Det_Trans_Sum";"ei1",#N/A,TRUE,"Earnings Impact";"ad1",#N/A,TRUE,"accretion dilution";"pfis1",#N/A,TRUE,"Pro Forma Income Statement";"acq1",#N/A,TRUE,"Acquirer";"tar1",#N/A,TRUE,"Target"}</definedName>
    <definedName name="wrn.26." localSheetId="17" hidden="1">{"cover",#N/A,TRUE,"Cover";"toc3",#N/A,TRUE,"TOC";"over",#N/A,TRUE,"Overview";"ts2",#N/A,TRUE,"Det_Trans_Sum";"ei1",#N/A,TRUE,"Earnings Impact";"ad1",#N/A,TRUE,"accretion dilution";"pfis1",#N/A,TRUE,"Pro Forma Income Statement";"acq1",#N/A,TRUE,"Acquirer";"tar1",#N/A,TRUE,"Target"}</definedName>
    <definedName name="wrn.26." localSheetId="10" hidden="1">{"cover",#N/A,TRUE,"Cover";"toc3",#N/A,TRUE,"TOC";"over",#N/A,TRUE,"Overview";"ts2",#N/A,TRUE,"Det_Trans_Sum";"ei1",#N/A,TRUE,"Earnings Impact";"ad1",#N/A,TRUE,"accretion dilution";"pfis1",#N/A,TRUE,"Pro Forma Income Statement";"acq1",#N/A,TRUE,"Acquirer";"tar1",#N/A,TRUE,"Target"}</definedName>
    <definedName name="wrn.26." localSheetId="13" hidden="1">{"cover",#N/A,TRUE,"Cover";"toc3",#N/A,TRUE,"TOC";"over",#N/A,TRUE,"Overview";"ts2",#N/A,TRUE,"Det_Trans_Sum";"ei1",#N/A,TRUE,"Earnings Impact";"ad1",#N/A,TRUE,"accretion dilution";"pfis1",#N/A,TRUE,"Pro Forma Income Statement";"acq1",#N/A,TRUE,"Acquirer";"tar1",#N/A,TRUE,"Target"}</definedName>
    <definedName name="wrn.26." hidden="1">{"cover",#N/A,TRUE,"Cover";"toc3",#N/A,TRUE,"TOC";"over",#N/A,TRUE,"Overview";"ts2",#N/A,TRUE,"Det_Trans_Sum";"ei1",#N/A,TRUE,"Earnings Impact";"ad1",#N/A,TRUE,"accretion dilution";"pfis1",#N/A,TRUE,"Pro Forma Income Statement";"acq1",#N/A,TRUE,"Acquirer";"tar1",#N/A,TRUE,"Target"}</definedName>
    <definedName name="wrn.27." localSheetId="2" hidden="1">{"cover",#N/A,TRUE,"Cover";"toc3",#N/A,TRUE,"TOC";"over",#N/A,TRUE,"Overview";"ts2",#N/A,TRUE,"Det_Trans_Sum";"ei2",#N/A,TRUE,"Earnings Impact";"ad2",#N/A,TRUE,"accretion dilution";"pfis2",#N/A,TRUE,"Pro Forma Income Statement";"acq2",#N/A,TRUE,"Acquirer";"tar2",#N/A,TRUE,"Target"}</definedName>
    <definedName name="wrn.27." localSheetId="21" hidden="1">{"cover",#N/A,TRUE,"Cover";"toc3",#N/A,TRUE,"TOC";"over",#N/A,TRUE,"Overview";"ts2",#N/A,TRUE,"Det_Trans_Sum";"ei2",#N/A,TRUE,"Earnings Impact";"ad2",#N/A,TRUE,"accretion dilution";"pfis2",#N/A,TRUE,"Pro Forma Income Statement";"acq2",#N/A,TRUE,"Acquirer";"tar2",#N/A,TRUE,"Target"}</definedName>
    <definedName name="wrn.27." localSheetId="22" hidden="1">{"cover",#N/A,TRUE,"Cover";"toc3",#N/A,TRUE,"TOC";"over",#N/A,TRUE,"Overview";"ts2",#N/A,TRUE,"Det_Trans_Sum";"ei2",#N/A,TRUE,"Earnings Impact";"ad2",#N/A,TRUE,"accretion dilution";"pfis2",#N/A,TRUE,"Pro Forma Income Statement";"acq2",#N/A,TRUE,"Acquirer";"tar2",#N/A,TRUE,"Target"}</definedName>
    <definedName name="wrn.27." localSheetId="15" hidden="1">{"cover",#N/A,TRUE,"Cover";"toc3",#N/A,TRUE,"TOC";"over",#N/A,TRUE,"Overview";"ts2",#N/A,TRUE,"Det_Trans_Sum";"ei2",#N/A,TRUE,"Earnings Impact";"ad2",#N/A,TRUE,"accretion dilution";"pfis2",#N/A,TRUE,"Pro Forma Income Statement";"acq2",#N/A,TRUE,"Acquirer";"tar2",#N/A,TRUE,"Target"}</definedName>
    <definedName name="wrn.27." localSheetId="17" hidden="1">{"cover",#N/A,TRUE,"Cover";"toc3",#N/A,TRUE,"TOC";"over",#N/A,TRUE,"Overview";"ts2",#N/A,TRUE,"Det_Trans_Sum";"ei2",#N/A,TRUE,"Earnings Impact";"ad2",#N/A,TRUE,"accretion dilution";"pfis2",#N/A,TRUE,"Pro Forma Income Statement";"acq2",#N/A,TRUE,"Acquirer";"tar2",#N/A,TRUE,"Target"}</definedName>
    <definedName name="wrn.27." localSheetId="10" hidden="1">{"cover",#N/A,TRUE,"Cover";"toc3",#N/A,TRUE,"TOC";"over",#N/A,TRUE,"Overview";"ts2",#N/A,TRUE,"Det_Trans_Sum";"ei2",#N/A,TRUE,"Earnings Impact";"ad2",#N/A,TRUE,"accretion dilution";"pfis2",#N/A,TRUE,"Pro Forma Income Statement";"acq2",#N/A,TRUE,"Acquirer";"tar2",#N/A,TRUE,"Target"}</definedName>
    <definedName name="wrn.27." localSheetId="13" hidden="1">{"cover",#N/A,TRUE,"Cover";"toc3",#N/A,TRUE,"TOC";"over",#N/A,TRUE,"Overview";"ts2",#N/A,TRUE,"Det_Trans_Sum";"ei2",#N/A,TRUE,"Earnings Impact";"ad2",#N/A,TRUE,"accretion dilution";"pfis2",#N/A,TRUE,"Pro Forma Income Statement";"acq2",#N/A,TRUE,"Acquirer";"tar2",#N/A,TRUE,"Target"}</definedName>
    <definedName name="wrn.27." hidden="1">{"cover",#N/A,TRUE,"Cover";"toc3",#N/A,TRUE,"TOC";"over",#N/A,TRUE,"Overview";"ts2",#N/A,TRUE,"Det_Trans_Sum";"ei2",#N/A,TRUE,"Earnings Impact";"ad2",#N/A,TRUE,"accretion dilution";"pfis2",#N/A,TRUE,"Pro Forma Income Statement";"acq2",#N/A,TRUE,"Acquirer";"tar2",#N/A,TRUE,"Target"}</definedName>
    <definedName name="wrn.275PricingBook." localSheetId="21" hidden="1">{#N/A,#N/A,FALSE,"Assumptions";#N/A,#N/A,FALSE,"Impact Assumptions";#N/A,#N/A,FALSE,"10-Yr - detail";#N/A,#N/A,FALSE,"1,5,10 yr comp";#N/A,#N/A,FALSE,"Lse-Exp.";#N/A,#N/A,FALSE,"Rent Roll";#N/A,#N/A,FALSE,"Historical (2)";#N/A,#N/A,FALSE,"RET's";#N/A,#N/A,FALSE,"Lease Rollover"}</definedName>
    <definedName name="wrn.275PricingBook." localSheetId="22" hidden="1">{#N/A,#N/A,FALSE,"Assumptions";#N/A,#N/A,FALSE,"Impact Assumptions";#N/A,#N/A,FALSE,"10-Yr - detail";#N/A,#N/A,FALSE,"1,5,10 yr comp";#N/A,#N/A,FALSE,"Lse-Exp.";#N/A,#N/A,FALSE,"Rent Roll";#N/A,#N/A,FALSE,"Historical (2)";#N/A,#N/A,FALSE,"RET's";#N/A,#N/A,FALSE,"Lease Rollover"}</definedName>
    <definedName name="wrn.275PricingBook." localSheetId="17" hidden="1">{#N/A,#N/A,FALSE,"Assumptions";#N/A,#N/A,FALSE,"Impact Assumptions";#N/A,#N/A,FALSE,"10-Yr - detail";#N/A,#N/A,FALSE,"1,5,10 yr comp";#N/A,#N/A,FALSE,"Lse-Exp.";#N/A,#N/A,FALSE,"Rent Roll";#N/A,#N/A,FALSE,"Historical (2)";#N/A,#N/A,FALSE,"RET's";#N/A,#N/A,FALSE,"Lease Rollover"}</definedName>
    <definedName name="wrn.275PricingBook." localSheetId="10" hidden="1">{#N/A,#N/A,FALSE,"Assumptions";#N/A,#N/A,FALSE,"Impact Assumptions";#N/A,#N/A,FALSE,"10-Yr - detail";#N/A,#N/A,FALSE,"1,5,10 yr comp";#N/A,#N/A,FALSE,"Lse-Exp.";#N/A,#N/A,FALSE,"Rent Roll";#N/A,#N/A,FALSE,"Historical (2)";#N/A,#N/A,FALSE,"RET's";#N/A,#N/A,FALSE,"Lease Rollover"}</definedName>
    <definedName name="wrn.275PricingBook." hidden="1">{#N/A,#N/A,FALSE,"Assumptions";#N/A,#N/A,FALSE,"Impact Assumptions";#N/A,#N/A,FALSE,"10-Yr - detail";#N/A,#N/A,FALSE,"1,5,10 yr comp";#N/A,#N/A,FALSE,"Lse-Exp.";#N/A,#N/A,FALSE,"Rent Roll";#N/A,#N/A,FALSE,"Historical (2)";#N/A,#N/A,FALSE,"RET's";#N/A,#N/A,FALSE,"Lease Rollover"}</definedName>
    <definedName name="wrn.275Schedulles." localSheetId="21" hidden="1">{#N/A,#N/A,FALSE,"Assumptions";#N/A,#N/A,FALSE,"10-Yr - detail";#N/A,#N/A,FALSE,"Rent Roll";#N/A,#N/A,FALSE,"Historical (2)";#N/A,#N/A,FALSE,"RET's";#N/A,#N/A,FALSE,"Lse-Exp.";#N/A,#N/A,FALSE,"Lease Rollover";#N/A,#N/A,FALSE,"Service Contracts"}</definedName>
    <definedName name="wrn.275Schedulles." localSheetId="22" hidden="1">{#N/A,#N/A,FALSE,"Assumptions";#N/A,#N/A,FALSE,"10-Yr - detail";#N/A,#N/A,FALSE,"Rent Roll";#N/A,#N/A,FALSE,"Historical (2)";#N/A,#N/A,FALSE,"RET's";#N/A,#N/A,FALSE,"Lse-Exp.";#N/A,#N/A,FALSE,"Lease Rollover";#N/A,#N/A,FALSE,"Service Contracts"}</definedName>
    <definedName name="wrn.275Schedulles." localSheetId="17" hidden="1">{#N/A,#N/A,FALSE,"Assumptions";#N/A,#N/A,FALSE,"10-Yr - detail";#N/A,#N/A,FALSE,"Rent Roll";#N/A,#N/A,FALSE,"Historical (2)";#N/A,#N/A,FALSE,"RET's";#N/A,#N/A,FALSE,"Lse-Exp.";#N/A,#N/A,FALSE,"Lease Rollover";#N/A,#N/A,FALSE,"Service Contracts"}</definedName>
    <definedName name="wrn.275Schedulles." localSheetId="10" hidden="1">{#N/A,#N/A,FALSE,"Assumptions";#N/A,#N/A,FALSE,"10-Yr - detail";#N/A,#N/A,FALSE,"Rent Roll";#N/A,#N/A,FALSE,"Historical (2)";#N/A,#N/A,FALSE,"RET's";#N/A,#N/A,FALSE,"Lse-Exp.";#N/A,#N/A,FALSE,"Lease Rollover";#N/A,#N/A,FALSE,"Service Contracts"}</definedName>
    <definedName name="wrn.275Schedulles." hidden="1">{#N/A,#N/A,FALSE,"Assumptions";#N/A,#N/A,FALSE,"10-Yr - detail";#N/A,#N/A,FALSE,"Rent Roll";#N/A,#N/A,FALSE,"Historical (2)";#N/A,#N/A,FALSE,"RET's";#N/A,#N/A,FALSE,"Lse-Exp.";#N/A,#N/A,FALSE,"Lease Rollover";#N/A,#N/A,FALSE,"Service Contracts"}</definedName>
    <definedName name="wrn.28." localSheetId="2" hidden="1">{"cover",#N/A,TRUE,"Cover";"toc3",#N/A,TRUE,"TOC";"over",#N/A,TRUE,"Overview";"ts2",#N/A,TRUE,"Det_Trans_Sum";"ei3",#N/A,TRUE,"Earnings Impact";"ad3",#N/A,TRUE,"accretion dilution";"pfis3",#N/A,TRUE,"Pro Forma Income Statement";"acq3",#N/A,TRUE,"Acquirer";"tar3",#N/A,TRUE,"Target"}</definedName>
    <definedName name="wrn.28." localSheetId="21" hidden="1">{"cover",#N/A,TRUE,"Cover";"toc3",#N/A,TRUE,"TOC";"over",#N/A,TRUE,"Overview";"ts2",#N/A,TRUE,"Det_Trans_Sum";"ei3",#N/A,TRUE,"Earnings Impact";"ad3",#N/A,TRUE,"accretion dilution";"pfis3",#N/A,TRUE,"Pro Forma Income Statement";"acq3",#N/A,TRUE,"Acquirer";"tar3",#N/A,TRUE,"Target"}</definedName>
    <definedName name="wrn.28." localSheetId="22" hidden="1">{"cover",#N/A,TRUE,"Cover";"toc3",#N/A,TRUE,"TOC";"over",#N/A,TRUE,"Overview";"ts2",#N/A,TRUE,"Det_Trans_Sum";"ei3",#N/A,TRUE,"Earnings Impact";"ad3",#N/A,TRUE,"accretion dilution";"pfis3",#N/A,TRUE,"Pro Forma Income Statement";"acq3",#N/A,TRUE,"Acquirer";"tar3",#N/A,TRUE,"Target"}</definedName>
    <definedName name="wrn.28." localSheetId="15" hidden="1">{"cover",#N/A,TRUE,"Cover";"toc3",#N/A,TRUE,"TOC";"over",#N/A,TRUE,"Overview";"ts2",#N/A,TRUE,"Det_Trans_Sum";"ei3",#N/A,TRUE,"Earnings Impact";"ad3",#N/A,TRUE,"accretion dilution";"pfis3",#N/A,TRUE,"Pro Forma Income Statement";"acq3",#N/A,TRUE,"Acquirer";"tar3",#N/A,TRUE,"Target"}</definedName>
    <definedName name="wrn.28." localSheetId="17" hidden="1">{"cover",#N/A,TRUE,"Cover";"toc3",#N/A,TRUE,"TOC";"over",#N/A,TRUE,"Overview";"ts2",#N/A,TRUE,"Det_Trans_Sum";"ei3",#N/A,TRUE,"Earnings Impact";"ad3",#N/A,TRUE,"accretion dilution";"pfis3",#N/A,TRUE,"Pro Forma Income Statement";"acq3",#N/A,TRUE,"Acquirer";"tar3",#N/A,TRUE,"Target"}</definedName>
    <definedName name="wrn.28." localSheetId="10" hidden="1">{"cover",#N/A,TRUE,"Cover";"toc3",#N/A,TRUE,"TOC";"over",#N/A,TRUE,"Overview";"ts2",#N/A,TRUE,"Det_Trans_Sum";"ei3",#N/A,TRUE,"Earnings Impact";"ad3",#N/A,TRUE,"accretion dilution";"pfis3",#N/A,TRUE,"Pro Forma Income Statement";"acq3",#N/A,TRUE,"Acquirer";"tar3",#N/A,TRUE,"Target"}</definedName>
    <definedName name="wrn.28." localSheetId="13" hidden="1">{"cover",#N/A,TRUE,"Cover";"toc3",#N/A,TRUE,"TOC";"over",#N/A,TRUE,"Overview";"ts2",#N/A,TRUE,"Det_Trans_Sum";"ei3",#N/A,TRUE,"Earnings Impact";"ad3",#N/A,TRUE,"accretion dilution";"pfis3",#N/A,TRUE,"Pro Forma Income Statement";"acq3",#N/A,TRUE,"Acquirer";"tar3",#N/A,TRUE,"Target"}</definedName>
    <definedName name="wrn.28." hidden="1">{"cover",#N/A,TRUE,"Cover";"toc3",#N/A,TRUE,"TOC";"over",#N/A,TRUE,"Overview";"ts2",#N/A,TRUE,"Det_Trans_Sum";"ei3",#N/A,TRUE,"Earnings Impact";"ad3",#N/A,TRUE,"accretion dilution";"pfis3",#N/A,TRUE,"Pro Forma Income Statement";"acq3",#N/A,TRUE,"Acquirer";"tar3",#N/A,TRUE,"Target"}</definedName>
    <definedName name="wrn.29." localSheetId="2"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29." localSheetId="21"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29." localSheetId="22"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29." localSheetId="15"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29." localSheetId="17"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29." localSheetId="10"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29." localSheetId="13"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29."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3." localSheetId="2" hidden="1">{"cover",#N/A,TRUE,"Cover";"toc1",#N/A,TRUE,"TOC";"ts1",#N/A,TRUE,"Transaction Summary";"ei2",#N/A,TRUE,"Earnings Impact";"ad2",#N/A,TRUE,"accretion dilution"}</definedName>
    <definedName name="wrn.3." localSheetId="21" hidden="1">{"cover",#N/A,TRUE,"Cover";"toc1",#N/A,TRUE,"TOC";"ts1",#N/A,TRUE,"Transaction Summary";"ei2",#N/A,TRUE,"Earnings Impact";"ad2",#N/A,TRUE,"accretion dilution"}</definedName>
    <definedName name="wrn.3." localSheetId="22" hidden="1">{"cover",#N/A,TRUE,"Cover";"toc1",#N/A,TRUE,"TOC";"ts1",#N/A,TRUE,"Transaction Summary";"ei2",#N/A,TRUE,"Earnings Impact";"ad2",#N/A,TRUE,"accretion dilution"}</definedName>
    <definedName name="wrn.3." localSheetId="15" hidden="1">{"cover",#N/A,TRUE,"Cover";"toc1",#N/A,TRUE,"TOC";"ts1",#N/A,TRUE,"Transaction Summary";"ei2",#N/A,TRUE,"Earnings Impact";"ad2",#N/A,TRUE,"accretion dilution"}</definedName>
    <definedName name="wrn.3." localSheetId="17" hidden="1">{"cover",#N/A,TRUE,"Cover";"toc1",#N/A,TRUE,"TOC";"ts1",#N/A,TRUE,"Transaction Summary";"ei2",#N/A,TRUE,"Earnings Impact";"ad2",#N/A,TRUE,"accretion dilution"}</definedName>
    <definedName name="wrn.3." localSheetId="10" hidden="1">{"cover",#N/A,TRUE,"Cover";"toc1",#N/A,TRUE,"TOC";"ts1",#N/A,TRUE,"Transaction Summary";"ei2",#N/A,TRUE,"Earnings Impact";"ad2",#N/A,TRUE,"accretion dilution"}</definedName>
    <definedName name="wrn.3." localSheetId="13" hidden="1">{"cover",#N/A,TRUE,"Cover";"toc1",#N/A,TRUE,"TOC";"ts1",#N/A,TRUE,"Transaction Summary";"ei2",#N/A,TRUE,"Earnings Impact";"ad2",#N/A,TRUE,"accretion dilution"}</definedName>
    <definedName name="wrn.3." hidden="1">{"cover",#N/A,TRUE,"Cover";"toc1",#N/A,TRUE,"TOC";"ts1",#N/A,TRUE,"Transaction Summary";"ei2",#N/A,TRUE,"Earnings Impact";"ad2",#N/A,TRUE,"accretion dilution"}</definedName>
    <definedName name="wrn.30." localSheetId="2"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0." localSheetId="21"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0." localSheetId="22"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0." localSheetId="15"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0." localSheetId="17"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0." localSheetId="10"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0." localSheetId="13"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0."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1." localSheetId="2"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1." localSheetId="21"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1." localSheetId="22"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1." localSheetId="15"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1." localSheetId="17"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1." localSheetId="10"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1." localSheetId="13"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1."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2." localSheetId="2"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2." localSheetId="21"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2." localSheetId="22"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2." localSheetId="15"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2." localSheetId="17"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2." localSheetId="10"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2." localSheetId="13"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2."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3." localSheetId="2" hidden="1">{"cover",#N/A,TRUE,"Cover";"toc5",#N/A,TRUE,"TOC";"over",#N/A,TRUE,"Overview";"ts2",#N/A,TRUE,"Det_Trans_Sum";"ei",#N/A,TRUE,"Earnings Impact";"ad",#N/A,TRUE,"accretion dilution";"pfis",#N/A,TRUE,"Pro Forma Income Statement";"ca",#N/A,TRUE,"Contribution_Analysis";"acq",#N/A,TRUE,"Acquirer";"tar",#N/A,TRUE,"Target"}</definedName>
    <definedName name="wrn.33." localSheetId="21" hidden="1">{"cover",#N/A,TRUE,"Cover";"toc5",#N/A,TRUE,"TOC";"over",#N/A,TRUE,"Overview";"ts2",#N/A,TRUE,"Det_Trans_Sum";"ei",#N/A,TRUE,"Earnings Impact";"ad",#N/A,TRUE,"accretion dilution";"pfis",#N/A,TRUE,"Pro Forma Income Statement";"ca",#N/A,TRUE,"Contribution_Analysis";"acq",#N/A,TRUE,"Acquirer";"tar",#N/A,TRUE,"Target"}</definedName>
    <definedName name="wrn.33." localSheetId="22" hidden="1">{"cover",#N/A,TRUE,"Cover";"toc5",#N/A,TRUE,"TOC";"over",#N/A,TRUE,"Overview";"ts2",#N/A,TRUE,"Det_Trans_Sum";"ei",#N/A,TRUE,"Earnings Impact";"ad",#N/A,TRUE,"accretion dilution";"pfis",#N/A,TRUE,"Pro Forma Income Statement";"ca",#N/A,TRUE,"Contribution_Analysis";"acq",#N/A,TRUE,"Acquirer";"tar",#N/A,TRUE,"Target"}</definedName>
    <definedName name="wrn.33." localSheetId="15" hidden="1">{"cover",#N/A,TRUE,"Cover";"toc5",#N/A,TRUE,"TOC";"over",#N/A,TRUE,"Overview";"ts2",#N/A,TRUE,"Det_Trans_Sum";"ei",#N/A,TRUE,"Earnings Impact";"ad",#N/A,TRUE,"accretion dilution";"pfis",#N/A,TRUE,"Pro Forma Income Statement";"ca",#N/A,TRUE,"Contribution_Analysis";"acq",#N/A,TRUE,"Acquirer";"tar",#N/A,TRUE,"Target"}</definedName>
    <definedName name="wrn.33." localSheetId="17" hidden="1">{"cover",#N/A,TRUE,"Cover";"toc5",#N/A,TRUE,"TOC";"over",#N/A,TRUE,"Overview";"ts2",#N/A,TRUE,"Det_Trans_Sum";"ei",#N/A,TRUE,"Earnings Impact";"ad",#N/A,TRUE,"accretion dilution";"pfis",#N/A,TRUE,"Pro Forma Income Statement";"ca",#N/A,TRUE,"Contribution_Analysis";"acq",#N/A,TRUE,"Acquirer";"tar",#N/A,TRUE,"Target"}</definedName>
    <definedName name="wrn.33." localSheetId="10" hidden="1">{"cover",#N/A,TRUE,"Cover";"toc5",#N/A,TRUE,"TOC";"over",#N/A,TRUE,"Overview";"ts2",#N/A,TRUE,"Det_Trans_Sum";"ei",#N/A,TRUE,"Earnings Impact";"ad",#N/A,TRUE,"accretion dilution";"pfis",#N/A,TRUE,"Pro Forma Income Statement";"ca",#N/A,TRUE,"Contribution_Analysis";"acq",#N/A,TRUE,"Acquirer";"tar",#N/A,TRUE,"Target"}</definedName>
    <definedName name="wrn.33." localSheetId="13" hidden="1">{"cover",#N/A,TRUE,"Cover";"toc5",#N/A,TRUE,"TOC";"over",#N/A,TRUE,"Overview";"ts2",#N/A,TRUE,"Det_Trans_Sum";"ei",#N/A,TRUE,"Earnings Impact";"ad",#N/A,TRUE,"accretion dilution";"pfis",#N/A,TRUE,"Pro Forma Income Statement";"ca",#N/A,TRUE,"Contribution_Analysis";"acq",#N/A,TRUE,"Acquirer";"tar",#N/A,TRUE,"Target"}</definedName>
    <definedName name="wrn.33." hidden="1">{"cover",#N/A,TRUE,"Cover";"toc5",#N/A,TRUE,"TOC";"over",#N/A,TRUE,"Overview";"ts2",#N/A,TRUE,"Det_Trans_Sum";"ei",#N/A,TRUE,"Earnings Impact";"ad",#N/A,TRUE,"accretion dilution";"pfis",#N/A,TRUE,"Pro Forma Income Statement";"ca",#N/A,TRUE,"Contribution_Analysis";"acq",#N/A,TRUE,"Acquirer";"tar",#N/A,TRUE,"Target"}</definedName>
    <definedName name="wrn.34." localSheetId="2" hidden="1">{"cover",#N/A,TRUE,"Cover";"toc5",#N/A,TRUE,"TOC";"over",#N/A,TRUE,"Overview";"ts2",#N/A,TRUE,"Det_Trans_Sum";"ei1",#N/A,TRUE,"Earnings Impact";"ad1",#N/A,TRUE,"accretion dilution";"pfis1",#N/A,TRUE,"Pro Forma Income Statement";"ca1",#N/A,TRUE,"Contribution_Analysis";"acq1",#N/A,TRUE,"Acquirer";"tar1",#N/A,TRUE,"Target"}</definedName>
    <definedName name="wrn.34." localSheetId="21" hidden="1">{"cover",#N/A,TRUE,"Cover";"toc5",#N/A,TRUE,"TOC";"over",#N/A,TRUE,"Overview";"ts2",#N/A,TRUE,"Det_Trans_Sum";"ei1",#N/A,TRUE,"Earnings Impact";"ad1",#N/A,TRUE,"accretion dilution";"pfis1",#N/A,TRUE,"Pro Forma Income Statement";"ca1",#N/A,TRUE,"Contribution_Analysis";"acq1",#N/A,TRUE,"Acquirer";"tar1",#N/A,TRUE,"Target"}</definedName>
    <definedName name="wrn.34." localSheetId="22" hidden="1">{"cover",#N/A,TRUE,"Cover";"toc5",#N/A,TRUE,"TOC";"over",#N/A,TRUE,"Overview";"ts2",#N/A,TRUE,"Det_Trans_Sum";"ei1",#N/A,TRUE,"Earnings Impact";"ad1",#N/A,TRUE,"accretion dilution";"pfis1",#N/A,TRUE,"Pro Forma Income Statement";"ca1",#N/A,TRUE,"Contribution_Analysis";"acq1",#N/A,TRUE,"Acquirer";"tar1",#N/A,TRUE,"Target"}</definedName>
    <definedName name="wrn.34." localSheetId="15" hidden="1">{"cover",#N/A,TRUE,"Cover";"toc5",#N/A,TRUE,"TOC";"over",#N/A,TRUE,"Overview";"ts2",#N/A,TRUE,"Det_Trans_Sum";"ei1",#N/A,TRUE,"Earnings Impact";"ad1",#N/A,TRUE,"accretion dilution";"pfis1",#N/A,TRUE,"Pro Forma Income Statement";"ca1",#N/A,TRUE,"Contribution_Analysis";"acq1",#N/A,TRUE,"Acquirer";"tar1",#N/A,TRUE,"Target"}</definedName>
    <definedName name="wrn.34." localSheetId="17" hidden="1">{"cover",#N/A,TRUE,"Cover";"toc5",#N/A,TRUE,"TOC";"over",#N/A,TRUE,"Overview";"ts2",#N/A,TRUE,"Det_Trans_Sum";"ei1",#N/A,TRUE,"Earnings Impact";"ad1",#N/A,TRUE,"accretion dilution";"pfis1",#N/A,TRUE,"Pro Forma Income Statement";"ca1",#N/A,TRUE,"Contribution_Analysis";"acq1",#N/A,TRUE,"Acquirer";"tar1",#N/A,TRUE,"Target"}</definedName>
    <definedName name="wrn.34." localSheetId="10" hidden="1">{"cover",#N/A,TRUE,"Cover";"toc5",#N/A,TRUE,"TOC";"over",#N/A,TRUE,"Overview";"ts2",#N/A,TRUE,"Det_Trans_Sum";"ei1",#N/A,TRUE,"Earnings Impact";"ad1",#N/A,TRUE,"accretion dilution";"pfis1",#N/A,TRUE,"Pro Forma Income Statement";"ca1",#N/A,TRUE,"Contribution_Analysis";"acq1",#N/A,TRUE,"Acquirer";"tar1",#N/A,TRUE,"Target"}</definedName>
    <definedName name="wrn.34." localSheetId="13" hidden="1">{"cover",#N/A,TRUE,"Cover";"toc5",#N/A,TRUE,"TOC";"over",#N/A,TRUE,"Overview";"ts2",#N/A,TRUE,"Det_Trans_Sum";"ei1",#N/A,TRUE,"Earnings Impact";"ad1",#N/A,TRUE,"accretion dilution";"pfis1",#N/A,TRUE,"Pro Forma Income Statement";"ca1",#N/A,TRUE,"Contribution_Analysis";"acq1",#N/A,TRUE,"Acquirer";"tar1",#N/A,TRUE,"Target"}</definedName>
    <definedName name="wrn.34." hidden="1">{"cover",#N/A,TRUE,"Cover";"toc5",#N/A,TRUE,"TOC";"over",#N/A,TRUE,"Overview";"ts2",#N/A,TRUE,"Det_Trans_Sum";"ei1",#N/A,TRUE,"Earnings Impact";"ad1",#N/A,TRUE,"accretion dilution";"pfis1",#N/A,TRUE,"Pro Forma Income Statement";"ca1",#N/A,TRUE,"Contribution_Analysis";"acq1",#N/A,TRUE,"Acquirer";"tar1",#N/A,TRUE,"Target"}</definedName>
    <definedName name="wrn.35." localSheetId="2" hidden="1">{"cover",#N/A,TRUE,"Cover";"toc5",#N/A,TRUE,"TOC";"over",#N/A,TRUE,"Overview";"ts2",#N/A,TRUE,"Det_Trans_Sum";"ei2",#N/A,TRUE,"Earnings Impact";"ad2",#N/A,TRUE,"accretion dilution";"pfis2",#N/A,TRUE,"Pro Forma Income Statement";"ca2",#N/A,TRUE,"Contribution_Analysis";"acq2",#N/A,TRUE,"Acquirer";"tar2",#N/A,TRUE,"Target"}</definedName>
    <definedName name="wrn.35." localSheetId="21" hidden="1">{"cover",#N/A,TRUE,"Cover";"toc5",#N/A,TRUE,"TOC";"over",#N/A,TRUE,"Overview";"ts2",#N/A,TRUE,"Det_Trans_Sum";"ei2",#N/A,TRUE,"Earnings Impact";"ad2",#N/A,TRUE,"accretion dilution";"pfis2",#N/A,TRUE,"Pro Forma Income Statement";"ca2",#N/A,TRUE,"Contribution_Analysis";"acq2",#N/A,TRUE,"Acquirer";"tar2",#N/A,TRUE,"Target"}</definedName>
    <definedName name="wrn.35." localSheetId="22" hidden="1">{"cover",#N/A,TRUE,"Cover";"toc5",#N/A,TRUE,"TOC";"over",#N/A,TRUE,"Overview";"ts2",#N/A,TRUE,"Det_Trans_Sum";"ei2",#N/A,TRUE,"Earnings Impact";"ad2",#N/A,TRUE,"accretion dilution";"pfis2",#N/A,TRUE,"Pro Forma Income Statement";"ca2",#N/A,TRUE,"Contribution_Analysis";"acq2",#N/A,TRUE,"Acquirer";"tar2",#N/A,TRUE,"Target"}</definedName>
    <definedName name="wrn.35." localSheetId="15" hidden="1">{"cover",#N/A,TRUE,"Cover";"toc5",#N/A,TRUE,"TOC";"over",#N/A,TRUE,"Overview";"ts2",#N/A,TRUE,"Det_Trans_Sum";"ei2",#N/A,TRUE,"Earnings Impact";"ad2",#N/A,TRUE,"accretion dilution";"pfis2",#N/A,TRUE,"Pro Forma Income Statement";"ca2",#N/A,TRUE,"Contribution_Analysis";"acq2",#N/A,TRUE,"Acquirer";"tar2",#N/A,TRUE,"Target"}</definedName>
    <definedName name="wrn.35." localSheetId="17" hidden="1">{"cover",#N/A,TRUE,"Cover";"toc5",#N/A,TRUE,"TOC";"over",#N/A,TRUE,"Overview";"ts2",#N/A,TRUE,"Det_Trans_Sum";"ei2",#N/A,TRUE,"Earnings Impact";"ad2",#N/A,TRUE,"accretion dilution";"pfis2",#N/A,TRUE,"Pro Forma Income Statement";"ca2",#N/A,TRUE,"Contribution_Analysis";"acq2",#N/A,TRUE,"Acquirer";"tar2",#N/A,TRUE,"Target"}</definedName>
    <definedName name="wrn.35." localSheetId="10" hidden="1">{"cover",#N/A,TRUE,"Cover";"toc5",#N/A,TRUE,"TOC";"over",#N/A,TRUE,"Overview";"ts2",#N/A,TRUE,"Det_Trans_Sum";"ei2",#N/A,TRUE,"Earnings Impact";"ad2",#N/A,TRUE,"accretion dilution";"pfis2",#N/A,TRUE,"Pro Forma Income Statement";"ca2",#N/A,TRUE,"Contribution_Analysis";"acq2",#N/A,TRUE,"Acquirer";"tar2",#N/A,TRUE,"Target"}</definedName>
    <definedName name="wrn.35." localSheetId="13" hidden="1">{"cover",#N/A,TRUE,"Cover";"toc5",#N/A,TRUE,"TOC";"over",#N/A,TRUE,"Overview";"ts2",#N/A,TRUE,"Det_Trans_Sum";"ei2",#N/A,TRUE,"Earnings Impact";"ad2",#N/A,TRUE,"accretion dilution";"pfis2",#N/A,TRUE,"Pro Forma Income Statement";"ca2",#N/A,TRUE,"Contribution_Analysis";"acq2",#N/A,TRUE,"Acquirer";"tar2",#N/A,TRUE,"Target"}</definedName>
    <definedName name="wrn.35." hidden="1">{"cover",#N/A,TRUE,"Cover";"toc5",#N/A,TRUE,"TOC";"over",#N/A,TRUE,"Overview";"ts2",#N/A,TRUE,"Det_Trans_Sum";"ei2",#N/A,TRUE,"Earnings Impact";"ad2",#N/A,TRUE,"accretion dilution";"pfis2",#N/A,TRUE,"Pro Forma Income Statement";"ca2",#N/A,TRUE,"Contribution_Analysis";"acq2",#N/A,TRUE,"Acquirer";"tar2",#N/A,TRUE,"Target"}</definedName>
    <definedName name="wrn.36." localSheetId="2" hidden="1">{"cover",#N/A,TRUE,"Cover";"toc5",#N/A,TRUE,"TOC";"over",#N/A,TRUE,"Overview";"ts2",#N/A,TRUE,"Det_Trans_Sum";"ei3",#N/A,TRUE,"Earnings Impact";"ad3",#N/A,TRUE,"accretion dilution";"pfis3",#N/A,TRUE,"Pro Forma Income Statement";"ca3",#N/A,TRUE,"Contribution_Analysis";"acq3",#N/A,TRUE,"Acquirer";"tar3",#N/A,TRUE,"Target"}</definedName>
    <definedName name="wrn.36." localSheetId="21" hidden="1">{"cover",#N/A,TRUE,"Cover";"toc5",#N/A,TRUE,"TOC";"over",#N/A,TRUE,"Overview";"ts2",#N/A,TRUE,"Det_Trans_Sum";"ei3",#N/A,TRUE,"Earnings Impact";"ad3",#N/A,TRUE,"accretion dilution";"pfis3",#N/A,TRUE,"Pro Forma Income Statement";"ca3",#N/A,TRUE,"Contribution_Analysis";"acq3",#N/A,TRUE,"Acquirer";"tar3",#N/A,TRUE,"Target"}</definedName>
    <definedName name="wrn.36." localSheetId="22" hidden="1">{"cover",#N/A,TRUE,"Cover";"toc5",#N/A,TRUE,"TOC";"over",#N/A,TRUE,"Overview";"ts2",#N/A,TRUE,"Det_Trans_Sum";"ei3",#N/A,TRUE,"Earnings Impact";"ad3",#N/A,TRUE,"accretion dilution";"pfis3",#N/A,TRUE,"Pro Forma Income Statement";"ca3",#N/A,TRUE,"Contribution_Analysis";"acq3",#N/A,TRUE,"Acquirer";"tar3",#N/A,TRUE,"Target"}</definedName>
    <definedName name="wrn.36." localSheetId="15" hidden="1">{"cover",#N/A,TRUE,"Cover";"toc5",#N/A,TRUE,"TOC";"over",#N/A,TRUE,"Overview";"ts2",#N/A,TRUE,"Det_Trans_Sum";"ei3",#N/A,TRUE,"Earnings Impact";"ad3",#N/A,TRUE,"accretion dilution";"pfis3",#N/A,TRUE,"Pro Forma Income Statement";"ca3",#N/A,TRUE,"Contribution_Analysis";"acq3",#N/A,TRUE,"Acquirer";"tar3",#N/A,TRUE,"Target"}</definedName>
    <definedName name="wrn.36." localSheetId="17" hidden="1">{"cover",#N/A,TRUE,"Cover";"toc5",#N/A,TRUE,"TOC";"over",#N/A,TRUE,"Overview";"ts2",#N/A,TRUE,"Det_Trans_Sum";"ei3",#N/A,TRUE,"Earnings Impact";"ad3",#N/A,TRUE,"accretion dilution";"pfis3",#N/A,TRUE,"Pro Forma Income Statement";"ca3",#N/A,TRUE,"Contribution_Analysis";"acq3",#N/A,TRUE,"Acquirer";"tar3",#N/A,TRUE,"Target"}</definedName>
    <definedName name="wrn.36." localSheetId="10" hidden="1">{"cover",#N/A,TRUE,"Cover";"toc5",#N/A,TRUE,"TOC";"over",#N/A,TRUE,"Overview";"ts2",#N/A,TRUE,"Det_Trans_Sum";"ei3",#N/A,TRUE,"Earnings Impact";"ad3",#N/A,TRUE,"accretion dilution";"pfis3",#N/A,TRUE,"Pro Forma Income Statement";"ca3",#N/A,TRUE,"Contribution_Analysis";"acq3",#N/A,TRUE,"Acquirer";"tar3",#N/A,TRUE,"Target"}</definedName>
    <definedName name="wrn.36." localSheetId="13" hidden="1">{"cover",#N/A,TRUE,"Cover";"toc5",#N/A,TRUE,"TOC";"over",#N/A,TRUE,"Overview";"ts2",#N/A,TRUE,"Det_Trans_Sum";"ei3",#N/A,TRUE,"Earnings Impact";"ad3",#N/A,TRUE,"accretion dilution";"pfis3",#N/A,TRUE,"Pro Forma Income Statement";"ca3",#N/A,TRUE,"Contribution_Analysis";"acq3",#N/A,TRUE,"Acquirer";"tar3",#N/A,TRUE,"Target"}</definedName>
    <definedName name="wrn.36." hidden="1">{"cover",#N/A,TRUE,"Cover";"toc5",#N/A,TRUE,"TOC";"over",#N/A,TRUE,"Overview";"ts2",#N/A,TRUE,"Det_Trans_Sum";"ei3",#N/A,TRUE,"Earnings Impact";"ad3",#N/A,TRUE,"accretion dilution";"pfis3",#N/A,TRUE,"Pro Forma Income Statement";"ca3",#N/A,TRUE,"Contribution_Analysis";"acq3",#N/A,TRUE,"Acquirer";"tar3",#N/A,TRUE,"Target"}</definedName>
    <definedName name="wrn.37." localSheetId="2" hidden="1">{"cover",#N/A,TRUE,"Cover";"toc6",#N/A,TRUE,"TOC";"over",#N/A,TRUE,"Overview";"ts2",#N/A,TRUE,"Det_Trans_Sum";"ei",#N/A,TRUE,"Earnings Impact";"ad",#N/A,TRUE,"accretion dilution";"hg",#N/A,TRUE,"Has-Gets";"pfis",#N/A,TRUE,"Pro Forma Income Statement";"ca",#N/A,TRUE,"Contribution_Analysis";"acq",#N/A,TRUE,"Acquirer";"tar",#N/A,TRUE,"Target"}</definedName>
    <definedName name="wrn.37." localSheetId="21" hidden="1">{"cover",#N/A,TRUE,"Cover";"toc6",#N/A,TRUE,"TOC";"over",#N/A,TRUE,"Overview";"ts2",#N/A,TRUE,"Det_Trans_Sum";"ei",#N/A,TRUE,"Earnings Impact";"ad",#N/A,TRUE,"accretion dilution";"hg",#N/A,TRUE,"Has-Gets";"pfis",#N/A,TRUE,"Pro Forma Income Statement";"ca",#N/A,TRUE,"Contribution_Analysis";"acq",#N/A,TRUE,"Acquirer";"tar",#N/A,TRUE,"Target"}</definedName>
    <definedName name="wrn.37." localSheetId="22" hidden="1">{"cover",#N/A,TRUE,"Cover";"toc6",#N/A,TRUE,"TOC";"over",#N/A,TRUE,"Overview";"ts2",#N/A,TRUE,"Det_Trans_Sum";"ei",#N/A,TRUE,"Earnings Impact";"ad",#N/A,TRUE,"accretion dilution";"hg",#N/A,TRUE,"Has-Gets";"pfis",#N/A,TRUE,"Pro Forma Income Statement";"ca",#N/A,TRUE,"Contribution_Analysis";"acq",#N/A,TRUE,"Acquirer";"tar",#N/A,TRUE,"Target"}</definedName>
    <definedName name="wrn.37." localSheetId="15" hidden="1">{"cover",#N/A,TRUE,"Cover";"toc6",#N/A,TRUE,"TOC";"over",#N/A,TRUE,"Overview";"ts2",#N/A,TRUE,"Det_Trans_Sum";"ei",#N/A,TRUE,"Earnings Impact";"ad",#N/A,TRUE,"accretion dilution";"hg",#N/A,TRUE,"Has-Gets";"pfis",#N/A,TRUE,"Pro Forma Income Statement";"ca",#N/A,TRUE,"Contribution_Analysis";"acq",#N/A,TRUE,"Acquirer";"tar",#N/A,TRUE,"Target"}</definedName>
    <definedName name="wrn.37." localSheetId="17" hidden="1">{"cover",#N/A,TRUE,"Cover";"toc6",#N/A,TRUE,"TOC";"over",#N/A,TRUE,"Overview";"ts2",#N/A,TRUE,"Det_Trans_Sum";"ei",#N/A,TRUE,"Earnings Impact";"ad",#N/A,TRUE,"accretion dilution";"hg",#N/A,TRUE,"Has-Gets";"pfis",#N/A,TRUE,"Pro Forma Income Statement";"ca",#N/A,TRUE,"Contribution_Analysis";"acq",#N/A,TRUE,"Acquirer";"tar",#N/A,TRUE,"Target"}</definedName>
    <definedName name="wrn.37." localSheetId="10" hidden="1">{"cover",#N/A,TRUE,"Cover";"toc6",#N/A,TRUE,"TOC";"over",#N/A,TRUE,"Overview";"ts2",#N/A,TRUE,"Det_Trans_Sum";"ei",#N/A,TRUE,"Earnings Impact";"ad",#N/A,TRUE,"accretion dilution";"hg",#N/A,TRUE,"Has-Gets";"pfis",#N/A,TRUE,"Pro Forma Income Statement";"ca",#N/A,TRUE,"Contribution_Analysis";"acq",#N/A,TRUE,"Acquirer";"tar",#N/A,TRUE,"Target"}</definedName>
    <definedName name="wrn.37." localSheetId="13" hidden="1">{"cover",#N/A,TRUE,"Cover";"toc6",#N/A,TRUE,"TOC";"over",#N/A,TRUE,"Overview";"ts2",#N/A,TRUE,"Det_Trans_Sum";"ei",#N/A,TRUE,"Earnings Impact";"ad",#N/A,TRUE,"accretion dilution";"hg",#N/A,TRUE,"Has-Gets";"pfis",#N/A,TRUE,"Pro Forma Income Statement";"ca",#N/A,TRUE,"Contribution_Analysis";"acq",#N/A,TRUE,"Acquirer";"tar",#N/A,TRUE,"Target"}</definedName>
    <definedName name="wrn.37." hidden="1">{"cover",#N/A,TRUE,"Cover";"toc6",#N/A,TRUE,"TOC";"over",#N/A,TRUE,"Overview";"ts2",#N/A,TRUE,"Det_Trans_Sum";"ei",#N/A,TRUE,"Earnings Impact";"ad",#N/A,TRUE,"accretion dilution";"hg",#N/A,TRUE,"Has-Gets";"pfis",#N/A,TRUE,"Pro Forma Income Statement";"ca",#N/A,TRUE,"Contribution_Analysis";"acq",#N/A,TRUE,"Acquirer";"tar",#N/A,TRUE,"Target"}</definedName>
    <definedName name="wrn.38." localSheetId="2" hidden="1">{"cover",#N/A,TRUE,"Cover";"toc6",#N/A,TRUE,"TOC";"over",#N/A,TRUE,"Overview";"ts2",#N/A,TRUE,"Det_Trans_Sum";"ei1",#N/A,TRUE,"Earnings Impact";"ad1",#N/A,TRUE,"accretion dilution";"hg1",#N/A,TRUE,"Has-Gets";"pfis1",#N/A,TRUE,"Pro Forma Income Statement";"ca1",#N/A,TRUE,"Contribution_Analysis";"acq1",#N/A,TRUE,"Acquirer";"tar1",#N/A,TRUE,"Target"}</definedName>
    <definedName name="wrn.38." localSheetId="21" hidden="1">{"cover",#N/A,TRUE,"Cover";"toc6",#N/A,TRUE,"TOC";"over",#N/A,TRUE,"Overview";"ts2",#N/A,TRUE,"Det_Trans_Sum";"ei1",#N/A,TRUE,"Earnings Impact";"ad1",#N/A,TRUE,"accretion dilution";"hg1",#N/A,TRUE,"Has-Gets";"pfis1",#N/A,TRUE,"Pro Forma Income Statement";"ca1",#N/A,TRUE,"Contribution_Analysis";"acq1",#N/A,TRUE,"Acquirer";"tar1",#N/A,TRUE,"Target"}</definedName>
    <definedName name="wrn.38." localSheetId="22" hidden="1">{"cover",#N/A,TRUE,"Cover";"toc6",#N/A,TRUE,"TOC";"over",#N/A,TRUE,"Overview";"ts2",#N/A,TRUE,"Det_Trans_Sum";"ei1",#N/A,TRUE,"Earnings Impact";"ad1",#N/A,TRUE,"accretion dilution";"hg1",#N/A,TRUE,"Has-Gets";"pfis1",#N/A,TRUE,"Pro Forma Income Statement";"ca1",#N/A,TRUE,"Contribution_Analysis";"acq1",#N/A,TRUE,"Acquirer";"tar1",#N/A,TRUE,"Target"}</definedName>
    <definedName name="wrn.38." localSheetId="15" hidden="1">{"cover",#N/A,TRUE,"Cover";"toc6",#N/A,TRUE,"TOC";"over",#N/A,TRUE,"Overview";"ts2",#N/A,TRUE,"Det_Trans_Sum";"ei1",#N/A,TRUE,"Earnings Impact";"ad1",#N/A,TRUE,"accretion dilution";"hg1",#N/A,TRUE,"Has-Gets";"pfis1",#N/A,TRUE,"Pro Forma Income Statement";"ca1",#N/A,TRUE,"Contribution_Analysis";"acq1",#N/A,TRUE,"Acquirer";"tar1",#N/A,TRUE,"Target"}</definedName>
    <definedName name="wrn.38." localSheetId="17" hidden="1">{"cover",#N/A,TRUE,"Cover";"toc6",#N/A,TRUE,"TOC";"over",#N/A,TRUE,"Overview";"ts2",#N/A,TRUE,"Det_Trans_Sum";"ei1",#N/A,TRUE,"Earnings Impact";"ad1",#N/A,TRUE,"accretion dilution";"hg1",#N/A,TRUE,"Has-Gets";"pfis1",#N/A,TRUE,"Pro Forma Income Statement";"ca1",#N/A,TRUE,"Contribution_Analysis";"acq1",#N/A,TRUE,"Acquirer";"tar1",#N/A,TRUE,"Target"}</definedName>
    <definedName name="wrn.38." localSheetId="10" hidden="1">{"cover",#N/A,TRUE,"Cover";"toc6",#N/A,TRUE,"TOC";"over",#N/A,TRUE,"Overview";"ts2",#N/A,TRUE,"Det_Trans_Sum";"ei1",#N/A,TRUE,"Earnings Impact";"ad1",#N/A,TRUE,"accretion dilution";"hg1",#N/A,TRUE,"Has-Gets";"pfis1",#N/A,TRUE,"Pro Forma Income Statement";"ca1",#N/A,TRUE,"Contribution_Analysis";"acq1",#N/A,TRUE,"Acquirer";"tar1",#N/A,TRUE,"Target"}</definedName>
    <definedName name="wrn.38." localSheetId="13" hidden="1">{"cover",#N/A,TRUE,"Cover";"toc6",#N/A,TRUE,"TOC";"over",#N/A,TRUE,"Overview";"ts2",#N/A,TRUE,"Det_Trans_Sum";"ei1",#N/A,TRUE,"Earnings Impact";"ad1",#N/A,TRUE,"accretion dilution";"hg1",#N/A,TRUE,"Has-Gets";"pfis1",#N/A,TRUE,"Pro Forma Income Statement";"ca1",#N/A,TRUE,"Contribution_Analysis";"acq1",#N/A,TRUE,"Acquirer";"tar1",#N/A,TRUE,"Target"}</definedName>
    <definedName name="wrn.38." hidden="1">{"cover",#N/A,TRUE,"Cover";"toc6",#N/A,TRUE,"TOC";"over",#N/A,TRUE,"Overview";"ts2",#N/A,TRUE,"Det_Trans_Sum";"ei1",#N/A,TRUE,"Earnings Impact";"ad1",#N/A,TRUE,"accretion dilution";"hg1",#N/A,TRUE,"Has-Gets";"pfis1",#N/A,TRUE,"Pro Forma Income Statement";"ca1",#N/A,TRUE,"Contribution_Analysis";"acq1",#N/A,TRUE,"Acquirer";"tar1",#N/A,TRUE,"Target"}</definedName>
    <definedName name="wrn.39." localSheetId="2" hidden="1">{"cover",#N/A,TRUE,"Cover";"toc6",#N/A,TRUE,"TOC";"over",#N/A,TRUE,"Overview";"ts2",#N/A,TRUE,"Det_Trans_Sum";"ei2",#N/A,TRUE,"Earnings Impact";"ad2",#N/A,TRUE,"accretion dilution";"hg2",#N/A,TRUE,"Has-Gets";"pfis2",#N/A,TRUE,"Pro Forma Income Statement";"ca2",#N/A,TRUE,"Contribution_Analysis";"acq2",#N/A,TRUE,"Acquirer";"tar2",#N/A,TRUE,"Target"}</definedName>
    <definedName name="wrn.39." localSheetId="21" hidden="1">{"cover",#N/A,TRUE,"Cover";"toc6",#N/A,TRUE,"TOC";"over",#N/A,TRUE,"Overview";"ts2",#N/A,TRUE,"Det_Trans_Sum";"ei2",#N/A,TRUE,"Earnings Impact";"ad2",#N/A,TRUE,"accretion dilution";"hg2",#N/A,TRUE,"Has-Gets";"pfis2",#N/A,TRUE,"Pro Forma Income Statement";"ca2",#N/A,TRUE,"Contribution_Analysis";"acq2",#N/A,TRUE,"Acquirer";"tar2",#N/A,TRUE,"Target"}</definedName>
    <definedName name="wrn.39." localSheetId="22" hidden="1">{"cover",#N/A,TRUE,"Cover";"toc6",#N/A,TRUE,"TOC";"over",#N/A,TRUE,"Overview";"ts2",#N/A,TRUE,"Det_Trans_Sum";"ei2",#N/A,TRUE,"Earnings Impact";"ad2",#N/A,TRUE,"accretion dilution";"hg2",#N/A,TRUE,"Has-Gets";"pfis2",#N/A,TRUE,"Pro Forma Income Statement";"ca2",#N/A,TRUE,"Contribution_Analysis";"acq2",#N/A,TRUE,"Acquirer";"tar2",#N/A,TRUE,"Target"}</definedName>
    <definedName name="wrn.39." localSheetId="15" hidden="1">{"cover",#N/A,TRUE,"Cover";"toc6",#N/A,TRUE,"TOC";"over",#N/A,TRUE,"Overview";"ts2",#N/A,TRUE,"Det_Trans_Sum";"ei2",#N/A,TRUE,"Earnings Impact";"ad2",#N/A,TRUE,"accretion dilution";"hg2",#N/A,TRUE,"Has-Gets";"pfis2",#N/A,TRUE,"Pro Forma Income Statement";"ca2",#N/A,TRUE,"Contribution_Analysis";"acq2",#N/A,TRUE,"Acquirer";"tar2",#N/A,TRUE,"Target"}</definedName>
    <definedName name="wrn.39." localSheetId="17" hidden="1">{"cover",#N/A,TRUE,"Cover";"toc6",#N/A,TRUE,"TOC";"over",#N/A,TRUE,"Overview";"ts2",#N/A,TRUE,"Det_Trans_Sum";"ei2",#N/A,TRUE,"Earnings Impact";"ad2",#N/A,TRUE,"accretion dilution";"hg2",#N/A,TRUE,"Has-Gets";"pfis2",#N/A,TRUE,"Pro Forma Income Statement";"ca2",#N/A,TRUE,"Contribution_Analysis";"acq2",#N/A,TRUE,"Acquirer";"tar2",#N/A,TRUE,"Target"}</definedName>
    <definedName name="wrn.39." localSheetId="10" hidden="1">{"cover",#N/A,TRUE,"Cover";"toc6",#N/A,TRUE,"TOC";"over",#N/A,TRUE,"Overview";"ts2",#N/A,TRUE,"Det_Trans_Sum";"ei2",#N/A,TRUE,"Earnings Impact";"ad2",#N/A,TRUE,"accretion dilution";"hg2",#N/A,TRUE,"Has-Gets";"pfis2",#N/A,TRUE,"Pro Forma Income Statement";"ca2",#N/A,TRUE,"Contribution_Analysis";"acq2",#N/A,TRUE,"Acquirer";"tar2",#N/A,TRUE,"Target"}</definedName>
    <definedName name="wrn.39." localSheetId="13" hidden="1">{"cover",#N/A,TRUE,"Cover";"toc6",#N/A,TRUE,"TOC";"over",#N/A,TRUE,"Overview";"ts2",#N/A,TRUE,"Det_Trans_Sum";"ei2",#N/A,TRUE,"Earnings Impact";"ad2",#N/A,TRUE,"accretion dilution";"hg2",#N/A,TRUE,"Has-Gets";"pfis2",#N/A,TRUE,"Pro Forma Income Statement";"ca2",#N/A,TRUE,"Contribution_Analysis";"acq2",#N/A,TRUE,"Acquirer";"tar2",#N/A,TRUE,"Target"}</definedName>
    <definedName name="wrn.39." hidden="1">{"cover",#N/A,TRUE,"Cover";"toc6",#N/A,TRUE,"TOC";"over",#N/A,TRUE,"Overview";"ts2",#N/A,TRUE,"Det_Trans_Sum";"ei2",#N/A,TRUE,"Earnings Impact";"ad2",#N/A,TRUE,"accretion dilution";"hg2",#N/A,TRUE,"Has-Gets";"pfis2",#N/A,TRUE,"Pro Forma Income Statement";"ca2",#N/A,TRUE,"Contribution_Analysis";"acq2",#N/A,TRUE,"Acquirer";"tar2",#N/A,TRUE,"Target"}</definedName>
    <definedName name="wrn.399." localSheetId="21" hidden="1">{#N/A,#N/A,FALSE,"A";#N/A,#N/A,FALSE,"C"}</definedName>
    <definedName name="wrn.399." localSheetId="22" hidden="1">{#N/A,#N/A,FALSE,"A";#N/A,#N/A,FALSE,"C"}</definedName>
    <definedName name="wrn.399." localSheetId="17" hidden="1">{#N/A,#N/A,FALSE,"A";#N/A,#N/A,FALSE,"C"}</definedName>
    <definedName name="wrn.399." localSheetId="10" hidden="1">{#N/A,#N/A,FALSE,"A";#N/A,#N/A,FALSE,"C"}</definedName>
    <definedName name="wrn.399." hidden="1">{#N/A,#N/A,FALSE,"A";#N/A,#N/A,FALSE,"C"}</definedName>
    <definedName name="wrn.3yr.CF." localSheetId="2" hidden="1">{"assume",#N/A,FALSE,"K&amp;20th Month CF";"MoCF",#N/A,FALSE,"K&amp;20th Month CF";"AnCF",#N/A,FALSE,"K&amp;20th Month CF"}</definedName>
    <definedName name="wrn.3yr.CF." localSheetId="21" hidden="1">{"assume",#N/A,FALSE,"K&amp;20th Month CF";"MoCF",#N/A,FALSE,"K&amp;20th Month CF";"AnCF",#N/A,FALSE,"K&amp;20th Month CF"}</definedName>
    <definedName name="wrn.3yr.CF." localSheetId="22" hidden="1">{"assume",#N/A,FALSE,"K&amp;20th Month CF";"MoCF",#N/A,FALSE,"K&amp;20th Month CF";"AnCF",#N/A,FALSE,"K&amp;20th Month CF"}</definedName>
    <definedName name="wrn.3yr.CF." localSheetId="15" hidden="1">{"assume",#N/A,FALSE,"K&amp;20th Month CF";"MoCF",#N/A,FALSE,"K&amp;20th Month CF";"AnCF",#N/A,FALSE,"K&amp;20th Month CF"}</definedName>
    <definedName name="wrn.3yr.CF." localSheetId="17" hidden="1">{"assume",#N/A,FALSE,"K&amp;20th Month CF";"MoCF",#N/A,FALSE,"K&amp;20th Month CF";"AnCF",#N/A,FALSE,"K&amp;20th Month CF"}</definedName>
    <definedName name="wrn.3yr.CF." localSheetId="10" hidden="1">{"assume",#N/A,FALSE,"K&amp;20th Month CF";"MoCF",#N/A,FALSE,"K&amp;20th Month CF";"AnCF",#N/A,FALSE,"K&amp;20th Month CF"}</definedName>
    <definedName name="wrn.3yr.CF." localSheetId="13" hidden="1">{"assume",#N/A,FALSE,"K&amp;20th Month CF";"MoCF",#N/A,FALSE,"K&amp;20th Month CF";"AnCF",#N/A,FALSE,"K&amp;20th Month CF"}</definedName>
    <definedName name="wrn.3yr.CF." hidden="1">{"assume",#N/A,FALSE,"K&amp;20th Month CF";"MoCF",#N/A,FALSE,"K&amp;20th Month CF";"AnCF",#N/A,FALSE,"K&amp;20th Month CF"}</definedName>
    <definedName name="wrn.4." localSheetId="2" hidden="1">{"toc1",#N/A,FALSE,"TOC";"cover",#N/A,FALSE,"Cover";"ts1",#N/A,FALSE,"Transaction Summary";"ei3",#N/A,FALSE,"Earnings Impact";"ad3",#N/A,FALSE,"accretion dilution"}</definedName>
    <definedName name="wrn.4." localSheetId="21" hidden="1">{"toc1",#N/A,FALSE,"TOC";"cover",#N/A,FALSE,"Cover";"ts1",#N/A,FALSE,"Transaction Summary";"ei3",#N/A,FALSE,"Earnings Impact";"ad3",#N/A,FALSE,"accretion dilution"}</definedName>
    <definedName name="wrn.4." localSheetId="22" hidden="1">{"toc1",#N/A,FALSE,"TOC";"cover",#N/A,FALSE,"Cover";"ts1",#N/A,FALSE,"Transaction Summary";"ei3",#N/A,FALSE,"Earnings Impact";"ad3",#N/A,FALSE,"accretion dilution"}</definedName>
    <definedName name="wrn.4." localSheetId="15" hidden="1">{"toc1",#N/A,FALSE,"TOC";"cover",#N/A,FALSE,"Cover";"ts1",#N/A,FALSE,"Transaction Summary";"ei3",#N/A,FALSE,"Earnings Impact";"ad3",#N/A,FALSE,"accretion dilution"}</definedName>
    <definedName name="wrn.4." localSheetId="17" hidden="1">{"toc1",#N/A,FALSE,"TOC";"cover",#N/A,FALSE,"Cover";"ts1",#N/A,FALSE,"Transaction Summary";"ei3",#N/A,FALSE,"Earnings Impact";"ad3",#N/A,FALSE,"accretion dilution"}</definedName>
    <definedName name="wrn.4." localSheetId="10" hidden="1">{"toc1",#N/A,FALSE,"TOC";"cover",#N/A,FALSE,"Cover";"ts1",#N/A,FALSE,"Transaction Summary";"ei3",#N/A,FALSE,"Earnings Impact";"ad3",#N/A,FALSE,"accretion dilution"}</definedName>
    <definedName name="wrn.4." localSheetId="13" hidden="1">{"toc1",#N/A,FALSE,"TOC";"cover",#N/A,FALSE,"Cover";"ts1",#N/A,FALSE,"Transaction Summary";"ei3",#N/A,FALSE,"Earnings Impact";"ad3",#N/A,FALSE,"accretion dilution"}</definedName>
    <definedName name="wrn.4." hidden="1">{"toc1",#N/A,FALSE,"TOC";"cover",#N/A,FALSE,"Cover";"ts1",#N/A,FALSE,"Transaction Summary";"ei3",#N/A,FALSE,"Earnings Impact";"ad3",#N/A,FALSE,"accretion dilution"}</definedName>
    <definedName name="wrn.40." localSheetId="2" hidden="1">{"cover",#N/A,TRUE,"Cover";"toc6",#N/A,TRUE,"TOC";"over",#N/A,TRUE,"Overview";"ts2",#N/A,TRUE,"Det_Trans_Sum";"ei3",#N/A,TRUE,"Earnings Impact";"ad3",#N/A,TRUE,"accretion dilution";"hg3",#N/A,TRUE,"Has-Gets";"pfis3",#N/A,TRUE,"Pro Forma Income Statement";"ca3",#N/A,TRUE,"Contribution_Analysis";"acq3",#N/A,TRUE,"Acquirer";"tar3",#N/A,TRUE,"Target"}</definedName>
    <definedName name="wrn.40." localSheetId="21" hidden="1">{"cover",#N/A,TRUE,"Cover";"toc6",#N/A,TRUE,"TOC";"over",#N/A,TRUE,"Overview";"ts2",#N/A,TRUE,"Det_Trans_Sum";"ei3",#N/A,TRUE,"Earnings Impact";"ad3",#N/A,TRUE,"accretion dilution";"hg3",#N/A,TRUE,"Has-Gets";"pfis3",#N/A,TRUE,"Pro Forma Income Statement";"ca3",#N/A,TRUE,"Contribution_Analysis";"acq3",#N/A,TRUE,"Acquirer";"tar3",#N/A,TRUE,"Target"}</definedName>
    <definedName name="wrn.40." localSheetId="22" hidden="1">{"cover",#N/A,TRUE,"Cover";"toc6",#N/A,TRUE,"TOC";"over",#N/A,TRUE,"Overview";"ts2",#N/A,TRUE,"Det_Trans_Sum";"ei3",#N/A,TRUE,"Earnings Impact";"ad3",#N/A,TRUE,"accretion dilution";"hg3",#N/A,TRUE,"Has-Gets";"pfis3",#N/A,TRUE,"Pro Forma Income Statement";"ca3",#N/A,TRUE,"Contribution_Analysis";"acq3",#N/A,TRUE,"Acquirer";"tar3",#N/A,TRUE,"Target"}</definedName>
    <definedName name="wrn.40." localSheetId="15" hidden="1">{"cover",#N/A,TRUE,"Cover";"toc6",#N/A,TRUE,"TOC";"over",#N/A,TRUE,"Overview";"ts2",#N/A,TRUE,"Det_Trans_Sum";"ei3",#N/A,TRUE,"Earnings Impact";"ad3",#N/A,TRUE,"accretion dilution";"hg3",#N/A,TRUE,"Has-Gets";"pfis3",#N/A,TRUE,"Pro Forma Income Statement";"ca3",#N/A,TRUE,"Contribution_Analysis";"acq3",#N/A,TRUE,"Acquirer";"tar3",#N/A,TRUE,"Target"}</definedName>
    <definedName name="wrn.40." localSheetId="17" hidden="1">{"cover",#N/A,TRUE,"Cover";"toc6",#N/A,TRUE,"TOC";"over",#N/A,TRUE,"Overview";"ts2",#N/A,TRUE,"Det_Trans_Sum";"ei3",#N/A,TRUE,"Earnings Impact";"ad3",#N/A,TRUE,"accretion dilution";"hg3",#N/A,TRUE,"Has-Gets";"pfis3",#N/A,TRUE,"Pro Forma Income Statement";"ca3",#N/A,TRUE,"Contribution_Analysis";"acq3",#N/A,TRUE,"Acquirer";"tar3",#N/A,TRUE,"Target"}</definedName>
    <definedName name="wrn.40." localSheetId="10" hidden="1">{"cover",#N/A,TRUE,"Cover";"toc6",#N/A,TRUE,"TOC";"over",#N/A,TRUE,"Overview";"ts2",#N/A,TRUE,"Det_Trans_Sum";"ei3",#N/A,TRUE,"Earnings Impact";"ad3",#N/A,TRUE,"accretion dilution";"hg3",#N/A,TRUE,"Has-Gets";"pfis3",#N/A,TRUE,"Pro Forma Income Statement";"ca3",#N/A,TRUE,"Contribution_Analysis";"acq3",#N/A,TRUE,"Acquirer";"tar3",#N/A,TRUE,"Target"}</definedName>
    <definedName name="wrn.40." localSheetId="13" hidden="1">{"cover",#N/A,TRUE,"Cover";"toc6",#N/A,TRUE,"TOC";"over",#N/A,TRUE,"Overview";"ts2",#N/A,TRUE,"Det_Trans_Sum";"ei3",#N/A,TRUE,"Earnings Impact";"ad3",#N/A,TRUE,"accretion dilution";"hg3",#N/A,TRUE,"Has-Gets";"pfis3",#N/A,TRUE,"Pro Forma Income Statement";"ca3",#N/A,TRUE,"Contribution_Analysis";"acq3",#N/A,TRUE,"Acquirer";"tar3",#N/A,TRUE,"Target"}</definedName>
    <definedName name="wrn.40." hidden="1">{"cover",#N/A,TRUE,"Cover";"toc6",#N/A,TRUE,"TOC";"over",#N/A,TRUE,"Overview";"ts2",#N/A,TRUE,"Det_Trans_Sum";"ei3",#N/A,TRUE,"Earnings Impact";"ad3",#N/A,TRUE,"accretion dilution";"hg3",#N/A,TRUE,"Has-Gets";"pfis3",#N/A,TRUE,"Pro Forma Income Statement";"ca3",#N/A,TRUE,"Contribution_Analysis";"acq3",#N/A,TRUE,"Acquirer";"tar3",#N/A,TRUE,"Target"}</definedName>
    <definedName name="wrn.41." localSheetId="2" hidden="1">{"cover",#N/A,TRUE,"Cover";"toc7",#N/A,TRUE,"TOC";"over",#N/A,TRUE,"Overview";"ts2",#N/A,TRUE,"Det_Trans_Sum";"eic",#N/A,TRUE,"Earnings Impact";"ad",#N/A,TRUE,"accretion dilution";"pfis",#N/A,TRUE,"Pro Forma Income Statement";"profba",#N/A,TRUE,"Pro Forma Balance Sheet";"acqc",#N/A,TRUE,"Acquirer";"tarc",#N/A,TRUE,"Target"}</definedName>
    <definedName name="wrn.41." localSheetId="21" hidden="1">{"cover",#N/A,TRUE,"Cover";"toc7",#N/A,TRUE,"TOC";"over",#N/A,TRUE,"Overview";"ts2",#N/A,TRUE,"Det_Trans_Sum";"eic",#N/A,TRUE,"Earnings Impact";"ad",#N/A,TRUE,"accretion dilution";"pfis",#N/A,TRUE,"Pro Forma Income Statement";"profba",#N/A,TRUE,"Pro Forma Balance Sheet";"acqc",#N/A,TRUE,"Acquirer";"tarc",#N/A,TRUE,"Target"}</definedName>
    <definedName name="wrn.41." localSheetId="22" hidden="1">{"cover",#N/A,TRUE,"Cover";"toc7",#N/A,TRUE,"TOC";"over",#N/A,TRUE,"Overview";"ts2",#N/A,TRUE,"Det_Trans_Sum";"eic",#N/A,TRUE,"Earnings Impact";"ad",#N/A,TRUE,"accretion dilution";"pfis",#N/A,TRUE,"Pro Forma Income Statement";"profba",#N/A,TRUE,"Pro Forma Balance Sheet";"acqc",#N/A,TRUE,"Acquirer";"tarc",#N/A,TRUE,"Target"}</definedName>
    <definedName name="wrn.41." localSheetId="15" hidden="1">{"cover",#N/A,TRUE,"Cover";"toc7",#N/A,TRUE,"TOC";"over",#N/A,TRUE,"Overview";"ts2",#N/A,TRUE,"Det_Trans_Sum";"eic",#N/A,TRUE,"Earnings Impact";"ad",#N/A,TRUE,"accretion dilution";"pfis",#N/A,TRUE,"Pro Forma Income Statement";"profba",#N/A,TRUE,"Pro Forma Balance Sheet";"acqc",#N/A,TRUE,"Acquirer";"tarc",#N/A,TRUE,"Target"}</definedName>
    <definedName name="wrn.41." localSheetId="17" hidden="1">{"cover",#N/A,TRUE,"Cover";"toc7",#N/A,TRUE,"TOC";"over",#N/A,TRUE,"Overview";"ts2",#N/A,TRUE,"Det_Trans_Sum";"eic",#N/A,TRUE,"Earnings Impact";"ad",#N/A,TRUE,"accretion dilution";"pfis",#N/A,TRUE,"Pro Forma Income Statement";"profba",#N/A,TRUE,"Pro Forma Balance Sheet";"acqc",#N/A,TRUE,"Acquirer";"tarc",#N/A,TRUE,"Target"}</definedName>
    <definedName name="wrn.41." localSheetId="10" hidden="1">{"cover",#N/A,TRUE,"Cover";"toc7",#N/A,TRUE,"TOC";"over",#N/A,TRUE,"Overview";"ts2",#N/A,TRUE,"Det_Trans_Sum";"eic",#N/A,TRUE,"Earnings Impact";"ad",#N/A,TRUE,"accretion dilution";"pfis",#N/A,TRUE,"Pro Forma Income Statement";"profba",#N/A,TRUE,"Pro Forma Balance Sheet";"acqc",#N/A,TRUE,"Acquirer";"tarc",#N/A,TRUE,"Target"}</definedName>
    <definedName name="wrn.41." localSheetId="13" hidden="1">{"cover",#N/A,TRUE,"Cover";"toc7",#N/A,TRUE,"TOC";"over",#N/A,TRUE,"Overview";"ts2",#N/A,TRUE,"Det_Trans_Sum";"eic",#N/A,TRUE,"Earnings Impact";"ad",#N/A,TRUE,"accretion dilution";"pfis",#N/A,TRUE,"Pro Forma Income Statement";"profba",#N/A,TRUE,"Pro Forma Balance Sheet";"acqc",#N/A,TRUE,"Acquirer";"tarc",#N/A,TRUE,"Target"}</definedName>
    <definedName name="wrn.41." hidden="1">{"cover",#N/A,TRUE,"Cover";"toc7",#N/A,TRUE,"TOC";"over",#N/A,TRUE,"Overview";"ts2",#N/A,TRUE,"Det_Trans_Sum";"eic",#N/A,TRUE,"Earnings Impact";"ad",#N/A,TRUE,"accretion dilution";"pfis",#N/A,TRUE,"Pro Forma Income Statement";"profba",#N/A,TRUE,"Pro Forma Balance Sheet";"acqc",#N/A,TRUE,"Acquirer";"tarc",#N/A,TRUE,"Target"}</definedName>
    <definedName name="wrn.42." localSheetId="2" hidden="1">{"cover",#N/A,TRUE,"Cover";"toc7",#N/A,TRUE,"TOC";"over",#N/A,TRUE,"Overview";"ts2",#N/A,TRUE,"Det_Trans_Sum";"ei1c",#N/A,TRUE,"Earnings Impact";"ad1",#N/A,TRUE,"accretion dilution";"pfis1",#N/A,TRUE,"Pro Forma Income Statement";"profba",#N/A,TRUE,"Pro Forma Balance Sheet";"acq1c",#N/A,TRUE,"Acquirer";"tar1c",#N/A,TRUE,"Target"}</definedName>
    <definedName name="wrn.42." localSheetId="21" hidden="1">{"cover",#N/A,TRUE,"Cover";"toc7",#N/A,TRUE,"TOC";"over",#N/A,TRUE,"Overview";"ts2",#N/A,TRUE,"Det_Trans_Sum";"ei1c",#N/A,TRUE,"Earnings Impact";"ad1",#N/A,TRUE,"accretion dilution";"pfis1",#N/A,TRUE,"Pro Forma Income Statement";"profba",#N/A,TRUE,"Pro Forma Balance Sheet";"acq1c",#N/A,TRUE,"Acquirer";"tar1c",#N/A,TRUE,"Target"}</definedName>
    <definedName name="wrn.42." localSheetId="22" hidden="1">{"cover",#N/A,TRUE,"Cover";"toc7",#N/A,TRUE,"TOC";"over",#N/A,TRUE,"Overview";"ts2",#N/A,TRUE,"Det_Trans_Sum";"ei1c",#N/A,TRUE,"Earnings Impact";"ad1",#N/A,TRUE,"accretion dilution";"pfis1",#N/A,TRUE,"Pro Forma Income Statement";"profba",#N/A,TRUE,"Pro Forma Balance Sheet";"acq1c",#N/A,TRUE,"Acquirer";"tar1c",#N/A,TRUE,"Target"}</definedName>
    <definedName name="wrn.42." localSheetId="15" hidden="1">{"cover",#N/A,TRUE,"Cover";"toc7",#N/A,TRUE,"TOC";"over",#N/A,TRUE,"Overview";"ts2",#N/A,TRUE,"Det_Trans_Sum";"ei1c",#N/A,TRUE,"Earnings Impact";"ad1",#N/A,TRUE,"accretion dilution";"pfis1",#N/A,TRUE,"Pro Forma Income Statement";"profba",#N/A,TRUE,"Pro Forma Balance Sheet";"acq1c",#N/A,TRUE,"Acquirer";"tar1c",#N/A,TRUE,"Target"}</definedName>
    <definedName name="wrn.42." localSheetId="17" hidden="1">{"cover",#N/A,TRUE,"Cover";"toc7",#N/A,TRUE,"TOC";"over",#N/A,TRUE,"Overview";"ts2",#N/A,TRUE,"Det_Trans_Sum";"ei1c",#N/A,TRUE,"Earnings Impact";"ad1",#N/A,TRUE,"accretion dilution";"pfis1",#N/A,TRUE,"Pro Forma Income Statement";"profba",#N/A,TRUE,"Pro Forma Balance Sheet";"acq1c",#N/A,TRUE,"Acquirer";"tar1c",#N/A,TRUE,"Target"}</definedName>
    <definedName name="wrn.42." localSheetId="10" hidden="1">{"cover",#N/A,TRUE,"Cover";"toc7",#N/A,TRUE,"TOC";"over",#N/A,TRUE,"Overview";"ts2",#N/A,TRUE,"Det_Trans_Sum";"ei1c",#N/A,TRUE,"Earnings Impact";"ad1",#N/A,TRUE,"accretion dilution";"pfis1",#N/A,TRUE,"Pro Forma Income Statement";"profba",#N/A,TRUE,"Pro Forma Balance Sheet";"acq1c",#N/A,TRUE,"Acquirer";"tar1c",#N/A,TRUE,"Target"}</definedName>
    <definedName name="wrn.42." localSheetId="13" hidden="1">{"cover",#N/A,TRUE,"Cover";"toc7",#N/A,TRUE,"TOC";"over",#N/A,TRUE,"Overview";"ts2",#N/A,TRUE,"Det_Trans_Sum";"ei1c",#N/A,TRUE,"Earnings Impact";"ad1",#N/A,TRUE,"accretion dilution";"pfis1",#N/A,TRUE,"Pro Forma Income Statement";"profba",#N/A,TRUE,"Pro Forma Balance Sheet";"acq1c",#N/A,TRUE,"Acquirer";"tar1c",#N/A,TRUE,"Target"}</definedName>
    <definedName name="wrn.42." hidden="1">{"cover",#N/A,TRUE,"Cover";"toc7",#N/A,TRUE,"TOC";"over",#N/A,TRUE,"Overview";"ts2",#N/A,TRUE,"Det_Trans_Sum";"ei1c",#N/A,TRUE,"Earnings Impact";"ad1",#N/A,TRUE,"accretion dilution";"pfis1",#N/A,TRUE,"Pro Forma Income Statement";"profba",#N/A,TRUE,"Pro Forma Balance Sheet";"acq1c",#N/A,TRUE,"Acquirer";"tar1c",#N/A,TRUE,"Target"}</definedName>
    <definedName name="wrn.43." localSheetId="2" hidden="1">{"cover",#N/A,TRUE,"Cover";"toc7",#N/A,TRUE,"TOC";"over",#N/A,TRUE,"Overview";"ts2",#N/A,TRUE,"Det_Trans_Sum";"ei2c",#N/A,TRUE,"Earnings Impact";"ad2",#N/A,TRUE,"accretion dilution";"pfis2",#N/A,TRUE,"Pro Forma Income Statement";"profba",#N/A,TRUE,"Pro Forma Balance Sheet";"acq2c",#N/A,TRUE,"Acquirer";"tar2c",#N/A,TRUE,"Target"}</definedName>
    <definedName name="wrn.43." localSheetId="21" hidden="1">{"cover",#N/A,TRUE,"Cover";"toc7",#N/A,TRUE,"TOC";"over",#N/A,TRUE,"Overview";"ts2",#N/A,TRUE,"Det_Trans_Sum";"ei2c",#N/A,TRUE,"Earnings Impact";"ad2",#N/A,TRUE,"accretion dilution";"pfis2",#N/A,TRUE,"Pro Forma Income Statement";"profba",#N/A,TRUE,"Pro Forma Balance Sheet";"acq2c",#N/A,TRUE,"Acquirer";"tar2c",#N/A,TRUE,"Target"}</definedName>
    <definedName name="wrn.43." localSheetId="22" hidden="1">{"cover",#N/A,TRUE,"Cover";"toc7",#N/A,TRUE,"TOC";"over",#N/A,TRUE,"Overview";"ts2",#N/A,TRUE,"Det_Trans_Sum";"ei2c",#N/A,TRUE,"Earnings Impact";"ad2",#N/A,TRUE,"accretion dilution";"pfis2",#N/A,TRUE,"Pro Forma Income Statement";"profba",#N/A,TRUE,"Pro Forma Balance Sheet";"acq2c",#N/A,TRUE,"Acquirer";"tar2c",#N/A,TRUE,"Target"}</definedName>
    <definedName name="wrn.43." localSheetId="15" hidden="1">{"cover",#N/A,TRUE,"Cover";"toc7",#N/A,TRUE,"TOC";"over",#N/A,TRUE,"Overview";"ts2",#N/A,TRUE,"Det_Trans_Sum";"ei2c",#N/A,TRUE,"Earnings Impact";"ad2",#N/A,TRUE,"accretion dilution";"pfis2",#N/A,TRUE,"Pro Forma Income Statement";"profba",#N/A,TRUE,"Pro Forma Balance Sheet";"acq2c",#N/A,TRUE,"Acquirer";"tar2c",#N/A,TRUE,"Target"}</definedName>
    <definedName name="wrn.43." localSheetId="17" hidden="1">{"cover",#N/A,TRUE,"Cover";"toc7",#N/A,TRUE,"TOC";"over",#N/A,TRUE,"Overview";"ts2",#N/A,TRUE,"Det_Trans_Sum";"ei2c",#N/A,TRUE,"Earnings Impact";"ad2",#N/A,TRUE,"accretion dilution";"pfis2",#N/A,TRUE,"Pro Forma Income Statement";"profba",#N/A,TRUE,"Pro Forma Balance Sheet";"acq2c",#N/A,TRUE,"Acquirer";"tar2c",#N/A,TRUE,"Target"}</definedName>
    <definedName name="wrn.43." localSheetId="10" hidden="1">{"cover",#N/A,TRUE,"Cover";"toc7",#N/A,TRUE,"TOC";"over",#N/A,TRUE,"Overview";"ts2",#N/A,TRUE,"Det_Trans_Sum";"ei2c",#N/A,TRUE,"Earnings Impact";"ad2",#N/A,TRUE,"accretion dilution";"pfis2",#N/A,TRUE,"Pro Forma Income Statement";"profba",#N/A,TRUE,"Pro Forma Balance Sheet";"acq2c",#N/A,TRUE,"Acquirer";"tar2c",#N/A,TRUE,"Target"}</definedName>
    <definedName name="wrn.43." localSheetId="13" hidden="1">{"cover",#N/A,TRUE,"Cover";"toc7",#N/A,TRUE,"TOC";"over",#N/A,TRUE,"Overview";"ts2",#N/A,TRUE,"Det_Trans_Sum";"ei2c",#N/A,TRUE,"Earnings Impact";"ad2",#N/A,TRUE,"accretion dilution";"pfis2",#N/A,TRUE,"Pro Forma Income Statement";"profba",#N/A,TRUE,"Pro Forma Balance Sheet";"acq2c",#N/A,TRUE,"Acquirer";"tar2c",#N/A,TRUE,"Target"}</definedName>
    <definedName name="wrn.43." hidden="1">{"cover",#N/A,TRUE,"Cover";"toc7",#N/A,TRUE,"TOC";"over",#N/A,TRUE,"Overview";"ts2",#N/A,TRUE,"Det_Trans_Sum";"ei2c",#N/A,TRUE,"Earnings Impact";"ad2",#N/A,TRUE,"accretion dilution";"pfis2",#N/A,TRUE,"Pro Forma Income Statement";"profba",#N/A,TRUE,"Pro Forma Balance Sheet";"acq2c",#N/A,TRUE,"Acquirer";"tar2c",#N/A,TRUE,"Target"}</definedName>
    <definedName name="wrn.44." localSheetId="2" hidden="1">{"cover",#N/A,TRUE,"Cover";"toc7",#N/A,TRUE,"TOC";"over",#N/A,TRUE,"Overview";"ts2",#N/A,TRUE,"Det_Trans_Sum";"ei3c",#N/A,TRUE,"Earnings Impact";"ad3",#N/A,TRUE,"accretion dilution";"pfis3",#N/A,TRUE,"Pro Forma Income Statement";"profba",#N/A,TRUE,"Pro Forma Balance Sheet";"acq3c",#N/A,TRUE,"Acquirer";"tar3c",#N/A,TRUE,"Target"}</definedName>
    <definedName name="wrn.44." localSheetId="21" hidden="1">{"cover",#N/A,TRUE,"Cover";"toc7",#N/A,TRUE,"TOC";"over",#N/A,TRUE,"Overview";"ts2",#N/A,TRUE,"Det_Trans_Sum";"ei3c",#N/A,TRUE,"Earnings Impact";"ad3",#N/A,TRUE,"accretion dilution";"pfis3",#N/A,TRUE,"Pro Forma Income Statement";"profba",#N/A,TRUE,"Pro Forma Balance Sheet";"acq3c",#N/A,TRUE,"Acquirer";"tar3c",#N/A,TRUE,"Target"}</definedName>
    <definedName name="wrn.44." localSheetId="22" hidden="1">{"cover",#N/A,TRUE,"Cover";"toc7",#N/A,TRUE,"TOC";"over",#N/A,TRUE,"Overview";"ts2",#N/A,TRUE,"Det_Trans_Sum";"ei3c",#N/A,TRUE,"Earnings Impact";"ad3",#N/A,TRUE,"accretion dilution";"pfis3",#N/A,TRUE,"Pro Forma Income Statement";"profba",#N/A,TRUE,"Pro Forma Balance Sheet";"acq3c",#N/A,TRUE,"Acquirer";"tar3c",#N/A,TRUE,"Target"}</definedName>
    <definedName name="wrn.44." localSheetId="15" hidden="1">{"cover",#N/A,TRUE,"Cover";"toc7",#N/A,TRUE,"TOC";"over",#N/A,TRUE,"Overview";"ts2",#N/A,TRUE,"Det_Trans_Sum";"ei3c",#N/A,TRUE,"Earnings Impact";"ad3",#N/A,TRUE,"accretion dilution";"pfis3",#N/A,TRUE,"Pro Forma Income Statement";"profba",#N/A,TRUE,"Pro Forma Balance Sheet";"acq3c",#N/A,TRUE,"Acquirer";"tar3c",#N/A,TRUE,"Target"}</definedName>
    <definedName name="wrn.44." localSheetId="17" hidden="1">{"cover",#N/A,TRUE,"Cover";"toc7",#N/A,TRUE,"TOC";"over",#N/A,TRUE,"Overview";"ts2",#N/A,TRUE,"Det_Trans_Sum";"ei3c",#N/A,TRUE,"Earnings Impact";"ad3",#N/A,TRUE,"accretion dilution";"pfis3",#N/A,TRUE,"Pro Forma Income Statement";"profba",#N/A,TRUE,"Pro Forma Balance Sheet";"acq3c",#N/A,TRUE,"Acquirer";"tar3c",#N/A,TRUE,"Target"}</definedName>
    <definedName name="wrn.44." localSheetId="10" hidden="1">{"cover",#N/A,TRUE,"Cover";"toc7",#N/A,TRUE,"TOC";"over",#N/A,TRUE,"Overview";"ts2",#N/A,TRUE,"Det_Trans_Sum";"ei3c",#N/A,TRUE,"Earnings Impact";"ad3",#N/A,TRUE,"accretion dilution";"pfis3",#N/A,TRUE,"Pro Forma Income Statement";"profba",#N/A,TRUE,"Pro Forma Balance Sheet";"acq3c",#N/A,TRUE,"Acquirer";"tar3c",#N/A,TRUE,"Target"}</definedName>
    <definedName name="wrn.44." localSheetId="13" hidden="1">{"cover",#N/A,TRUE,"Cover";"toc7",#N/A,TRUE,"TOC";"over",#N/A,TRUE,"Overview";"ts2",#N/A,TRUE,"Det_Trans_Sum";"ei3c",#N/A,TRUE,"Earnings Impact";"ad3",#N/A,TRUE,"accretion dilution";"pfis3",#N/A,TRUE,"Pro Forma Income Statement";"profba",#N/A,TRUE,"Pro Forma Balance Sheet";"acq3c",#N/A,TRUE,"Acquirer";"tar3c",#N/A,TRUE,"Target"}</definedName>
    <definedName name="wrn.44." hidden="1">{"cover",#N/A,TRUE,"Cover";"toc7",#N/A,TRUE,"TOC";"over",#N/A,TRUE,"Overview";"ts2",#N/A,TRUE,"Det_Trans_Sum";"ei3c",#N/A,TRUE,"Earnings Impact";"ad3",#N/A,TRUE,"accretion dilution";"pfis3",#N/A,TRUE,"Pro Forma Income Statement";"profba",#N/A,TRUE,"Pro Forma Balance Sheet";"acq3c",#N/A,TRUE,"Acquirer";"tar3c",#N/A,TRUE,"Target"}</definedName>
    <definedName name="wrn.45." localSheetId="2"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5." localSheetId="21"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5." localSheetId="22"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5." localSheetId="15"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5." localSheetId="17"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5." localSheetId="10"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5." localSheetId="13"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5."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6." localSheetId="2"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6." localSheetId="21"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6." localSheetId="22"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6." localSheetId="15"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6." localSheetId="17"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6." localSheetId="10"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6." localSheetId="13"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6."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7." localSheetId="2"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7." localSheetId="21"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7." localSheetId="22"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7." localSheetId="15"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7." localSheetId="17"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7." localSheetId="10"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7." localSheetId="13"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7."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8." localSheetId="2"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8." localSheetId="21"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8." localSheetId="22"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8." localSheetId="15"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8." localSheetId="17"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8." localSheetId="10"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8." localSheetId="13"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8."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9." localSheetId="2"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49." localSheetId="21"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49." localSheetId="22"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49." localSheetId="15"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49." localSheetId="17"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49." localSheetId="10"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49." localSheetId="13"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49."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5." localSheetId="2" hidden="1">{"cover",#N/A,TRUE,"Cover";"toc2",#N/A,TRUE,"TOC";"ts1",#N/A,TRUE,"Transaction Summary";"ei",#N/A,TRUE,"Earnings Impact";"ad",#N/A,TRUE,"accretion dilution";"hg",#N/A,TRUE,"Has-Gets"}</definedName>
    <definedName name="wrn.5." localSheetId="21" hidden="1">{"cover",#N/A,TRUE,"Cover";"toc2",#N/A,TRUE,"TOC";"ts1",#N/A,TRUE,"Transaction Summary";"ei",#N/A,TRUE,"Earnings Impact";"ad",#N/A,TRUE,"accretion dilution";"hg",#N/A,TRUE,"Has-Gets"}</definedName>
    <definedName name="wrn.5." localSheetId="22" hidden="1">{"cover",#N/A,TRUE,"Cover";"toc2",#N/A,TRUE,"TOC";"ts1",#N/A,TRUE,"Transaction Summary";"ei",#N/A,TRUE,"Earnings Impact";"ad",#N/A,TRUE,"accretion dilution";"hg",#N/A,TRUE,"Has-Gets"}</definedName>
    <definedName name="wrn.5." localSheetId="15" hidden="1">{"cover",#N/A,TRUE,"Cover";"toc2",#N/A,TRUE,"TOC";"ts1",#N/A,TRUE,"Transaction Summary";"ei",#N/A,TRUE,"Earnings Impact";"ad",#N/A,TRUE,"accretion dilution";"hg",#N/A,TRUE,"Has-Gets"}</definedName>
    <definedName name="wrn.5." localSheetId="17" hidden="1">{"cover",#N/A,TRUE,"Cover";"toc2",#N/A,TRUE,"TOC";"ts1",#N/A,TRUE,"Transaction Summary";"ei",#N/A,TRUE,"Earnings Impact";"ad",#N/A,TRUE,"accretion dilution";"hg",#N/A,TRUE,"Has-Gets"}</definedName>
    <definedName name="wrn.5." localSheetId="10" hidden="1">{"cover",#N/A,TRUE,"Cover";"toc2",#N/A,TRUE,"TOC";"ts1",#N/A,TRUE,"Transaction Summary";"ei",#N/A,TRUE,"Earnings Impact";"ad",#N/A,TRUE,"accretion dilution";"hg",#N/A,TRUE,"Has-Gets"}</definedName>
    <definedName name="wrn.5." localSheetId="13" hidden="1">{"cover",#N/A,TRUE,"Cover";"toc2",#N/A,TRUE,"TOC";"ts1",#N/A,TRUE,"Transaction Summary";"ei",#N/A,TRUE,"Earnings Impact";"ad",#N/A,TRUE,"accretion dilution";"hg",#N/A,TRUE,"Has-Gets"}</definedName>
    <definedName name="wrn.5." hidden="1">{"cover",#N/A,TRUE,"Cover";"toc2",#N/A,TRUE,"TOC";"ts1",#N/A,TRUE,"Transaction Summary";"ei",#N/A,TRUE,"Earnings Impact";"ad",#N/A,TRUE,"accretion dilution";"hg",#N/A,TRUE,"Has-Gets"}</definedName>
    <definedName name="wrn.50." localSheetId="2"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0." localSheetId="21"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0." localSheetId="22"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0." localSheetId="15"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0." localSheetId="17"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0." localSheetId="10"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0." localSheetId="13"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0."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1." localSheetId="2"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1." localSheetId="21"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1." localSheetId="22"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1." localSheetId="15"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1." localSheetId="17"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1." localSheetId="10"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1." localSheetId="13"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1."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2." localSheetId="2"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2." localSheetId="21"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2." localSheetId="22"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2." localSheetId="15"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2." localSheetId="17"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2." localSheetId="10"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2." localSheetId="13"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2."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3." localSheetId="2"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3." localSheetId="21"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3." localSheetId="22"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3." localSheetId="15"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3." localSheetId="17"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3." localSheetId="10"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3." localSheetId="13"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3."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4." localSheetId="2"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4." localSheetId="21"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4." localSheetId="22"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4." localSheetId="15"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4." localSheetId="17"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4." localSheetId="10"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4." localSheetId="13"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4."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5." localSheetId="2"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5." localSheetId="21"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5." localSheetId="22"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5." localSheetId="15"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5." localSheetId="17"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5." localSheetId="10"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5." localSheetId="13"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5."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6." localSheetId="2"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6." localSheetId="21"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6." localSheetId="22"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6." localSheetId="15"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6." localSheetId="17"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6." localSheetId="10"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6." localSheetId="13"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6."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7." localSheetId="2" hidden="1">{"cover",#N/A,TRUE,"Cover";"toc7",#N/A,TRUE,"TOC";"over",#N/A,TRUE,"Overview";"ts2",#N/A,TRUE,"Det_Trans_Sum";"ei",#N/A,TRUE,"Earnings Impact";"ad",#N/A,TRUE,"accretion dilution";"pfis",#N/A,TRUE,"Pro Forma Income Statement";"profba",#N/A,TRUE,"Pro Forma Balance Sheet";"acq",#N/A,TRUE,"Acquirer";"tar",#N/A,TRUE,"Target"}</definedName>
    <definedName name="wrn.57." localSheetId="21" hidden="1">{"cover",#N/A,TRUE,"Cover";"toc7",#N/A,TRUE,"TOC";"over",#N/A,TRUE,"Overview";"ts2",#N/A,TRUE,"Det_Trans_Sum";"ei",#N/A,TRUE,"Earnings Impact";"ad",#N/A,TRUE,"accretion dilution";"pfis",#N/A,TRUE,"Pro Forma Income Statement";"profba",#N/A,TRUE,"Pro Forma Balance Sheet";"acq",#N/A,TRUE,"Acquirer";"tar",#N/A,TRUE,"Target"}</definedName>
    <definedName name="wrn.57." localSheetId="22" hidden="1">{"cover",#N/A,TRUE,"Cover";"toc7",#N/A,TRUE,"TOC";"over",#N/A,TRUE,"Overview";"ts2",#N/A,TRUE,"Det_Trans_Sum";"ei",#N/A,TRUE,"Earnings Impact";"ad",#N/A,TRUE,"accretion dilution";"pfis",#N/A,TRUE,"Pro Forma Income Statement";"profba",#N/A,TRUE,"Pro Forma Balance Sheet";"acq",#N/A,TRUE,"Acquirer";"tar",#N/A,TRUE,"Target"}</definedName>
    <definedName name="wrn.57." localSheetId="15" hidden="1">{"cover",#N/A,TRUE,"Cover";"toc7",#N/A,TRUE,"TOC";"over",#N/A,TRUE,"Overview";"ts2",#N/A,TRUE,"Det_Trans_Sum";"ei",#N/A,TRUE,"Earnings Impact";"ad",#N/A,TRUE,"accretion dilution";"pfis",#N/A,TRUE,"Pro Forma Income Statement";"profba",#N/A,TRUE,"Pro Forma Balance Sheet";"acq",#N/A,TRUE,"Acquirer";"tar",#N/A,TRUE,"Target"}</definedName>
    <definedName name="wrn.57." localSheetId="17" hidden="1">{"cover",#N/A,TRUE,"Cover";"toc7",#N/A,TRUE,"TOC";"over",#N/A,TRUE,"Overview";"ts2",#N/A,TRUE,"Det_Trans_Sum";"ei",#N/A,TRUE,"Earnings Impact";"ad",#N/A,TRUE,"accretion dilution";"pfis",#N/A,TRUE,"Pro Forma Income Statement";"profba",#N/A,TRUE,"Pro Forma Balance Sheet";"acq",#N/A,TRUE,"Acquirer";"tar",#N/A,TRUE,"Target"}</definedName>
    <definedName name="wrn.57." localSheetId="10" hidden="1">{"cover",#N/A,TRUE,"Cover";"toc7",#N/A,TRUE,"TOC";"over",#N/A,TRUE,"Overview";"ts2",#N/A,TRUE,"Det_Trans_Sum";"ei",#N/A,TRUE,"Earnings Impact";"ad",#N/A,TRUE,"accretion dilution";"pfis",#N/A,TRUE,"Pro Forma Income Statement";"profba",#N/A,TRUE,"Pro Forma Balance Sheet";"acq",#N/A,TRUE,"Acquirer";"tar",#N/A,TRUE,"Target"}</definedName>
    <definedName name="wrn.57." localSheetId="13" hidden="1">{"cover",#N/A,TRUE,"Cover";"toc7",#N/A,TRUE,"TOC";"over",#N/A,TRUE,"Overview";"ts2",#N/A,TRUE,"Det_Trans_Sum";"ei",#N/A,TRUE,"Earnings Impact";"ad",#N/A,TRUE,"accretion dilution";"pfis",#N/A,TRUE,"Pro Forma Income Statement";"profba",#N/A,TRUE,"Pro Forma Balance Sheet";"acq",#N/A,TRUE,"Acquirer";"tar",#N/A,TRUE,"Target"}</definedName>
    <definedName name="wrn.57." hidden="1">{"cover",#N/A,TRUE,"Cover";"toc7",#N/A,TRUE,"TOC";"over",#N/A,TRUE,"Overview";"ts2",#N/A,TRUE,"Det_Trans_Sum";"ei",#N/A,TRUE,"Earnings Impact";"ad",#N/A,TRUE,"accretion dilution";"pfis",#N/A,TRUE,"Pro Forma Income Statement";"profba",#N/A,TRUE,"Pro Forma Balance Sheet";"acq",#N/A,TRUE,"Acquirer";"tar",#N/A,TRUE,"Target"}</definedName>
    <definedName name="wrn.58." localSheetId="2" hidden="1">{"cover",#N/A,TRUE,"Cover";"toc7",#N/A,TRUE,"TOC";"over",#N/A,TRUE,"Overview";"ts2",#N/A,TRUE,"Det_Trans_Sum";"ei1",#N/A,TRUE,"Earnings Impact";"ad1",#N/A,TRUE,"accretion dilution";"pfis1",#N/A,TRUE,"Pro Forma Income Statement";"profba",#N/A,TRUE,"Pro Forma Balance Sheet";"acq1",#N/A,TRUE,"Acquirer";"tar1",#N/A,TRUE,"Target"}</definedName>
    <definedName name="wrn.58." localSheetId="21" hidden="1">{"cover",#N/A,TRUE,"Cover";"toc7",#N/A,TRUE,"TOC";"over",#N/A,TRUE,"Overview";"ts2",#N/A,TRUE,"Det_Trans_Sum";"ei1",#N/A,TRUE,"Earnings Impact";"ad1",#N/A,TRUE,"accretion dilution";"pfis1",#N/A,TRUE,"Pro Forma Income Statement";"profba",#N/A,TRUE,"Pro Forma Balance Sheet";"acq1",#N/A,TRUE,"Acquirer";"tar1",#N/A,TRUE,"Target"}</definedName>
    <definedName name="wrn.58." localSheetId="22" hidden="1">{"cover",#N/A,TRUE,"Cover";"toc7",#N/A,TRUE,"TOC";"over",#N/A,TRUE,"Overview";"ts2",#N/A,TRUE,"Det_Trans_Sum";"ei1",#N/A,TRUE,"Earnings Impact";"ad1",#N/A,TRUE,"accretion dilution";"pfis1",#N/A,TRUE,"Pro Forma Income Statement";"profba",#N/A,TRUE,"Pro Forma Balance Sheet";"acq1",#N/A,TRUE,"Acquirer";"tar1",#N/A,TRUE,"Target"}</definedName>
    <definedName name="wrn.58." localSheetId="15" hidden="1">{"cover",#N/A,TRUE,"Cover";"toc7",#N/A,TRUE,"TOC";"over",#N/A,TRUE,"Overview";"ts2",#N/A,TRUE,"Det_Trans_Sum";"ei1",#N/A,TRUE,"Earnings Impact";"ad1",#N/A,TRUE,"accretion dilution";"pfis1",#N/A,TRUE,"Pro Forma Income Statement";"profba",#N/A,TRUE,"Pro Forma Balance Sheet";"acq1",#N/A,TRUE,"Acquirer";"tar1",#N/A,TRUE,"Target"}</definedName>
    <definedName name="wrn.58." localSheetId="17" hidden="1">{"cover",#N/A,TRUE,"Cover";"toc7",#N/A,TRUE,"TOC";"over",#N/A,TRUE,"Overview";"ts2",#N/A,TRUE,"Det_Trans_Sum";"ei1",#N/A,TRUE,"Earnings Impact";"ad1",#N/A,TRUE,"accretion dilution";"pfis1",#N/A,TRUE,"Pro Forma Income Statement";"profba",#N/A,TRUE,"Pro Forma Balance Sheet";"acq1",#N/A,TRUE,"Acquirer";"tar1",#N/A,TRUE,"Target"}</definedName>
    <definedName name="wrn.58." localSheetId="10" hidden="1">{"cover",#N/A,TRUE,"Cover";"toc7",#N/A,TRUE,"TOC";"over",#N/A,TRUE,"Overview";"ts2",#N/A,TRUE,"Det_Trans_Sum";"ei1",#N/A,TRUE,"Earnings Impact";"ad1",#N/A,TRUE,"accretion dilution";"pfis1",#N/A,TRUE,"Pro Forma Income Statement";"profba",#N/A,TRUE,"Pro Forma Balance Sheet";"acq1",#N/A,TRUE,"Acquirer";"tar1",#N/A,TRUE,"Target"}</definedName>
    <definedName name="wrn.58." localSheetId="13" hidden="1">{"cover",#N/A,TRUE,"Cover";"toc7",#N/A,TRUE,"TOC";"over",#N/A,TRUE,"Overview";"ts2",#N/A,TRUE,"Det_Trans_Sum";"ei1",#N/A,TRUE,"Earnings Impact";"ad1",#N/A,TRUE,"accretion dilution";"pfis1",#N/A,TRUE,"Pro Forma Income Statement";"profba",#N/A,TRUE,"Pro Forma Balance Sheet";"acq1",#N/A,TRUE,"Acquirer";"tar1",#N/A,TRUE,"Target"}</definedName>
    <definedName name="wrn.58." hidden="1">{"cover",#N/A,TRUE,"Cover";"toc7",#N/A,TRUE,"TOC";"over",#N/A,TRUE,"Overview";"ts2",#N/A,TRUE,"Det_Trans_Sum";"ei1",#N/A,TRUE,"Earnings Impact";"ad1",#N/A,TRUE,"accretion dilution";"pfis1",#N/A,TRUE,"Pro Forma Income Statement";"profba",#N/A,TRUE,"Pro Forma Balance Sheet";"acq1",#N/A,TRUE,"Acquirer";"tar1",#N/A,TRUE,"Target"}</definedName>
    <definedName name="wrn.59." localSheetId="2" hidden="1">{"cover",#N/A,TRUE,"Cover";"toc7",#N/A,TRUE,"TOC";"over",#N/A,TRUE,"Overview";"ts2",#N/A,TRUE,"Det_Trans_Sum";"ei2",#N/A,TRUE,"Earnings Impact";"ad2",#N/A,TRUE,"accretion dilution";"pfis2",#N/A,TRUE,"Pro Forma Income Statement";"profba",#N/A,TRUE,"Pro Forma Balance Sheet";"acq2",#N/A,TRUE,"Acquirer";"tar2",#N/A,TRUE,"Target"}</definedName>
    <definedName name="wrn.59." localSheetId="21" hidden="1">{"cover",#N/A,TRUE,"Cover";"toc7",#N/A,TRUE,"TOC";"over",#N/A,TRUE,"Overview";"ts2",#N/A,TRUE,"Det_Trans_Sum";"ei2",#N/A,TRUE,"Earnings Impact";"ad2",#N/A,TRUE,"accretion dilution";"pfis2",#N/A,TRUE,"Pro Forma Income Statement";"profba",#N/A,TRUE,"Pro Forma Balance Sheet";"acq2",#N/A,TRUE,"Acquirer";"tar2",#N/A,TRUE,"Target"}</definedName>
    <definedName name="wrn.59." localSheetId="22" hidden="1">{"cover",#N/A,TRUE,"Cover";"toc7",#N/A,TRUE,"TOC";"over",#N/A,TRUE,"Overview";"ts2",#N/A,TRUE,"Det_Trans_Sum";"ei2",#N/A,TRUE,"Earnings Impact";"ad2",#N/A,TRUE,"accretion dilution";"pfis2",#N/A,TRUE,"Pro Forma Income Statement";"profba",#N/A,TRUE,"Pro Forma Balance Sheet";"acq2",#N/A,TRUE,"Acquirer";"tar2",#N/A,TRUE,"Target"}</definedName>
    <definedName name="wrn.59." localSheetId="15" hidden="1">{"cover",#N/A,TRUE,"Cover";"toc7",#N/A,TRUE,"TOC";"over",#N/A,TRUE,"Overview";"ts2",#N/A,TRUE,"Det_Trans_Sum";"ei2",#N/A,TRUE,"Earnings Impact";"ad2",#N/A,TRUE,"accretion dilution";"pfis2",#N/A,TRUE,"Pro Forma Income Statement";"profba",#N/A,TRUE,"Pro Forma Balance Sheet";"acq2",#N/A,TRUE,"Acquirer";"tar2",#N/A,TRUE,"Target"}</definedName>
    <definedName name="wrn.59." localSheetId="17" hidden="1">{"cover",#N/A,TRUE,"Cover";"toc7",#N/A,TRUE,"TOC";"over",#N/A,TRUE,"Overview";"ts2",#N/A,TRUE,"Det_Trans_Sum";"ei2",#N/A,TRUE,"Earnings Impact";"ad2",#N/A,TRUE,"accretion dilution";"pfis2",#N/A,TRUE,"Pro Forma Income Statement";"profba",#N/A,TRUE,"Pro Forma Balance Sheet";"acq2",#N/A,TRUE,"Acquirer";"tar2",#N/A,TRUE,"Target"}</definedName>
    <definedName name="wrn.59." localSheetId="10" hidden="1">{"cover",#N/A,TRUE,"Cover";"toc7",#N/A,TRUE,"TOC";"over",#N/A,TRUE,"Overview";"ts2",#N/A,TRUE,"Det_Trans_Sum";"ei2",#N/A,TRUE,"Earnings Impact";"ad2",#N/A,TRUE,"accretion dilution";"pfis2",#N/A,TRUE,"Pro Forma Income Statement";"profba",#N/A,TRUE,"Pro Forma Balance Sheet";"acq2",#N/A,TRUE,"Acquirer";"tar2",#N/A,TRUE,"Target"}</definedName>
    <definedName name="wrn.59." localSheetId="13" hidden="1">{"cover",#N/A,TRUE,"Cover";"toc7",#N/A,TRUE,"TOC";"over",#N/A,TRUE,"Overview";"ts2",#N/A,TRUE,"Det_Trans_Sum";"ei2",#N/A,TRUE,"Earnings Impact";"ad2",#N/A,TRUE,"accretion dilution";"pfis2",#N/A,TRUE,"Pro Forma Income Statement";"profba",#N/A,TRUE,"Pro Forma Balance Sheet";"acq2",#N/A,TRUE,"Acquirer";"tar2",#N/A,TRUE,"Target"}</definedName>
    <definedName name="wrn.59." hidden="1">{"cover",#N/A,TRUE,"Cover";"toc7",#N/A,TRUE,"TOC";"over",#N/A,TRUE,"Overview";"ts2",#N/A,TRUE,"Det_Trans_Sum";"ei2",#N/A,TRUE,"Earnings Impact";"ad2",#N/A,TRUE,"accretion dilution";"pfis2",#N/A,TRUE,"Pro Forma Income Statement";"profba",#N/A,TRUE,"Pro Forma Balance Sheet";"acq2",#N/A,TRUE,"Acquirer";"tar2",#N/A,TRUE,"Target"}</definedName>
    <definedName name="wrn.6." localSheetId="2" hidden="1">{"cover",#N/A,TRUE,"Cover";"toc2",#N/A,TRUE,"TOC";"ts1",#N/A,TRUE,"Transaction Summary";"ei1",#N/A,TRUE,"Earnings Impact";"ad1",#N/A,TRUE,"accretion dilution";"hg1",#N/A,TRUE,"Has-Gets"}</definedName>
    <definedName name="wrn.6." localSheetId="21" hidden="1">{"cover",#N/A,TRUE,"Cover";"toc2",#N/A,TRUE,"TOC";"ts1",#N/A,TRUE,"Transaction Summary";"ei1",#N/A,TRUE,"Earnings Impact";"ad1",#N/A,TRUE,"accretion dilution";"hg1",#N/A,TRUE,"Has-Gets"}</definedName>
    <definedName name="wrn.6." localSheetId="22" hidden="1">{"cover",#N/A,TRUE,"Cover";"toc2",#N/A,TRUE,"TOC";"ts1",#N/A,TRUE,"Transaction Summary";"ei1",#N/A,TRUE,"Earnings Impact";"ad1",#N/A,TRUE,"accretion dilution";"hg1",#N/A,TRUE,"Has-Gets"}</definedName>
    <definedName name="wrn.6." localSheetId="15" hidden="1">{"cover",#N/A,TRUE,"Cover";"toc2",#N/A,TRUE,"TOC";"ts1",#N/A,TRUE,"Transaction Summary";"ei1",#N/A,TRUE,"Earnings Impact";"ad1",#N/A,TRUE,"accretion dilution";"hg1",#N/A,TRUE,"Has-Gets"}</definedName>
    <definedName name="wrn.6." localSheetId="17" hidden="1">{"cover",#N/A,TRUE,"Cover";"toc2",#N/A,TRUE,"TOC";"ts1",#N/A,TRUE,"Transaction Summary";"ei1",#N/A,TRUE,"Earnings Impact";"ad1",#N/A,TRUE,"accretion dilution";"hg1",#N/A,TRUE,"Has-Gets"}</definedName>
    <definedName name="wrn.6." localSheetId="10" hidden="1">{"cover",#N/A,TRUE,"Cover";"toc2",#N/A,TRUE,"TOC";"ts1",#N/A,TRUE,"Transaction Summary";"ei1",#N/A,TRUE,"Earnings Impact";"ad1",#N/A,TRUE,"accretion dilution";"hg1",#N/A,TRUE,"Has-Gets"}</definedName>
    <definedName name="wrn.6." localSheetId="13" hidden="1">{"cover",#N/A,TRUE,"Cover";"toc2",#N/A,TRUE,"TOC";"ts1",#N/A,TRUE,"Transaction Summary";"ei1",#N/A,TRUE,"Earnings Impact";"ad1",#N/A,TRUE,"accretion dilution";"hg1",#N/A,TRUE,"Has-Gets"}</definedName>
    <definedName name="wrn.6." hidden="1">{"cover",#N/A,TRUE,"Cover";"toc2",#N/A,TRUE,"TOC";"ts1",#N/A,TRUE,"Transaction Summary";"ei1",#N/A,TRUE,"Earnings Impact";"ad1",#N/A,TRUE,"accretion dilution";"hg1",#N/A,TRUE,"Has-Gets"}</definedName>
    <definedName name="wrn.60." localSheetId="2" hidden="1">{"cover",#N/A,TRUE,"Cover";"toc7",#N/A,TRUE,"TOC";"over",#N/A,TRUE,"Overview";"ts2",#N/A,TRUE,"Det_Trans_Sum";"ei3",#N/A,TRUE,"Earnings Impact";"ad3",#N/A,TRUE,"accretion dilution";"pfis3",#N/A,TRUE,"Pro Forma Income Statement";"profba",#N/A,TRUE,"Pro Forma Balance Sheet";"acq3",#N/A,TRUE,"Acquirer";"tar3",#N/A,TRUE,"Target"}</definedName>
    <definedName name="wrn.60." localSheetId="21" hidden="1">{"cover",#N/A,TRUE,"Cover";"toc7",#N/A,TRUE,"TOC";"over",#N/A,TRUE,"Overview";"ts2",#N/A,TRUE,"Det_Trans_Sum";"ei3",#N/A,TRUE,"Earnings Impact";"ad3",#N/A,TRUE,"accretion dilution";"pfis3",#N/A,TRUE,"Pro Forma Income Statement";"profba",#N/A,TRUE,"Pro Forma Balance Sheet";"acq3",#N/A,TRUE,"Acquirer";"tar3",#N/A,TRUE,"Target"}</definedName>
    <definedName name="wrn.60." localSheetId="22" hidden="1">{"cover",#N/A,TRUE,"Cover";"toc7",#N/A,TRUE,"TOC";"over",#N/A,TRUE,"Overview";"ts2",#N/A,TRUE,"Det_Trans_Sum";"ei3",#N/A,TRUE,"Earnings Impact";"ad3",#N/A,TRUE,"accretion dilution";"pfis3",#N/A,TRUE,"Pro Forma Income Statement";"profba",#N/A,TRUE,"Pro Forma Balance Sheet";"acq3",#N/A,TRUE,"Acquirer";"tar3",#N/A,TRUE,"Target"}</definedName>
    <definedName name="wrn.60." localSheetId="15" hidden="1">{"cover",#N/A,TRUE,"Cover";"toc7",#N/A,TRUE,"TOC";"over",#N/A,TRUE,"Overview";"ts2",#N/A,TRUE,"Det_Trans_Sum";"ei3",#N/A,TRUE,"Earnings Impact";"ad3",#N/A,TRUE,"accretion dilution";"pfis3",#N/A,TRUE,"Pro Forma Income Statement";"profba",#N/A,TRUE,"Pro Forma Balance Sheet";"acq3",#N/A,TRUE,"Acquirer";"tar3",#N/A,TRUE,"Target"}</definedName>
    <definedName name="wrn.60." localSheetId="17" hidden="1">{"cover",#N/A,TRUE,"Cover";"toc7",#N/A,TRUE,"TOC";"over",#N/A,TRUE,"Overview";"ts2",#N/A,TRUE,"Det_Trans_Sum";"ei3",#N/A,TRUE,"Earnings Impact";"ad3",#N/A,TRUE,"accretion dilution";"pfis3",#N/A,TRUE,"Pro Forma Income Statement";"profba",#N/A,TRUE,"Pro Forma Balance Sheet";"acq3",#N/A,TRUE,"Acquirer";"tar3",#N/A,TRUE,"Target"}</definedName>
    <definedName name="wrn.60." localSheetId="10" hidden="1">{"cover",#N/A,TRUE,"Cover";"toc7",#N/A,TRUE,"TOC";"over",#N/A,TRUE,"Overview";"ts2",#N/A,TRUE,"Det_Trans_Sum";"ei3",#N/A,TRUE,"Earnings Impact";"ad3",#N/A,TRUE,"accretion dilution";"pfis3",#N/A,TRUE,"Pro Forma Income Statement";"profba",#N/A,TRUE,"Pro Forma Balance Sheet";"acq3",#N/A,TRUE,"Acquirer";"tar3",#N/A,TRUE,"Target"}</definedName>
    <definedName name="wrn.60." localSheetId="13" hidden="1">{"cover",#N/A,TRUE,"Cover";"toc7",#N/A,TRUE,"TOC";"over",#N/A,TRUE,"Overview";"ts2",#N/A,TRUE,"Det_Trans_Sum";"ei3",#N/A,TRUE,"Earnings Impact";"ad3",#N/A,TRUE,"accretion dilution";"pfis3",#N/A,TRUE,"Pro Forma Income Statement";"profba",#N/A,TRUE,"Pro Forma Balance Sheet";"acq3",#N/A,TRUE,"Acquirer";"tar3",#N/A,TRUE,"Target"}</definedName>
    <definedName name="wrn.60." hidden="1">{"cover",#N/A,TRUE,"Cover";"toc7",#N/A,TRUE,"TOC";"over",#N/A,TRUE,"Overview";"ts2",#N/A,TRUE,"Det_Trans_Sum";"ei3",#N/A,TRUE,"Earnings Impact";"ad3",#N/A,TRUE,"accretion dilution";"pfis3",#N/A,TRUE,"Pro Forma Income Statement";"profba",#N/A,TRUE,"Pro Forma Balance Sheet";"acq3",#N/A,TRUE,"Acquirer";"tar3",#N/A,TRUE,"Target"}</definedName>
    <definedName name="wrn.61." localSheetId="2"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1." localSheetId="21"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1." localSheetId="22"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1." localSheetId="15"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1." localSheetId="17"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1." localSheetId="10"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1." localSheetId="13"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1."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2." localSheetId="2"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2." localSheetId="21"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2." localSheetId="22"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2." localSheetId="15"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2." localSheetId="17"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2." localSheetId="10"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2." localSheetId="13"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2."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3." localSheetId="2"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3." localSheetId="21"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3." localSheetId="22"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3." localSheetId="15"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3." localSheetId="17"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3." localSheetId="10"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3." localSheetId="13"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3."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4." localSheetId="2"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4." localSheetId="21"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4." localSheetId="22"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4." localSheetId="15"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4." localSheetId="17"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4." localSheetId="10"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4." localSheetId="13"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4."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5." localSheetId="2"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5." localSheetId="21"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5." localSheetId="22"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5." localSheetId="15"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5." localSheetId="17"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5." localSheetId="10"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5." localSheetId="13"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5."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6." localSheetId="2"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6." localSheetId="21"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6." localSheetId="22"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6." localSheetId="15"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6." localSheetId="17"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6." localSheetId="10"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6." localSheetId="13"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6."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7." localSheetId="2"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7." localSheetId="21"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7." localSheetId="22"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7." localSheetId="15"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7." localSheetId="17"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7." localSheetId="10"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7." localSheetId="13"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7."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8." localSheetId="2"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8." localSheetId="21"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8." localSheetId="22"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8." localSheetId="15"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8." localSheetId="17"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8." localSheetId="10"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8." localSheetId="13"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8."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9." localSheetId="2"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69." localSheetId="21"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69." localSheetId="22"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69." localSheetId="15"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69." localSheetId="17"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69." localSheetId="10"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69." localSheetId="13"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69."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7." localSheetId="2" hidden="1">{"cover",#N/A,TRUE,"Cover";"toc2",#N/A,TRUE,"TOC";"ts1",#N/A,TRUE,"Transaction Summary";"ei2c",#N/A,TRUE,"Earnings Impact";"ad2",#N/A,TRUE,"accretion dilution";"hg2",#N/A,TRUE,"Has-Gets"}</definedName>
    <definedName name="wrn.7." localSheetId="21" hidden="1">{"cover",#N/A,TRUE,"Cover";"toc2",#N/A,TRUE,"TOC";"ts1",#N/A,TRUE,"Transaction Summary";"ei2c",#N/A,TRUE,"Earnings Impact";"ad2",#N/A,TRUE,"accretion dilution";"hg2",#N/A,TRUE,"Has-Gets"}</definedName>
    <definedName name="wrn.7." localSheetId="22" hidden="1">{"cover",#N/A,TRUE,"Cover";"toc2",#N/A,TRUE,"TOC";"ts1",#N/A,TRUE,"Transaction Summary";"ei2c",#N/A,TRUE,"Earnings Impact";"ad2",#N/A,TRUE,"accretion dilution";"hg2",#N/A,TRUE,"Has-Gets"}</definedName>
    <definedName name="wrn.7." localSheetId="15" hidden="1">{"cover",#N/A,TRUE,"Cover";"toc2",#N/A,TRUE,"TOC";"ts1",#N/A,TRUE,"Transaction Summary";"ei2c",#N/A,TRUE,"Earnings Impact";"ad2",#N/A,TRUE,"accretion dilution";"hg2",#N/A,TRUE,"Has-Gets"}</definedName>
    <definedName name="wrn.7." localSheetId="17" hidden="1">{"cover",#N/A,TRUE,"Cover";"toc2",#N/A,TRUE,"TOC";"ts1",#N/A,TRUE,"Transaction Summary";"ei2c",#N/A,TRUE,"Earnings Impact";"ad2",#N/A,TRUE,"accretion dilution";"hg2",#N/A,TRUE,"Has-Gets"}</definedName>
    <definedName name="wrn.7." localSheetId="10" hidden="1">{"cover",#N/A,TRUE,"Cover";"toc2",#N/A,TRUE,"TOC";"ts1",#N/A,TRUE,"Transaction Summary";"ei2c",#N/A,TRUE,"Earnings Impact";"ad2",#N/A,TRUE,"accretion dilution";"hg2",#N/A,TRUE,"Has-Gets"}</definedName>
    <definedName name="wrn.7." localSheetId="13" hidden="1">{"cover",#N/A,TRUE,"Cover";"toc2",#N/A,TRUE,"TOC";"ts1",#N/A,TRUE,"Transaction Summary";"ei2c",#N/A,TRUE,"Earnings Impact";"ad2",#N/A,TRUE,"accretion dilution";"hg2",#N/A,TRUE,"Has-Gets"}</definedName>
    <definedName name="wrn.7." hidden="1">{"cover",#N/A,TRUE,"Cover";"toc2",#N/A,TRUE,"TOC";"ts1",#N/A,TRUE,"Transaction Summary";"ei2c",#N/A,TRUE,"Earnings Impact";"ad2",#N/A,TRUE,"accretion dilution";"hg2",#N/A,TRUE,"Has-Gets"}</definedName>
    <definedName name="wrn.70." localSheetId="2"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0." localSheetId="21"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0." localSheetId="22"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0." localSheetId="15"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0." localSheetId="17"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0." localSheetId="10"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0." localSheetId="13"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0."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1." localSheetId="2"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1." localSheetId="21"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1." localSheetId="22"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1." localSheetId="15"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1." localSheetId="17"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1." localSheetId="10"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1." localSheetId="13"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1."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2." localSheetId="2"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72." localSheetId="21"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72." localSheetId="22"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72." localSheetId="15"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72." localSheetId="17"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72." localSheetId="10"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72." localSheetId="13"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72."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8." localSheetId="2" hidden="1">{"cover",#N/A,TRUE,"Cover";"toc2",#N/A,TRUE,"TOC";"ts1",#N/A,TRUE,"Transaction Summary";"ei3",#N/A,TRUE,"Earnings Impact";"ad3",#N/A,TRUE,"accretion dilution";"hg3",#N/A,TRUE,"Has-Gets"}</definedName>
    <definedName name="wrn.8." localSheetId="21" hidden="1">{"cover",#N/A,TRUE,"Cover";"toc2",#N/A,TRUE,"TOC";"ts1",#N/A,TRUE,"Transaction Summary";"ei3",#N/A,TRUE,"Earnings Impact";"ad3",#N/A,TRUE,"accretion dilution";"hg3",#N/A,TRUE,"Has-Gets"}</definedName>
    <definedName name="wrn.8." localSheetId="22" hidden="1">{"cover",#N/A,TRUE,"Cover";"toc2",#N/A,TRUE,"TOC";"ts1",#N/A,TRUE,"Transaction Summary";"ei3",#N/A,TRUE,"Earnings Impact";"ad3",#N/A,TRUE,"accretion dilution";"hg3",#N/A,TRUE,"Has-Gets"}</definedName>
    <definedName name="wrn.8." localSheetId="15" hidden="1">{"cover",#N/A,TRUE,"Cover";"toc2",#N/A,TRUE,"TOC";"ts1",#N/A,TRUE,"Transaction Summary";"ei3",#N/A,TRUE,"Earnings Impact";"ad3",#N/A,TRUE,"accretion dilution";"hg3",#N/A,TRUE,"Has-Gets"}</definedName>
    <definedName name="wrn.8." localSheetId="17" hidden="1">{"cover",#N/A,TRUE,"Cover";"toc2",#N/A,TRUE,"TOC";"ts1",#N/A,TRUE,"Transaction Summary";"ei3",#N/A,TRUE,"Earnings Impact";"ad3",#N/A,TRUE,"accretion dilution";"hg3",#N/A,TRUE,"Has-Gets"}</definedName>
    <definedName name="wrn.8." localSheetId="10" hidden="1">{"cover",#N/A,TRUE,"Cover";"toc2",#N/A,TRUE,"TOC";"ts1",#N/A,TRUE,"Transaction Summary";"ei3",#N/A,TRUE,"Earnings Impact";"ad3",#N/A,TRUE,"accretion dilution";"hg3",#N/A,TRUE,"Has-Gets"}</definedName>
    <definedName name="wrn.8." localSheetId="13" hidden="1">{"cover",#N/A,TRUE,"Cover";"toc2",#N/A,TRUE,"TOC";"ts1",#N/A,TRUE,"Transaction Summary";"ei3",#N/A,TRUE,"Earnings Impact";"ad3",#N/A,TRUE,"accretion dilution";"hg3",#N/A,TRUE,"Has-Gets"}</definedName>
    <definedName name="wrn.8." hidden="1">{"cover",#N/A,TRUE,"Cover";"toc2",#N/A,TRUE,"TOC";"ts1",#N/A,TRUE,"Transaction Summary";"ei3",#N/A,TRUE,"Earnings Impact";"ad3",#N/A,TRUE,"accretion dilution";"hg3",#N/A,TRUE,"Has-Gets"}</definedName>
    <definedName name="wrn.9." localSheetId="2" hidden="1">{"cover",#N/A,TRUE,"Cover";"toc3",#N/A,TRUE,"TOC";"over",#N/A,TRUE,"Overview";"ts2",#N/A,TRUE,"Det_Trans_Sum";"eic",#N/A,TRUE,"Earnings Impact";"ad",#N/A,TRUE,"accretion dilution";"pfis",#N/A,TRUE,"Pro Forma Income Statement";"acqc",#N/A,TRUE,"Acquirer";"tarc",#N/A,TRUE,"Target"}</definedName>
    <definedName name="wrn.9." localSheetId="21" hidden="1">{"cover",#N/A,TRUE,"Cover";"toc3",#N/A,TRUE,"TOC";"over",#N/A,TRUE,"Overview";"ts2",#N/A,TRUE,"Det_Trans_Sum";"eic",#N/A,TRUE,"Earnings Impact";"ad",#N/A,TRUE,"accretion dilution";"pfis",#N/A,TRUE,"Pro Forma Income Statement";"acqc",#N/A,TRUE,"Acquirer";"tarc",#N/A,TRUE,"Target"}</definedName>
    <definedName name="wrn.9." localSheetId="22" hidden="1">{"cover",#N/A,TRUE,"Cover";"toc3",#N/A,TRUE,"TOC";"over",#N/A,TRUE,"Overview";"ts2",#N/A,TRUE,"Det_Trans_Sum";"eic",#N/A,TRUE,"Earnings Impact";"ad",#N/A,TRUE,"accretion dilution";"pfis",#N/A,TRUE,"Pro Forma Income Statement";"acqc",#N/A,TRUE,"Acquirer";"tarc",#N/A,TRUE,"Target"}</definedName>
    <definedName name="wrn.9." localSheetId="15" hidden="1">{"cover",#N/A,TRUE,"Cover";"toc3",#N/A,TRUE,"TOC";"over",#N/A,TRUE,"Overview";"ts2",#N/A,TRUE,"Det_Trans_Sum";"eic",#N/A,TRUE,"Earnings Impact";"ad",#N/A,TRUE,"accretion dilution";"pfis",#N/A,TRUE,"Pro Forma Income Statement";"acqc",#N/A,TRUE,"Acquirer";"tarc",#N/A,TRUE,"Target"}</definedName>
    <definedName name="wrn.9." localSheetId="17" hidden="1">{"cover",#N/A,TRUE,"Cover";"toc3",#N/A,TRUE,"TOC";"over",#N/A,TRUE,"Overview";"ts2",#N/A,TRUE,"Det_Trans_Sum";"eic",#N/A,TRUE,"Earnings Impact";"ad",#N/A,TRUE,"accretion dilution";"pfis",#N/A,TRUE,"Pro Forma Income Statement";"acqc",#N/A,TRUE,"Acquirer";"tarc",#N/A,TRUE,"Target"}</definedName>
    <definedName name="wrn.9." localSheetId="10" hidden="1">{"cover",#N/A,TRUE,"Cover";"toc3",#N/A,TRUE,"TOC";"over",#N/A,TRUE,"Overview";"ts2",#N/A,TRUE,"Det_Trans_Sum";"eic",#N/A,TRUE,"Earnings Impact";"ad",#N/A,TRUE,"accretion dilution";"pfis",#N/A,TRUE,"Pro Forma Income Statement";"acqc",#N/A,TRUE,"Acquirer";"tarc",#N/A,TRUE,"Target"}</definedName>
    <definedName name="wrn.9." localSheetId="13" hidden="1">{"cover",#N/A,TRUE,"Cover";"toc3",#N/A,TRUE,"TOC";"over",#N/A,TRUE,"Overview";"ts2",#N/A,TRUE,"Det_Trans_Sum";"eic",#N/A,TRUE,"Earnings Impact";"ad",#N/A,TRUE,"accretion dilution";"pfis",#N/A,TRUE,"Pro Forma Income Statement";"acqc",#N/A,TRUE,"Acquirer";"tarc",#N/A,TRUE,"Target"}</definedName>
    <definedName name="wrn.9." hidden="1">{"cover",#N/A,TRUE,"Cover";"toc3",#N/A,TRUE,"TOC";"over",#N/A,TRUE,"Overview";"ts2",#N/A,TRUE,"Det_Trans_Sum";"eic",#N/A,TRUE,"Earnings Impact";"ad",#N/A,TRUE,"accretion dilution";"pfis",#N/A,TRUE,"Pro Forma Income Statement";"acqc",#N/A,TRUE,"Acquirer";"tarc",#N/A,TRUE,"Target"}</definedName>
    <definedName name="wrn.99" localSheetId="2"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99" localSheetId="21"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99" localSheetId="22"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99" localSheetId="15"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99" localSheetId="17"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99" localSheetId="10"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99" localSheetId="13"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99"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Aging._.and._.Trend._.Analysis." localSheetId="2" hidden="1">{#N/A,#N/A,FALSE,"Aging Summary";#N/A,#N/A,FALSE,"Ratio Analysis";#N/A,#N/A,FALSE,"Test 120 Day Accts";#N/A,#N/A,FALSE,"Tickmarks"}</definedName>
    <definedName name="wrn.Aging._.and._.Trend._.Analysis." localSheetId="21" hidden="1">{#N/A,#N/A,FALSE,"Aging Summary";#N/A,#N/A,FALSE,"Ratio Analysis";#N/A,#N/A,FALSE,"Test 120 Day Accts";#N/A,#N/A,FALSE,"Tickmarks"}</definedName>
    <definedName name="wrn.Aging._.and._.Trend._.Analysis." localSheetId="22" hidden="1">{#N/A,#N/A,FALSE,"Aging Summary";#N/A,#N/A,FALSE,"Ratio Analysis";#N/A,#N/A,FALSE,"Test 120 Day Accts";#N/A,#N/A,FALSE,"Tickmarks"}</definedName>
    <definedName name="wrn.Aging._.and._.Trend._.Analysis." localSheetId="15"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l." localSheetId="2" hidden="1">{#N/A,#N/A,FALSE,"Summary";#N/A,#N/A,FALSE,"Gen. Wash.";#N/A,#N/A,FALSE,"Iris Court";#N/A,#N/A,FALSE,"Castle Court";#N/A,#N/A,FALSE,"Edge Hills";#N/A,#N/A,FALSE,"Talbot Woods";#N/A,#N/A,FALSE,"Edge Terrace";#N/A,#N/A,FALSE,"Edge Village";#N/A,#N/A,FALSE,"Westgate";#N/A,#N/A,FALSE,"Century Hills";#N/A,#N/A,FALSE,"Parkview";#N/A,#N/A,FALSE,"Park Bethesda";#N/A,#N/A,FALSE,"Fairfax";#N/A,#N/A,FALSE,"North Park";#N/A,#N/A,FALSE,"Huntington";#N/A,#N/A,FALSE,"Bennington"}</definedName>
    <definedName name="wrn.All." localSheetId="21" hidden="1">{#N/A,#N/A,FALSE,"Summary";#N/A,#N/A,FALSE,"Gen. Wash.";#N/A,#N/A,FALSE,"Iris Court";#N/A,#N/A,FALSE,"Castle Court";#N/A,#N/A,FALSE,"Edge Hills";#N/A,#N/A,FALSE,"Talbot Woods";#N/A,#N/A,FALSE,"Edge Terrace";#N/A,#N/A,FALSE,"Edge Village";#N/A,#N/A,FALSE,"Westgate";#N/A,#N/A,FALSE,"Century Hills";#N/A,#N/A,FALSE,"Parkview";#N/A,#N/A,FALSE,"Park Bethesda";#N/A,#N/A,FALSE,"Fairfax";#N/A,#N/A,FALSE,"North Park";#N/A,#N/A,FALSE,"Huntington";#N/A,#N/A,FALSE,"Bennington"}</definedName>
    <definedName name="wrn.All." localSheetId="22" hidden="1">{#N/A,#N/A,FALSE,"Summary";#N/A,#N/A,FALSE,"Gen. Wash.";#N/A,#N/A,FALSE,"Iris Court";#N/A,#N/A,FALSE,"Castle Court";#N/A,#N/A,FALSE,"Edge Hills";#N/A,#N/A,FALSE,"Talbot Woods";#N/A,#N/A,FALSE,"Edge Terrace";#N/A,#N/A,FALSE,"Edge Village";#N/A,#N/A,FALSE,"Westgate";#N/A,#N/A,FALSE,"Century Hills";#N/A,#N/A,FALSE,"Parkview";#N/A,#N/A,FALSE,"Park Bethesda";#N/A,#N/A,FALSE,"Fairfax";#N/A,#N/A,FALSE,"North Park";#N/A,#N/A,FALSE,"Huntington";#N/A,#N/A,FALSE,"Bennington"}</definedName>
    <definedName name="wrn.All." localSheetId="15" hidden="1">{#N/A,#N/A,FALSE,"Summary";#N/A,#N/A,FALSE,"Gen. Wash.";#N/A,#N/A,FALSE,"Iris Court";#N/A,#N/A,FALSE,"Castle Court";#N/A,#N/A,FALSE,"Edge Hills";#N/A,#N/A,FALSE,"Talbot Woods";#N/A,#N/A,FALSE,"Edge Terrace";#N/A,#N/A,FALSE,"Edge Village";#N/A,#N/A,FALSE,"Westgate";#N/A,#N/A,FALSE,"Century Hills";#N/A,#N/A,FALSE,"Parkview";#N/A,#N/A,FALSE,"Park Bethesda";#N/A,#N/A,FALSE,"Fairfax";#N/A,#N/A,FALSE,"North Park";#N/A,#N/A,FALSE,"Huntington";#N/A,#N/A,FALSE,"Bennington"}</definedName>
    <definedName name="wrn.All." localSheetId="17" hidden="1">{#N/A,#N/A,FALSE,"Summary";#N/A,#N/A,FALSE,"Gen. Wash.";#N/A,#N/A,FALSE,"Iris Court";#N/A,#N/A,FALSE,"Castle Court";#N/A,#N/A,FALSE,"Edge Hills";#N/A,#N/A,FALSE,"Talbot Woods";#N/A,#N/A,FALSE,"Edge Terrace";#N/A,#N/A,FALSE,"Edge Village";#N/A,#N/A,FALSE,"Westgate";#N/A,#N/A,FALSE,"Century Hills";#N/A,#N/A,FALSE,"Parkview";#N/A,#N/A,FALSE,"Park Bethesda";#N/A,#N/A,FALSE,"Fairfax";#N/A,#N/A,FALSE,"North Park";#N/A,#N/A,FALSE,"Huntington";#N/A,#N/A,FALSE,"Bennington"}</definedName>
    <definedName name="wrn.All." localSheetId="10" hidden="1">{#N/A,#N/A,FALSE,"Summary";#N/A,#N/A,FALSE,"Gen. Wash.";#N/A,#N/A,FALSE,"Iris Court";#N/A,#N/A,FALSE,"Castle Court";#N/A,#N/A,FALSE,"Edge Hills";#N/A,#N/A,FALSE,"Talbot Woods";#N/A,#N/A,FALSE,"Edge Terrace";#N/A,#N/A,FALSE,"Edge Village";#N/A,#N/A,FALSE,"Westgate";#N/A,#N/A,FALSE,"Century Hills";#N/A,#N/A,FALSE,"Parkview";#N/A,#N/A,FALSE,"Park Bethesda";#N/A,#N/A,FALSE,"Fairfax";#N/A,#N/A,FALSE,"North Park";#N/A,#N/A,FALSE,"Huntington";#N/A,#N/A,FALSE,"Bennington"}</definedName>
    <definedName name="wrn.All." localSheetId="13" hidden="1">{#N/A,#N/A,FALSE,"Summary";#N/A,#N/A,FALSE,"Gen. Wash.";#N/A,#N/A,FALSE,"Iris Court";#N/A,#N/A,FALSE,"Castle Court";#N/A,#N/A,FALSE,"Edge Hills";#N/A,#N/A,FALSE,"Talbot Woods";#N/A,#N/A,FALSE,"Edge Terrace";#N/A,#N/A,FALSE,"Edge Village";#N/A,#N/A,FALSE,"Westgate";#N/A,#N/A,FALSE,"Century Hills";#N/A,#N/A,FALSE,"Parkview";#N/A,#N/A,FALSE,"Park Bethesda";#N/A,#N/A,FALSE,"Fairfax";#N/A,#N/A,FALSE,"North Park";#N/A,#N/A,FALSE,"Huntington";#N/A,#N/A,FALSE,"Bennington"}</definedName>
    <definedName name="wrn.All." hidden="1">{#N/A,#N/A,FALSE,"Summary";#N/A,#N/A,FALSE,"Gen. Wash.";#N/A,#N/A,FALSE,"Iris Court";#N/A,#N/A,FALSE,"Castle Court";#N/A,#N/A,FALSE,"Edge Hills";#N/A,#N/A,FALSE,"Talbot Woods";#N/A,#N/A,FALSE,"Edge Terrace";#N/A,#N/A,FALSE,"Edge Village";#N/A,#N/A,FALSE,"Westgate";#N/A,#N/A,FALSE,"Century Hills";#N/A,#N/A,FALSE,"Parkview";#N/A,#N/A,FALSE,"Park Bethesda";#N/A,#N/A,FALSE,"Fairfax";#N/A,#N/A,FALSE,"North Park";#N/A,#N/A,FALSE,"Huntington";#N/A,#N/A,FALSE,"Bennington"}</definedName>
    <definedName name="wrn.All._.Pages." localSheetId="2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localSheetId="22"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localSheetId="17"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Schedules." localSheetId="21" hidden="1">{#N/A,#N/A,FALSE,"CF Consolidated 2";#N/A,#N/A,FALSE,"Retail Assump";#N/A,#N/A,FALSE,"CF Retail";#N/A,#N/A,FALSE,"Garage Assumpt 1";#N/A,#N/A,FALSE,"Garage Op Proj";#N/A,#N/A,FALSE,"Hist I&amp;E";#N/A,#N/A,FALSE,"Rent Roll";#N/A,#N/A,FALSE,"RE Taxes";#N/A,#N/A,FALSE,"CAM - BH";#N/A,#N/A,FALSE,"Comm.Condo CAM"}</definedName>
    <definedName name="wrn.All._.Schedules." localSheetId="22" hidden="1">{#N/A,#N/A,FALSE,"CF Consolidated 2";#N/A,#N/A,FALSE,"Retail Assump";#N/A,#N/A,FALSE,"CF Retail";#N/A,#N/A,FALSE,"Garage Assumpt 1";#N/A,#N/A,FALSE,"Garage Op Proj";#N/A,#N/A,FALSE,"Hist I&amp;E";#N/A,#N/A,FALSE,"Rent Roll";#N/A,#N/A,FALSE,"RE Taxes";#N/A,#N/A,FALSE,"CAM - BH";#N/A,#N/A,FALSE,"Comm.Condo CAM"}</definedName>
    <definedName name="wrn.All._.Schedules." localSheetId="17" hidden="1">{#N/A,#N/A,FALSE,"CF Consolidated 2";#N/A,#N/A,FALSE,"Retail Assump";#N/A,#N/A,FALSE,"CF Retail";#N/A,#N/A,FALSE,"Garage Assumpt 1";#N/A,#N/A,FALSE,"Garage Op Proj";#N/A,#N/A,FALSE,"Hist I&amp;E";#N/A,#N/A,FALSE,"Rent Roll";#N/A,#N/A,FALSE,"RE Taxes";#N/A,#N/A,FALSE,"CAM - BH";#N/A,#N/A,FALSE,"Comm.Condo CAM"}</definedName>
    <definedName name="wrn.All._.Schedules." localSheetId="10" hidden="1">{#N/A,#N/A,FALSE,"CF Consolidated 2";#N/A,#N/A,FALSE,"Retail Assump";#N/A,#N/A,FALSE,"CF Retail";#N/A,#N/A,FALSE,"Garage Assumpt 1";#N/A,#N/A,FALSE,"Garage Op Proj";#N/A,#N/A,FALSE,"Hist I&amp;E";#N/A,#N/A,FALSE,"Rent Roll";#N/A,#N/A,FALSE,"RE Taxes";#N/A,#N/A,FALSE,"CAM - BH";#N/A,#N/A,FALSE,"Comm.Condo CAM"}</definedName>
    <definedName name="wrn.All._.Schedules." hidden="1">{#N/A,#N/A,FALSE,"CF Consolidated 2";#N/A,#N/A,FALSE,"Retail Assump";#N/A,#N/A,FALSE,"CF Retail";#N/A,#N/A,FALSE,"Garage Assumpt 1";#N/A,#N/A,FALSE,"Garage Op Proj";#N/A,#N/A,FALSE,"Hist I&amp;E";#N/A,#N/A,FALSE,"Rent Roll";#N/A,#N/A,FALSE,"RE Taxes";#N/A,#N/A,FALSE,"CAM - BH";#N/A,#N/A,FALSE,"Comm.Condo CAM"}</definedName>
    <definedName name="wrn.All._.Sections." localSheetId="2" hidden="1">{"Data Entry",#N/A,FALSE,"COMPTEMP";"Ratios",#N/A,FALSE,"COMPTEMP";"Aggregate Values",#N/A,FALSE,"COMPTEMP";"Equity Multiples",#N/A,FALSE,"COMPTEMP";"Summary Overview",#N/A,FALSE,"COMPTEMP"}</definedName>
    <definedName name="wrn.All._.Sections." localSheetId="21" hidden="1">{"Data Entry",#N/A,FALSE,"COMPTEMP";"Ratios",#N/A,FALSE,"COMPTEMP";"Aggregate Values",#N/A,FALSE,"COMPTEMP";"Equity Multiples",#N/A,FALSE,"COMPTEMP";"Summary Overview",#N/A,FALSE,"COMPTEMP"}</definedName>
    <definedName name="wrn.All._.Sections." localSheetId="22" hidden="1">{"Data Entry",#N/A,FALSE,"COMPTEMP";"Ratios",#N/A,FALSE,"COMPTEMP";"Aggregate Values",#N/A,FALSE,"COMPTEMP";"Equity Multiples",#N/A,FALSE,"COMPTEMP";"Summary Overview",#N/A,FALSE,"COMPTEMP"}</definedName>
    <definedName name="wrn.All._.Sections." localSheetId="15" hidden="1">{"Data Entry",#N/A,FALSE,"COMPTEMP";"Ratios",#N/A,FALSE,"COMPTEMP";"Aggregate Values",#N/A,FALSE,"COMPTEMP";"Equity Multiples",#N/A,FALSE,"COMPTEMP";"Summary Overview",#N/A,FALSE,"COMPTEMP"}</definedName>
    <definedName name="wrn.All._.Sections." localSheetId="17" hidden="1">{"Data Entry",#N/A,FALSE,"COMPTEMP";"Ratios",#N/A,FALSE,"COMPTEMP";"Aggregate Values",#N/A,FALSE,"COMPTEMP";"Equity Multiples",#N/A,FALSE,"COMPTEMP";"Summary Overview",#N/A,FALSE,"COMPTEMP"}</definedName>
    <definedName name="wrn.All._.Sections." localSheetId="10" hidden="1">{"Data Entry",#N/A,FALSE,"COMPTEMP";"Ratios",#N/A,FALSE,"COMPTEMP";"Aggregate Values",#N/A,FALSE,"COMPTEMP";"Equity Multiples",#N/A,FALSE,"COMPTEMP";"Summary Overview",#N/A,FALSE,"COMPTEMP"}</definedName>
    <definedName name="wrn.All._.Sections." localSheetId="13" hidden="1">{"Data Entry",#N/A,FALSE,"COMPTEMP";"Ratios",#N/A,FALSE,"COMPTEMP";"Aggregate Values",#N/A,FALSE,"COMPTEMP";"Equity Multiples",#N/A,FALSE,"COMPTEMP";"Summary Overview",#N/A,FALSE,"COMPTEMP"}</definedName>
    <definedName name="wrn.All._.Sections." hidden="1">{"Data Entry",#N/A,FALSE,"COMPTEMP";"Ratios",#N/A,FALSE,"COMPTEMP";"Aggregate Values",#N/A,FALSE,"COMPTEMP";"Equity Multiples",#N/A,FALSE,"COMPTEMP";"Summary Overview",#N/A,FALSE,"COMPTEMP"}</definedName>
    <definedName name="wrn.Alligator." localSheetId="2" hidden="1">{#N/A,#N/A,FALSE,"Cover";#N/A,#N/A,FALSE,"Summary-Alligator";#N/A,#N/A,FALSE,"Proforma-Alligator";#N/A,#N/A,FALSE,"Cougar (12-31)";#N/A,#N/A,FALSE,"Cougar (3-31)";#N/A,#N/A,FALSE,"Alligator (12-31)";#N/A,#N/A,FALSE,"Alligator (3-31)"}</definedName>
    <definedName name="wrn.Alligator." localSheetId="21" hidden="1">{#N/A,#N/A,FALSE,"Cover";#N/A,#N/A,FALSE,"Summary-Alligator";#N/A,#N/A,FALSE,"Proforma-Alligator";#N/A,#N/A,FALSE,"Cougar (12-31)";#N/A,#N/A,FALSE,"Cougar (3-31)";#N/A,#N/A,FALSE,"Alligator (12-31)";#N/A,#N/A,FALSE,"Alligator (3-31)"}</definedName>
    <definedName name="wrn.Alligator." localSheetId="22" hidden="1">{#N/A,#N/A,FALSE,"Cover";#N/A,#N/A,FALSE,"Summary-Alligator";#N/A,#N/A,FALSE,"Proforma-Alligator";#N/A,#N/A,FALSE,"Cougar (12-31)";#N/A,#N/A,FALSE,"Cougar (3-31)";#N/A,#N/A,FALSE,"Alligator (12-31)";#N/A,#N/A,FALSE,"Alligator (3-31)"}</definedName>
    <definedName name="wrn.Alligator." localSheetId="15" hidden="1">{#N/A,#N/A,FALSE,"Cover";#N/A,#N/A,FALSE,"Summary-Alligator";#N/A,#N/A,FALSE,"Proforma-Alligator";#N/A,#N/A,FALSE,"Cougar (12-31)";#N/A,#N/A,FALSE,"Cougar (3-31)";#N/A,#N/A,FALSE,"Alligator (12-31)";#N/A,#N/A,FALSE,"Alligator (3-31)"}</definedName>
    <definedName name="wrn.Alligator." localSheetId="17" hidden="1">{#N/A,#N/A,FALSE,"Cover";#N/A,#N/A,FALSE,"Summary-Alligator";#N/A,#N/A,FALSE,"Proforma-Alligator";#N/A,#N/A,FALSE,"Cougar (12-31)";#N/A,#N/A,FALSE,"Cougar (3-31)";#N/A,#N/A,FALSE,"Alligator (12-31)";#N/A,#N/A,FALSE,"Alligator (3-31)"}</definedName>
    <definedName name="wrn.Alligator." localSheetId="10" hidden="1">{#N/A,#N/A,FALSE,"Cover";#N/A,#N/A,FALSE,"Summary-Alligator";#N/A,#N/A,FALSE,"Proforma-Alligator";#N/A,#N/A,FALSE,"Cougar (12-31)";#N/A,#N/A,FALSE,"Cougar (3-31)";#N/A,#N/A,FALSE,"Alligator (12-31)";#N/A,#N/A,FALSE,"Alligator (3-31)"}</definedName>
    <definedName name="wrn.Alligator." localSheetId="13" hidden="1">{#N/A,#N/A,FALSE,"Cover";#N/A,#N/A,FALSE,"Summary-Alligator";#N/A,#N/A,FALSE,"Proforma-Alligator";#N/A,#N/A,FALSE,"Cougar (12-31)";#N/A,#N/A,FALSE,"Cougar (3-31)";#N/A,#N/A,FALSE,"Alligator (12-31)";#N/A,#N/A,FALSE,"Alligator (3-31)"}</definedName>
    <definedName name="wrn.Alligator." hidden="1">{#N/A,#N/A,FALSE,"Cover";#N/A,#N/A,FALSE,"Summary-Alligator";#N/A,#N/A,FALSE,"Proforma-Alligator";#N/A,#N/A,FALSE,"Cougar (12-31)";#N/A,#N/A,FALSE,"Cougar (3-31)";#N/A,#N/A,FALSE,"Alligator (12-31)";#N/A,#N/A,FALSE,"Alligator (3-31)"}</definedName>
    <definedName name="wrn.Annual._.Summary." localSheetId="2" hidden="1">{"Annual Cash Flows",#N/A,FALSE,"Annual Summary"}</definedName>
    <definedName name="wrn.Annual._.Summary." localSheetId="21" hidden="1">{"Annual Cash Flows",#N/A,FALSE,"Annual Summary"}</definedName>
    <definedName name="wrn.Annual._.Summary." localSheetId="22" hidden="1">{"Annual Cash Flows",#N/A,FALSE,"Annual Summary"}</definedName>
    <definedName name="wrn.Annual._.Summary." localSheetId="15" hidden="1">{"Annual Cash Flows",#N/A,FALSE,"Annual Summary"}</definedName>
    <definedName name="wrn.Annual._.Summary." localSheetId="17" hidden="1">{"Annual Cash Flows",#N/A,FALSE,"Annual Summary"}</definedName>
    <definedName name="wrn.Annual._.Summary." localSheetId="10" hidden="1">{"Annual Cash Flows",#N/A,FALSE,"Annual Summary"}</definedName>
    <definedName name="wrn.Annual._.Summary." localSheetId="13" hidden="1">{"Annual Cash Flows",#N/A,FALSE,"Annual Summary"}</definedName>
    <definedName name="wrn.Annual._.Summary." hidden="1">{"Annual Cash Flows",#N/A,FALSE,"Annual Summary"}</definedName>
    <definedName name="wrn.AnnualRentRoll" localSheetId="2" hidden="1">{"AnnualRentRoll",#N/A,FALSE,"RentRoll"}</definedName>
    <definedName name="wrn.AnnualRentRoll" localSheetId="21" hidden="1">{"AnnualRentRoll",#N/A,FALSE,"RentRoll"}</definedName>
    <definedName name="wrn.AnnualRentRoll" localSheetId="22" hidden="1">{"AnnualRentRoll",#N/A,FALSE,"RentRoll"}</definedName>
    <definedName name="wrn.AnnualRentRoll" localSheetId="15" hidden="1">{"AnnualRentRoll",#N/A,FALSE,"RentRoll"}</definedName>
    <definedName name="wrn.AnnualRentRoll" localSheetId="17" hidden="1">{"AnnualRentRoll",#N/A,FALSE,"RentRoll"}</definedName>
    <definedName name="wrn.AnnualRentRoll" localSheetId="10" hidden="1">{"AnnualRentRoll",#N/A,FALSE,"RentRoll"}</definedName>
    <definedName name="wrn.AnnualRentRoll" localSheetId="13" hidden="1">{"AnnualRentRoll",#N/A,FALSE,"RentRoll"}</definedName>
    <definedName name="wrn.AnnualRentRoll" hidden="1">{"AnnualRentRoll",#N/A,FALSE,"RentRoll"}</definedName>
    <definedName name="wrn.AnnualRentRoll." localSheetId="2" hidden="1">{"AnnualRentRoll",#N/A,FALSE,"RentRoll"}</definedName>
    <definedName name="wrn.AnnualRentRoll." localSheetId="21" hidden="1">{"AnnualRentRoll",#N/A,FALSE,"RentRoll"}</definedName>
    <definedName name="wrn.AnnualRentRoll." localSheetId="22" hidden="1">{"AnnualRentRoll",#N/A,FALSE,"RentRoll"}</definedName>
    <definedName name="wrn.AnnualRentRoll." localSheetId="15" hidden="1">{"AnnualRentRoll",#N/A,FALSE,"RentRoll"}</definedName>
    <definedName name="wrn.AnnualRentRoll." localSheetId="17" hidden="1">{"AnnualRentRoll",#N/A,FALSE,"RentRoll"}</definedName>
    <definedName name="wrn.AnnualRentRoll." localSheetId="10" hidden="1">{"AnnualRentRoll",#N/A,FALSE,"RentRoll"}</definedName>
    <definedName name="wrn.AnnualRentRoll." localSheetId="13" hidden="1">{"AnnualRentRoll",#N/A,FALSE,"RentRoll"}</definedName>
    <definedName name="wrn.AnnualRentRoll." hidden="1">{"AnnualRentRoll",#N/A,FALSE,"RentRoll"}</definedName>
    <definedName name="wrn.annualrentroll2" localSheetId="2" hidden="1">{"AnnualRentRoll",#N/A,FALSE,"RentRoll"}</definedName>
    <definedName name="wrn.annualrentroll2" localSheetId="21" hidden="1">{"AnnualRentRoll",#N/A,FALSE,"RentRoll"}</definedName>
    <definedName name="wrn.annualrentroll2" localSheetId="22" hidden="1">{"AnnualRentRoll",#N/A,FALSE,"RentRoll"}</definedName>
    <definedName name="wrn.annualrentroll2" localSheetId="15" hidden="1">{"AnnualRentRoll",#N/A,FALSE,"RentRoll"}</definedName>
    <definedName name="wrn.annualrentroll2" localSheetId="17" hidden="1">{"AnnualRentRoll",#N/A,FALSE,"RentRoll"}</definedName>
    <definedName name="wrn.annualrentroll2" localSheetId="10" hidden="1">{"AnnualRentRoll",#N/A,FALSE,"RentRoll"}</definedName>
    <definedName name="wrn.annualrentroll2" localSheetId="13" hidden="1">{"AnnualRentRoll",#N/A,FALSE,"RentRoll"}</definedName>
    <definedName name="wrn.annualrentroll2" hidden="1">{"AnnualRentRoll",#N/A,FALSE,"RentRoll"}</definedName>
    <definedName name="wrn.Arena._.PCD." localSheetId="21" hidden="1">{#N/A,#N/A,TRUE,"Maritime Park Arena PCD";#N/A,#N/A,TRUE,"Maritime Park Arena IOR"}</definedName>
    <definedName name="wrn.Arena._.PCD." localSheetId="22" hidden="1">{#N/A,#N/A,TRUE,"Maritime Park Arena PCD";#N/A,#N/A,TRUE,"Maritime Park Arena IOR"}</definedName>
    <definedName name="wrn.Arena._.PCD." localSheetId="17" hidden="1">{#N/A,#N/A,TRUE,"Maritime Park Arena PCD";#N/A,#N/A,TRUE,"Maritime Park Arena IOR"}</definedName>
    <definedName name="wrn.Arena._.PCD." localSheetId="10" hidden="1">{#N/A,#N/A,TRUE,"Maritime Park Arena PCD";#N/A,#N/A,TRUE,"Maritime Park Arena IOR"}</definedName>
    <definedName name="wrn.Arena._.PCD." hidden="1">{#N/A,#N/A,TRUE,"Maritime Park Arena PCD";#N/A,#N/A,TRUE,"Maritime Park Arena IOR"}</definedName>
    <definedName name="wrn.Assumptions." localSheetId="2" hidden="1">{"Assumptions",#N/A,FALSE,"Assumptions"}</definedName>
    <definedName name="wrn.Assumptions." localSheetId="21" hidden="1">{"Assumptions",#N/A,FALSE,"Assumptions"}</definedName>
    <definedName name="wrn.Assumptions." localSheetId="22" hidden="1">{"Assumptions",#N/A,FALSE,"Assumptions"}</definedName>
    <definedName name="wrn.Assumptions." localSheetId="15" hidden="1">{"Assumptions",#N/A,FALSE,"Assumptions"}</definedName>
    <definedName name="wrn.Assumptions." localSheetId="17" hidden="1">{"Assumptions",#N/A,FALSE,"Assumptions"}</definedName>
    <definedName name="wrn.Assumptions." localSheetId="10" hidden="1">{"Assumptions",#N/A,FALSE,"Assumptions"}</definedName>
    <definedName name="wrn.Assumptions." localSheetId="13" hidden="1">{"Assumptions",#N/A,FALSE,"Assumptions"}</definedName>
    <definedName name="wrn.Assumptions." hidden="1">{"Assumptions",#N/A,FALSE,"Assumptions"}</definedName>
    <definedName name="wrn.b"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nkView." localSheetId="2" hidden="1">{"BankView",#N/A,FALSE,"TransSum";#N/A,#N/A,FALSE,"Lab";#N/A,#N/A,FALSE,"Micro wo HiPur";#N/A,#N/A,FALSE,"Texas";#N/A,#N/A,FALSE,"Temple";#N/A,#N/A,FALSE,"Micro";#N/A,#N/A,FALSE,"BuyResale";#N/A,#N/A,FALSE,"Spec.";#N/A,#N/A,FALSE,"Comb";#N/A,#N/A,FALSE,"StandAlon";#N/A,#N/A,FALSE,"IncStmt";#N/A,#N/A,FALSE,"BalSht";#N/A,#N/A,FALSE,"CapEx";#N/A,#N/A,FALSE,"CashFlow";#N/A,#N/A,FALSE,"TBS"}</definedName>
    <definedName name="wrn.BankView." localSheetId="21" hidden="1">{"BankView",#N/A,FALSE,"TransSum";#N/A,#N/A,FALSE,"Lab";#N/A,#N/A,FALSE,"Micro wo HiPur";#N/A,#N/A,FALSE,"Texas";#N/A,#N/A,FALSE,"Temple";#N/A,#N/A,FALSE,"Micro";#N/A,#N/A,FALSE,"BuyResale";#N/A,#N/A,FALSE,"Spec.";#N/A,#N/A,FALSE,"Comb";#N/A,#N/A,FALSE,"StandAlon";#N/A,#N/A,FALSE,"IncStmt";#N/A,#N/A,FALSE,"BalSht";#N/A,#N/A,FALSE,"CapEx";#N/A,#N/A,FALSE,"CashFlow";#N/A,#N/A,FALSE,"TBS"}</definedName>
    <definedName name="wrn.BankView." localSheetId="22" hidden="1">{"BankView",#N/A,FALSE,"TransSum";#N/A,#N/A,FALSE,"Lab";#N/A,#N/A,FALSE,"Micro wo HiPur";#N/A,#N/A,FALSE,"Texas";#N/A,#N/A,FALSE,"Temple";#N/A,#N/A,FALSE,"Micro";#N/A,#N/A,FALSE,"BuyResale";#N/A,#N/A,FALSE,"Spec.";#N/A,#N/A,FALSE,"Comb";#N/A,#N/A,FALSE,"StandAlon";#N/A,#N/A,FALSE,"IncStmt";#N/A,#N/A,FALSE,"BalSht";#N/A,#N/A,FALSE,"CapEx";#N/A,#N/A,FALSE,"CashFlow";#N/A,#N/A,FALSE,"TBS"}</definedName>
    <definedName name="wrn.BankView." localSheetId="15" hidden="1">{"BankView",#N/A,FALSE,"TransSum";#N/A,#N/A,FALSE,"Lab";#N/A,#N/A,FALSE,"Micro wo HiPur";#N/A,#N/A,FALSE,"Texas";#N/A,#N/A,FALSE,"Temple";#N/A,#N/A,FALSE,"Micro";#N/A,#N/A,FALSE,"BuyResale";#N/A,#N/A,FALSE,"Spec.";#N/A,#N/A,FALSE,"Comb";#N/A,#N/A,FALSE,"StandAlon";#N/A,#N/A,FALSE,"IncStmt";#N/A,#N/A,FALSE,"BalSht";#N/A,#N/A,FALSE,"CapEx";#N/A,#N/A,FALSE,"CashFlow";#N/A,#N/A,FALSE,"TBS"}</definedName>
    <definedName name="wrn.BankView." localSheetId="17" hidden="1">{"BankView",#N/A,FALSE,"TransSum";#N/A,#N/A,FALSE,"Lab";#N/A,#N/A,FALSE,"Micro wo HiPur";#N/A,#N/A,FALSE,"Texas";#N/A,#N/A,FALSE,"Temple";#N/A,#N/A,FALSE,"Micro";#N/A,#N/A,FALSE,"BuyResale";#N/A,#N/A,FALSE,"Spec.";#N/A,#N/A,FALSE,"Comb";#N/A,#N/A,FALSE,"StandAlon";#N/A,#N/A,FALSE,"IncStmt";#N/A,#N/A,FALSE,"BalSht";#N/A,#N/A,FALSE,"CapEx";#N/A,#N/A,FALSE,"CashFlow";#N/A,#N/A,FALSE,"TBS"}</definedName>
    <definedName name="wrn.BankView." localSheetId="10" hidden="1">{"BankView",#N/A,FALSE,"TransSum";#N/A,#N/A,FALSE,"Lab";#N/A,#N/A,FALSE,"Micro wo HiPur";#N/A,#N/A,FALSE,"Texas";#N/A,#N/A,FALSE,"Temple";#N/A,#N/A,FALSE,"Micro";#N/A,#N/A,FALSE,"BuyResale";#N/A,#N/A,FALSE,"Spec.";#N/A,#N/A,FALSE,"Comb";#N/A,#N/A,FALSE,"StandAlon";#N/A,#N/A,FALSE,"IncStmt";#N/A,#N/A,FALSE,"BalSht";#N/A,#N/A,FALSE,"CapEx";#N/A,#N/A,FALSE,"CashFlow";#N/A,#N/A,FALSE,"TBS"}</definedName>
    <definedName name="wrn.BankView." localSheetId="13" hidden="1">{"BankView",#N/A,FALSE,"TransSum";#N/A,#N/A,FALSE,"Lab";#N/A,#N/A,FALSE,"Micro wo HiPur";#N/A,#N/A,FALSE,"Texas";#N/A,#N/A,FALSE,"Temple";#N/A,#N/A,FALSE,"Micro";#N/A,#N/A,FALSE,"BuyResale";#N/A,#N/A,FALSE,"Spec.";#N/A,#N/A,FALSE,"Comb";#N/A,#N/A,FALSE,"StandAlon";#N/A,#N/A,FALSE,"IncStmt";#N/A,#N/A,FALSE,"BalSht";#N/A,#N/A,FALSE,"CapEx";#N/A,#N/A,FALSE,"CashFlow";#N/A,#N/A,FALSE,"TBS"}</definedName>
    <definedName name="wrn.BankView." hidden="1">{"BankView",#N/A,FALSE,"TransSum";#N/A,#N/A,FALSE,"Lab";#N/A,#N/A,FALSE,"Micro wo HiPur";#N/A,#N/A,FALSE,"Texas";#N/A,#N/A,FALSE,"Temple";#N/A,#N/A,FALSE,"Micro";#N/A,#N/A,FALSE,"BuyResale";#N/A,#N/A,FALSE,"Spec.";#N/A,#N/A,FALSE,"Comb";#N/A,#N/A,FALSE,"StandAlon";#N/A,#N/A,FALSE,"IncStmt";#N/A,#N/A,FALSE,"BalSht";#N/A,#N/A,FALSE,"CapEx";#N/A,#N/A,FALSE,"CashFlow";#N/A,#N/A,FALSE,"TBS"}</definedName>
    <definedName name="wrn.bas"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1"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1"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1"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1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1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1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1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2"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2"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2"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2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2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2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2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3"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3"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3"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3"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3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3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3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3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2"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2"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2"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2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2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2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2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3"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3"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3"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3"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3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3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3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3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2"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2"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2"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2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2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2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2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3"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3"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3"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3"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3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3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3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3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4"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4"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4"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4"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4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4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4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4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5"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5"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5"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5"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5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5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5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5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s"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s"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s"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s"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s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s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s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s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ss"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ss"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ss"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ss"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ss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ss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ss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css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ii"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ii"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ii"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ii"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ii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ii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ii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asiii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ericht._.Vorstand." localSheetId="21" hidden="1">{#N/A,#N/A,FALSE,"Finale1";#N/A,#N/A,FALSE,"Finale2";#N/A,#N/A,FALSE,"peiodisch1";#N/A,#N/A,FALSE,"periodisch2";#N/A,#N/A,FALSE,"Aktiv";#N/A,#N/A,FALSE,"Passiv";#N/A,#N/A,FALSE,"Report 2";#N/A,#N/A,FALSE,"Report 3";#N/A,#N/A,FALSE,"Summary";#N/A,#N/A,FALSE,"EWB";#N/A,#N/A,FALSE,"Actual-Budget (kum)";#N/A,#N/A,FALSE,"Actual-Budget (per)";#N/A,#N/A,FALSE,"Comparison YTD"}</definedName>
    <definedName name="wrn.Bericht._.Vorstand." localSheetId="22" hidden="1">{#N/A,#N/A,FALSE,"Finale1";#N/A,#N/A,FALSE,"Finale2";#N/A,#N/A,FALSE,"peiodisch1";#N/A,#N/A,FALSE,"periodisch2";#N/A,#N/A,FALSE,"Aktiv";#N/A,#N/A,FALSE,"Passiv";#N/A,#N/A,FALSE,"Report 2";#N/A,#N/A,FALSE,"Report 3";#N/A,#N/A,FALSE,"Summary";#N/A,#N/A,FALSE,"EWB";#N/A,#N/A,FALSE,"Actual-Budget (kum)";#N/A,#N/A,FALSE,"Actual-Budget (per)";#N/A,#N/A,FALSE,"Comparison YTD"}</definedName>
    <definedName name="wrn.Bericht._.Vorstand." localSheetId="17" hidden="1">{#N/A,#N/A,FALSE,"Finale1";#N/A,#N/A,FALSE,"Finale2";#N/A,#N/A,FALSE,"peiodisch1";#N/A,#N/A,FALSE,"periodisch2";#N/A,#N/A,FALSE,"Aktiv";#N/A,#N/A,FALSE,"Passiv";#N/A,#N/A,FALSE,"Report 2";#N/A,#N/A,FALSE,"Report 3";#N/A,#N/A,FALSE,"Summary";#N/A,#N/A,FALSE,"EWB";#N/A,#N/A,FALSE,"Actual-Budget (kum)";#N/A,#N/A,FALSE,"Actual-Budget (per)";#N/A,#N/A,FALSE,"Comparison YTD"}</definedName>
    <definedName name="wrn.Bericht._.Vorstand." hidden="1">{#N/A,#N/A,FALSE,"Finale1";#N/A,#N/A,FALSE,"Finale2";#N/A,#N/A,FALSE,"peiodisch1";#N/A,#N/A,FALSE,"periodisch2";#N/A,#N/A,FALSE,"Aktiv";#N/A,#N/A,FALSE,"Passiv";#N/A,#N/A,FALSE,"Report 2";#N/A,#N/A,FALSE,"Report 3";#N/A,#N/A,FALSE,"Summary";#N/A,#N/A,FALSE,"EWB";#N/A,#N/A,FALSE,"Actual-Budget (kum)";#N/A,#N/A,FALSE,"Actual-Budget (per)";#N/A,#N/A,FALSE,"Comparison YTD"}</definedName>
    <definedName name="wrn.b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BlackWhite." localSheetId="21" hidden="1">{#N/A,#N/A,FALSE,"NNN sum";#N/A,#N/A,FALSE,"10-yr Opt. A Sum";#N/A,#N/A,FALSE,"10-yr Opt A Other Costs";#N/A,#N/A,FALSE,"Purchase Sum";#N/A,#N/A,FALSE,"Purchase Other Costs"}</definedName>
    <definedName name="wrn.BlackWhite." localSheetId="22" hidden="1">{#N/A,#N/A,FALSE,"NNN sum";#N/A,#N/A,FALSE,"10-yr Opt. A Sum";#N/A,#N/A,FALSE,"10-yr Opt A Other Costs";#N/A,#N/A,FALSE,"Purchase Sum";#N/A,#N/A,FALSE,"Purchase Other Costs"}</definedName>
    <definedName name="wrn.BlackWhite." localSheetId="17" hidden="1">{#N/A,#N/A,FALSE,"NNN sum";#N/A,#N/A,FALSE,"10-yr Opt. A Sum";#N/A,#N/A,FALSE,"10-yr Opt A Other Costs";#N/A,#N/A,FALSE,"Purchase Sum";#N/A,#N/A,FALSE,"Purchase Other Costs"}</definedName>
    <definedName name="wrn.BlackWhite." localSheetId="10" hidden="1">{#N/A,#N/A,FALSE,"NNN sum";#N/A,#N/A,FALSE,"10-yr Opt. A Sum";#N/A,#N/A,FALSE,"10-yr Opt A Other Costs";#N/A,#N/A,FALSE,"Purchase Sum";#N/A,#N/A,FALSE,"Purchase Other Costs"}</definedName>
    <definedName name="wrn.BlackWhite." hidden="1">{#N/A,#N/A,FALSE,"NNN sum";#N/A,#N/A,FALSE,"10-yr Opt. A Sum";#N/A,#N/A,FALSE,"10-yr Opt A Other Costs";#N/A,#N/A,FALSE,"Purchase Sum";#N/A,#N/A,FALSE,"Purchase Other Costs"}</definedName>
    <definedName name="wrn.Blue._.Book._.Sections." localSheetId="2" hidden="1">{#N/A,#N/A,TRUE,"Summary";#N/A,#N/A,TRUE,"Program Scheme";#N/A,#N/A,TRUE,"Assumptions";#N/A,#N/A,TRUE,"Development Budget &amp; Timing";#N/A,#N/A,TRUE,"Cash Flow";#N/A,#N/A,TRUE,"Cash Flow to Debt &amp; Equity"}</definedName>
    <definedName name="wrn.Blue._.Book._.Sections." localSheetId="21" hidden="1">{#N/A,#N/A,TRUE,"Summary";#N/A,#N/A,TRUE,"Program Scheme";#N/A,#N/A,TRUE,"Assumptions";#N/A,#N/A,TRUE,"Development Budget &amp; Timing";#N/A,#N/A,TRUE,"Cash Flow";#N/A,#N/A,TRUE,"Cash Flow to Debt &amp; Equity"}</definedName>
    <definedName name="wrn.Blue._.Book._.Sections." localSheetId="22" hidden="1">{#N/A,#N/A,TRUE,"Summary";#N/A,#N/A,TRUE,"Program Scheme";#N/A,#N/A,TRUE,"Assumptions";#N/A,#N/A,TRUE,"Development Budget &amp; Timing";#N/A,#N/A,TRUE,"Cash Flow";#N/A,#N/A,TRUE,"Cash Flow to Debt &amp; Equity"}</definedName>
    <definedName name="wrn.Blue._.Book._.Sections." localSheetId="15" hidden="1">{#N/A,#N/A,TRUE,"Summary";#N/A,#N/A,TRUE,"Program Scheme";#N/A,#N/A,TRUE,"Assumptions";#N/A,#N/A,TRUE,"Development Budget &amp; Timing";#N/A,#N/A,TRUE,"Cash Flow";#N/A,#N/A,TRUE,"Cash Flow to Debt &amp; Equity"}</definedName>
    <definedName name="wrn.Blue._.Book._.Sections." localSheetId="17" hidden="1">{#N/A,#N/A,TRUE,"Summary";#N/A,#N/A,TRUE,"Program Scheme";#N/A,#N/A,TRUE,"Assumptions";#N/A,#N/A,TRUE,"Development Budget &amp; Timing";#N/A,#N/A,TRUE,"Cash Flow";#N/A,#N/A,TRUE,"Cash Flow to Debt &amp; Equity"}</definedName>
    <definedName name="wrn.Blue._.Book._.Sections." localSheetId="10" hidden="1">{#N/A,#N/A,TRUE,"Summary";#N/A,#N/A,TRUE,"Program Scheme";#N/A,#N/A,TRUE,"Assumptions";#N/A,#N/A,TRUE,"Development Budget &amp; Timing";#N/A,#N/A,TRUE,"Cash Flow";#N/A,#N/A,TRUE,"Cash Flow to Debt &amp; Equity"}</definedName>
    <definedName name="wrn.Blue._.Book._.Sections." localSheetId="13" hidden="1">{#N/A,#N/A,TRUE,"Summary";#N/A,#N/A,TRUE,"Program Scheme";#N/A,#N/A,TRUE,"Assumptions";#N/A,#N/A,TRUE,"Development Budget &amp; Timing";#N/A,#N/A,TRUE,"Cash Flow";#N/A,#N/A,TRUE,"Cash Flow to Debt &amp; Equity"}</definedName>
    <definedName name="wrn.Blue._.Book._.Sections." hidden="1">{#N/A,#N/A,TRUE,"Summary";#N/A,#N/A,TRUE,"Program Scheme";#N/A,#N/A,TRUE,"Assumptions";#N/A,#N/A,TRUE,"Development Budget &amp; Timing";#N/A,#N/A,TRUE,"Cash Flow";#N/A,#N/A,TRUE,"Cash Flow to Debt &amp; Equity"}</definedName>
    <definedName name="wrn.Bonds." localSheetId="21" hidden="1">{#N/A,#N/A,FALSE,"Bonds - Consol";#N/A,#N/A,FALSE,"Bonds - Lakes";#N/A,#N/A,FALSE,"Bonds - Chabot";#N/A,#N/A,FALSE,"Bonds - Diablo"}</definedName>
    <definedName name="wrn.Bonds." localSheetId="22" hidden="1">{#N/A,#N/A,FALSE,"Bonds - Consol";#N/A,#N/A,FALSE,"Bonds - Lakes";#N/A,#N/A,FALSE,"Bonds - Chabot";#N/A,#N/A,FALSE,"Bonds - Diablo"}</definedName>
    <definedName name="wrn.Bonds." localSheetId="17" hidden="1">{#N/A,#N/A,FALSE,"Bonds - Consol";#N/A,#N/A,FALSE,"Bonds - Lakes";#N/A,#N/A,FALSE,"Bonds - Chabot";#N/A,#N/A,FALSE,"Bonds - Diablo"}</definedName>
    <definedName name="wrn.Bonds." localSheetId="10" hidden="1">{#N/A,#N/A,FALSE,"Bonds - Consol";#N/A,#N/A,FALSE,"Bonds - Lakes";#N/A,#N/A,FALSE,"Bonds - Chabot";#N/A,#N/A,FALSE,"Bonds - Diablo"}</definedName>
    <definedName name="wrn.Bonds." hidden="1">{#N/A,#N/A,FALSE,"Bonds - Consol";#N/A,#N/A,FALSE,"Bonds - Lakes";#N/A,#N/A,FALSE,"Bonds - Chabot";#N/A,#N/A,FALSE,"Bonds - Diablo"}</definedName>
    <definedName name="wrn.breakup." localSheetId="2" hidden="1">{"comps1",#N/A,FALSE,"Comps Sheet";"comps2",#N/A,FALSE,"Comps Sheet";"comps3",#N/A,FALSE,"Comps Sheet";"comps4",#N/A,FALSE,"Comps Sheet";"comps5",#N/A,FALSE,"Comps Sheet";"comps6",#N/A,FALSE,"Comps Sheet";"ec",#N/A,FALSE,"E&amp;C";"environmental",#N/A,FALSE,"Environmental";"heavy",#N/A,FALSE,"Heavy Const."}</definedName>
    <definedName name="wrn.breakup." localSheetId="21" hidden="1">{"comps1",#N/A,FALSE,"Comps Sheet";"comps2",#N/A,FALSE,"Comps Sheet";"comps3",#N/A,FALSE,"Comps Sheet";"comps4",#N/A,FALSE,"Comps Sheet";"comps5",#N/A,FALSE,"Comps Sheet";"comps6",#N/A,FALSE,"Comps Sheet";"ec",#N/A,FALSE,"E&amp;C";"environmental",#N/A,FALSE,"Environmental";"heavy",#N/A,FALSE,"Heavy Const."}</definedName>
    <definedName name="wrn.breakup." localSheetId="22" hidden="1">{"comps1",#N/A,FALSE,"Comps Sheet";"comps2",#N/A,FALSE,"Comps Sheet";"comps3",#N/A,FALSE,"Comps Sheet";"comps4",#N/A,FALSE,"Comps Sheet";"comps5",#N/A,FALSE,"Comps Sheet";"comps6",#N/A,FALSE,"Comps Sheet";"ec",#N/A,FALSE,"E&amp;C";"environmental",#N/A,FALSE,"Environmental";"heavy",#N/A,FALSE,"Heavy Const."}</definedName>
    <definedName name="wrn.breakup." localSheetId="15" hidden="1">{"comps1",#N/A,FALSE,"Comps Sheet";"comps2",#N/A,FALSE,"Comps Sheet";"comps3",#N/A,FALSE,"Comps Sheet";"comps4",#N/A,FALSE,"Comps Sheet";"comps5",#N/A,FALSE,"Comps Sheet";"comps6",#N/A,FALSE,"Comps Sheet";"ec",#N/A,FALSE,"E&amp;C";"environmental",#N/A,FALSE,"Environmental";"heavy",#N/A,FALSE,"Heavy Const."}</definedName>
    <definedName name="wrn.breakup." localSheetId="17" hidden="1">{"comps1",#N/A,FALSE,"Comps Sheet";"comps2",#N/A,FALSE,"Comps Sheet";"comps3",#N/A,FALSE,"Comps Sheet";"comps4",#N/A,FALSE,"Comps Sheet";"comps5",#N/A,FALSE,"Comps Sheet";"comps6",#N/A,FALSE,"Comps Sheet";"ec",#N/A,FALSE,"E&amp;C";"environmental",#N/A,FALSE,"Environmental";"heavy",#N/A,FALSE,"Heavy Const."}</definedName>
    <definedName name="wrn.breakup." localSheetId="10" hidden="1">{"comps1",#N/A,FALSE,"Comps Sheet";"comps2",#N/A,FALSE,"Comps Sheet";"comps3",#N/A,FALSE,"Comps Sheet";"comps4",#N/A,FALSE,"Comps Sheet";"comps5",#N/A,FALSE,"Comps Sheet";"comps6",#N/A,FALSE,"Comps Sheet";"ec",#N/A,FALSE,"E&amp;C";"environmental",#N/A,FALSE,"Environmental";"heavy",#N/A,FALSE,"Heavy Const."}</definedName>
    <definedName name="wrn.breakup." localSheetId="13" hidden="1">{"comps1",#N/A,FALSE,"Comps Sheet";"comps2",#N/A,FALSE,"Comps Sheet";"comps3",#N/A,FALSE,"Comps Sheet";"comps4",#N/A,FALSE,"Comps Sheet";"comps5",#N/A,FALSE,"Comps Sheet";"comps6",#N/A,FALSE,"Comps Sheet";"ec",#N/A,FALSE,"E&amp;C";"environmental",#N/A,FALSE,"Environmental";"heavy",#N/A,FALSE,"Heavy Const."}</definedName>
    <definedName name="wrn.breakup." hidden="1">{"comps1",#N/A,FALSE,"Comps Sheet";"comps2",#N/A,FALSE,"Comps Sheet";"comps3",#N/A,FALSE,"Comps Sheet";"comps4",#N/A,FALSE,"Comps Sheet";"comps5",#N/A,FALSE,"Comps Sheet";"comps6",#N/A,FALSE,"Comps Sheet";"ec",#N/A,FALSE,"E&amp;C";"environmental",#N/A,FALSE,"Environmental";"heavy",#N/A,FALSE,"Heavy Const."}</definedName>
    <definedName name="wrn.CAPREIT." localSheetId="21" hidden="1">{#N/A,#N/A,FALSE,"CAPREIT"}</definedName>
    <definedName name="wrn.CAPREIT." localSheetId="11" hidden="1">{#N/A,#N/A,FALSE,"CAPREIT"}</definedName>
    <definedName name="wrn.CAPREIT." localSheetId="22" hidden="1">{#N/A,#N/A,FALSE,"CAPREIT"}</definedName>
    <definedName name="wrn.CAPREIT." localSheetId="17" hidden="1">{#N/A,#N/A,FALSE,"CAPREIT"}</definedName>
    <definedName name="wrn.CAPREIT." localSheetId="10" hidden="1">{#N/A,#N/A,FALSE,"CAPREIT"}</definedName>
    <definedName name="wrn.CAPREIT." hidden="1">{#N/A,#N/A,FALSE,"CAPREIT"}</definedName>
    <definedName name="wrn.CAPREIT2" localSheetId="21" hidden="1">{#N/A,#N/A,FALSE,"CAPREIT"}</definedName>
    <definedName name="wrn.CAPREIT2" localSheetId="11" hidden="1">{#N/A,#N/A,FALSE,"CAPREIT"}</definedName>
    <definedName name="wrn.CAPREIT2" localSheetId="22" hidden="1">{#N/A,#N/A,FALSE,"CAPREIT"}</definedName>
    <definedName name="wrn.CAPREIT2" localSheetId="17" hidden="1">{#N/A,#N/A,FALSE,"CAPREIT"}</definedName>
    <definedName name="wrn.CAPREIT2" localSheetId="10" hidden="1">{#N/A,#N/A,FALSE,"CAPREIT"}</definedName>
    <definedName name="wrn.CAPREIT2" hidden="1">{#N/A,#N/A,FALSE,"CAPREIT"}</definedName>
    <definedName name="wrn.Cash._.Flow._.Analysis." localSheetId="2" hidden="1">{"CF",#N/A,FALSE,"Cash Flow";"RET",#N/A,FALSE,"Returns";"NPV",#N/A,FALSE,"Values";"ASMPT",#N/A,FALSE,"Assumptions"}</definedName>
    <definedName name="wrn.Cash._.Flow._.Analysis." localSheetId="21" hidden="1">{"CF",#N/A,FALSE,"Cash Flow";"RET",#N/A,FALSE,"Returns";"NPV",#N/A,FALSE,"Values";"ASMPT",#N/A,FALSE,"Assumptions"}</definedName>
    <definedName name="wrn.Cash._.Flow._.Analysis." localSheetId="11" hidden="1">{"CF",#N/A,FALSE,"Cash Flow";"RET",#N/A,FALSE,"Returns";"NPV",#N/A,FALSE,"Values";"ASMPT",#N/A,FALSE,"Assumptions"}</definedName>
    <definedName name="wrn.Cash._.Flow._.Analysis." localSheetId="22" hidden="1">{"CF",#N/A,FALSE,"Cash Flow";"RET",#N/A,FALSE,"Returns";"NPV",#N/A,FALSE,"Values";"ASMPT",#N/A,FALSE,"Assumptions"}</definedName>
    <definedName name="wrn.Cash._.Flow._.Analysis." localSheetId="15" hidden="1">{"CF",#N/A,FALSE,"Cash Flow";"RET",#N/A,FALSE,"Returns";"NPV",#N/A,FALSE,"Values";"ASMPT",#N/A,FALSE,"Assumptions"}</definedName>
    <definedName name="wrn.Cash._.Flow._.Analysis." localSheetId="17" hidden="1">{"CF",#N/A,FALSE,"Cash Flow";"RET",#N/A,FALSE,"Returns";"NPV",#N/A,FALSE,"Values";"ASMPT",#N/A,FALSE,"Assumptions"}</definedName>
    <definedName name="wrn.Cash._.Flow._.Analysis." localSheetId="10" hidden="1">{"CF",#N/A,FALSE,"Cash Flow";"RET",#N/A,FALSE,"Returns";"NPV",#N/A,FALSE,"Values";"ASMPT",#N/A,FALSE,"Assumptions"}</definedName>
    <definedName name="wrn.Cash._.Flow._.Analysis." localSheetId="13" hidden="1">{"CF",#N/A,FALSE,"Cash Flow";"RET",#N/A,FALSE,"Returns";"NPV",#N/A,FALSE,"Values";"ASMPT",#N/A,FALSE,"Assumptions"}</definedName>
    <definedName name="wrn.Cash._.Flow._.Analysis." hidden="1">{"CF",#N/A,FALSE,"Cash Flow";"RET",#N/A,FALSE,"Returns";"NPV",#N/A,FALSE,"Values";"ASMPT",#N/A,FALSE,"Assumptions"}</definedName>
    <definedName name="wrn.Cash._.Flow._.and._.Matrix." localSheetId="21" hidden="1">{#N/A,#N/A,FALSE,"Matrix";#N/A,#N/A,FALSE,"Cash Flow";#N/A,#N/A,FALSE,"10 Year Cost Analysis"}</definedName>
    <definedName name="wrn.Cash._.Flow._.and._.Matrix." localSheetId="22" hidden="1">{#N/A,#N/A,FALSE,"Matrix";#N/A,#N/A,FALSE,"Cash Flow";#N/A,#N/A,FALSE,"10 Year Cost Analysis"}</definedName>
    <definedName name="wrn.Cash._.Flow._.and._.Matrix." localSheetId="17" hidden="1">{#N/A,#N/A,FALSE,"Matrix";#N/A,#N/A,FALSE,"Cash Flow";#N/A,#N/A,FALSE,"10 Year Cost Analysis"}</definedName>
    <definedName name="wrn.Cash._.Flow._.and._.Matrix." localSheetId="10" hidden="1">{#N/A,#N/A,FALSE,"Matrix";#N/A,#N/A,FALSE,"Cash Flow";#N/A,#N/A,FALSE,"10 Year Cost Analysis"}</definedName>
    <definedName name="wrn.Cash._.Flow._.and._.Matrix." hidden="1">{#N/A,#N/A,FALSE,"Matrix";#N/A,#N/A,FALSE,"Cash Flow";#N/A,#N/A,FALSE,"10 Year Cost Analysis"}</definedName>
    <definedName name="wrn.CASH._.FLOWS._.ONLY." localSheetId="21" hidden="1">{#N/A,#N/A,FALSE,"Assumptions";#N/A,#N/A,FALSE,"Consol CF";#N/A,#N/A,FALSE,"Hacienda CF";#N/A,#N/A,FALSE,"Chabot CF";#N/A,#N/A,FALSE,"Diablo CF"}</definedName>
    <definedName name="wrn.CASH._.FLOWS._.ONLY." localSheetId="22" hidden="1">{#N/A,#N/A,FALSE,"Assumptions";#N/A,#N/A,FALSE,"Consol CF";#N/A,#N/A,FALSE,"Hacienda CF";#N/A,#N/A,FALSE,"Chabot CF";#N/A,#N/A,FALSE,"Diablo CF"}</definedName>
    <definedName name="wrn.CASH._.FLOWS._.ONLY." localSheetId="17" hidden="1">{#N/A,#N/A,FALSE,"Assumptions";#N/A,#N/A,FALSE,"Consol CF";#N/A,#N/A,FALSE,"Hacienda CF";#N/A,#N/A,FALSE,"Chabot CF";#N/A,#N/A,FALSE,"Diablo CF"}</definedName>
    <definedName name="wrn.CASH._.FLOWS._.ONLY." localSheetId="10" hidden="1">{#N/A,#N/A,FALSE,"Assumptions";#N/A,#N/A,FALSE,"Consol CF";#N/A,#N/A,FALSE,"Hacienda CF";#N/A,#N/A,FALSE,"Chabot CF";#N/A,#N/A,FALSE,"Diablo CF"}</definedName>
    <definedName name="wrn.CASH._.FLOWS._.ONLY." hidden="1">{#N/A,#N/A,FALSE,"Assumptions";#N/A,#N/A,FALSE,"Consol CF";#N/A,#N/A,FALSE,"Hacienda CF";#N/A,#N/A,FALSE,"Chabot CF";#N/A,#N/A,FALSE,"Diablo CF"}</definedName>
    <definedName name="wrn.CCC." localSheetId="21" hidden="1">{#N/A,#N/A,FALSE,"A";#N/A,#N/A,FALSE,"B"}</definedName>
    <definedName name="wrn.CCC." localSheetId="22" hidden="1">{#N/A,#N/A,FALSE,"A";#N/A,#N/A,FALSE,"B"}</definedName>
    <definedName name="wrn.CCC." localSheetId="17" hidden="1">{#N/A,#N/A,FALSE,"A";#N/A,#N/A,FALSE,"B"}</definedName>
    <definedName name="wrn.CCC." localSheetId="10" hidden="1">{#N/A,#N/A,FALSE,"A";#N/A,#N/A,FALSE,"B"}</definedName>
    <definedName name="wrn.CCC." hidden="1">{#N/A,#N/A,FALSE,"A";#N/A,#N/A,FALSE,"B"}</definedName>
    <definedName name="wrn.CCC._.OPEX." localSheetId="21"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wrn.CCC._.OPEX." localSheetId="22"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wrn.CCC._.OPEX." localSheetId="17"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wrn.CCC._.OPEX." localSheetId="10"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wrn.CCC._.OPEX."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wrn.Client_Report." localSheetId="21"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localSheetId="22"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localSheetId="17"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copy." localSheetId="2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22"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17"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Flagler" localSheetId="2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Flagler" localSheetId="22"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Flagler" localSheetId="17"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Flagler"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m"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com"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com"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com"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com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com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com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com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Complete." localSheetId="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2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2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1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1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10"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1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2" localSheetId="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2" localSheetId="2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2" localSheetId="2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2" localSheetId="1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2" localSheetId="1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2" localSheetId="10"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2" localSheetId="1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localSheetId="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localSheetId="2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localSheetId="2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localSheetId="1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localSheetId="1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localSheetId="10"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localSheetId="1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x"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complex"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complex"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complex"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complexFlagler" localSheetId="21"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complexFlagler" localSheetId="22"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complexFlagler" localSheetId="17"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complexFlagler" hidden="1">{#N/A,#N/A,TRUE,"Title";#N/A,#N/A,TRUE,"Exec Sum";#N/A,#N/A,TRUE,"Summary Ave";#N/A,#N/A,TRUE,"MV";#N/A,#N/A,TRUE,"Improvement";#N/A,#N/A,TRUE,"SVA Ave";#N/A,#N/A,TRUE,"NOPAT";#N/A,#N/A,TRUE,"NOPAT-Fin. Methd";#N/A,#N/A,TRUE,"Capital";#N/A,#N/A,TRUE,"Cost of Capital";#N/A,#N/A,TRUE,"Cash Taxes";#N/A,#N/A,TRUE,"Income Statement";#N/A,#N/A,TRUE,"Balance Sheet";#N/A,#N/A,TRUE,"Unusual"}</definedName>
    <definedName name="wrn.Construction._.Costs." localSheetId="2" hidden="1">{"Construction Costs",#N/A,FALSE,"Total Costs"}</definedName>
    <definedName name="wrn.Construction._.Costs." localSheetId="21" hidden="1">{"Construction Costs",#N/A,FALSE,"Total Costs"}</definedName>
    <definedName name="wrn.Construction._.Costs." localSheetId="22" hidden="1">{"Construction Costs",#N/A,FALSE,"Total Costs"}</definedName>
    <definedName name="wrn.Construction._.Costs." localSheetId="15" hidden="1">{"Construction Costs",#N/A,FALSE,"Total Costs"}</definedName>
    <definedName name="wrn.Construction._.Costs." localSheetId="17" hidden="1">{"Construction Costs",#N/A,FALSE,"Total Costs"}</definedName>
    <definedName name="wrn.Construction._.Costs." localSheetId="10" hidden="1">{"Construction Costs",#N/A,FALSE,"Total Costs"}</definedName>
    <definedName name="wrn.Construction._.Costs." localSheetId="13" hidden="1">{"Construction Costs",#N/A,FALSE,"Total Costs"}</definedName>
    <definedName name="wrn.Construction._.Costs." hidden="1">{"Construction Costs",#N/A,FALSE,"Total Costs"}</definedName>
    <definedName name="wrn.Core." localSheetId="21" hidden="1">{#N/A,#N/A,FALSE,"Summary";#N/A,#N/A,FALSE,"Summary (2)";#N/A,#N/A,FALSE,"100 Wall (ll)";#N/A,#N/A,FALSE,"100 Wall (pj)";#N/A,#N/A,FALSE,"88 Pine (ll)";#N/A,#N/A,FALSE,"88 Pine (pj)";#N/A,#N/A,FALSE,"1 WTC (ll)";#N/A,#N/A,FALSE,"1 WTC (pj)"}</definedName>
    <definedName name="wrn.Core." localSheetId="22" hidden="1">{#N/A,#N/A,FALSE,"Summary";#N/A,#N/A,FALSE,"Summary (2)";#N/A,#N/A,FALSE,"100 Wall (ll)";#N/A,#N/A,FALSE,"100 Wall (pj)";#N/A,#N/A,FALSE,"88 Pine (ll)";#N/A,#N/A,FALSE,"88 Pine (pj)";#N/A,#N/A,FALSE,"1 WTC (ll)";#N/A,#N/A,FALSE,"1 WTC (pj)"}</definedName>
    <definedName name="wrn.Core." localSheetId="17" hidden="1">{#N/A,#N/A,FALSE,"Summary";#N/A,#N/A,FALSE,"Summary (2)";#N/A,#N/A,FALSE,"100 Wall (ll)";#N/A,#N/A,FALSE,"100 Wall (pj)";#N/A,#N/A,FALSE,"88 Pine (ll)";#N/A,#N/A,FALSE,"88 Pine (pj)";#N/A,#N/A,FALSE,"1 WTC (ll)";#N/A,#N/A,FALSE,"1 WTC (pj)"}</definedName>
    <definedName name="wrn.Core." localSheetId="10" hidden="1">{#N/A,#N/A,FALSE,"Summary";#N/A,#N/A,FALSE,"Summary (2)";#N/A,#N/A,FALSE,"100 Wall (ll)";#N/A,#N/A,FALSE,"100 Wall (pj)";#N/A,#N/A,FALSE,"88 Pine (ll)";#N/A,#N/A,FALSE,"88 Pine (pj)";#N/A,#N/A,FALSE,"1 WTC (ll)";#N/A,#N/A,FALSE,"1 WTC (pj)"}</definedName>
    <definedName name="wrn.Core." hidden="1">{#N/A,#N/A,FALSE,"Summary";#N/A,#N/A,FALSE,"Summary (2)";#N/A,#N/A,FALSE,"100 Wall (ll)";#N/A,#N/A,FALSE,"100 Wall (pj)";#N/A,#N/A,FALSE,"88 Pine (ll)";#N/A,#N/A,FALSE,"88 Pine (pj)";#N/A,#N/A,FALSE,"1 WTC (ll)";#N/A,#N/A,FALSE,"1 WTC (pj)"}</definedName>
    <definedName name="wrn.Cottage._.Summary." localSheetId="2" hidden="1">{"cot1",#N/A,FALSE,"Cottages";"cot2",#N/A,FALSE,"Cottages";"cot3",#N/A,FALSE,"Cottages"}</definedName>
    <definedName name="wrn.Cottage._.Summary." localSheetId="21" hidden="1">{"cot1",#N/A,FALSE,"Cottages";"cot2",#N/A,FALSE,"Cottages";"cot3",#N/A,FALSE,"Cottages"}</definedName>
    <definedName name="wrn.Cottage._.Summary." localSheetId="22" hidden="1">{"cot1",#N/A,FALSE,"Cottages";"cot2",#N/A,FALSE,"Cottages";"cot3",#N/A,FALSE,"Cottages"}</definedName>
    <definedName name="wrn.Cottage._.Summary." localSheetId="15" hidden="1">{"cot1",#N/A,FALSE,"Cottages";"cot2",#N/A,FALSE,"Cottages";"cot3",#N/A,FALSE,"Cottages"}</definedName>
    <definedName name="wrn.Cottage._.Summary." localSheetId="17" hidden="1">{"cot1",#N/A,FALSE,"Cottages";"cot2",#N/A,FALSE,"Cottages";"cot3",#N/A,FALSE,"Cottages"}</definedName>
    <definedName name="wrn.Cottage._.Summary." localSheetId="10" hidden="1">{"cot1",#N/A,FALSE,"Cottages";"cot2",#N/A,FALSE,"Cottages";"cot3",#N/A,FALSE,"Cottages"}</definedName>
    <definedName name="wrn.Cottage._.Summary." localSheetId="13" hidden="1">{"cot1",#N/A,FALSE,"Cottages";"cot2",#N/A,FALSE,"Cottages";"cot3",#N/A,FALSE,"Cottages"}</definedName>
    <definedName name="wrn.Cottage._.Summary." hidden="1">{"cot1",#N/A,FALSE,"Cottages";"cot2",#N/A,FALSE,"Cottages";"cot3",#N/A,FALSE,"Cottages"}</definedName>
    <definedName name="wrn.data." localSheetId="21" hidden="1">{"data",#N/A,FALSE,"INPUT"}</definedName>
    <definedName name="wrn.data." localSheetId="22" hidden="1">{"data",#N/A,FALSE,"INPUT"}</definedName>
    <definedName name="wrn.data." localSheetId="17" hidden="1">{"data",#N/A,FALSE,"INPUT"}</definedName>
    <definedName name="wrn.data." localSheetId="10" hidden="1">{"data",#N/A,FALSE,"INPUT"}</definedName>
    <definedName name="wrn.data." hidden="1">{"data",#N/A,FALSE,"INPUT"}</definedName>
    <definedName name="wrn.Derek." localSheetId="2" hidden="1">{#N/A,#N/A,FALSE,"Transaction_Sum_debt_Stats";#N/A,#N/A,FALSE,"Earnings Impact";#N/A,#N/A,FALSE,"Sensitivity Table"}</definedName>
    <definedName name="wrn.Derek." localSheetId="21" hidden="1">{#N/A,#N/A,FALSE,"Transaction_Sum_debt_Stats";#N/A,#N/A,FALSE,"Earnings Impact";#N/A,#N/A,FALSE,"Sensitivity Table"}</definedName>
    <definedName name="wrn.Derek." localSheetId="22" hidden="1">{#N/A,#N/A,FALSE,"Transaction_Sum_debt_Stats";#N/A,#N/A,FALSE,"Earnings Impact";#N/A,#N/A,FALSE,"Sensitivity Table"}</definedName>
    <definedName name="wrn.Derek." localSheetId="15" hidden="1">{#N/A,#N/A,FALSE,"Transaction_Sum_debt_Stats";#N/A,#N/A,FALSE,"Earnings Impact";#N/A,#N/A,FALSE,"Sensitivity Table"}</definedName>
    <definedName name="wrn.Derek." localSheetId="17" hidden="1">{#N/A,#N/A,FALSE,"Transaction_Sum_debt_Stats";#N/A,#N/A,FALSE,"Earnings Impact";#N/A,#N/A,FALSE,"Sensitivity Table"}</definedName>
    <definedName name="wrn.Derek." localSheetId="10" hidden="1">{#N/A,#N/A,FALSE,"Transaction_Sum_debt_Stats";#N/A,#N/A,FALSE,"Earnings Impact";#N/A,#N/A,FALSE,"Sensitivity Table"}</definedName>
    <definedName name="wrn.Derek." localSheetId="13" hidden="1">{#N/A,#N/A,FALSE,"Transaction_Sum_debt_Stats";#N/A,#N/A,FALSE,"Earnings Impact";#N/A,#N/A,FALSE,"Sensitivity Table"}</definedName>
    <definedName name="wrn.Derek." hidden="1">{#N/A,#N/A,FALSE,"Transaction_Sum_debt_Stats";#N/A,#N/A,FALSE,"Earnings Impact";#N/A,#N/A,FALSE,"Sensitivity Table"}</definedName>
    <definedName name="wrn.detail." localSheetId="2" hidden="1">{"detail1",#N/A,FALSE,"Sheet1";"detail2",#N/A,FALSE,"Sheet1";"detail3",#N/A,FALSE,"Sheet1";"detail4",#N/A,FALSE,"Sheet1";"detail5",#N/A,FALSE,"Sheet1";"detail6",#N/A,FALSE,"Sheet1";"detail7",#N/A,FALSE,"Sheet1";"detail8",#N/A,FALSE,"Sheet1";"detail9",#N/A,FALSE,"Sheet1"}</definedName>
    <definedName name="wrn.detail." localSheetId="21" hidden="1">{"detail1",#N/A,FALSE,"Sheet1";"detail2",#N/A,FALSE,"Sheet1";"detail3",#N/A,FALSE,"Sheet1";"detail4",#N/A,FALSE,"Sheet1";"detail5",#N/A,FALSE,"Sheet1";"detail6",#N/A,FALSE,"Sheet1";"detail7",#N/A,FALSE,"Sheet1";"detail8",#N/A,FALSE,"Sheet1";"detail9",#N/A,FALSE,"Sheet1"}</definedName>
    <definedName name="wrn.detail." localSheetId="22" hidden="1">{"detail1",#N/A,FALSE,"Sheet1";"detail2",#N/A,FALSE,"Sheet1";"detail3",#N/A,FALSE,"Sheet1";"detail4",#N/A,FALSE,"Sheet1";"detail5",#N/A,FALSE,"Sheet1";"detail6",#N/A,FALSE,"Sheet1";"detail7",#N/A,FALSE,"Sheet1";"detail8",#N/A,FALSE,"Sheet1";"detail9",#N/A,FALSE,"Sheet1"}</definedName>
    <definedName name="wrn.detail." localSheetId="15" hidden="1">{"detail1",#N/A,FALSE,"Sheet1";"detail2",#N/A,FALSE,"Sheet1";"detail3",#N/A,FALSE,"Sheet1";"detail4",#N/A,FALSE,"Sheet1";"detail5",#N/A,FALSE,"Sheet1";"detail6",#N/A,FALSE,"Sheet1";"detail7",#N/A,FALSE,"Sheet1";"detail8",#N/A,FALSE,"Sheet1";"detail9",#N/A,FALSE,"Sheet1"}</definedName>
    <definedName name="wrn.detail." localSheetId="17" hidden="1">{"detail1",#N/A,FALSE,"Sheet1";"detail2",#N/A,FALSE,"Sheet1";"detail3",#N/A,FALSE,"Sheet1";"detail4",#N/A,FALSE,"Sheet1";"detail5",#N/A,FALSE,"Sheet1";"detail6",#N/A,FALSE,"Sheet1";"detail7",#N/A,FALSE,"Sheet1";"detail8",#N/A,FALSE,"Sheet1";"detail9",#N/A,FALSE,"Sheet1"}</definedName>
    <definedName name="wrn.detail." localSheetId="10" hidden="1">{"detail1",#N/A,FALSE,"Sheet1";"detail2",#N/A,FALSE,"Sheet1";"detail3",#N/A,FALSE,"Sheet1";"detail4",#N/A,FALSE,"Sheet1";"detail5",#N/A,FALSE,"Sheet1";"detail6",#N/A,FALSE,"Sheet1";"detail7",#N/A,FALSE,"Sheet1";"detail8",#N/A,FALSE,"Sheet1";"detail9",#N/A,FALSE,"Sheet1"}</definedName>
    <definedName name="wrn.detail." localSheetId="13" hidden="1">{"detail1",#N/A,FALSE,"Sheet1";"detail2",#N/A,FALSE,"Sheet1";"detail3",#N/A,FALSE,"Sheet1";"detail4",#N/A,FALSE,"Sheet1";"detail5",#N/A,FALSE,"Sheet1";"detail6",#N/A,FALSE,"Sheet1";"detail7",#N/A,FALSE,"Sheet1";"detail8",#N/A,FALSE,"Sheet1";"detail9",#N/A,FALSE,"Sheet1"}</definedName>
    <definedName name="wrn.detail." hidden="1">{"detail1",#N/A,FALSE,"Sheet1";"detail2",#N/A,FALSE,"Sheet1";"detail3",#N/A,FALSE,"Sheet1";"detail4",#N/A,FALSE,"Sheet1";"detail5",#N/A,FALSE,"Sheet1";"detail6",#N/A,FALSE,"Sheet1";"detail7",#N/A,FALSE,"Sheet1";"detail8",#N/A,FALSE,"Sheet1";"detail9",#N/A,FALSE,"Sheet1"}</definedName>
    <definedName name="wrn.devdeal." localSheetId="2" hidden="1">{"top",#N/A,TRUE,"Detail";"next",#N/A,TRUE,"Detail";"then",#N/A,TRUE,"Detail";"and",#N/A,TRUE,"Detail";"inaddition",#N/A,TRUE,"Detail";"finally",#N/A,TRUE,"Detail"}</definedName>
    <definedName name="wrn.devdeal." localSheetId="21" hidden="1">{"top",#N/A,TRUE,"Detail";"next",#N/A,TRUE,"Detail";"then",#N/A,TRUE,"Detail";"and",#N/A,TRUE,"Detail";"inaddition",#N/A,TRUE,"Detail";"finally",#N/A,TRUE,"Detail"}</definedName>
    <definedName name="wrn.devdeal." localSheetId="22" hidden="1">{"top",#N/A,TRUE,"Detail";"next",#N/A,TRUE,"Detail";"then",#N/A,TRUE,"Detail";"and",#N/A,TRUE,"Detail";"inaddition",#N/A,TRUE,"Detail";"finally",#N/A,TRUE,"Detail"}</definedName>
    <definedName name="wrn.devdeal." localSheetId="15" hidden="1">{"top",#N/A,TRUE,"Detail";"next",#N/A,TRUE,"Detail";"then",#N/A,TRUE,"Detail";"and",#N/A,TRUE,"Detail";"inaddition",#N/A,TRUE,"Detail";"finally",#N/A,TRUE,"Detail"}</definedName>
    <definedName name="wrn.devdeal." localSheetId="17" hidden="1">{"top",#N/A,TRUE,"Detail";"next",#N/A,TRUE,"Detail";"then",#N/A,TRUE,"Detail";"and",#N/A,TRUE,"Detail";"inaddition",#N/A,TRUE,"Detail";"finally",#N/A,TRUE,"Detail"}</definedName>
    <definedName name="wrn.devdeal." localSheetId="10" hidden="1">{"top",#N/A,TRUE,"Detail";"next",#N/A,TRUE,"Detail";"then",#N/A,TRUE,"Detail";"and",#N/A,TRUE,"Detail";"inaddition",#N/A,TRUE,"Detail";"finally",#N/A,TRUE,"Detail"}</definedName>
    <definedName name="wrn.devdeal." localSheetId="13" hidden="1">{"top",#N/A,TRUE,"Detail";"next",#N/A,TRUE,"Detail";"then",#N/A,TRUE,"Detail";"and",#N/A,TRUE,"Detail";"inaddition",#N/A,TRUE,"Detail";"finally",#N/A,TRUE,"Detail"}</definedName>
    <definedName name="wrn.devdeal." hidden="1">{"top",#N/A,TRUE,"Detail";"next",#N/A,TRUE,"Detail";"then",#N/A,TRUE,"Detail";"and",#N/A,TRUE,"Detail";"inaddition",#N/A,TRUE,"Detail";"finally",#N/A,TRUE,"Detail"}</definedName>
    <definedName name="wrn.Development._.Budget." localSheetId="21" hidden="1">{"Year 1",#N/A,FALSE,"Budget";"Year 2",#N/A,FALSE,"Budget";"Year 3",#N/A,FALSE,"Budget";"Year 4",#N/A,FALSE,"Budget"}</definedName>
    <definedName name="wrn.Development._.Budget." localSheetId="22" hidden="1">{"Year 1",#N/A,FALSE,"Budget";"Year 2",#N/A,FALSE,"Budget";"Year 3",#N/A,FALSE,"Budget";"Year 4",#N/A,FALSE,"Budget"}</definedName>
    <definedName name="wrn.Development._.Budget." localSheetId="17" hidden="1">{"Year 1",#N/A,FALSE,"Budget";"Year 2",#N/A,FALSE,"Budget";"Year 3",#N/A,FALSE,"Budget";"Year 4",#N/A,FALSE,"Budget"}</definedName>
    <definedName name="wrn.Development._.Budget." localSheetId="10" hidden="1">{"Year 1",#N/A,FALSE,"Budget";"Year 2",#N/A,FALSE,"Budget";"Year 3",#N/A,FALSE,"Budget";"Year 4",#N/A,FALSE,"Budget"}</definedName>
    <definedName name="wrn.Development._.Budget." hidden="1">{"Year 1",#N/A,FALSE,"Budget";"Year 2",#N/A,FALSE,"Budget";"Year 3",#N/A,FALSE,"Budget";"Year 4",#N/A,FALSE,"Budget"}</definedName>
    <definedName name="wrn.DIP._.Analysis." hidden="1">{#N/A,#N/A,FALSE,"Assumptions";#N/A,#N/A,FALSE,"Qtrprofma ";#N/A,#N/A,FALSE,"Consolidated";#N/A,#N/A,FALSE,"Qtrly Revenues";#N/A,#N/A,FALSE,"Rent Roll";#N/A,#N/A,FALSE,"8yr Expense Budget"}</definedName>
    <definedName name="wrn.DOH._.Report." localSheetId="21" hidden="1">{"DOH View",#N/A,FALSE,"JSI "}</definedName>
    <definedName name="wrn.DOH._.Report." localSheetId="22" hidden="1">{"DOH View",#N/A,FALSE,"JSI "}</definedName>
    <definedName name="wrn.DOH._.Report." localSheetId="17" hidden="1">{"DOH View",#N/A,FALSE,"JSI "}</definedName>
    <definedName name="wrn.DOH._.Report." localSheetId="10" hidden="1">{"DOH View",#N/A,FALSE,"JSI "}</definedName>
    <definedName name="wrn.DOH._.Report." hidden="1">{"DOH View",#N/A,FALSE,"JSI "}</definedName>
    <definedName name="wrn.Downside." localSheetId="2" hidden="1">{"Downside",#N/A,FALSE,"Downside"}</definedName>
    <definedName name="wrn.Downside." localSheetId="21" hidden="1">{"Downside",#N/A,FALSE,"Downside"}</definedName>
    <definedName name="wrn.Downside." localSheetId="22" hidden="1">{"Downside",#N/A,FALSE,"Downside"}</definedName>
    <definedName name="wrn.Downside." localSheetId="15" hidden="1">{"Downside",#N/A,FALSE,"Downside"}</definedName>
    <definedName name="wrn.Downside." localSheetId="17" hidden="1">{"Downside",#N/A,FALSE,"Downside"}</definedName>
    <definedName name="wrn.Downside." localSheetId="10" hidden="1">{"Downside",#N/A,FALSE,"Downside"}</definedName>
    <definedName name="wrn.Downside." localSheetId="13" hidden="1">{"Downside",#N/A,FALSE,"Downside"}</definedName>
    <definedName name="wrn.Downside." hidden="1">{"Downside",#N/A,FALSE,"Downside"}</definedName>
    <definedName name="wrn.ENTIRE." localSheetId="2" hidden="1">{#N/A,#N/A,FALSE,"SUMMARY";#N/A,#N/A,FALSE,"LEASING SCHEDULE";#N/A,#N/A,FALSE,"EXPLANATION";#N/A,#N/A,FALSE,"EXPLANATION";#N/A,#N/A,FALSE,"ANALYSIS";#N/A,#N/A,FALSE,"SPREAD";#N/A,#N/A,FALSE,"INCOME";#N/A,#N/A,FALSE,"EXPENSES";#N/A,#N/A,FALSE,"CAPITAL";#N/A,#N/A,FALSE,"DEBT SERVICE"}</definedName>
    <definedName name="wrn.ENTIRE." localSheetId="21" hidden="1">{#N/A,#N/A,FALSE,"SUMMARY";#N/A,#N/A,FALSE,"LEASING SCHEDULE";#N/A,#N/A,FALSE,"EXPLANATION";#N/A,#N/A,FALSE,"EXPLANATION";#N/A,#N/A,FALSE,"ANALYSIS";#N/A,#N/A,FALSE,"SPREAD";#N/A,#N/A,FALSE,"INCOME";#N/A,#N/A,FALSE,"EXPENSES";#N/A,#N/A,FALSE,"CAPITAL";#N/A,#N/A,FALSE,"DEBT SERVICE"}</definedName>
    <definedName name="wrn.ENTIRE." localSheetId="22" hidden="1">{#N/A,#N/A,FALSE,"SUMMARY";#N/A,#N/A,FALSE,"LEASING SCHEDULE";#N/A,#N/A,FALSE,"EXPLANATION";#N/A,#N/A,FALSE,"EXPLANATION";#N/A,#N/A,FALSE,"ANALYSIS";#N/A,#N/A,FALSE,"SPREAD";#N/A,#N/A,FALSE,"INCOME";#N/A,#N/A,FALSE,"EXPENSES";#N/A,#N/A,FALSE,"CAPITAL";#N/A,#N/A,FALSE,"DEBT SERVICE"}</definedName>
    <definedName name="wrn.ENTIRE." localSheetId="15" hidden="1">{#N/A,#N/A,FALSE,"SUMMARY";#N/A,#N/A,FALSE,"LEASING SCHEDULE";#N/A,#N/A,FALSE,"EXPLANATION";#N/A,#N/A,FALSE,"EXPLANATION";#N/A,#N/A,FALSE,"ANALYSIS";#N/A,#N/A,FALSE,"SPREAD";#N/A,#N/A,FALSE,"INCOME";#N/A,#N/A,FALSE,"EXPENSES";#N/A,#N/A,FALSE,"CAPITAL";#N/A,#N/A,FALSE,"DEBT SERVICE"}</definedName>
    <definedName name="wrn.ENTIRE." localSheetId="17" hidden="1">{#N/A,#N/A,FALSE,"SUMMARY";#N/A,#N/A,FALSE,"LEASING SCHEDULE";#N/A,#N/A,FALSE,"EXPLANATION";#N/A,#N/A,FALSE,"EXPLANATION";#N/A,#N/A,FALSE,"ANALYSIS";#N/A,#N/A,FALSE,"SPREAD";#N/A,#N/A,FALSE,"INCOME";#N/A,#N/A,FALSE,"EXPENSES";#N/A,#N/A,FALSE,"CAPITAL";#N/A,#N/A,FALSE,"DEBT SERVICE"}</definedName>
    <definedName name="wrn.ENTIRE." localSheetId="10" hidden="1">{#N/A,#N/A,FALSE,"SUMMARY";#N/A,#N/A,FALSE,"LEASING SCHEDULE";#N/A,#N/A,FALSE,"EXPLANATION";#N/A,#N/A,FALSE,"EXPLANATION";#N/A,#N/A,FALSE,"ANALYSIS";#N/A,#N/A,FALSE,"SPREAD";#N/A,#N/A,FALSE,"INCOME";#N/A,#N/A,FALSE,"EXPENSES";#N/A,#N/A,FALSE,"CAPITAL";#N/A,#N/A,FALSE,"DEBT SERVICE"}</definedName>
    <definedName name="wrn.ENTIRE." localSheetId="13" hidden="1">{#N/A,#N/A,FALSE,"SUMMARY";#N/A,#N/A,FALSE,"LEASING SCHEDULE";#N/A,#N/A,FALSE,"EXPLANATION";#N/A,#N/A,FALSE,"EXPLANATION";#N/A,#N/A,FALSE,"ANALYSIS";#N/A,#N/A,FALSE,"SPREAD";#N/A,#N/A,FALSE,"INCOME";#N/A,#N/A,FALSE,"EXPENSES";#N/A,#N/A,FALSE,"CAPITAL";#N/A,#N/A,FALSE,"DEBT SERVICE"}</definedName>
    <definedName name="wrn.ENTIRE." hidden="1">{#N/A,#N/A,FALSE,"SUMMARY";#N/A,#N/A,FALSE,"LEASING SCHEDULE";#N/A,#N/A,FALSE,"EXPLANATION";#N/A,#N/A,FALSE,"EXPLANATION";#N/A,#N/A,FALSE,"ANALYSIS";#N/A,#N/A,FALSE,"SPREAD";#N/A,#N/A,FALSE,"INCOME";#N/A,#N/A,FALSE,"EXPENSES";#N/A,#N/A,FALSE,"CAPITAL";#N/A,#N/A,FALSE,"DEBT SERVICE"}</definedName>
    <definedName name="wrn.Entire._.Package." localSheetId="21" hidden="1">{"Summary",#N/A,FALSE,"Assumptions";"Development 1 2",#N/A,FALSE,"Budget";"Operating Income",#N/A,FALSE,"Budget"}</definedName>
    <definedName name="wrn.Entire._.Package." localSheetId="22" hidden="1">{"Summary",#N/A,FALSE,"Assumptions";"Development 1 2",#N/A,FALSE,"Budget";"Operating Income",#N/A,FALSE,"Budget"}</definedName>
    <definedName name="wrn.Entire._.Package." localSheetId="17" hidden="1">{"Summary",#N/A,FALSE,"Assumptions";"Development 1 2",#N/A,FALSE,"Budget";"Operating Income",#N/A,FALSE,"Budget"}</definedName>
    <definedName name="wrn.Entire._.Package." localSheetId="10" hidden="1">{"Summary",#N/A,FALSE,"Assumptions";"Development 1 2",#N/A,FALSE,"Budget";"Operating Income",#N/A,FALSE,"Budget"}</definedName>
    <definedName name="wrn.Entire._.Package." hidden="1">{"Summary",#N/A,FALSE,"Assumptions";"Development 1 2",#N/A,FALSE,"Budget";"Operating Income",#N/A,FALSE,"Budget"}</definedName>
    <definedName name="wrn.ESTSUM1_2." localSheetId="21" hidden="1">{"ESTSUM1",#N/A,TRUE,"SUM";"ESTSUM2",#N/A,TRUE,"SUM"}</definedName>
    <definedName name="wrn.ESTSUM1_2." localSheetId="22" hidden="1">{"ESTSUM1",#N/A,TRUE,"SUM";"ESTSUM2",#N/A,TRUE,"SUM"}</definedName>
    <definedName name="wrn.ESTSUM1_2." localSheetId="17" hidden="1">{"ESTSUM1",#N/A,TRUE,"SUM";"ESTSUM2",#N/A,TRUE,"SUM"}</definedName>
    <definedName name="wrn.ESTSUM1_2." localSheetId="10" hidden="1">{"ESTSUM1",#N/A,TRUE,"SUM";"ESTSUM2",#N/A,TRUE,"SUM"}</definedName>
    <definedName name="wrn.ESTSUM1_2." hidden="1">{"ESTSUM1",#N/A,TRUE,"SUM";"ESTSUM2",#N/A,TRUE,"SUM"}</definedName>
    <definedName name="wrn.ESTSUM1_210" localSheetId="21" hidden="1">{"ESTSUM1",#N/A,TRUE,"SUM";"ESTSUM2",#N/A,TRUE,"SUM"}</definedName>
    <definedName name="wrn.ESTSUM1_210" localSheetId="22" hidden="1">{"ESTSUM1",#N/A,TRUE,"SUM";"ESTSUM2",#N/A,TRUE,"SUM"}</definedName>
    <definedName name="wrn.ESTSUM1_210" localSheetId="17" hidden="1">{"ESTSUM1",#N/A,TRUE,"SUM";"ESTSUM2",#N/A,TRUE,"SUM"}</definedName>
    <definedName name="wrn.ESTSUM1_210" localSheetId="10" hidden="1">{"ESTSUM1",#N/A,TRUE,"SUM";"ESTSUM2",#N/A,TRUE,"SUM"}</definedName>
    <definedName name="wrn.ESTSUM1_210" hidden="1">{"ESTSUM1",#N/A,TRUE,"SUM";"ESTSUM2",#N/A,TRUE,"SUM"}</definedName>
    <definedName name="wrn.Excavation." localSheetId="21" hidden="1">{"excavation",#N/A,FALSE,"DETAIL.XLS"}</definedName>
    <definedName name="wrn.Excavation." localSheetId="22" hidden="1">{"excavation",#N/A,FALSE,"DETAIL.XLS"}</definedName>
    <definedName name="wrn.Excavation." localSheetId="17" hidden="1">{"excavation",#N/A,FALSE,"DETAIL.XLS"}</definedName>
    <definedName name="wrn.Excavation." localSheetId="10" hidden="1">{"excavation",#N/A,FALSE,"DETAIL.XLS"}</definedName>
    <definedName name="wrn.Excavation." hidden="1">{"excavation",#N/A,FALSE,"DETAIL.XLS"}</definedName>
    <definedName name="wrn.Exhibits." localSheetId="21" hidden="1">{#N/A,#N/A,FALSE,"Historical";#N/A,#N/A,FALSE,"Adjusted";#N/A,#N/A,FALSE,"CAM Alloc.";#N/A,#N/A,FALSE,"Projected CAM"}</definedName>
    <definedName name="wrn.Exhibits." localSheetId="22" hidden="1">{#N/A,#N/A,FALSE,"Historical";#N/A,#N/A,FALSE,"Adjusted";#N/A,#N/A,FALSE,"CAM Alloc.";#N/A,#N/A,FALSE,"Projected CAM"}</definedName>
    <definedName name="wrn.Exhibits." localSheetId="17" hidden="1">{#N/A,#N/A,FALSE,"Historical";#N/A,#N/A,FALSE,"Adjusted";#N/A,#N/A,FALSE,"CAM Alloc.";#N/A,#N/A,FALSE,"Projected CAM"}</definedName>
    <definedName name="wrn.Exhibits." localSheetId="10" hidden="1">{#N/A,#N/A,FALSE,"Historical";#N/A,#N/A,FALSE,"Adjusted";#N/A,#N/A,FALSE,"CAM Alloc.";#N/A,#N/A,FALSE,"Projected CAM"}</definedName>
    <definedName name="wrn.Exhibits." hidden="1">{#N/A,#N/A,FALSE,"Historical";#N/A,#N/A,FALSE,"Adjusted";#N/A,#N/A,FALSE,"CAM Alloc.";#N/A,#N/A,FALSE,"Projected CAM"}</definedName>
    <definedName name="wrn.ExitAndSalesAssumptions." localSheetId="2" hidden="1">{#N/A,#N/A,FALSE,"ExitStratigy"}</definedName>
    <definedName name="wrn.ExitAndSalesAssumptions." localSheetId="21" hidden="1">{#N/A,#N/A,FALSE,"ExitStratigy"}</definedName>
    <definedName name="wrn.ExitAndSalesAssumptions." localSheetId="22" hidden="1">{#N/A,#N/A,FALSE,"ExitStratigy"}</definedName>
    <definedName name="wrn.ExitAndSalesAssumptions." localSheetId="15" hidden="1">{#N/A,#N/A,FALSE,"ExitStratigy"}</definedName>
    <definedName name="wrn.ExitAndSalesAssumptions." localSheetId="17" hidden="1">{#N/A,#N/A,FALSE,"ExitStratigy"}</definedName>
    <definedName name="wrn.ExitAndSalesAssumptions." localSheetId="10" hidden="1">{#N/A,#N/A,FALSE,"ExitStratigy"}</definedName>
    <definedName name="wrn.ExitAndSalesAssumptions." localSheetId="13" hidden="1">{#N/A,#N/A,FALSE,"ExitStratigy"}</definedName>
    <definedName name="wrn.ExitAndSalesAssumptions." hidden="1">{#N/A,#N/A,FALSE,"ExitStratigy"}</definedName>
    <definedName name="wrn.EXPENSE." localSheetId="21" hidden="1">{#N/A,#N/A,FALSE,"Common Area Accrual";#N/A,#N/A,FALSE,"Unit One LaSalle";#N/A,#N/A,FALSE,"Unit One CW";#N/A,#N/A,FALSE,"Unit One LaSallle + C &amp; W";#N/A,#N/A,FALSE,"Consolidated Accrual"}</definedName>
    <definedName name="wrn.EXPENSE." localSheetId="22" hidden="1">{#N/A,#N/A,FALSE,"Common Area Accrual";#N/A,#N/A,FALSE,"Unit One LaSalle";#N/A,#N/A,FALSE,"Unit One CW";#N/A,#N/A,FALSE,"Unit One LaSallle + C &amp; W";#N/A,#N/A,FALSE,"Consolidated Accrual"}</definedName>
    <definedName name="wrn.EXPENSE." localSheetId="17" hidden="1">{#N/A,#N/A,FALSE,"Common Area Accrual";#N/A,#N/A,FALSE,"Unit One LaSalle";#N/A,#N/A,FALSE,"Unit One CW";#N/A,#N/A,FALSE,"Unit One LaSallle + C &amp; W";#N/A,#N/A,FALSE,"Consolidated Accrual"}</definedName>
    <definedName name="wrn.EXPENSE." localSheetId="10" hidden="1">{#N/A,#N/A,FALSE,"Common Area Accrual";#N/A,#N/A,FALSE,"Unit One LaSalle";#N/A,#N/A,FALSE,"Unit One CW";#N/A,#N/A,FALSE,"Unit One LaSallle + C &amp; W";#N/A,#N/A,FALSE,"Consolidated Accrual"}</definedName>
    <definedName name="wrn.EXPENSE." hidden="1">{#N/A,#N/A,FALSE,"Common Area Accrual";#N/A,#N/A,FALSE,"Unit One LaSalle";#N/A,#N/A,FALSE,"Unit One CW";#N/A,#N/A,FALSE,"Unit One LaSallle + C &amp; W";#N/A,#N/A,FALSE,"Consolidated Accrual"}</definedName>
    <definedName name="wrn.Expense._.Detail." localSheetId="21" hidden="1">{#N/A,#N/A,FALSE,"Common Area Accrual";#N/A,#N/A,FALSE,"Unit One LaSalle";#N/A,#N/A,FALSE,"Unit One CW";#N/A,#N/A,FALSE,"Unit One LaSalle + C &amp; W";#N/A,#N/A,FALSE,"Consolidated Accrual"}</definedName>
    <definedName name="wrn.Expense._.Detail." localSheetId="22" hidden="1">{#N/A,#N/A,FALSE,"Common Area Accrual";#N/A,#N/A,FALSE,"Unit One LaSalle";#N/A,#N/A,FALSE,"Unit One CW";#N/A,#N/A,FALSE,"Unit One LaSalle + C &amp; W";#N/A,#N/A,FALSE,"Consolidated Accrual"}</definedName>
    <definedName name="wrn.Expense._.Detail." localSheetId="17" hidden="1">{#N/A,#N/A,FALSE,"Common Area Accrual";#N/A,#N/A,FALSE,"Unit One LaSalle";#N/A,#N/A,FALSE,"Unit One CW";#N/A,#N/A,FALSE,"Unit One LaSalle + C &amp; W";#N/A,#N/A,FALSE,"Consolidated Accrual"}</definedName>
    <definedName name="wrn.Expense._.Detail." localSheetId="10" hidden="1">{#N/A,#N/A,FALSE,"Common Area Accrual";#N/A,#N/A,FALSE,"Unit One LaSalle";#N/A,#N/A,FALSE,"Unit One CW";#N/A,#N/A,FALSE,"Unit One LaSalle + C &amp; W";#N/A,#N/A,FALSE,"Consolidated Accrual"}</definedName>
    <definedName name="wrn.Expense._.Detail." hidden="1">{#N/A,#N/A,FALSE,"Common Area Accrual";#N/A,#N/A,FALSE,"Unit One LaSalle";#N/A,#N/A,FALSE,"Unit One CW";#N/A,#N/A,FALSE,"Unit One LaSalle + C &amp; W";#N/A,#N/A,FALSE,"Consolidated Accrual"}</definedName>
    <definedName name="wrn.Exterior._.Wall." localSheetId="21" hidden="1">{#N/A,#N/A,FALSE,"Paramters";"print range",#N/A,FALSE,"GSF.XLS";"exterior wall",#N/A,FALSE,"DETAIL.XLS"}</definedName>
    <definedName name="wrn.Exterior._.Wall." localSheetId="22" hidden="1">{#N/A,#N/A,FALSE,"Paramters";"print range",#N/A,FALSE,"GSF.XLS";"exterior wall",#N/A,FALSE,"DETAIL.XLS"}</definedName>
    <definedName name="wrn.Exterior._.Wall." localSheetId="17" hidden="1">{#N/A,#N/A,FALSE,"Paramters";"print range",#N/A,FALSE,"GSF.XLS";"exterior wall",#N/A,FALSE,"DETAIL.XLS"}</definedName>
    <definedName name="wrn.Exterior._.Wall." localSheetId="10" hidden="1">{#N/A,#N/A,FALSE,"Paramters";"print range",#N/A,FALSE,"GSF.XLS";"exterior wall",#N/A,FALSE,"DETAIL.XLS"}</definedName>
    <definedName name="wrn.Exterior._.Wall." hidden="1">{#N/A,#N/A,FALSE,"Paramters";"print range",#N/A,FALSE,"GSF.XLS";"exterior wall",#N/A,FALSE,"DETAIL.XLS"}</definedName>
    <definedName name="wrn.FCG." localSheetId="21" hidden="1">{#N/A,#N/A,TRUE,"Title Page";#N/A,#N/A,TRUE,"Executive Summary";#N/A,#N/A,TRUE,"Cash Flow";#N/A,#N/A,TRUE,"Exp Detail";#N/A,#N/A,TRUE,"Pricing Matrix";#N/A,#N/A,TRUE,"Value Matrix";#N/A,#N/A,TRUE,"Assumptions";#N/A,#N/A,TRUE,"Vacant Space";#N/A,#N/A,TRUE,"2nd Generation";#N/A,#N/A,TRUE,"Existing vs Mkt";#N/A,#N/A,TRUE,"Expiration Schedule";#N/A,#N/A,TRUE,"Expiration Graph ";#N/A,#N/A,TRUE,"Residual - Marketing";#N/A,#N/A,TRUE,"Vacancy Detail"}</definedName>
    <definedName name="wrn.FCG." localSheetId="22" hidden="1">{#N/A,#N/A,TRUE,"Title Page";#N/A,#N/A,TRUE,"Executive Summary";#N/A,#N/A,TRUE,"Cash Flow";#N/A,#N/A,TRUE,"Exp Detail";#N/A,#N/A,TRUE,"Pricing Matrix";#N/A,#N/A,TRUE,"Value Matrix";#N/A,#N/A,TRUE,"Assumptions";#N/A,#N/A,TRUE,"Vacant Space";#N/A,#N/A,TRUE,"2nd Generation";#N/A,#N/A,TRUE,"Existing vs Mkt";#N/A,#N/A,TRUE,"Expiration Schedule";#N/A,#N/A,TRUE,"Expiration Graph ";#N/A,#N/A,TRUE,"Residual - Marketing";#N/A,#N/A,TRUE,"Vacancy Detail"}</definedName>
    <definedName name="wrn.FCG." localSheetId="17" hidden="1">{#N/A,#N/A,TRUE,"Title Page";#N/A,#N/A,TRUE,"Executive Summary";#N/A,#N/A,TRUE,"Cash Flow";#N/A,#N/A,TRUE,"Exp Detail";#N/A,#N/A,TRUE,"Pricing Matrix";#N/A,#N/A,TRUE,"Value Matrix";#N/A,#N/A,TRUE,"Assumptions";#N/A,#N/A,TRUE,"Vacant Space";#N/A,#N/A,TRUE,"2nd Generation";#N/A,#N/A,TRUE,"Existing vs Mkt";#N/A,#N/A,TRUE,"Expiration Schedule";#N/A,#N/A,TRUE,"Expiration Graph ";#N/A,#N/A,TRUE,"Residual - Marketing";#N/A,#N/A,TRUE,"Vacancy Detail"}</definedName>
    <definedName name="wrn.FCG." localSheetId="10" hidden="1">{#N/A,#N/A,TRUE,"Title Page";#N/A,#N/A,TRUE,"Executive Summary";#N/A,#N/A,TRUE,"Cash Flow";#N/A,#N/A,TRUE,"Exp Detail";#N/A,#N/A,TRUE,"Pricing Matrix";#N/A,#N/A,TRUE,"Value Matrix";#N/A,#N/A,TRUE,"Assumptions";#N/A,#N/A,TRUE,"Vacant Space";#N/A,#N/A,TRUE,"2nd Generation";#N/A,#N/A,TRUE,"Existing vs Mkt";#N/A,#N/A,TRUE,"Expiration Schedule";#N/A,#N/A,TRUE,"Expiration Graph ";#N/A,#N/A,TRUE,"Residual - Marketing";#N/A,#N/A,TRUE,"Vacancy Detail"}</definedName>
    <definedName name="wrn.FCG." hidden="1">{#N/A,#N/A,TRUE,"Title Page";#N/A,#N/A,TRUE,"Executive Summary";#N/A,#N/A,TRUE,"Cash Flow";#N/A,#N/A,TRUE,"Exp Detail";#N/A,#N/A,TRUE,"Pricing Matrix";#N/A,#N/A,TRUE,"Value Matrix";#N/A,#N/A,TRUE,"Assumptions";#N/A,#N/A,TRUE,"Vacant Space";#N/A,#N/A,TRUE,"2nd Generation";#N/A,#N/A,TRUE,"Existing vs Mkt";#N/A,#N/A,TRUE,"Expiration Schedule";#N/A,#N/A,TRUE,"Expiration Graph ";#N/A,#N/A,TRUE,"Residual - Marketing";#N/A,#N/A,TRUE,"Vacancy Detail"}</definedName>
    <definedName name="wrn.FCG._.Express." localSheetId="21" hidden="1">{#N/A,#N/A,TRUE,"Title Page";#N/A,#N/A,TRUE,"Executive Summary";#N/A,#N/A,TRUE,"Assumptions";#N/A,#N/A,TRUE,"Footnotes";#N/A,#N/A,TRUE,"Narrative Assumptions";#N/A,#N/A,TRUE,"2nd Generation";#N/A,#N/A,TRUE,"Existing vs Mkt";#N/A,#N/A,TRUE,"Cash Flow";#N/A,#N/A,TRUE,"Residual - Marketing";#N/A,#N/A,TRUE,"Pricing Matrix";#N/A,#N/A,TRUE,"Expiration Schedule";#N/A,#N/A,TRUE,"Expiration Graph "}</definedName>
    <definedName name="wrn.FCG._.Express." localSheetId="22" hidden="1">{#N/A,#N/A,TRUE,"Title Page";#N/A,#N/A,TRUE,"Executive Summary";#N/A,#N/A,TRUE,"Assumptions";#N/A,#N/A,TRUE,"Footnotes";#N/A,#N/A,TRUE,"Narrative Assumptions";#N/A,#N/A,TRUE,"2nd Generation";#N/A,#N/A,TRUE,"Existing vs Mkt";#N/A,#N/A,TRUE,"Cash Flow";#N/A,#N/A,TRUE,"Residual - Marketing";#N/A,#N/A,TRUE,"Pricing Matrix";#N/A,#N/A,TRUE,"Expiration Schedule";#N/A,#N/A,TRUE,"Expiration Graph "}</definedName>
    <definedName name="wrn.FCG._.Express." localSheetId="17" hidden="1">{#N/A,#N/A,TRUE,"Title Page";#N/A,#N/A,TRUE,"Executive Summary";#N/A,#N/A,TRUE,"Assumptions";#N/A,#N/A,TRUE,"Footnotes";#N/A,#N/A,TRUE,"Narrative Assumptions";#N/A,#N/A,TRUE,"2nd Generation";#N/A,#N/A,TRUE,"Existing vs Mkt";#N/A,#N/A,TRUE,"Cash Flow";#N/A,#N/A,TRUE,"Residual - Marketing";#N/A,#N/A,TRUE,"Pricing Matrix";#N/A,#N/A,TRUE,"Expiration Schedule";#N/A,#N/A,TRUE,"Expiration Graph "}</definedName>
    <definedName name="wrn.FCG._.Express." localSheetId="10" hidden="1">{#N/A,#N/A,TRUE,"Title Page";#N/A,#N/A,TRUE,"Executive Summary";#N/A,#N/A,TRUE,"Assumptions";#N/A,#N/A,TRUE,"Footnotes";#N/A,#N/A,TRUE,"Narrative Assumptions";#N/A,#N/A,TRUE,"2nd Generation";#N/A,#N/A,TRUE,"Existing vs Mkt";#N/A,#N/A,TRUE,"Cash Flow";#N/A,#N/A,TRUE,"Residual - Marketing";#N/A,#N/A,TRUE,"Pricing Matrix";#N/A,#N/A,TRUE,"Expiration Schedule";#N/A,#N/A,TRUE,"Expiration Graph "}</definedName>
    <definedName name="wrn.FCG._.Express." hidden="1">{#N/A,#N/A,TRUE,"Title Page";#N/A,#N/A,TRUE,"Executive Summary";#N/A,#N/A,TRUE,"Assumptions";#N/A,#N/A,TRUE,"Footnotes";#N/A,#N/A,TRUE,"Narrative Assumptions";#N/A,#N/A,TRUE,"2nd Generation";#N/A,#N/A,TRUE,"Existing vs Mkt";#N/A,#N/A,TRUE,"Cash Flow";#N/A,#N/A,TRUE,"Residual - Marketing";#N/A,#N/A,TRUE,"Pricing Matrix";#N/A,#N/A,TRUE,"Expiration Schedule";#N/A,#N/A,TRUE,"Expiration Graph "}</definedName>
    <definedName name="wrn.FCG._.Full." localSheetId="21" hidden="1">{#N/A,#N/A,TRUE,"Title Page";#N/A,#N/A,TRUE,"Executive Summary";#N/A,#N/A,TRUE,"Assumptions";#N/A,#N/A,TRUE,"Footnotes";#N/A,#N/A,TRUE,"Narrative Assumptions";#N/A,#N/A,TRUE,"Vacant Space";#N/A,#N/A,TRUE,"2nd Generation";#N/A,#N/A,TRUE,"Existing vs Mkt";#N/A,#N/A,TRUE,"Cash Flow";#N/A,#N/A,TRUE,"Residual - Marketing";#N/A,#N/A,TRUE,"Pricing Matrix";#N/A,#N/A,TRUE,"Vacancy Detail";#N/A,#N/A,TRUE,"Expiration Schedule";#N/A,#N/A,TRUE,"Expiration Graph ";#N/A,#N/A,TRUE,"Value Matrix";#N/A,#N/A,TRUE,"Value Matrix (2)";#N/A,#N/A,TRUE,"GI Detail";#N/A,#N/A,TRUE,"Exp Detail";#N/A,#N/A,TRUE,"ALease-up Schedule"}</definedName>
    <definedName name="wrn.FCG._.Full." localSheetId="22" hidden="1">{#N/A,#N/A,TRUE,"Title Page";#N/A,#N/A,TRUE,"Executive Summary";#N/A,#N/A,TRUE,"Assumptions";#N/A,#N/A,TRUE,"Footnotes";#N/A,#N/A,TRUE,"Narrative Assumptions";#N/A,#N/A,TRUE,"Vacant Space";#N/A,#N/A,TRUE,"2nd Generation";#N/A,#N/A,TRUE,"Existing vs Mkt";#N/A,#N/A,TRUE,"Cash Flow";#N/A,#N/A,TRUE,"Residual - Marketing";#N/A,#N/A,TRUE,"Pricing Matrix";#N/A,#N/A,TRUE,"Vacancy Detail";#N/A,#N/A,TRUE,"Expiration Schedule";#N/A,#N/A,TRUE,"Expiration Graph ";#N/A,#N/A,TRUE,"Value Matrix";#N/A,#N/A,TRUE,"Value Matrix (2)";#N/A,#N/A,TRUE,"GI Detail";#N/A,#N/A,TRUE,"Exp Detail";#N/A,#N/A,TRUE,"ALease-up Schedule"}</definedName>
    <definedName name="wrn.FCG._.Full." localSheetId="17" hidden="1">{#N/A,#N/A,TRUE,"Title Page";#N/A,#N/A,TRUE,"Executive Summary";#N/A,#N/A,TRUE,"Assumptions";#N/A,#N/A,TRUE,"Footnotes";#N/A,#N/A,TRUE,"Narrative Assumptions";#N/A,#N/A,TRUE,"Vacant Space";#N/A,#N/A,TRUE,"2nd Generation";#N/A,#N/A,TRUE,"Existing vs Mkt";#N/A,#N/A,TRUE,"Cash Flow";#N/A,#N/A,TRUE,"Residual - Marketing";#N/A,#N/A,TRUE,"Pricing Matrix";#N/A,#N/A,TRUE,"Vacancy Detail";#N/A,#N/A,TRUE,"Expiration Schedule";#N/A,#N/A,TRUE,"Expiration Graph ";#N/A,#N/A,TRUE,"Value Matrix";#N/A,#N/A,TRUE,"Value Matrix (2)";#N/A,#N/A,TRUE,"GI Detail";#N/A,#N/A,TRUE,"Exp Detail";#N/A,#N/A,TRUE,"ALease-up Schedule"}</definedName>
    <definedName name="wrn.FCG._.Full." localSheetId="10" hidden="1">{#N/A,#N/A,TRUE,"Title Page";#N/A,#N/A,TRUE,"Executive Summary";#N/A,#N/A,TRUE,"Assumptions";#N/A,#N/A,TRUE,"Footnotes";#N/A,#N/A,TRUE,"Narrative Assumptions";#N/A,#N/A,TRUE,"Vacant Space";#N/A,#N/A,TRUE,"2nd Generation";#N/A,#N/A,TRUE,"Existing vs Mkt";#N/A,#N/A,TRUE,"Cash Flow";#N/A,#N/A,TRUE,"Residual - Marketing";#N/A,#N/A,TRUE,"Pricing Matrix";#N/A,#N/A,TRUE,"Vacancy Detail";#N/A,#N/A,TRUE,"Expiration Schedule";#N/A,#N/A,TRUE,"Expiration Graph ";#N/A,#N/A,TRUE,"Value Matrix";#N/A,#N/A,TRUE,"Value Matrix (2)";#N/A,#N/A,TRUE,"GI Detail";#N/A,#N/A,TRUE,"Exp Detail";#N/A,#N/A,TRUE,"ALease-up Schedule"}</definedName>
    <definedName name="wrn.FCG._.Full." hidden="1">{#N/A,#N/A,TRUE,"Title Page";#N/A,#N/A,TRUE,"Executive Summary";#N/A,#N/A,TRUE,"Assumptions";#N/A,#N/A,TRUE,"Footnotes";#N/A,#N/A,TRUE,"Narrative Assumptions";#N/A,#N/A,TRUE,"Vacant Space";#N/A,#N/A,TRUE,"2nd Generation";#N/A,#N/A,TRUE,"Existing vs Mkt";#N/A,#N/A,TRUE,"Cash Flow";#N/A,#N/A,TRUE,"Residual - Marketing";#N/A,#N/A,TRUE,"Pricing Matrix";#N/A,#N/A,TRUE,"Vacancy Detail";#N/A,#N/A,TRUE,"Expiration Schedule";#N/A,#N/A,TRUE,"Expiration Graph ";#N/A,#N/A,TRUE,"Value Matrix";#N/A,#N/A,TRUE,"Value Matrix (2)";#N/A,#N/A,TRUE,"GI Detail";#N/A,#N/A,TRUE,"Exp Detail";#N/A,#N/A,TRUE,"ALease-up Schedule"}</definedName>
    <definedName name="wrn.FCG.10" localSheetId="21" hidden="1">{#N/A,#N/A,TRUE,"Title Page";#N/A,#N/A,TRUE,"Executive Summary";#N/A,#N/A,TRUE,"Cash Flow";#N/A,#N/A,TRUE,"Exp Detail";#N/A,#N/A,TRUE,"Pricing Matrix";#N/A,#N/A,TRUE,"Value Matrix";#N/A,#N/A,TRUE,"Assumptions";#N/A,#N/A,TRUE,"Vacant Space";#N/A,#N/A,TRUE,"2nd Generation";#N/A,#N/A,TRUE,"Existing vs Mkt";#N/A,#N/A,TRUE,"Expiration Schedule";#N/A,#N/A,TRUE,"Expiration Graph ";#N/A,#N/A,TRUE,"Residual - Marketing";#N/A,#N/A,TRUE,"Vacancy Detail"}</definedName>
    <definedName name="wrn.FCG.10" localSheetId="22" hidden="1">{#N/A,#N/A,TRUE,"Title Page";#N/A,#N/A,TRUE,"Executive Summary";#N/A,#N/A,TRUE,"Cash Flow";#N/A,#N/A,TRUE,"Exp Detail";#N/A,#N/A,TRUE,"Pricing Matrix";#N/A,#N/A,TRUE,"Value Matrix";#N/A,#N/A,TRUE,"Assumptions";#N/A,#N/A,TRUE,"Vacant Space";#N/A,#N/A,TRUE,"2nd Generation";#N/A,#N/A,TRUE,"Existing vs Mkt";#N/A,#N/A,TRUE,"Expiration Schedule";#N/A,#N/A,TRUE,"Expiration Graph ";#N/A,#N/A,TRUE,"Residual - Marketing";#N/A,#N/A,TRUE,"Vacancy Detail"}</definedName>
    <definedName name="wrn.FCG.10" localSheetId="17" hidden="1">{#N/A,#N/A,TRUE,"Title Page";#N/A,#N/A,TRUE,"Executive Summary";#N/A,#N/A,TRUE,"Cash Flow";#N/A,#N/A,TRUE,"Exp Detail";#N/A,#N/A,TRUE,"Pricing Matrix";#N/A,#N/A,TRUE,"Value Matrix";#N/A,#N/A,TRUE,"Assumptions";#N/A,#N/A,TRUE,"Vacant Space";#N/A,#N/A,TRUE,"2nd Generation";#N/A,#N/A,TRUE,"Existing vs Mkt";#N/A,#N/A,TRUE,"Expiration Schedule";#N/A,#N/A,TRUE,"Expiration Graph ";#N/A,#N/A,TRUE,"Residual - Marketing";#N/A,#N/A,TRUE,"Vacancy Detail"}</definedName>
    <definedName name="wrn.FCG.10" localSheetId="10" hidden="1">{#N/A,#N/A,TRUE,"Title Page";#N/A,#N/A,TRUE,"Executive Summary";#N/A,#N/A,TRUE,"Cash Flow";#N/A,#N/A,TRUE,"Exp Detail";#N/A,#N/A,TRUE,"Pricing Matrix";#N/A,#N/A,TRUE,"Value Matrix";#N/A,#N/A,TRUE,"Assumptions";#N/A,#N/A,TRUE,"Vacant Space";#N/A,#N/A,TRUE,"2nd Generation";#N/A,#N/A,TRUE,"Existing vs Mkt";#N/A,#N/A,TRUE,"Expiration Schedule";#N/A,#N/A,TRUE,"Expiration Graph ";#N/A,#N/A,TRUE,"Residual - Marketing";#N/A,#N/A,TRUE,"Vacancy Detail"}</definedName>
    <definedName name="wrn.FCG.10" hidden="1">{#N/A,#N/A,TRUE,"Title Page";#N/A,#N/A,TRUE,"Executive Summary";#N/A,#N/A,TRUE,"Cash Flow";#N/A,#N/A,TRUE,"Exp Detail";#N/A,#N/A,TRUE,"Pricing Matrix";#N/A,#N/A,TRUE,"Value Matrix";#N/A,#N/A,TRUE,"Assumptions";#N/A,#N/A,TRUE,"Vacant Space";#N/A,#N/A,TRUE,"2nd Generation";#N/A,#N/A,TRUE,"Existing vs Mkt";#N/A,#N/A,TRUE,"Expiration Schedule";#N/A,#N/A,TRUE,"Expiration Graph ";#N/A,#N/A,TRUE,"Residual - Marketing";#N/A,#N/A,TRUE,"Vacancy Detail"}</definedName>
    <definedName name="wrn.filecopy." localSheetId="2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22"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17"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Flagler" localSheetId="2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Flagler" localSheetId="22"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Flagler" localSheetId="17"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Flagler"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Oschedules." localSheetId="2" hidden="1">{"FOschedule1",#N/A,FALSE,"Sheet1";"FOschedule2",#N/A,FALSE,"Sheet1";"FOschedule3",#N/A,FALSE,"Sheet1"}</definedName>
    <definedName name="wrn.FOschedules." localSheetId="21" hidden="1">{"FOschedule1",#N/A,FALSE,"Sheet1";"FOschedule2",#N/A,FALSE,"Sheet1";"FOschedule3",#N/A,FALSE,"Sheet1"}</definedName>
    <definedName name="wrn.FOschedules." localSheetId="22" hidden="1">{"FOschedule1",#N/A,FALSE,"Sheet1";"FOschedule2",#N/A,FALSE,"Sheet1";"FOschedule3",#N/A,FALSE,"Sheet1"}</definedName>
    <definedName name="wrn.FOschedules." localSheetId="15" hidden="1">{"FOschedule1",#N/A,FALSE,"Sheet1";"FOschedule2",#N/A,FALSE,"Sheet1";"FOschedule3",#N/A,FALSE,"Sheet1"}</definedName>
    <definedName name="wrn.FOschedules." localSheetId="17" hidden="1">{"FOschedule1",#N/A,FALSE,"Sheet1";"FOschedule2",#N/A,FALSE,"Sheet1";"FOschedule3",#N/A,FALSE,"Sheet1"}</definedName>
    <definedName name="wrn.FOschedules." localSheetId="10" hidden="1">{"FOschedule1",#N/A,FALSE,"Sheet1";"FOschedule2",#N/A,FALSE,"Sheet1";"FOschedule3",#N/A,FALSE,"Sheet1"}</definedName>
    <definedName name="wrn.FOschedules." localSheetId="13" hidden="1">{"FOschedule1",#N/A,FALSE,"Sheet1";"FOschedule2",#N/A,FALSE,"Sheet1";"FOschedule3",#N/A,FALSE,"Sheet1"}</definedName>
    <definedName name="wrn.FOschedules." hidden="1">{"FOschedule1",#N/A,FALSE,"Sheet1";"FOschedule2",#N/A,FALSE,"Sheet1";"FOschedule3",#N/A,FALSE,"Sheet1"}</definedName>
    <definedName name="wrn.Full." localSheetId="2" hidden="1">{#N/A,#N/A,TRUE,"TransSum";#N/A,#N/A,TRUE,"Build-up Tar";#N/A,#N/A,TRUE,"Build-up Acq";#N/A,#N/A,TRUE,"IncStmt";#N/A,#N/A,TRUE,"BalSht";#N/A,#N/A,TRUE,"CashFlow";#N/A,#N/A,TRUE,"TBS";#N/A,#N/A,TRUE,"Earn-out";#N/A,#N/A,TRUE,"Carlyle Gain";#N/A,#N/A,TRUE,"Returns"}</definedName>
    <definedName name="wrn.Full." localSheetId="21" hidden="1">{#N/A,#N/A,TRUE,"TransSum";#N/A,#N/A,TRUE,"Build-up Tar";#N/A,#N/A,TRUE,"Build-up Acq";#N/A,#N/A,TRUE,"IncStmt";#N/A,#N/A,TRUE,"BalSht";#N/A,#N/A,TRUE,"CashFlow";#N/A,#N/A,TRUE,"TBS";#N/A,#N/A,TRUE,"Earn-out";#N/A,#N/A,TRUE,"Carlyle Gain";#N/A,#N/A,TRUE,"Returns"}</definedName>
    <definedName name="wrn.Full." localSheetId="22" hidden="1">{#N/A,#N/A,TRUE,"TransSum";#N/A,#N/A,TRUE,"Build-up Tar";#N/A,#N/A,TRUE,"Build-up Acq";#N/A,#N/A,TRUE,"IncStmt";#N/A,#N/A,TRUE,"BalSht";#N/A,#N/A,TRUE,"CashFlow";#N/A,#N/A,TRUE,"TBS";#N/A,#N/A,TRUE,"Earn-out";#N/A,#N/A,TRUE,"Carlyle Gain";#N/A,#N/A,TRUE,"Returns"}</definedName>
    <definedName name="wrn.Full." localSheetId="15" hidden="1">{#N/A,#N/A,TRUE,"TransSum";#N/A,#N/A,TRUE,"Build-up Tar";#N/A,#N/A,TRUE,"Build-up Acq";#N/A,#N/A,TRUE,"IncStmt";#N/A,#N/A,TRUE,"BalSht";#N/A,#N/A,TRUE,"CashFlow";#N/A,#N/A,TRUE,"TBS";#N/A,#N/A,TRUE,"Earn-out";#N/A,#N/A,TRUE,"Carlyle Gain";#N/A,#N/A,TRUE,"Returns"}</definedName>
    <definedName name="wrn.Full." localSheetId="17" hidden="1">{#N/A,#N/A,TRUE,"TransSum";#N/A,#N/A,TRUE,"Build-up Tar";#N/A,#N/A,TRUE,"Build-up Acq";#N/A,#N/A,TRUE,"IncStmt";#N/A,#N/A,TRUE,"BalSht";#N/A,#N/A,TRUE,"CashFlow";#N/A,#N/A,TRUE,"TBS";#N/A,#N/A,TRUE,"Earn-out";#N/A,#N/A,TRUE,"Carlyle Gain";#N/A,#N/A,TRUE,"Returns"}</definedName>
    <definedName name="wrn.Full." localSheetId="10" hidden="1">{#N/A,#N/A,TRUE,"TransSum";#N/A,#N/A,TRUE,"Build-up Tar";#N/A,#N/A,TRUE,"Build-up Acq";#N/A,#N/A,TRUE,"IncStmt";#N/A,#N/A,TRUE,"BalSht";#N/A,#N/A,TRUE,"CashFlow";#N/A,#N/A,TRUE,"TBS";#N/A,#N/A,TRUE,"Earn-out";#N/A,#N/A,TRUE,"Carlyle Gain";#N/A,#N/A,TRUE,"Returns"}</definedName>
    <definedName name="wrn.Full." localSheetId="13" hidden="1">{#N/A,#N/A,TRUE,"TransSum";#N/A,#N/A,TRUE,"Build-up Tar";#N/A,#N/A,TRUE,"Build-up Acq";#N/A,#N/A,TRUE,"IncStmt";#N/A,#N/A,TRUE,"BalSht";#N/A,#N/A,TRUE,"CashFlow";#N/A,#N/A,TRUE,"TBS";#N/A,#N/A,TRUE,"Earn-out";#N/A,#N/A,TRUE,"Carlyle Gain";#N/A,#N/A,TRUE,"Returns"}</definedName>
    <definedName name="wrn.Full." hidden="1">{#N/A,#N/A,TRUE,"TransSum";#N/A,#N/A,TRUE,"Build-up Tar";#N/A,#N/A,TRUE,"Build-up Acq";#N/A,#N/A,TRUE,"IncStmt";#N/A,#N/A,TRUE,"BalSht";#N/A,#N/A,TRUE,"CashFlow";#N/A,#N/A,TRUE,"TBS";#N/A,#N/A,TRUE,"Earn-out";#N/A,#N/A,TRUE,"Carlyle Gain";#N/A,#N/A,TRUE,"Returns"}</definedName>
    <definedName name="wrn.FULL._.COMPARISON." localSheetId="2" hidden="1">{"Full Sheet",#N/A,FALSE,"Expense Comparison"}</definedName>
    <definedName name="wrn.FULL._.COMPARISON." localSheetId="21" hidden="1">{"Full Sheet",#N/A,FALSE,"Expense Comparison"}</definedName>
    <definedName name="wrn.FULL._.COMPARISON." localSheetId="22" hidden="1">{"Full Sheet",#N/A,FALSE,"Expense Comparison"}</definedName>
    <definedName name="wrn.FULL._.COMPARISON." localSheetId="15" hidden="1">{"Full Sheet",#N/A,FALSE,"Expense Comparison"}</definedName>
    <definedName name="wrn.FULL._.COMPARISON." localSheetId="17" hidden="1">{"Full Sheet",#N/A,FALSE,"Expense Comparison"}</definedName>
    <definedName name="wrn.FULL._.COMPARISON." localSheetId="10" hidden="1">{"Full Sheet",#N/A,FALSE,"Expense Comparison"}</definedName>
    <definedName name="wrn.FULL._.COMPARISON." localSheetId="13" hidden="1">{"Full Sheet",#N/A,FALSE,"Expense Comparison"}</definedName>
    <definedName name="wrn.FULL._.COMPARISON." hidden="1">{"Full Sheet",#N/A,FALSE,"Expense Comparison"}</definedName>
    <definedName name="wrn.FULL._.PRINT." localSheetId="21" hidden="1">{#N/A,#N/A,FALSE,"OUR INV";#N/A,#N/A,FALSE,"SCHED VAL";#N/A,#N/A,FALSE,"AIA INV";#N/A,#N/A,FALSE,"DISTRIB"}</definedName>
    <definedName name="wrn.FULL._.PRINT." localSheetId="22" hidden="1">{#N/A,#N/A,FALSE,"OUR INV";#N/A,#N/A,FALSE,"SCHED VAL";#N/A,#N/A,FALSE,"AIA INV";#N/A,#N/A,FALSE,"DISTRIB"}</definedName>
    <definedName name="wrn.FULL._.PRINT." localSheetId="17" hidden="1">{#N/A,#N/A,FALSE,"OUR INV";#N/A,#N/A,FALSE,"SCHED VAL";#N/A,#N/A,FALSE,"AIA INV";#N/A,#N/A,FALSE,"DISTRIB"}</definedName>
    <definedName name="wrn.FULL._.PRINT." localSheetId="10" hidden="1">{#N/A,#N/A,FALSE,"OUR INV";#N/A,#N/A,FALSE,"SCHED VAL";#N/A,#N/A,FALSE,"AIA INV";#N/A,#N/A,FALSE,"DISTRIB"}</definedName>
    <definedName name="wrn.FULL._.PRINT." hidden="1">{#N/A,#N/A,FALSE,"OUR INV";#N/A,#N/A,FALSE,"SCHED VAL";#N/A,#N/A,FALSE,"AIA INV";#N/A,#N/A,FALSE,"DISTRIB"}</definedName>
    <definedName name="wrn.FULL._.PRINT.10" localSheetId="21" hidden="1">{#N/A,#N/A,FALSE,"OUR INV";#N/A,#N/A,FALSE,"SCHED VAL";#N/A,#N/A,FALSE,"AIA INV";#N/A,#N/A,FALSE,"DISTRIB"}</definedName>
    <definedName name="wrn.FULL._.PRINT.10" localSheetId="22" hidden="1">{#N/A,#N/A,FALSE,"OUR INV";#N/A,#N/A,FALSE,"SCHED VAL";#N/A,#N/A,FALSE,"AIA INV";#N/A,#N/A,FALSE,"DISTRIB"}</definedName>
    <definedName name="wrn.FULL._.PRINT.10" localSheetId="17" hidden="1">{#N/A,#N/A,FALSE,"OUR INV";#N/A,#N/A,FALSE,"SCHED VAL";#N/A,#N/A,FALSE,"AIA INV";#N/A,#N/A,FALSE,"DISTRIB"}</definedName>
    <definedName name="wrn.FULL._.PRINT.10" localSheetId="10" hidden="1">{#N/A,#N/A,FALSE,"OUR INV";#N/A,#N/A,FALSE,"SCHED VAL";#N/A,#N/A,FALSE,"AIA INV";#N/A,#N/A,FALSE,"DISTRIB"}</definedName>
    <definedName name="wrn.FULL._.PRINT.10" hidden="1">{#N/A,#N/A,FALSE,"OUR INV";#N/A,#N/A,FALSE,"SCHED VAL";#N/A,#N/A,FALSE,"AIA INV";#N/A,#N/A,FALSE,"DISTRIB"}</definedName>
    <definedName name="wrn.Full._.Report." localSheetId="4" hidden="1">{#N/A,#N/A,TRUE,"Title Page";#N/A,#N/A,TRUE,"Executive Summary";#N/A,#N/A,TRUE,"Tenant Summary";#N/A,#N/A,TRUE,"Assumptions";#N/A,#N/A,TRUE,"Capitalization Value ";#N/A,#N/A,TRUE,"Value Matrix ";#N/A,#N/A,TRUE,"Leasing Cost";#N/A,#N/A,TRUE,"Expiration Schedule";#N/A,#N/A,TRUE,"Market Rent Adjustment";#N/A,#N/A,TRUE,"Lease Value"}</definedName>
    <definedName name="wrn.Full._.Report." localSheetId="3" hidden="1">{#N/A,#N/A,TRUE,"Title Page";#N/A,#N/A,TRUE,"Executive Summary";#N/A,#N/A,TRUE,"Tenant Summary";#N/A,#N/A,TRUE,"Assumptions";#N/A,#N/A,TRUE,"Capitalization Value ";#N/A,#N/A,TRUE,"Value Matrix ";#N/A,#N/A,TRUE,"Leasing Cost";#N/A,#N/A,TRUE,"Expiration Schedule";#N/A,#N/A,TRUE,"Market Rent Adjustment";#N/A,#N/A,TRUE,"Lease Value"}</definedName>
    <definedName name="wrn.Full._.Report." localSheetId="5" hidden="1">{#N/A,#N/A,TRUE,"Title Page";#N/A,#N/A,TRUE,"Executive Summary";#N/A,#N/A,TRUE,"Tenant Summary";#N/A,#N/A,TRUE,"Assumptions";#N/A,#N/A,TRUE,"Capitalization Value ";#N/A,#N/A,TRUE,"Value Matrix ";#N/A,#N/A,TRUE,"Leasing Cost";#N/A,#N/A,TRUE,"Expiration Schedule";#N/A,#N/A,TRUE,"Market Rent Adjustment";#N/A,#N/A,TRUE,"Lease Value"}</definedName>
    <definedName name="wrn.full._.report." localSheetId="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 localSheetId="11" hidden="1">{"Consolidated",#N/A,FALSE,"Consolidated";"Revenues",#N/A,FALSE,"Revenues";"Capital Items",#N/A,FALSE,"Capital Items";"Year 1",#N/A,FALSE,"Year 1 Proforma";#N/A,#N/A,FALSE,"8 Year ProFma";"Expenses",#N/A,FALSE,"Standard Expense"}</definedName>
    <definedName name="wrn.full._.report." localSheetId="2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 localSheetId="15"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 localSheetId="17"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 localSheetId="10"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 localSheetId="13"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un." localSheetId="21" hidden="1">{#N/A,#N/A,FALSE,"Summary";#N/A,#N/A,FALSE,"Remaining Obligation";#N/A,#N/A,FALSE,"Sublease Income";#N/A,#N/A,FALSE,"New Lease"}</definedName>
    <definedName name="wrn.Full._.Run." localSheetId="22" hidden="1">{#N/A,#N/A,FALSE,"Summary";#N/A,#N/A,FALSE,"Remaining Obligation";#N/A,#N/A,FALSE,"Sublease Income";#N/A,#N/A,FALSE,"New Lease"}</definedName>
    <definedName name="wrn.Full._.Run." localSheetId="17" hidden="1">{#N/A,#N/A,FALSE,"Summary";#N/A,#N/A,FALSE,"Remaining Obligation";#N/A,#N/A,FALSE,"Sublease Income";#N/A,#N/A,FALSE,"New Lease"}</definedName>
    <definedName name="wrn.Full._.Run." localSheetId="10" hidden="1">{#N/A,#N/A,FALSE,"Summary";#N/A,#N/A,FALSE,"Remaining Obligation";#N/A,#N/A,FALSE,"Sublease Income";#N/A,#N/A,FALSE,"New Lease"}</definedName>
    <definedName name="wrn.Full._.Run." hidden="1">{#N/A,#N/A,FALSE,"Summary";#N/A,#N/A,FALSE,"Remaining Obligation";#N/A,#N/A,FALSE,"Sublease Income";#N/A,#N/A,FALSE,"New Lease"}</definedName>
    <definedName name="wrn.Full._.without._.data." localSheetId="2"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without._.data." localSheetId="21"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without._.data." localSheetId="22"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without._.data." localSheetId="15"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without._.data." localSheetId="17"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without._.data." localSheetId="10"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without._.data." localSheetId="13"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without._.data."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Report." localSheetId="21"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localSheetId="22"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localSheetId="17"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Template." localSheetId="4"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Schedule";#N/A,#N/A,FALSE,"13Residual 2007";#N/A,#N/A,FALSE,"14Residual 2008";#N/A,#N/A,FALSE,"15Residual 2009";#N/A,#N/A,FALSE,"16Residual 2010";#N/A,#N/A,FALSE,"17Residual 2011";#N/A,#N/A,FALSE,"18Hold Disposition Matrix";#N/A,#N/A,FALSE,"19Other Disposition Matrix"}</definedName>
    <definedName name="wrn.Full_Template." localSheetId="3"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Schedule";#N/A,#N/A,FALSE,"13Residual 2007";#N/A,#N/A,FALSE,"14Residual 2008";#N/A,#N/A,FALSE,"15Residual 2009";#N/A,#N/A,FALSE,"16Residual 2010";#N/A,#N/A,FALSE,"17Residual 2011";#N/A,#N/A,FALSE,"18Hold Disposition Matrix";#N/A,#N/A,FALSE,"19Other Disposition Matrix"}</definedName>
    <definedName name="wrn.Full_Template." localSheetId="5"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Schedule";#N/A,#N/A,FALSE,"13Residual 2007";#N/A,#N/A,FALSE,"14Residual 2008";#N/A,#N/A,FALSE,"15Residual 2009";#N/A,#N/A,FALSE,"16Residual 2010";#N/A,#N/A,FALSE,"17Residual 2011";#N/A,#N/A,FALSE,"18Hold Disposition Matrix";#N/A,#N/A,FALSE,"19Other Disposition Matrix"}</definedName>
    <definedName name="wrn.Full_Template." localSheetId="2"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Schedule";#N/A,#N/A,FALSE,"13Residual 2007";#N/A,#N/A,FALSE,"14Residual 2008";#N/A,#N/A,FALSE,"15Residual 2009";#N/A,#N/A,FALSE,"16Residual 2010";#N/A,#N/A,FALSE,"17Residual 2011";#N/A,#N/A,FALSE,"18Hold Disposition Matrix";#N/A,#N/A,FALSE,"19Other Disposition Matrix"}</definedName>
    <definedName name="wrn.Full_Template." localSheetId="21"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Schedule";#N/A,#N/A,FALSE,"13Residual 2007";#N/A,#N/A,FALSE,"14Residual 2008";#N/A,#N/A,FALSE,"15Residual 2009";#N/A,#N/A,FALSE,"16Residual 2010";#N/A,#N/A,FALSE,"17Residual 2011";#N/A,#N/A,FALSE,"18Hold Disposition Matrix";#N/A,#N/A,FALSE,"19Other Disposition Matrix"}</definedName>
    <definedName name="wrn.Full_Template." localSheetId="22"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Schedule";#N/A,#N/A,FALSE,"13Residual 2007";#N/A,#N/A,FALSE,"14Residual 2008";#N/A,#N/A,FALSE,"15Residual 2009";#N/A,#N/A,FALSE,"16Residual 2010";#N/A,#N/A,FALSE,"17Residual 2011";#N/A,#N/A,FALSE,"18Hold Disposition Matrix";#N/A,#N/A,FALSE,"19Other Disposition Matrix"}</definedName>
    <definedName name="wrn.Full_Template." localSheetId="15"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Schedule";#N/A,#N/A,FALSE,"13Residual 2007";#N/A,#N/A,FALSE,"14Residual 2008";#N/A,#N/A,FALSE,"15Residual 2009";#N/A,#N/A,FALSE,"16Residual 2010";#N/A,#N/A,FALSE,"17Residual 2011";#N/A,#N/A,FALSE,"18Hold Disposition Matrix";#N/A,#N/A,FALSE,"19Other Disposition Matrix"}</definedName>
    <definedName name="wrn.Full_Template." localSheetId="17"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Schedule";#N/A,#N/A,FALSE,"13Residual 2007";#N/A,#N/A,FALSE,"14Residual 2008";#N/A,#N/A,FALSE,"15Residual 2009";#N/A,#N/A,FALSE,"16Residual 2010";#N/A,#N/A,FALSE,"17Residual 2011";#N/A,#N/A,FALSE,"18Hold Disposition Matrix";#N/A,#N/A,FALSE,"19Other Disposition Matrix"}</definedName>
    <definedName name="wrn.Full_Template." localSheetId="10"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Schedule";#N/A,#N/A,FALSE,"13Residual 2007";#N/A,#N/A,FALSE,"14Residual 2008";#N/A,#N/A,FALSE,"15Residual 2009";#N/A,#N/A,FALSE,"16Residual 2010";#N/A,#N/A,FALSE,"17Residual 2011";#N/A,#N/A,FALSE,"18Hold Disposition Matrix";#N/A,#N/A,FALSE,"19Other Disposition Matrix"}</definedName>
    <definedName name="wrn.Full_Template." localSheetId="13"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Schedule";#N/A,#N/A,FALSE,"13Residual 2007";#N/A,#N/A,FALSE,"14Residual 2008";#N/A,#N/A,FALSE,"15Residual 2009";#N/A,#N/A,FALSE,"16Residual 2010";#N/A,#N/A,FALSE,"17Residual 2011";#N/A,#N/A,FALSE,"18Hold Disposition Matrix";#N/A,#N/A,FALSE,"19Other Disposition Matrix"}</definedName>
    <definedName name="wrn.Full_Template."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Schedule";#N/A,#N/A,FALSE,"13Residual 2007";#N/A,#N/A,FALSE,"14Residual 2008";#N/A,#N/A,FALSE,"15Residual 2009";#N/A,#N/A,FALSE,"16Residual 2010";#N/A,#N/A,FALSE,"17Residual 2011";#N/A,#N/A,FALSE,"18Hold Disposition Matrix";#N/A,#N/A,FALSE,"19Other Disposition Matrix"}</definedName>
    <definedName name="wrn.Garage." localSheetId="21" hidden="1">{#N/A,#N/A,FALSE,"Garage Assumpt 1";#N/A,#N/A,FALSE,"Garage Op Proj";#N/A,#N/A,FALSE,"Hist I&amp;E";#N/A,#N/A,FALSE,"Garage Lease"}</definedName>
    <definedName name="wrn.Garage." localSheetId="22" hidden="1">{#N/A,#N/A,FALSE,"Garage Assumpt 1";#N/A,#N/A,FALSE,"Garage Op Proj";#N/A,#N/A,FALSE,"Hist I&amp;E";#N/A,#N/A,FALSE,"Garage Lease"}</definedName>
    <definedName name="wrn.Garage." localSheetId="17" hidden="1">{#N/A,#N/A,FALSE,"Garage Assumpt 1";#N/A,#N/A,FALSE,"Garage Op Proj";#N/A,#N/A,FALSE,"Hist I&amp;E";#N/A,#N/A,FALSE,"Garage Lease"}</definedName>
    <definedName name="wrn.Garage." localSheetId="10" hidden="1">{#N/A,#N/A,FALSE,"Garage Assumpt 1";#N/A,#N/A,FALSE,"Garage Op Proj";#N/A,#N/A,FALSE,"Hist I&amp;E";#N/A,#N/A,FALSE,"Garage Lease"}</definedName>
    <definedName name="wrn.Garage." hidden="1">{#N/A,#N/A,FALSE,"Garage Assumpt 1";#N/A,#N/A,FALSE,"Garage Op Proj";#N/A,#N/A,FALSE,"Hist I&amp;E";#N/A,#N/A,FALSE,"Garage Lease"}</definedName>
    <definedName name="wrn.Gesamtausdruck." localSheetId="21" hidden="1">{#N/A,#N/A,FALSE,"Finale1";#N/A,#N/A,FALSE,"Finale2";#N/A,#N/A,FALSE,"peiodisch1";#N/A,#N/A,FALSE,"periodisch2";#N/A,#N/A,FALSE,"Aktiv";#N/A,#N/A,FALSE,"Passiv";#N/A,#N/A,FALSE,"EWB";#N/A,#N/A,FALSE,"EWB-2";#N/A,#N/A,FALSE,"D-Bestand";#N/A,#N/A,FALSE,"D-Zins";#N/A,#N/A,FALSE,"Fil_A_Bestand";#N/A,#N/A,FALSE,"Fil_A_Zins";#N/A,#N/A,FALSE,"Fil_A_D-Zins";#N/A,#N/A,FALSE,"Fil_P_Bestand";#N/A,#N/A,FALSE,"Fil_P_Zins";#N/A,#N/A,FALSE,"Fil_P_Neu";#N/A,#N/A,FALSE,"Report 2";#N/A,#N/A,FALSE,"Report 3";#N/A,#N/A,FALSE,"Report 4";#N/A,#N/A,FALSE,"Report 5";#N/A,#N/A,FALSE,"Summary";#N/A,#N/A,FALSE,"Actual-Budget (kum)";#N/A,#N/A,FALSE,"Actual-Budget (per)";#N/A,#N/A,FALSE,"Comparison YTD";#N/A,#N/A,FALSE,"Headcount";#N/A,#N/A,FALSE,"Headcount2";#N/A,#N/A,FALSE,"Investitionsgüter";#N/A,#N/A,FALSE,"Konzern";#N/A,#N/A,FALSE,"stat.con.";#N/A,#N/A,FALSE,"Zusatz1";#N/A,#N/A,FALSE,"BIS 1";#N/A,#N/A,FALSE,"BIS-Assets";#N/A,#N/A,FALSE,"BIS 2"}</definedName>
    <definedName name="wrn.Gesamtausdruck." localSheetId="22" hidden="1">{#N/A,#N/A,FALSE,"Finale1";#N/A,#N/A,FALSE,"Finale2";#N/A,#N/A,FALSE,"peiodisch1";#N/A,#N/A,FALSE,"periodisch2";#N/A,#N/A,FALSE,"Aktiv";#N/A,#N/A,FALSE,"Passiv";#N/A,#N/A,FALSE,"EWB";#N/A,#N/A,FALSE,"EWB-2";#N/A,#N/A,FALSE,"D-Bestand";#N/A,#N/A,FALSE,"D-Zins";#N/A,#N/A,FALSE,"Fil_A_Bestand";#N/A,#N/A,FALSE,"Fil_A_Zins";#N/A,#N/A,FALSE,"Fil_A_D-Zins";#N/A,#N/A,FALSE,"Fil_P_Bestand";#N/A,#N/A,FALSE,"Fil_P_Zins";#N/A,#N/A,FALSE,"Fil_P_Neu";#N/A,#N/A,FALSE,"Report 2";#N/A,#N/A,FALSE,"Report 3";#N/A,#N/A,FALSE,"Report 4";#N/A,#N/A,FALSE,"Report 5";#N/A,#N/A,FALSE,"Summary";#N/A,#N/A,FALSE,"Actual-Budget (kum)";#N/A,#N/A,FALSE,"Actual-Budget (per)";#N/A,#N/A,FALSE,"Comparison YTD";#N/A,#N/A,FALSE,"Headcount";#N/A,#N/A,FALSE,"Headcount2";#N/A,#N/A,FALSE,"Investitionsgüter";#N/A,#N/A,FALSE,"Konzern";#N/A,#N/A,FALSE,"stat.con.";#N/A,#N/A,FALSE,"Zusatz1";#N/A,#N/A,FALSE,"BIS 1";#N/A,#N/A,FALSE,"BIS-Assets";#N/A,#N/A,FALSE,"BIS 2"}</definedName>
    <definedName name="wrn.Gesamtausdruck." localSheetId="17" hidden="1">{#N/A,#N/A,FALSE,"Finale1";#N/A,#N/A,FALSE,"Finale2";#N/A,#N/A,FALSE,"peiodisch1";#N/A,#N/A,FALSE,"periodisch2";#N/A,#N/A,FALSE,"Aktiv";#N/A,#N/A,FALSE,"Passiv";#N/A,#N/A,FALSE,"EWB";#N/A,#N/A,FALSE,"EWB-2";#N/A,#N/A,FALSE,"D-Bestand";#N/A,#N/A,FALSE,"D-Zins";#N/A,#N/A,FALSE,"Fil_A_Bestand";#N/A,#N/A,FALSE,"Fil_A_Zins";#N/A,#N/A,FALSE,"Fil_A_D-Zins";#N/A,#N/A,FALSE,"Fil_P_Bestand";#N/A,#N/A,FALSE,"Fil_P_Zins";#N/A,#N/A,FALSE,"Fil_P_Neu";#N/A,#N/A,FALSE,"Report 2";#N/A,#N/A,FALSE,"Report 3";#N/A,#N/A,FALSE,"Report 4";#N/A,#N/A,FALSE,"Report 5";#N/A,#N/A,FALSE,"Summary";#N/A,#N/A,FALSE,"Actual-Budget (kum)";#N/A,#N/A,FALSE,"Actual-Budget (per)";#N/A,#N/A,FALSE,"Comparison YTD";#N/A,#N/A,FALSE,"Headcount";#N/A,#N/A,FALSE,"Headcount2";#N/A,#N/A,FALSE,"Investitionsgüter";#N/A,#N/A,FALSE,"Konzern";#N/A,#N/A,FALSE,"stat.con.";#N/A,#N/A,FALSE,"Zusatz1";#N/A,#N/A,FALSE,"BIS 1";#N/A,#N/A,FALSE,"BIS-Assets";#N/A,#N/A,FALSE,"BIS 2"}</definedName>
    <definedName name="wrn.Gesamtausdruck." hidden="1">{#N/A,#N/A,FALSE,"Finale1";#N/A,#N/A,FALSE,"Finale2";#N/A,#N/A,FALSE,"peiodisch1";#N/A,#N/A,FALSE,"periodisch2";#N/A,#N/A,FALSE,"Aktiv";#N/A,#N/A,FALSE,"Passiv";#N/A,#N/A,FALSE,"EWB";#N/A,#N/A,FALSE,"EWB-2";#N/A,#N/A,FALSE,"D-Bestand";#N/A,#N/A,FALSE,"D-Zins";#N/A,#N/A,FALSE,"Fil_A_Bestand";#N/A,#N/A,FALSE,"Fil_A_Zins";#N/A,#N/A,FALSE,"Fil_A_D-Zins";#N/A,#N/A,FALSE,"Fil_P_Bestand";#N/A,#N/A,FALSE,"Fil_P_Zins";#N/A,#N/A,FALSE,"Fil_P_Neu";#N/A,#N/A,FALSE,"Report 2";#N/A,#N/A,FALSE,"Report 3";#N/A,#N/A,FALSE,"Report 4";#N/A,#N/A,FALSE,"Report 5";#N/A,#N/A,FALSE,"Summary";#N/A,#N/A,FALSE,"Actual-Budget (kum)";#N/A,#N/A,FALSE,"Actual-Budget (per)";#N/A,#N/A,FALSE,"Comparison YTD";#N/A,#N/A,FALSE,"Headcount";#N/A,#N/A,FALSE,"Headcount2";#N/A,#N/A,FALSE,"Investitionsgüter";#N/A,#N/A,FALSE,"Konzern";#N/A,#N/A,FALSE,"stat.con.";#N/A,#N/A,FALSE,"Zusatz1";#N/A,#N/A,FALSE,"BIS 1";#N/A,#N/A,FALSE,"BIS-Assets";#N/A,#N/A,FALSE,"BIS 2"}</definedName>
    <definedName name="wrn.Golf._.Summary." localSheetId="2" hidden="1">{"View1",#N/A,FALSE,"Golf";"View2",#N/A,FALSE,"Golf";"View3",#N/A,FALSE,"Golf";"View4",#N/A,FALSE,"Golf";"View5",#N/A,FALSE,"Golf";"View6",#N/A,FALSE,"Golf";"View7",#N/A,FALSE,"Golf";"View8",#N/A,FALSE,"Golf";"View9",#N/A,FALSE,"Golf";"View10",#N/A,FALSE,"Golf";"View11",#N/A,FALSE,"Golf";"View12",#N/A,FALSE,"Golf"}</definedName>
    <definedName name="wrn.Golf._.Summary." localSheetId="21" hidden="1">{"View1",#N/A,FALSE,"Golf";"View2",#N/A,FALSE,"Golf";"View3",#N/A,FALSE,"Golf";"View4",#N/A,FALSE,"Golf";"View5",#N/A,FALSE,"Golf";"View6",#N/A,FALSE,"Golf";"View7",#N/A,FALSE,"Golf";"View8",#N/A,FALSE,"Golf";"View9",#N/A,FALSE,"Golf";"View10",#N/A,FALSE,"Golf";"View11",#N/A,FALSE,"Golf";"View12",#N/A,FALSE,"Golf"}</definedName>
    <definedName name="wrn.Golf._.Summary." localSheetId="22" hidden="1">{"View1",#N/A,FALSE,"Golf";"View2",#N/A,FALSE,"Golf";"View3",#N/A,FALSE,"Golf";"View4",#N/A,FALSE,"Golf";"View5",#N/A,FALSE,"Golf";"View6",#N/A,FALSE,"Golf";"View7",#N/A,FALSE,"Golf";"View8",#N/A,FALSE,"Golf";"View9",#N/A,FALSE,"Golf";"View10",#N/A,FALSE,"Golf";"View11",#N/A,FALSE,"Golf";"View12",#N/A,FALSE,"Golf"}</definedName>
    <definedName name="wrn.Golf._.Summary." localSheetId="15" hidden="1">{"View1",#N/A,FALSE,"Golf";"View2",#N/A,FALSE,"Golf";"View3",#N/A,FALSE,"Golf";"View4",#N/A,FALSE,"Golf";"View5",#N/A,FALSE,"Golf";"View6",#N/A,FALSE,"Golf";"View7",#N/A,FALSE,"Golf";"View8",#N/A,FALSE,"Golf";"View9",#N/A,FALSE,"Golf";"View10",#N/A,FALSE,"Golf";"View11",#N/A,FALSE,"Golf";"View12",#N/A,FALSE,"Golf"}</definedName>
    <definedName name="wrn.Golf._.Summary." localSheetId="17" hidden="1">{"View1",#N/A,FALSE,"Golf";"View2",#N/A,FALSE,"Golf";"View3",#N/A,FALSE,"Golf";"View4",#N/A,FALSE,"Golf";"View5",#N/A,FALSE,"Golf";"View6",#N/A,FALSE,"Golf";"View7",#N/A,FALSE,"Golf";"View8",#N/A,FALSE,"Golf";"View9",#N/A,FALSE,"Golf";"View10",#N/A,FALSE,"Golf";"View11",#N/A,FALSE,"Golf";"View12",#N/A,FALSE,"Golf"}</definedName>
    <definedName name="wrn.Golf._.Summary." localSheetId="10" hidden="1">{"View1",#N/A,FALSE,"Golf";"View2",#N/A,FALSE,"Golf";"View3",#N/A,FALSE,"Golf";"View4",#N/A,FALSE,"Golf";"View5",#N/A,FALSE,"Golf";"View6",#N/A,FALSE,"Golf";"View7",#N/A,FALSE,"Golf";"View8",#N/A,FALSE,"Golf";"View9",#N/A,FALSE,"Golf";"View10",#N/A,FALSE,"Golf";"View11",#N/A,FALSE,"Golf";"View12",#N/A,FALSE,"Golf"}</definedName>
    <definedName name="wrn.Golf._.Summary." localSheetId="13" hidden="1">{"View1",#N/A,FALSE,"Golf";"View2",#N/A,FALSE,"Golf";"View3",#N/A,FALSE,"Golf";"View4",#N/A,FALSE,"Golf";"View5",#N/A,FALSE,"Golf";"View6",#N/A,FALSE,"Golf";"View7",#N/A,FALSE,"Golf";"View8",#N/A,FALSE,"Golf";"View9",#N/A,FALSE,"Golf";"View10",#N/A,FALSE,"Golf";"View11",#N/A,FALSE,"Golf";"View12",#N/A,FALSE,"Golf"}</definedName>
    <definedName name="wrn.Golf._.Summary." hidden="1">{"View1",#N/A,FALSE,"Golf";"View2",#N/A,FALSE,"Golf";"View3",#N/A,FALSE,"Golf";"View4",#N/A,FALSE,"Golf";"View5",#N/A,FALSE,"Golf";"View6",#N/A,FALSE,"Golf";"View7",#N/A,FALSE,"Golf";"View8",#N/A,FALSE,"Golf";"View9",#N/A,FALSE,"Golf";"View10",#N/A,FALSE,"Golf";"View11",#N/A,FALSE,"Golf";"View12",#N/A,FALSE,"Golf"}</definedName>
    <definedName name="wrn.GSA._.PRINT." localSheetId="21" hidden="1">{#N/A,#N/A,FALSE,"DEV COSTS";#N/A,#N/A,FALSE,"10-YR C. F."}</definedName>
    <definedName name="wrn.GSA._.PRINT." localSheetId="22" hidden="1">{#N/A,#N/A,FALSE,"DEV COSTS";#N/A,#N/A,FALSE,"10-YR C. F."}</definedName>
    <definedName name="wrn.GSA._.PRINT." localSheetId="17" hidden="1">{#N/A,#N/A,FALSE,"DEV COSTS";#N/A,#N/A,FALSE,"10-YR C. F."}</definedName>
    <definedName name="wrn.GSA._.PRINT." localSheetId="10" hidden="1">{#N/A,#N/A,FALSE,"DEV COSTS";#N/A,#N/A,FALSE,"10-YR C. F."}</definedName>
    <definedName name="wrn.GSA._.PRINT." hidden="1">{#N/A,#N/A,FALSE,"DEV COSTS";#N/A,#N/A,FALSE,"10-YR C. F."}</definedName>
    <definedName name="wrn.Gund._.Arena._.PCD." localSheetId="21" hidden="1">{#N/A,#N/A,TRUE,"Gund Arena PCD";#N/A,#N/A,TRUE,"Gund Arena IOR"}</definedName>
    <definedName name="wrn.Gund._.Arena._.PCD." localSheetId="22" hidden="1">{#N/A,#N/A,TRUE,"Gund Arena PCD";#N/A,#N/A,TRUE,"Gund Arena IOR"}</definedName>
    <definedName name="wrn.Gund._.Arena._.PCD." localSheetId="17" hidden="1">{#N/A,#N/A,TRUE,"Gund Arena PCD";#N/A,#N/A,TRUE,"Gund Arena IOR"}</definedName>
    <definedName name="wrn.Gund._.Arena._.PCD." localSheetId="10" hidden="1">{#N/A,#N/A,TRUE,"Gund Arena PCD";#N/A,#N/A,TRUE,"Gund Arena IOR"}</definedName>
    <definedName name="wrn.Gund._.Arena._.PCD." hidden="1">{#N/A,#N/A,TRUE,"Gund Arena PCD";#N/A,#N/A,TRUE,"Gund Arena IOR"}</definedName>
    <definedName name="wrn.Hist._.InE." localSheetId="21" hidden="1">{#N/A,#N/A,FALSE,"Hist I&amp;E - Consol";#N/A,#N/A,FALSE,"Hist I&amp;E - Lakes";#N/A,#N/A,FALSE,"Hist I&amp;E - Chabot";#N/A,#N/A,FALSE,"Hist I&amp;E - Diablo"}</definedName>
    <definedName name="wrn.Hist._.InE." localSheetId="22" hidden="1">{#N/A,#N/A,FALSE,"Hist I&amp;E - Consol";#N/A,#N/A,FALSE,"Hist I&amp;E - Lakes";#N/A,#N/A,FALSE,"Hist I&amp;E - Chabot";#N/A,#N/A,FALSE,"Hist I&amp;E - Diablo"}</definedName>
    <definedName name="wrn.Hist._.InE." localSheetId="17" hidden="1">{#N/A,#N/A,FALSE,"Hist I&amp;E - Consol";#N/A,#N/A,FALSE,"Hist I&amp;E - Lakes";#N/A,#N/A,FALSE,"Hist I&amp;E - Chabot";#N/A,#N/A,FALSE,"Hist I&amp;E - Diablo"}</definedName>
    <definedName name="wrn.Hist._.InE." localSheetId="10" hidden="1">{#N/A,#N/A,FALSE,"Hist I&amp;E - Consol";#N/A,#N/A,FALSE,"Hist I&amp;E - Lakes";#N/A,#N/A,FALSE,"Hist I&amp;E - Chabot";#N/A,#N/A,FALSE,"Hist I&amp;E - Diablo"}</definedName>
    <definedName name="wrn.Hist._.InE." hidden="1">{#N/A,#N/A,FALSE,"Hist I&amp;E - Consol";#N/A,#N/A,FALSE,"Hist I&amp;E - Lakes";#N/A,#N/A,FALSE,"Hist I&amp;E - Chabot";#N/A,#N/A,FALSE,"Hist I&amp;E - Diablo"}</definedName>
    <definedName name="wrn.Hist._.InE2." localSheetId="21" hidden="1">{#N/A,#N/A,FALSE,"Hist I&amp;E - #2";#N/A,#N/A,FALSE,"Hist I&amp;E - #3";#N/A,#N/A,FALSE,"Hist I&amp;E - #4";#N/A,#N/A,FALSE,"Hist I&amp;E - #5";#N/A,#N/A,FALSE,"Hist I&amp;E - #6";#N/A,#N/A,FALSE,"Hist I&amp;E - #8";#N/A,#N/A,FALSE,"Hist I&amp;E - #9";#N/A,#N/A,FALSE,"Hist I&amp;E - #10"}</definedName>
    <definedName name="wrn.Hist._.InE2." localSheetId="22" hidden="1">{#N/A,#N/A,FALSE,"Hist I&amp;E - #2";#N/A,#N/A,FALSE,"Hist I&amp;E - #3";#N/A,#N/A,FALSE,"Hist I&amp;E - #4";#N/A,#N/A,FALSE,"Hist I&amp;E - #5";#N/A,#N/A,FALSE,"Hist I&amp;E - #6";#N/A,#N/A,FALSE,"Hist I&amp;E - #8";#N/A,#N/A,FALSE,"Hist I&amp;E - #9";#N/A,#N/A,FALSE,"Hist I&amp;E - #10"}</definedName>
    <definedName name="wrn.Hist._.InE2." localSheetId="17" hidden="1">{#N/A,#N/A,FALSE,"Hist I&amp;E - #2";#N/A,#N/A,FALSE,"Hist I&amp;E - #3";#N/A,#N/A,FALSE,"Hist I&amp;E - #4";#N/A,#N/A,FALSE,"Hist I&amp;E - #5";#N/A,#N/A,FALSE,"Hist I&amp;E - #6";#N/A,#N/A,FALSE,"Hist I&amp;E - #8";#N/A,#N/A,FALSE,"Hist I&amp;E - #9";#N/A,#N/A,FALSE,"Hist I&amp;E - #10"}</definedName>
    <definedName name="wrn.Hist._.InE2." localSheetId="10" hidden="1">{#N/A,#N/A,FALSE,"Hist I&amp;E - #2";#N/A,#N/A,FALSE,"Hist I&amp;E - #3";#N/A,#N/A,FALSE,"Hist I&amp;E - #4";#N/A,#N/A,FALSE,"Hist I&amp;E - #5";#N/A,#N/A,FALSE,"Hist I&amp;E - #6";#N/A,#N/A,FALSE,"Hist I&amp;E - #8";#N/A,#N/A,FALSE,"Hist I&amp;E - #9";#N/A,#N/A,FALSE,"Hist I&amp;E - #10"}</definedName>
    <definedName name="wrn.Hist._.InE2." hidden="1">{#N/A,#N/A,FALSE,"Hist I&amp;E - #2";#N/A,#N/A,FALSE,"Hist I&amp;E - #3";#N/A,#N/A,FALSE,"Hist I&amp;E - #4";#N/A,#N/A,FALSE,"Hist I&amp;E - #5";#N/A,#N/A,FALSE,"Hist I&amp;E - #6";#N/A,#N/A,FALSE,"Hist I&amp;E - #8";#N/A,#N/A,FALSE,"Hist I&amp;E - #9";#N/A,#N/A,FALSE,"Hist I&amp;E - #10"}</definedName>
    <definedName name="wrn.Hold._.Sell." localSheetId="4" hidden="1">{#N/A,#N/A,FALSE,"13Residual 2007";#N/A,#N/A,FALSE,"14Residual 2008";#N/A,#N/A,FALSE,"15Residual 2009";#N/A,#N/A,FALSE,"16Residual 2010";#N/A,#N/A,FALSE,"17Residual 2011";#N/A,#N/A,FALSE,"18Hold Disposition Matrix";#N/A,#N/A,FALSE,"19Other Disposition Matrix"}</definedName>
    <definedName name="wrn.Hold._.Sell." localSheetId="3" hidden="1">{#N/A,#N/A,FALSE,"13Residual 2007";#N/A,#N/A,FALSE,"14Residual 2008";#N/A,#N/A,FALSE,"15Residual 2009";#N/A,#N/A,FALSE,"16Residual 2010";#N/A,#N/A,FALSE,"17Residual 2011";#N/A,#N/A,FALSE,"18Hold Disposition Matrix";#N/A,#N/A,FALSE,"19Other Disposition Matrix"}</definedName>
    <definedName name="wrn.Hold._.Sell." localSheetId="5" hidden="1">{#N/A,#N/A,FALSE,"13Residual 2007";#N/A,#N/A,FALSE,"14Residual 2008";#N/A,#N/A,FALSE,"15Residual 2009";#N/A,#N/A,FALSE,"16Residual 2010";#N/A,#N/A,FALSE,"17Residual 2011";#N/A,#N/A,FALSE,"18Hold Disposition Matrix";#N/A,#N/A,FALSE,"19Other Disposition Matrix"}</definedName>
    <definedName name="wrn.Hold._.Sell." localSheetId="2" hidden="1">{#N/A,#N/A,FALSE,"13Residual 2007";#N/A,#N/A,FALSE,"14Residual 2008";#N/A,#N/A,FALSE,"15Residual 2009";#N/A,#N/A,FALSE,"16Residual 2010";#N/A,#N/A,FALSE,"17Residual 2011";#N/A,#N/A,FALSE,"18Hold Disposition Matrix";#N/A,#N/A,FALSE,"19Other Disposition Matrix"}</definedName>
    <definedName name="wrn.Hold._.Sell." localSheetId="21" hidden="1">{#N/A,#N/A,FALSE,"13Residual 2007";#N/A,#N/A,FALSE,"14Residual 2008";#N/A,#N/A,FALSE,"15Residual 2009";#N/A,#N/A,FALSE,"16Residual 2010";#N/A,#N/A,FALSE,"17Residual 2011";#N/A,#N/A,FALSE,"18Hold Disposition Matrix";#N/A,#N/A,FALSE,"19Other Disposition Matrix"}</definedName>
    <definedName name="wrn.Hold._.Sell." localSheetId="22" hidden="1">{#N/A,#N/A,FALSE,"13Residual 2007";#N/A,#N/A,FALSE,"14Residual 2008";#N/A,#N/A,FALSE,"15Residual 2009";#N/A,#N/A,FALSE,"16Residual 2010";#N/A,#N/A,FALSE,"17Residual 2011";#N/A,#N/A,FALSE,"18Hold Disposition Matrix";#N/A,#N/A,FALSE,"19Other Disposition Matrix"}</definedName>
    <definedName name="wrn.Hold._.Sell." localSheetId="15" hidden="1">{#N/A,#N/A,FALSE,"13Residual 2007";#N/A,#N/A,FALSE,"14Residual 2008";#N/A,#N/A,FALSE,"15Residual 2009";#N/A,#N/A,FALSE,"16Residual 2010";#N/A,#N/A,FALSE,"17Residual 2011";#N/A,#N/A,FALSE,"18Hold Disposition Matrix";#N/A,#N/A,FALSE,"19Other Disposition Matrix"}</definedName>
    <definedName name="wrn.Hold._.Sell." localSheetId="17" hidden="1">{#N/A,#N/A,FALSE,"13Residual 2007";#N/A,#N/A,FALSE,"14Residual 2008";#N/A,#N/A,FALSE,"15Residual 2009";#N/A,#N/A,FALSE,"16Residual 2010";#N/A,#N/A,FALSE,"17Residual 2011";#N/A,#N/A,FALSE,"18Hold Disposition Matrix";#N/A,#N/A,FALSE,"19Other Disposition Matrix"}</definedName>
    <definedName name="wrn.Hold._.Sell." localSheetId="10" hidden="1">{#N/A,#N/A,FALSE,"13Residual 2007";#N/A,#N/A,FALSE,"14Residual 2008";#N/A,#N/A,FALSE,"15Residual 2009";#N/A,#N/A,FALSE,"16Residual 2010";#N/A,#N/A,FALSE,"17Residual 2011";#N/A,#N/A,FALSE,"18Hold Disposition Matrix";#N/A,#N/A,FALSE,"19Other Disposition Matrix"}</definedName>
    <definedName name="wrn.Hold._.Sell." localSheetId="13" hidden="1">{#N/A,#N/A,FALSE,"13Residual 2007";#N/A,#N/A,FALSE,"14Residual 2008";#N/A,#N/A,FALSE,"15Residual 2009";#N/A,#N/A,FALSE,"16Residual 2010";#N/A,#N/A,FALSE,"17Residual 2011";#N/A,#N/A,FALSE,"18Hold Disposition Matrix";#N/A,#N/A,FALSE,"19Other Disposition Matrix"}</definedName>
    <definedName name="wrn.Hold._.Sell." hidden="1">{#N/A,#N/A,FALSE,"13Residual 2007";#N/A,#N/A,FALSE,"14Residual 2008";#N/A,#N/A,FALSE,"15Residual 2009";#N/A,#N/A,FALSE,"16Residual 2010";#N/A,#N/A,FALSE,"17Residual 2011";#N/A,#N/A,FALSE,"18Hold Disposition Matrix";#N/A,#N/A,FALSE,"19Other Disposition Matrix"}</definedName>
    <definedName name="wrn.Income._.Statements." localSheetId="21" hidden="1">{#N/A,#N/A,FALSE,"Consol CF";#N/A,#N/A,FALSE,"matx B4 DS";#N/A,#N/A,FALSE,"Hacienda CF";#N/A,#N/A,FALSE,"matx B4 DS Hac";#N/A,#N/A,FALSE,"Chabot CF";#N/A,#N/A,FALSE,"matx B4 DS Chabot";#N/A,#N/A,FALSE,"Diablo CF";#N/A,#N/A,FALSE,"matx B4 DS Diablo";#N/A,#N/A,FALSE,"HAC2-CF";#N/A,#N/A,FALSE,"HAC3-CF";#N/A,#N/A,FALSE,"HAC4-CF";#N/A,#N/A,FALSE,"HAC5-CF";#N/A,#N/A,FALSE,"HAC6-CF";#N/A,#N/A,FALSE,"HAC7-CF";#N/A,#N/A,FALSE,"HAC8-CF";#N/A,#N/A,FALSE,"HAC9-CF";#N/A,#N/A,FALSE,"HA10-CF"}</definedName>
    <definedName name="wrn.Income._.Statements." localSheetId="22" hidden="1">{#N/A,#N/A,FALSE,"Consol CF";#N/A,#N/A,FALSE,"matx B4 DS";#N/A,#N/A,FALSE,"Hacienda CF";#N/A,#N/A,FALSE,"matx B4 DS Hac";#N/A,#N/A,FALSE,"Chabot CF";#N/A,#N/A,FALSE,"matx B4 DS Chabot";#N/A,#N/A,FALSE,"Diablo CF";#N/A,#N/A,FALSE,"matx B4 DS Diablo";#N/A,#N/A,FALSE,"HAC2-CF";#N/A,#N/A,FALSE,"HAC3-CF";#N/A,#N/A,FALSE,"HAC4-CF";#N/A,#N/A,FALSE,"HAC5-CF";#N/A,#N/A,FALSE,"HAC6-CF";#N/A,#N/A,FALSE,"HAC7-CF";#N/A,#N/A,FALSE,"HAC8-CF";#N/A,#N/A,FALSE,"HAC9-CF";#N/A,#N/A,FALSE,"HA10-CF"}</definedName>
    <definedName name="wrn.Income._.Statements." localSheetId="17" hidden="1">{#N/A,#N/A,FALSE,"Consol CF";#N/A,#N/A,FALSE,"matx B4 DS";#N/A,#N/A,FALSE,"Hacienda CF";#N/A,#N/A,FALSE,"matx B4 DS Hac";#N/A,#N/A,FALSE,"Chabot CF";#N/A,#N/A,FALSE,"matx B4 DS Chabot";#N/A,#N/A,FALSE,"Diablo CF";#N/A,#N/A,FALSE,"matx B4 DS Diablo";#N/A,#N/A,FALSE,"HAC2-CF";#N/A,#N/A,FALSE,"HAC3-CF";#N/A,#N/A,FALSE,"HAC4-CF";#N/A,#N/A,FALSE,"HAC5-CF";#N/A,#N/A,FALSE,"HAC6-CF";#N/A,#N/A,FALSE,"HAC7-CF";#N/A,#N/A,FALSE,"HAC8-CF";#N/A,#N/A,FALSE,"HAC9-CF";#N/A,#N/A,FALSE,"HA10-CF"}</definedName>
    <definedName name="wrn.Income._.Statements." localSheetId="10" hidden="1">{#N/A,#N/A,FALSE,"Consol CF";#N/A,#N/A,FALSE,"matx B4 DS";#N/A,#N/A,FALSE,"Hacienda CF";#N/A,#N/A,FALSE,"matx B4 DS Hac";#N/A,#N/A,FALSE,"Chabot CF";#N/A,#N/A,FALSE,"matx B4 DS Chabot";#N/A,#N/A,FALSE,"Diablo CF";#N/A,#N/A,FALSE,"matx B4 DS Diablo";#N/A,#N/A,FALSE,"HAC2-CF";#N/A,#N/A,FALSE,"HAC3-CF";#N/A,#N/A,FALSE,"HAC4-CF";#N/A,#N/A,FALSE,"HAC5-CF";#N/A,#N/A,FALSE,"HAC6-CF";#N/A,#N/A,FALSE,"HAC7-CF";#N/A,#N/A,FALSE,"HAC8-CF";#N/A,#N/A,FALSE,"HAC9-CF";#N/A,#N/A,FALSE,"HA10-CF"}</definedName>
    <definedName name="wrn.Income._.Statements." hidden="1">{#N/A,#N/A,FALSE,"Consol CF";#N/A,#N/A,FALSE,"matx B4 DS";#N/A,#N/A,FALSE,"Hacienda CF";#N/A,#N/A,FALSE,"matx B4 DS Hac";#N/A,#N/A,FALSE,"Chabot CF";#N/A,#N/A,FALSE,"matx B4 DS Chabot";#N/A,#N/A,FALSE,"Diablo CF";#N/A,#N/A,FALSE,"matx B4 DS Diablo";#N/A,#N/A,FALSE,"HAC2-CF";#N/A,#N/A,FALSE,"HAC3-CF";#N/A,#N/A,FALSE,"HAC4-CF";#N/A,#N/A,FALSE,"HAC5-CF";#N/A,#N/A,FALSE,"HAC6-CF";#N/A,#N/A,FALSE,"HAC7-CF";#N/A,#N/A,FALSE,"HAC8-CF";#N/A,#N/A,FALSE,"HAC9-CF";#N/A,#N/A,FALSE,"HA10-CF"}</definedName>
    <definedName name="wrn.Industry.xls." localSheetId="21" hidden="1">{#N/A,#N/A,FALSE,"Earnings";#N/A,#N/A,FALSE,"Overview";#N/A,#N/A,FALSE,"Summary";#N/A,#N/A,FALSE,"Summary II";#N/A,#N/A,FALSE,"R&amp;D";#N/A,#N/A,FALSE,"R&amp;D Forecast";#N/A,#N/A,FALSE,"Tax Adj";#N/A,#N/A,FALSE,"Goodwill";#N/A,#N/A,FALSE,"FX ";#N/A,#N/A,FALSE,"Consolidation";#N/A,#N/A,FALSE,"Provisions"}</definedName>
    <definedName name="wrn.Industry.xls." localSheetId="22" hidden="1">{#N/A,#N/A,FALSE,"Earnings";#N/A,#N/A,FALSE,"Overview";#N/A,#N/A,FALSE,"Summary";#N/A,#N/A,FALSE,"Summary II";#N/A,#N/A,FALSE,"R&amp;D";#N/A,#N/A,FALSE,"R&amp;D Forecast";#N/A,#N/A,FALSE,"Tax Adj";#N/A,#N/A,FALSE,"Goodwill";#N/A,#N/A,FALSE,"FX ";#N/A,#N/A,FALSE,"Consolidation";#N/A,#N/A,FALSE,"Provisions"}</definedName>
    <definedName name="wrn.Industry.xls." localSheetId="17"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Interior._.finishes." localSheetId="21" hidden="1">{"interior finishes",#N/A,FALSE,"DETAIL.XLS"}</definedName>
    <definedName name="wrn.Interior._.finishes." localSheetId="22" hidden="1">{"interior finishes",#N/A,FALSE,"DETAIL.XLS"}</definedName>
    <definedName name="wrn.Interior._.finishes." localSheetId="17" hidden="1">{"interior finishes",#N/A,FALSE,"DETAIL.XLS"}</definedName>
    <definedName name="wrn.Interior._.finishes." localSheetId="10" hidden="1">{"interior finishes",#N/A,FALSE,"DETAIL.XLS"}</definedName>
    <definedName name="wrn.Interior._.finishes." hidden="1">{"interior finishes",#N/A,FALSE,"DETAIL.XLS"}</definedName>
    <definedName name="wrn.JSI._.Report." localSheetId="21" hidden="1">{"JSI View",#N/A,FALSE,"JSI "}</definedName>
    <definedName name="wrn.JSI._.Report." localSheetId="22" hidden="1">{"JSI View",#N/A,FALSE,"JSI "}</definedName>
    <definedName name="wrn.JSI._.Report." localSheetId="17" hidden="1">{"JSI View",#N/A,FALSE,"JSI "}</definedName>
    <definedName name="wrn.JSI._.Report." localSheetId="10" hidden="1">{"JSI View",#N/A,FALSE,"JSI "}</definedName>
    <definedName name="wrn.JSI._.Report." hidden="1">{"JSI View",#N/A,FALSE,"JSI "}</definedName>
    <definedName name="wrn.JSI_VAR_DOH._.Report." localSheetId="21" hidden="1">{"JSI View",#N/A,FALSE,"JSI ";"DOH View",#N/A,FALSE,"JSI ";"Variance View",#N/A,FALSE,"JSI "}</definedName>
    <definedName name="wrn.JSI_VAR_DOH._.Report." localSheetId="22" hidden="1">{"JSI View",#N/A,FALSE,"JSI ";"DOH View",#N/A,FALSE,"JSI ";"Variance View",#N/A,FALSE,"JSI "}</definedName>
    <definedName name="wrn.JSI_VAR_DOH._.Report." localSheetId="17" hidden="1">{"JSI View",#N/A,FALSE,"JSI ";"DOH View",#N/A,FALSE,"JSI ";"Variance View",#N/A,FALSE,"JSI "}</definedName>
    <definedName name="wrn.JSI_VAR_DOH._.Report." localSheetId="10" hidden="1">{"JSI View",#N/A,FALSE,"JSI ";"DOH View",#N/A,FALSE,"JSI ";"Variance View",#N/A,FALSE,"JSI "}</definedName>
    <definedName name="wrn.JSI_VAR_DOH._.Report." hidden="1">{"JSI View",#N/A,FALSE,"JSI ";"DOH View",#N/A,FALSE,"JSI ";"Variance View",#N/A,FALSE,"JSI "}</definedName>
    <definedName name="wrn.Konzept._.2." localSheetId="21" hidden="1">{#N/A,#N/A,FALSE,"Report 2";#N/A,#N/A,FALSE,"Report 3";#N/A,#N/A,FALSE,"Report 4";#N/A,#N/A,FALSE,"Report 5";#N/A,#N/A,FALSE,"Aktiv";#N/A,#N/A,FALSE,"Fil_A_Bestand";#N/A,#N/A,FALSE,"Fil_A_Zins";#N/A,#N/A,FALSE,"Fil_A_D-Zins";#N/A,#N/A,FALSE,"Passiv";#N/A,#N/A,FALSE,"Fil_P_Bestand";#N/A,#N/A,FALSE,"Fil_P_Zins";#N/A,#N/A,FALSE,"Fil_P_Neu";#N/A,#N/A,FALSE,"D-Bestand";#N/A,#N/A,FALSE,"D-Zins";#N/A,#N/A,FALSE,"peiodisch1";#N/A,#N/A,FALSE,"periodisch2";#N/A,#N/A,FALSE,"Finale1";#N/A,#N/A,FALSE,"Finale2";#N/A,#N/A,FALSE,"EWB-2";#N/A,#N/A,FALSE,"EWB";#N/A,#N/A,FALSE,"Headcount";#N/A,#N/A,FALSE,"Headcount2";#N/A,#N/A,FALSE,"Investitionsgüter";#N/A,#N/A,FALSE,"Konzern";#N/A,#N/A,FALSE,"BIS 2";#N/A,#N/A,FALSE,"BIS 1";#N/A,#N/A,FALSE,"Summary";#N/A,#N/A,FALSE,"Actual-Budget (kum)";#N/A,#N/A,FALSE,"Actual-Budget (per)";#N/A,#N/A,FALSE,"Comparison YTD";#N/A,#N/A,FALSE,"stat.con.";#N/A,#N/A,FALSE,"Zusatz1";#N/A,#N/A,FALSE,"BIS-Assets"}</definedName>
    <definedName name="wrn.Konzept._.2." localSheetId="22" hidden="1">{#N/A,#N/A,FALSE,"Report 2";#N/A,#N/A,FALSE,"Report 3";#N/A,#N/A,FALSE,"Report 4";#N/A,#N/A,FALSE,"Report 5";#N/A,#N/A,FALSE,"Aktiv";#N/A,#N/A,FALSE,"Fil_A_Bestand";#N/A,#N/A,FALSE,"Fil_A_Zins";#N/A,#N/A,FALSE,"Fil_A_D-Zins";#N/A,#N/A,FALSE,"Passiv";#N/A,#N/A,FALSE,"Fil_P_Bestand";#N/A,#N/A,FALSE,"Fil_P_Zins";#N/A,#N/A,FALSE,"Fil_P_Neu";#N/A,#N/A,FALSE,"D-Bestand";#N/A,#N/A,FALSE,"D-Zins";#N/A,#N/A,FALSE,"peiodisch1";#N/A,#N/A,FALSE,"periodisch2";#N/A,#N/A,FALSE,"Finale1";#N/A,#N/A,FALSE,"Finale2";#N/A,#N/A,FALSE,"EWB-2";#N/A,#N/A,FALSE,"EWB";#N/A,#N/A,FALSE,"Headcount";#N/A,#N/A,FALSE,"Headcount2";#N/A,#N/A,FALSE,"Investitionsgüter";#N/A,#N/A,FALSE,"Konzern";#N/A,#N/A,FALSE,"BIS 2";#N/A,#N/A,FALSE,"BIS 1";#N/A,#N/A,FALSE,"Summary";#N/A,#N/A,FALSE,"Actual-Budget (kum)";#N/A,#N/A,FALSE,"Actual-Budget (per)";#N/A,#N/A,FALSE,"Comparison YTD";#N/A,#N/A,FALSE,"stat.con.";#N/A,#N/A,FALSE,"Zusatz1";#N/A,#N/A,FALSE,"BIS-Assets"}</definedName>
    <definedName name="wrn.Konzept._.2." localSheetId="17" hidden="1">{#N/A,#N/A,FALSE,"Report 2";#N/A,#N/A,FALSE,"Report 3";#N/A,#N/A,FALSE,"Report 4";#N/A,#N/A,FALSE,"Report 5";#N/A,#N/A,FALSE,"Aktiv";#N/A,#N/A,FALSE,"Fil_A_Bestand";#N/A,#N/A,FALSE,"Fil_A_Zins";#N/A,#N/A,FALSE,"Fil_A_D-Zins";#N/A,#N/A,FALSE,"Passiv";#N/A,#N/A,FALSE,"Fil_P_Bestand";#N/A,#N/A,FALSE,"Fil_P_Zins";#N/A,#N/A,FALSE,"Fil_P_Neu";#N/A,#N/A,FALSE,"D-Bestand";#N/A,#N/A,FALSE,"D-Zins";#N/A,#N/A,FALSE,"peiodisch1";#N/A,#N/A,FALSE,"periodisch2";#N/A,#N/A,FALSE,"Finale1";#N/A,#N/A,FALSE,"Finale2";#N/A,#N/A,FALSE,"EWB-2";#N/A,#N/A,FALSE,"EWB";#N/A,#N/A,FALSE,"Headcount";#N/A,#N/A,FALSE,"Headcount2";#N/A,#N/A,FALSE,"Investitionsgüter";#N/A,#N/A,FALSE,"Konzern";#N/A,#N/A,FALSE,"BIS 2";#N/A,#N/A,FALSE,"BIS 1";#N/A,#N/A,FALSE,"Summary";#N/A,#N/A,FALSE,"Actual-Budget (kum)";#N/A,#N/A,FALSE,"Actual-Budget (per)";#N/A,#N/A,FALSE,"Comparison YTD";#N/A,#N/A,FALSE,"stat.con.";#N/A,#N/A,FALSE,"Zusatz1";#N/A,#N/A,FALSE,"BIS-Assets"}</definedName>
    <definedName name="wrn.Konzept._.2." hidden="1">{#N/A,#N/A,FALSE,"Report 2";#N/A,#N/A,FALSE,"Report 3";#N/A,#N/A,FALSE,"Report 4";#N/A,#N/A,FALSE,"Report 5";#N/A,#N/A,FALSE,"Aktiv";#N/A,#N/A,FALSE,"Fil_A_Bestand";#N/A,#N/A,FALSE,"Fil_A_Zins";#N/A,#N/A,FALSE,"Fil_A_D-Zins";#N/A,#N/A,FALSE,"Passiv";#N/A,#N/A,FALSE,"Fil_P_Bestand";#N/A,#N/A,FALSE,"Fil_P_Zins";#N/A,#N/A,FALSE,"Fil_P_Neu";#N/A,#N/A,FALSE,"D-Bestand";#N/A,#N/A,FALSE,"D-Zins";#N/A,#N/A,FALSE,"peiodisch1";#N/A,#N/A,FALSE,"periodisch2";#N/A,#N/A,FALSE,"Finale1";#N/A,#N/A,FALSE,"Finale2";#N/A,#N/A,FALSE,"EWB-2";#N/A,#N/A,FALSE,"EWB";#N/A,#N/A,FALSE,"Headcount";#N/A,#N/A,FALSE,"Headcount2";#N/A,#N/A,FALSE,"Investitionsgüter";#N/A,#N/A,FALSE,"Konzern";#N/A,#N/A,FALSE,"BIS 2";#N/A,#N/A,FALSE,"BIS 1";#N/A,#N/A,FALSE,"Summary";#N/A,#N/A,FALSE,"Actual-Budget (kum)";#N/A,#N/A,FALSE,"Actual-Budget (per)";#N/A,#N/A,FALSE,"Comparison YTD";#N/A,#N/A,FALSE,"stat.con.";#N/A,#N/A,FALSE,"Zusatz1";#N/A,#N/A,FALSE,"BIS-Assets"}</definedName>
    <definedName name="wrn.Land._.Takedown._.Summary." localSheetId="2" hidden="1">{"land1",#N/A,FALSE,"Land";"land2",#N/A,FALSE,"Land";"land3",#N/A,FALSE,"Land"}</definedName>
    <definedName name="wrn.Land._.Takedown._.Summary." localSheetId="21" hidden="1">{"land1",#N/A,FALSE,"Land";"land2",#N/A,FALSE,"Land";"land3",#N/A,FALSE,"Land"}</definedName>
    <definedName name="wrn.Land._.Takedown._.Summary." localSheetId="22" hidden="1">{"land1",#N/A,FALSE,"Land";"land2",#N/A,FALSE,"Land";"land3",#N/A,FALSE,"Land"}</definedName>
    <definedName name="wrn.Land._.Takedown._.Summary." localSheetId="15" hidden="1">{"land1",#N/A,FALSE,"Land";"land2",#N/A,FALSE,"Land";"land3",#N/A,FALSE,"Land"}</definedName>
    <definedName name="wrn.Land._.Takedown._.Summary." localSheetId="17" hidden="1">{"land1",#N/A,FALSE,"Land";"land2",#N/A,FALSE,"Land";"land3",#N/A,FALSE,"Land"}</definedName>
    <definedName name="wrn.Land._.Takedown._.Summary." localSheetId="10" hidden="1">{"land1",#N/A,FALSE,"Land";"land2",#N/A,FALSE,"Land";"land3",#N/A,FALSE,"Land"}</definedName>
    <definedName name="wrn.Land._.Takedown._.Summary." localSheetId="13" hidden="1">{"land1",#N/A,FALSE,"Land";"land2",#N/A,FALSE,"Land";"land3",#N/A,FALSE,"Land"}</definedName>
    <definedName name="wrn.Land._.Takedown._.Summary." hidden="1">{"land1",#N/A,FALSE,"Land";"land2",#N/A,FALSE,"Land";"land3",#N/A,FALSE,"Land"}</definedName>
    <definedName name="wrn.Leasing._.Variance." localSheetId="2" hidden="1">{#N/A,#N/A,FALSE,"Leasing 6A"}</definedName>
    <definedName name="wrn.Leasing._.Variance." localSheetId="21" hidden="1">{#N/A,#N/A,FALSE,"Leasing 6A"}</definedName>
    <definedName name="wrn.Leasing._.Variance." localSheetId="22" hidden="1">{#N/A,#N/A,FALSE,"Leasing 6A"}</definedName>
    <definedName name="wrn.Leasing._.Variance." localSheetId="15" hidden="1">{#N/A,#N/A,FALSE,"Leasing 6A"}</definedName>
    <definedName name="wrn.Leasing._.Variance." localSheetId="17" hidden="1">{#N/A,#N/A,FALSE,"Leasing 6A"}</definedName>
    <definedName name="wrn.Leasing._.Variance." localSheetId="10" hidden="1">{#N/A,#N/A,FALSE,"Leasing 6A"}</definedName>
    <definedName name="wrn.Leasing._.Variance." localSheetId="13" hidden="1">{#N/A,#N/A,FALSE,"Leasing 6A"}</definedName>
    <definedName name="wrn.Leasing._.Variance." hidden="1">{#N/A,#N/A,FALSE,"Leasing 6A"}</definedName>
    <definedName name="wrn.LoanInformation." localSheetId="2" hidden="1">{#N/A,#N/A,FALSE,"LoanAssumptions"}</definedName>
    <definedName name="wrn.LoanInformation." localSheetId="21" hidden="1">{#N/A,#N/A,FALSE,"LoanAssumptions"}</definedName>
    <definedName name="wrn.LoanInformation." localSheetId="22" hidden="1">{#N/A,#N/A,FALSE,"LoanAssumptions"}</definedName>
    <definedName name="wrn.LoanInformation." localSheetId="15" hidden="1">{#N/A,#N/A,FALSE,"LoanAssumptions"}</definedName>
    <definedName name="wrn.LoanInformation." localSheetId="17" hidden="1">{#N/A,#N/A,FALSE,"LoanAssumptions"}</definedName>
    <definedName name="wrn.LoanInformation." localSheetId="10" hidden="1">{#N/A,#N/A,FALSE,"LoanAssumptions"}</definedName>
    <definedName name="wrn.LoanInformation." localSheetId="13" hidden="1">{#N/A,#N/A,FALSE,"LoanAssumptions"}</definedName>
    <definedName name="wrn.LoanInformation." hidden="1">{#N/A,#N/A,FALSE,"LoanAssumptions"}</definedName>
    <definedName name="wrn.Lot._.Inventory." localSheetId="2" hidden="1">{"lot inventory",#N/A,FALSE,"Lot List"}</definedName>
    <definedName name="wrn.Lot._.Inventory." localSheetId="21" hidden="1">{"lot inventory",#N/A,FALSE,"Lot List"}</definedName>
    <definedName name="wrn.Lot._.Inventory." localSheetId="22" hidden="1">{"lot inventory",#N/A,FALSE,"Lot List"}</definedName>
    <definedName name="wrn.Lot._.Inventory." localSheetId="15" hidden="1">{"lot inventory",#N/A,FALSE,"Lot List"}</definedName>
    <definedName name="wrn.Lot._.Inventory." localSheetId="17" hidden="1">{"lot inventory",#N/A,FALSE,"Lot List"}</definedName>
    <definedName name="wrn.Lot._.Inventory." localSheetId="10" hidden="1">{"lot inventory",#N/A,FALSE,"Lot List"}</definedName>
    <definedName name="wrn.Lot._.Inventory." localSheetId="13" hidden="1">{"lot inventory",#N/A,FALSE,"Lot List"}</definedName>
    <definedName name="wrn.Lot._.Inventory." hidden="1">{"lot inventory",#N/A,FALSE,"Lot List"}</definedName>
    <definedName name="wrn.Lot._.Summary." localSheetId="2" hidden="1">{"Lot Prices",#N/A,FALSE,"LOTS-PRICING";"lot1",#N/A,FALSE,"Lots";"lot2",#N/A,FALSE,"Lots";"Lot3",#N/A,FALSE,"Lots";"lot4",#N/A,FALSE,"Lots";"lot5",#N/A,FALSE,"Lots";"lot6",#N/A,FALSE,"Lots";"lot7",#N/A,FALSE,"Lots";"lot8",#N/A,FALSE,"Lots";"lot9",#N/A,FALSE,"Lots";"lot10",#N/A,FALSE,"Lots";"lot11",#N/A,FALSE,"Lots";"lot12",#N/A,FALSE,"Lots"}</definedName>
    <definedName name="wrn.Lot._.Summary." localSheetId="21" hidden="1">{"Lot Prices",#N/A,FALSE,"LOTS-PRICING";"lot1",#N/A,FALSE,"Lots";"lot2",#N/A,FALSE,"Lots";"Lot3",#N/A,FALSE,"Lots";"lot4",#N/A,FALSE,"Lots";"lot5",#N/A,FALSE,"Lots";"lot6",#N/A,FALSE,"Lots";"lot7",#N/A,FALSE,"Lots";"lot8",#N/A,FALSE,"Lots";"lot9",#N/A,FALSE,"Lots";"lot10",#N/A,FALSE,"Lots";"lot11",#N/A,FALSE,"Lots";"lot12",#N/A,FALSE,"Lots"}</definedName>
    <definedName name="wrn.Lot._.Summary." localSheetId="22" hidden="1">{"Lot Prices",#N/A,FALSE,"LOTS-PRICING";"lot1",#N/A,FALSE,"Lots";"lot2",#N/A,FALSE,"Lots";"Lot3",#N/A,FALSE,"Lots";"lot4",#N/A,FALSE,"Lots";"lot5",#N/A,FALSE,"Lots";"lot6",#N/A,FALSE,"Lots";"lot7",#N/A,FALSE,"Lots";"lot8",#N/A,FALSE,"Lots";"lot9",#N/A,FALSE,"Lots";"lot10",#N/A,FALSE,"Lots";"lot11",#N/A,FALSE,"Lots";"lot12",#N/A,FALSE,"Lots"}</definedName>
    <definedName name="wrn.Lot._.Summary." localSheetId="15" hidden="1">{"Lot Prices",#N/A,FALSE,"LOTS-PRICING";"lot1",#N/A,FALSE,"Lots";"lot2",#N/A,FALSE,"Lots";"Lot3",#N/A,FALSE,"Lots";"lot4",#N/A,FALSE,"Lots";"lot5",#N/A,FALSE,"Lots";"lot6",#N/A,FALSE,"Lots";"lot7",#N/A,FALSE,"Lots";"lot8",#N/A,FALSE,"Lots";"lot9",#N/A,FALSE,"Lots";"lot10",#N/A,FALSE,"Lots";"lot11",#N/A,FALSE,"Lots";"lot12",#N/A,FALSE,"Lots"}</definedName>
    <definedName name="wrn.Lot._.Summary." localSheetId="17" hidden="1">{"Lot Prices",#N/A,FALSE,"LOTS-PRICING";"lot1",#N/A,FALSE,"Lots";"lot2",#N/A,FALSE,"Lots";"Lot3",#N/A,FALSE,"Lots";"lot4",#N/A,FALSE,"Lots";"lot5",#N/A,FALSE,"Lots";"lot6",#N/A,FALSE,"Lots";"lot7",#N/A,FALSE,"Lots";"lot8",#N/A,FALSE,"Lots";"lot9",#N/A,FALSE,"Lots";"lot10",#N/A,FALSE,"Lots";"lot11",#N/A,FALSE,"Lots";"lot12",#N/A,FALSE,"Lots"}</definedName>
    <definedName name="wrn.Lot._.Summary." localSheetId="10" hidden="1">{"Lot Prices",#N/A,FALSE,"LOTS-PRICING";"lot1",#N/A,FALSE,"Lots";"lot2",#N/A,FALSE,"Lots";"Lot3",#N/A,FALSE,"Lots";"lot4",#N/A,FALSE,"Lots";"lot5",#N/A,FALSE,"Lots";"lot6",#N/A,FALSE,"Lots";"lot7",#N/A,FALSE,"Lots";"lot8",#N/A,FALSE,"Lots";"lot9",#N/A,FALSE,"Lots";"lot10",#N/A,FALSE,"Lots";"lot11",#N/A,FALSE,"Lots";"lot12",#N/A,FALSE,"Lots"}</definedName>
    <definedName name="wrn.Lot._.Summary." localSheetId="13" hidden="1">{"Lot Prices",#N/A,FALSE,"LOTS-PRICING";"lot1",#N/A,FALSE,"Lots";"lot2",#N/A,FALSE,"Lots";"Lot3",#N/A,FALSE,"Lots";"lot4",#N/A,FALSE,"Lots";"lot5",#N/A,FALSE,"Lots";"lot6",#N/A,FALSE,"Lots";"lot7",#N/A,FALSE,"Lots";"lot8",#N/A,FALSE,"Lots";"lot9",#N/A,FALSE,"Lots";"lot10",#N/A,FALSE,"Lots";"lot11",#N/A,FALSE,"Lots";"lot12",#N/A,FALSE,"Lots"}</definedName>
    <definedName name="wrn.Lot._.Summary." hidden="1">{"Lot Prices",#N/A,FALSE,"LOTS-PRICING";"lot1",#N/A,FALSE,"Lots";"lot2",#N/A,FALSE,"Lots";"Lot3",#N/A,FALSE,"Lots";"lot4",#N/A,FALSE,"Lots";"lot5",#N/A,FALSE,"Lots";"lot6",#N/A,FALSE,"Lots";"lot7",#N/A,FALSE,"Lots";"lot8",#N/A,FALSE,"Lots";"lot9",#N/A,FALSE,"Lots";"lot10",#N/A,FALSE,"Lots";"lot11",#N/A,FALSE,"Lots";"lot12",#N/A,FALSE,"Lots"}</definedName>
    <definedName name="wrn.Market._.Values." localSheetId="2" hidden="1">{#N/A,#N/A,TRUE,"10 Yr Hold";#N/A,#N/A,TRUE,"7 Yr Hold";#N/A,#N/A,TRUE,"5 Yr Hold";#N/A,#N/A,TRUE,"3 Yr Hold"}</definedName>
    <definedName name="wrn.Market._.Values." localSheetId="21" hidden="1">{#N/A,#N/A,TRUE,"10 Yr Hold";#N/A,#N/A,TRUE,"7 Yr Hold";#N/A,#N/A,TRUE,"5 Yr Hold";#N/A,#N/A,TRUE,"3 Yr Hold"}</definedName>
    <definedName name="wrn.Market._.Values." localSheetId="22" hidden="1">{#N/A,#N/A,TRUE,"10 Yr Hold";#N/A,#N/A,TRUE,"7 Yr Hold";#N/A,#N/A,TRUE,"5 Yr Hold";#N/A,#N/A,TRUE,"3 Yr Hold"}</definedName>
    <definedName name="wrn.Market._.Values." localSheetId="15" hidden="1">{#N/A,#N/A,TRUE,"10 Yr Hold";#N/A,#N/A,TRUE,"7 Yr Hold";#N/A,#N/A,TRUE,"5 Yr Hold";#N/A,#N/A,TRUE,"3 Yr Hold"}</definedName>
    <definedName name="wrn.Market._.Values." localSheetId="17" hidden="1">{#N/A,#N/A,TRUE,"10 Yr Hold";#N/A,#N/A,TRUE,"7 Yr Hold";#N/A,#N/A,TRUE,"5 Yr Hold";#N/A,#N/A,TRUE,"3 Yr Hold"}</definedName>
    <definedName name="wrn.Market._.Values." localSheetId="10" hidden="1">{#N/A,#N/A,TRUE,"10 Yr Hold";#N/A,#N/A,TRUE,"7 Yr Hold";#N/A,#N/A,TRUE,"5 Yr Hold";#N/A,#N/A,TRUE,"3 Yr Hold"}</definedName>
    <definedName name="wrn.Market._.Values." localSheetId="13" hidden="1">{#N/A,#N/A,TRUE,"10 Yr Hold";#N/A,#N/A,TRUE,"7 Yr Hold";#N/A,#N/A,TRUE,"5 Yr Hold";#N/A,#N/A,TRUE,"3 Yr Hold"}</definedName>
    <definedName name="wrn.Market._.Values." hidden="1">{#N/A,#N/A,TRUE,"10 Yr Hold";#N/A,#N/A,TRUE,"7 Yr Hold";#N/A,#N/A,TRUE,"5 Yr Hold";#N/A,#N/A,TRUE,"3 Yr Hold"}</definedName>
    <definedName name="wrn.Market_Report." localSheetId="21" hidden="1">{#N/A,#N/A,FALSE,"1Summary";#N/A,#N/A,FALSE,"2Assumptions";"CashFlowTen",#N/A,FALSE,"3Cash Flow";"Residual",#N/A,FALSE,"5Residual";#N/A,#N/A,FALSE,"9Vacancy Matrix";#N/A,#N/A,FALSE,"10Expiration Schedule"}</definedName>
    <definedName name="wrn.Market_Report." localSheetId="22" hidden="1">{#N/A,#N/A,FALSE,"1Summary";#N/A,#N/A,FALSE,"2Assumptions";"CashFlowTen",#N/A,FALSE,"3Cash Flow";"Residual",#N/A,FALSE,"5Residual";#N/A,#N/A,FALSE,"9Vacancy Matrix";#N/A,#N/A,FALSE,"10Expiration Schedule"}</definedName>
    <definedName name="wrn.Market_Report." localSheetId="17" hidden="1">{#N/A,#N/A,FALSE,"1Summary";#N/A,#N/A,FALSE,"2Assumptions";"CashFlowTen",#N/A,FALSE,"3Cash Flow";"Residual",#N/A,FALSE,"5Residual";#N/A,#N/A,FALSE,"9Vacancy Matrix";#N/A,#N/A,FALSE,"10Expiration Schedule"}</definedName>
    <definedName name="wrn.Market_Report." hidden="1">{#N/A,#N/A,FALSE,"1Summary";#N/A,#N/A,FALSE,"2Assumptions";"CashFlowTen",#N/A,FALSE,"3Cash Flow";"Residual",#N/A,FALSE,"5Residual";#N/A,#N/A,FALSE,"9Vacancy Matrix";#N/A,#N/A,FALSE,"10Expiration Schedule"}</definedName>
    <definedName name="wrn.Marketing." localSheetId="4" hidden="1">{#N/A,#N/A,FALSE,"2Assumptions";#N/A,#N/A,FALSE,"3Cash Flow";#N/A,#N/A,FALSE,"I&amp;E";#N/A,#N/A,FALSE,"I&amp;E (2)";#N/A,#N/A,FALSE,"10Vacancy Matrix";#N/A,#N/A,FALSE,"11Expiration Schedule"}</definedName>
    <definedName name="wrn.Marketing." localSheetId="3" hidden="1">{#N/A,#N/A,FALSE,"2Assumptions";#N/A,#N/A,FALSE,"3Cash Flow";#N/A,#N/A,FALSE,"I&amp;E";#N/A,#N/A,FALSE,"I&amp;E (2)";#N/A,#N/A,FALSE,"10Vacancy Matrix";#N/A,#N/A,FALSE,"11Expiration Schedule"}</definedName>
    <definedName name="wrn.Marketing." localSheetId="5" hidden="1">{#N/A,#N/A,FALSE,"2Assumptions";#N/A,#N/A,FALSE,"3Cash Flow";#N/A,#N/A,FALSE,"I&amp;E";#N/A,#N/A,FALSE,"I&amp;E (2)";#N/A,#N/A,FALSE,"10Vacancy Matrix";#N/A,#N/A,FALSE,"11Expiration Schedule"}</definedName>
    <definedName name="wrn.Marketing." localSheetId="2" hidden="1">{#N/A,#N/A,FALSE,"2Assumptions";#N/A,#N/A,FALSE,"3Cash Flow";#N/A,#N/A,FALSE,"I&amp;E";#N/A,#N/A,FALSE,"I&amp;E (2)";#N/A,#N/A,FALSE,"10Vacancy Matrix";#N/A,#N/A,FALSE,"11Expiration Schedule"}</definedName>
    <definedName name="wrn.Marketing." localSheetId="21" hidden="1">{#N/A,#N/A,FALSE,"2Assumptions";#N/A,#N/A,FALSE,"3Cash Flow";#N/A,#N/A,FALSE,"I&amp;E";#N/A,#N/A,FALSE,"I&amp;E (2)";#N/A,#N/A,FALSE,"10Vacancy Matrix";#N/A,#N/A,FALSE,"11Expiration Schedule"}</definedName>
    <definedName name="wrn.Marketing." localSheetId="22" hidden="1">{#N/A,#N/A,FALSE,"2Assumptions";#N/A,#N/A,FALSE,"3Cash Flow";#N/A,#N/A,FALSE,"I&amp;E";#N/A,#N/A,FALSE,"I&amp;E (2)";#N/A,#N/A,FALSE,"10Vacancy Matrix";#N/A,#N/A,FALSE,"11Expiration Schedule"}</definedName>
    <definedName name="wrn.Marketing." localSheetId="15" hidden="1">{#N/A,#N/A,FALSE,"2Assumptions";#N/A,#N/A,FALSE,"3Cash Flow";#N/A,#N/A,FALSE,"I&amp;E";#N/A,#N/A,FALSE,"I&amp;E (2)";#N/A,#N/A,FALSE,"10Vacancy Matrix";#N/A,#N/A,FALSE,"11Expiration Schedule"}</definedName>
    <definedName name="wrn.Marketing." localSheetId="17" hidden="1">{#N/A,#N/A,FALSE,"2Assumptions";#N/A,#N/A,FALSE,"3Cash Flow";#N/A,#N/A,FALSE,"I&amp;E";#N/A,#N/A,FALSE,"I&amp;E (2)";#N/A,#N/A,FALSE,"10Vacancy Matrix";#N/A,#N/A,FALSE,"11Expiration Schedule"}</definedName>
    <definedName name="wrn.Marketing." localSheetId="10" hidden="1">{#N/A,#N/A,FALSE,"2Assumptions";#N/A,#N/A,FALSE,"3Cash Flow";#N/A,#N/A,FALSE,"I&amp;E";#N/A,#N/A,FALSE,"I&amp;E (2)";#N/A,#N/A,FALSE,"10Vacancy Matrix";#N/A,#N/A,FALSE,"11Expiration Schedule"}</definedName>
    <definedName name="wrn.Marketing." localSheetId="13" hidden="1">{#N/A,#N/A,FALSE,"2Assumptions";#N/A,#N/A,FALSE,"3Cash Flow";#N/A,#N/A,FALSE,"I&amp;E";#N/A,#N/A,FALSE,"I&amp;E (2)";#N/A,#N/A,FALSE,"10Vacancy Matrix";#N/A,#N/A,FALSE,"11Expiration Schedule"}</definedName>
    <definedName name="wrn.Marketing." hidden="1">{#N/A,#N/A,FALSE,"2Assumptions";#N/A,#N/A,FALSE,"3Cash Flow";#N/A,#N/A,FALSE,"I&amp;E";#N/A,#N/A,FALSE,"I&amp;E (2)";#N/A,#N/A,FALSE,"10Vacancy Matrix";#N/A,#N/A,FALSE,"11Expiration Schedule"}</definedName>
    <definedName name="wrn.Master." localSheetId="21" hidden="1">{#N/A,#N/A,FALSE,"Master Summary 1";#N/A,#N/A,FALSE,"245 Park-Rem. Obl.";#N/A,#N/A,FALSE,"245 Park-N, Lse";#N/A,#N/A,FALSE,"245 Park-N, Lse (2)";#N/A,#N/A,FALSE,"245 Park- SL";#N/A,#N/A,FALSE,"250 Park";#N/A,#N/A,FALSE,"1285 6th";#N/A,#N/A,FALSE,"101 Park";#N/A,#N/A,FALSE,"Sublease Commission"}</definedName>
    <definedName name="wrn.Master." localSheetId="22" hidden="1">{#N/A,#N/A,FALSE,"Master Summary 1";#N/A,#N/A,FALSE,"245 Park-Rem. Obl.";#N/A,#N/A,FALSE,"245 Park-N, Lse";#N/A,#N/A,FALSE,"245 Park-N, Lse (2)";#N/A,#N/A,FALSE,"245 Park- SL";#N/A,#N/A,FALSE,"250 Park";#N/A,#N/A,FALSE,"1285 6th";#N/A,#N/A,FALSE,"101 Park";#N/A,#N/A,FALSE,"Sublease Commission"}</definedName>
    <definedName name="wrn.Master." localSheetId="17" hidden="1">{#N/A,#N/A,FALSE,"Master Summary 1";#N/A,#N/A,FALSE,"245 Park-Rem. Obl.";#N/A,#N/A,FALSE,"245 Park-N, Lse";#N/A,#N/A,FALSE,"245 Park-N, Lse (2)";#N/A,#N/A,FALSE,"245 Park- SL";#N/A,#N/A,FALSE,"250 Park";#N/A,#N/A,FALSE,"1285 6th";#N/A,#N/A,FALSE,"101 Park";#N/A,#N/A,FALSE,"Sublease Commission"}</definedName>
    <definedName name="wrn.Master." localSheetId="10" hidden="1">{#N/A,#N/A,FALSE,"Master Summary 1";#N/A,#N/A,FALSE,"245 Park-Rem. Obl.";#N/A,#N/A,FALSE,"245 Park-N, Lse";#N/A,#N/A,FALSE,"245 Park-N, Lse (2)";#N/A,#N/A,FALSE,"245 Park- SL";#N/A,#N/A,FALSE,"250 Park";#N/A,#N/A,FALSE,"1285 6th";#N/A,#N/A,FALSE,"101 Park";#N/A,#N/A,FALSE,"Sublease Commission"}</definedName>
    <definedName name="wrn.Master." hidden="1">{#N/A,#N/A,FALSE,"Master Summary 1";#N/A,#N/A,FALSE,"245 Park-Rem. Obl.";#N/A,#N/A,FALSE,"245 Park-N, Lse";#N/A,#N/A,FALSE,"245 Park-N, Lse (2)";#N/A,#N/A,FALSE,"245 Park- SL";#N/A,#N/A,FALSE,"250 Park";#N/A,#N/A,FALSE,"1285 6th";#N/A,#N/A,FALSE,"101 Park";#N/A,#N/A,FALSE,"Sublease Commission"}</definedName>
    <definedName name="wrn.MATRICES._.and._.CFs." localSheetId="21" hidden="1">{#N/A,#N/A,FALSE,"Assumptions";#N/A,#N/A,FALSE,"Consol CF";#N/A,#N/A,FALSE,"matx B4 DS";#N/A,#N/A,FALSE,"Hacienda CF";#N/A,#N/A,FALSE,"matx B4 DS Hac";#N/A,#N/A,FALSE,"Chabot CF";#N/A,#N/A,FALSE,"matx B4 DS Chabot";#N/A,#N/A,FALSE,"Diablo CF";#N/A,#N/A,FALSE,"matx B4 DS Diablo"}</definedName>
    <definedName name="wrn.MATRICES._.and._.CFs." localSheetId="22" hidden="1">{#N/A,#N/A,FALSE,"Assumptions";#N/A,#N/A,FALSE,"Consol CF";#N/A,#N/A,FALSE,"matx B4 DS";#N/A,#N/A,FALSE,"Hacienda CF";#N/A,#N/A,FALSE,"matx B4 DS Hac";#N/A,#N/A,FALSE,"Chabot CF";#N/A,#N/A,FALSE,"matx B4 DS Chabot";#N/A,#N/A,FALSE,"Diablo CF";#N/A,#N/A,FALSE,"matx B4 DS Diablo"}</definedName>
    <definedName name="wrn.MATRICES._.and._.CFs." localSheetId="17" hidden="1">{#N/A,#N/A,FALSE,"Assumptions";#N/A,#N/A,FALSE,"Consol CF";#N/A,#N/A,FALSE,"matx B4 DS";#N/A,#N/A,FALSE,"Hacienda CF";#N/A,#N/A,FALSE,"matx B4 DS Hac";#N/A,#N/A,FALSE,"Chabot CF";#N/A,#N/A,FALSE,"matx B4 DS Chabot";#N/A,#N/A,FALSE,"Diablo CF";#N/A,#N/A,FALSE,"matx B4 DS Diablo"}</definedName>
    <definedName name="wrn.MATRICES._.and._.CFs." localSheetId="10" hidden="1">{#N/A,#N/A,FALSE,"Assumptions";#N/A,#N/A,FALSE,"Consol CF";#N/A,#N/A,FALSE,"matx B4 DS";#N/A,#N/A,FALSE,"Hacienda CF";#N/A,#N/A,FALSE,"matx B4 DS Hac";#N/A,#N/A,FALSE,"Chabot CF";#N/A,#N/A,FALSE,"matx B4 DS Chabot";#N/A,#N/A,FALSE,"Diablo CF";#N/A,#N/A,FALSE,"matx B4 DS Diablo"}</definedName>
    <definedName name="wrn.MATRICES._.and._.CFs." hidden="1">{#N/A,#N/A,FALSE,"Assumptions";#N/A,#N/A,FALSE,"Consol CF";#N/A,#N/A,FALSE,"matx B4 DS";#N/A,#N/A,FALSE,"Hacienda CF";#N/A,#N/A,FALSE,"matx B4 DS Hac";#N/A,#N/A,FALSE,"Chabot CF";#N/A,#N/A,FALSE,"matx B4 DS Chabot";#N/A,#N/A,FALSE,"Diablo CF";#N/A,#N/A,FALSE,"matx B4 DS Diablo"}</definedName>
    <definedName name="wrn.MATRICIES._.ONLY." localSheetId="21" hidden="1">{#N/A,#N/A,FALSE,"matx B4 DS";#N/A,#N/A,FALSE,"matx B4 DS Hac";#N/A,#N/A,FALSE,"matx B4 DS Chabot";#N/A,#N/A,FALSE,"matx B4 DS Diablo"}</definedName>
    <definedName name="wrn.MATRICIES._.ONLY." localSheetId="22" hidden="1">{#N/A,#N/A,FALSE,"matx B4 DS";#N/A,#N/A,FALSE,"matx B4 DS Hac";#N/A,#N/A,FALSE,"matx B4 DS Chabot";#N/A,#N/A,FALSE,"matx B4 DS Diablo"}</definedName>
    <definedName name="wrn.MATRICIES._.ONLY." localSheetId="17" hidden="1">{#N/A,#N/A,FALSE,"matx B4 DS";#N/A,#N/A,FALSE,"matx B4 DS Hac";#N/A,#N/A,FALSE,"matx B4 DS Chabot";#N/A,#N/A,FALSE,"matx B4 DS Diablo"}</definedName>
    <definedName name="wrn.MATRICIES._.ONLY." localSheetId="10" hidden="1">{#N/A,#N/A,FALSE,"matx B4 DS";#N/A,#N/A,FALSE,"matx B4 DS Hac";#N/A,#N/A,FALSE,"matx B4 DS Chabot";#N/A,#N/A,FALSE,"matx B4 DS Diablo"}</definedName>
    <definedName name="wrn.MATRICIES._.ONLY." hidden="1">{#N/A,#N/A,FALSE,"matx B4 DS";#N/A,#N/A,FALSE,"matx B4 DS Hac";#N/A,#N/A,FALSE,"matx B4 DS Chabot";#N/A,#N/A,FALSE,"matx B4 DS Diablo"}</definedName>
    <definedName name="wrn.MODEL." localSheetId="21" hidden="1">{"IS",#N/A,FALSE,"Income Statement";"ISR",#N/A,FALSE,"Income Statement Ratios";"BS",#N/A,FALSE,"Balance Sheet";"BSR",#N/A,FALSE,"Balance Sheet Ratios";"CF",#N/A,FALSE,"Cash Flow";"SALES",#N/A,FALSE,"Sales Analysis";"RR",#N/A,FALSE,"Recent Results"}</definedName>
    <definedName name="wrn.MODEL." localSheetId="22" hidden="1">{"IS",#N/A,FALSE,"Income Statement";"ISR",#N/A,FALSE,"Income Statement Ratios";"BS",#N/A,FALSE,"Balance Sheet";"BSR",#N/A,FALSE,"Balance Sheet Ratios";"CF",#N/A,FALSE,"Cash Flow";"SALES",#N/A,FALSE,"Sales Analysis";"RR",#N/A,FALSE,"Recent Results"}</definedName>
    <definedName name="wrn.MODEL." localSheetId="17" hidden="1">{"IS",#N/A,FALSE,"Income Statement";"ISR",#N/A,FALSE,"Income Statement Ratios";"BS",#N/A,FALSE,"Balance Sheet";"BSR",#N/A,FALSE,"Balance Sheet Ratios";"CF",#N/A,FALSE,"Cash Flow";"SALES",#N/A,FALSE,"Sales Analysis";"RR",#N/A,FALSE,"Recent Results"}</definedName>
    <definedName name="wrn.MODEL." localSheetId="10" hidden="1">{"IS",#N/A,FALSE,"Income Statement";"ISR",#N/A,FALSE,"Income Statement Ratios";"BS",#N/A,FALSE,"Balance Sheet";"BSR",#N/A,FALSE,"Balance Sheet Ratios";"CF",#N/A,FALSE,"Cash Flow";"SALES",#N/A,FALSE,"Sales Analysis";"RR",#N/A,FALSE,"Recent Results"}</definedName>
    <definedName name="wrn.MODEL." hidden="1">{"IS",#N/A,FALSE,"Income Statement";"ISR",#N/A,FALSE,"Income Statement Ratios";"BS",#N/A,FALSE,"Balance Sheet";"BSR",#N/A,FALSE,"Balance Sheet Ratios";"CF",#N/A,FALSE,"Cash Flow";"SALES",#N/A,FALSE,"Sales Analysis";"RR",#N/A,FALSE,"Recent Results"}</definedName>
    <definedName name="wrn.monthly._.financial." localSheetId="2" hidden="1">{#N/A,#N/A,FALSE,"SUMMARY 4a";#N/A,#N/A,FALSE,"GBA 4b";#N/A,#N/A,FALSE,"TENANT 4c";#N/A,#N/A,FALSE,"BUDGET DETAIL";#N/A,#N/A,FALSE,"PRO FORMA"}</definedName>
    <definedName name="wrn.monthly._.financial." localSheetId="21" hidden="1">{#N/A,#N/A,FALSE,"SUMMARY 4a";#N/A,#N/A,FALSE,"GBA 4b";#N/A,#N/A,FALSE,"TENANT 4c";#N/A,#N/A,FALSE,"BUDGET DETAIL";#N/A,#N/A,FALSE,"PRO FORMA"}</definedName>
    <definedName name="wrn.monthly._.financial." localSheetId="22" hidden="1">{#N/A,#N/A,FALSE,"SUMMARY 4a";#N/A,#N/A,FALSE,"GBA 4b";#N/A,#N/A,FALSE,"TENANT 4c";#N/A,#N/A,FALSE,"BUDGET DETAIL";#N/A,#N/A,FALSE,"PRO FORMA"}</definedName>
    <definedName name="wrn.monthly._.financial." localSheetId="15" hidden="1">{#N/A,#N/A,FALSE,"SUMMARY 4a";#N/A,#N/A,FALSE,"GBA 4b";#N/A,#N/A,FALSE,"TENANT 4c";#N/A,#N/A,FALSE,"BUDGET DETAIL";#N/A,#N/A,FALSE,"PRO FORMA"}</definedName>
    <definedName name="wrn.monthly._.financial." localSheetId="17" hidden="1">{#N/A,#N/A,FALSE,"SUMMARY 4a";#N/A,#N/A,FALSE,"GBA 4b";#N/A,#N/A,FALSE,"TENANT 4c";#N/A,#N/A,FALSE,"BUDGET DETAIL";#N/A,#N/A,FALSE,"PRO FORMA"}</definedName>
    <definedName name="wrn.monthly._.financial." localSheetId="10" hidden="1">{#N/A,#N/A,FALSE,"SUMMARY 4a";#N/A,#N/A,FALSE,"GBA 4b";#N/A,#N/A,FALSE,"TENANT 4c";#N/A,#N/A,FALSE,"BUDGET DETAIL";#N/A,#N/A,FALSE,"PRO FORMA"}</definedName>
    <definedName name="wrn.monthly._.financial." localSheetId="13" hidden="1">{#N/A,#N/A,FALSE,"SUMMARY 4a";#N/A,#N/A,FALSE,"GBA 4b";#N/A,#N/A,FALSE,"TENANT 4c";#N/A,#N/A,FALSE,"BUDGET DETAIL";#N/A,#N/A,FALSE,"PRO FORMA"}</definedName>
    <definedName name="wrn.monthly._.financial." hidden="1">{#N/A,#N/A,FALSE,"SUMMARY 4a";#N/A,#N/A,FALSE,"GBA 4b";#N/A,#N/A,FALSE,"TENANT 4c";#N/A,#N/A,FALSE,"BUDGET DETAIL";#N/A,#N/A,FALSE,"PRO FORMA"}</definedName>
    <definedName name="wrn.MonthlyRentRoll." localSheetId="2" hidden="1">{"MonthlyRentRoll",#N/A,FALSE,"RentRoll"}</definedName>
    <definedName name="wrn.MonthlyRentRoll." localSheetId="21" hidden="1">{"MonthlyRentRoll",#N/A,FALSE,"RentRoll"}</definedName>
    <definedName name="wrn.MonthlyRentRoll." localSheetId="22" hidden="1">{"MonthlyRentRoll",#N/A,FALSE,"RentRoll"}</definedName>
    <definedName name="wrn.MonthlyRentRoll." localSheetId="15" hidden="1">{"MonthlyRentRoll",#N/A,FALSE,"RentRoll"}</definedName>
    <definedName name="wrn.MonthlyRentRoll." localSheetId="17" hidden="1">{"MonthlyRentRoll",#N/A,FALSE,"RentRoll"}</definedName>
    <definedName name="wrn.MonthlyRentRoll." localSheetId="10" hidden="1">{"MonthlyRentRoll",#N/A,FALSE,"RentRoll"}</definedName>
    <definedName name="wrn.MonthlyRentRoll." localSheetId="13" hidden="1">{"MonthlyRentRoll",#N/A,FALSE,"RentRoll"}</definedName>
    <definedName name="wrn.MonthlyRentRoll." hidden="1">{"MonthlyRentRoll",#N/A,FALSE,"RentRoll"}</definedName>
    <definedName name="wrn.Narrow._.Boddy._.Generic." localSheetId="21" hidden="1">{#N/A,"1",FALSE,"Aircraft Table";#N/A,"2",FALSE,"Aircraft Table";#N/A,"3",FALSE,"Aircraft Table";#N/A,"4",FALSE,"Aircraft Table";#N/A,"5",FALSE,"Aircraft Table";#N/A,"6",FALSE,"Aircraft Table";#N/A,"7",FALSE,"Aircraft Table";#N/A,"8",FALSE,"Aircraft Table";#N/A,"9",FALSE,"Aircraft Table";#N/A,"10",FALSE,"Aircraft Table"}</definedName>
    <definedName name="wrn.Narrow._.Boddy._.Generic." localSheetId="22" hidden="1">{#N/A,"1",FALSE,"Aircraft Table";#N/A,"2",FALSE,"Aircraft Table";#N/A,"3",FALSE,"Aircraft Table";#N/A,"4",FALSE,"Aircraft Table";#N/A,"5",FALSE,"Aircraft Table";#N/A,"6",FALSE,"Aircraft Table";#N/A,"7",FALSE,"Aircraft Table";#N/A,"8",FALSE,"Aircraft Table";#N/A,"9",FALSE,"Aircraft Table";#N/A,"10",FALSE,"Aircraft Table"}</definedName>
    <definedName name="wrn.Narrow._.Boddy._.Generic." localSheetId="17" hidden="1">{#N/A,"1",FALSE,"Aircraft Table";#N/A,"2",FALSE,"Aircraft Table";#N/A,"3",FALSE,"Aircraft Table";#N/A,"4",FALSE,"Aircraft Table";#N/A,"5",FALSE,"Aircraft Table";#N/A,"6",FALSE,"Aircraft Table";#N/A,"7",FALSE,"Aircraft Table";#N/A,"8",FALSE,"Aircraft Table";#N/A,"9",FALSE,"Aircraft Table";#N/A,"10",FALSE,"Aircraft Table"}</definedName>
    <definedName name="wrn.Narrow._.Boddy._.Generic." hidden="1">{#N/A,"1",FALSE,"Aircraft Table";#N/A,"2",FALSE,"Aircraft Table";#N/A,"3",FALSE,"Aircraft Table";#N/A,"4",FALSE,"Aircraft Table";#N/A,"5",FALSE,"Aircraft Table";#N/A,"6",FALSE,"Aircraft Table";#N/A,"7",FALSE,"Aircraft Table";#N/A,"8",FALSE,"Aircraft Table";#N/A,"9",FALSE,"Aircraft Table";#N/A,"10",FALSE,"Aircraft Table"}</definedName>
    <definedName name="wrn.Nico." localSheetId="2" hidden="1">{#N/A,#N/A,TRUE,"Cover";#N/A,#N/A,TRUE,"Transaction Summary";#N/A,#N/A,TRUE,"Earnings Impact";#N/A,#N/A,TRUE,"accretion dilution"}</definedName>
    <definedName name="wrn.Nico." localSheetId="21" hidden="1">{#N/A,#N/A,TRUE,"Cover";#N/A,#N/A,TRUE,"Transaction Summary";#N/A,#N/A,TRUE,"Earnings Impact";#N/A,#N/A,TRUE,"accretion dilution"}</definedName>
    <definedName name="wrn.Nico." localSheetId="22" hidden="1">{#N/A,#N/A,TRUE,"Cover";#N/A,#N/A,TRUE,"Transaction Summary";#N/A,#N/A,TRUE,"Earnings Impact";#N/A,#N/A,TRUE,"accretion dilution"}</definedName>
    <definedName name="wrn.Nico." localSheetId="15" hidden="1">{#N/A,#N/A,TRUE,"Cover";#N/A,#N/A,TRUE,"Transaction Summary";#N/A,#N/A,TRUE,"Earnings Impact";#N/A,#N/A,TRUE,"accretion dilution"}</definedName>
    <definedName name="wrn.Nico." localSheetId="17" hidden="1">{#N/A,#N/A,TRUE,"Cover";#N/A,#N/A,TRUE,"Transaction Summary";#N/A,#N/A,TRUE,"Earnings Impact";#N/A,#N/A,TRUE,"accretion dilution"}</definedName>
    <definedName name="wrn.Nico." localSheetId="10" hidden="1">{#N/A,#N/A,TRUE,"Cover";#N/A,#N/A,TRUE,"Transaction Summary";#N/A,#N/A,TRUE,"Earnings Impact";#N/A,#N/A,TRUE,"accretion dilution"}</definedName>
    <definedName name="wrn.Nico." localSheetId="13" hidden="1">{#N/A,#N/A,TRUE,"Cover";#N/A,#N/A,TRUE,"Transaction Summary";#N/A,#N/A,TRUE,"Earnings Impact";#N/A,#N/A,TRUE,"accretion dilution"}</definedName>
    <definedName name="wrn.Nico." hidden="1">{#N/A,#N/A,TRUE,"Cover";#N/A,#N/A,TRUE,"Transaction Summary";#N/A,#N/A,TRUE,"Earnings Impact";#N/A,#N/A,TRUE,"accretion dilution"}</definedName>
    <definedName name="wrn.OFFICE._.BUDGET." localSheetId="21" hidden="1">{#N/A,#N/A,FALSE,"LP Exp";#N/A,#N/A,FALSE,"Salary";#N/A,#N/A,FALSE,"Admin Exp";#N/A,#N/A,FALSE,"QTS Bud";#N/A,#N/A,FALSE,"Marketing"}</definedName>
    <definedName name="wrn.OFFICE._.BUDGET." localSheetId="22" hidden="1">{#N/A,#N/A,FALSE,"LP Exp";#N/A,#N/A,FALSE,"Salary";#N/A,#N/A,FALSE,"Admin Exp";#N/A,#N/A,FALSE,"QTS Bud";#N/A,#N/A,FALSE,"Marketing"}</definedName>
    <definedName name="wrn.OFFICE._.BUDGET." localSheetId="17" hidden="1">{#N/A,#N/A,FALSE,"LP Exp";#N/A,#N/A,FALSE,"Salary";#N/A,#N/A,FALSE,"Admin Exp";#N/A,#N/A,FALSE,"QTS Bud";#N/A,#N/A,FALSE,"Marketing"}</definedName>
    <definedName name="wrn.OFFICE._.BUDGET." localSheetId="10" hidden="1">{#N/A,#N/A,FALSE,"LP Exp";#N/A,#N/A,FALSE,"Salary";#N/A,#N/A,FALSE,"Admin Exp";#N/A,#N/A,FALSE,"QTS Bud";#N/A,#N/A,FALSE,"Marketing"}</definedName>
    <definedName name="wrn.OFFICE._.BUDGET." hidden="1">{#N/A,#N/A,FALSE,"LP Exp";#N/A,#N/A,FALSE,"Salary";#N/A,#N/A,FALSE,"Admin Exp";#N/A,#N/A,FALSE,"QTS Bud";#N/A,#N/A,FALSE,"Marketing"}</definedName>
    <definedName name="wrn.OperatingAssumtions." localSheetId="2" hidden="1">{#N/A,#N/A,FALSE,"OperatingAssumptions"}</definedName>
    <definedName name="wrn.OperatingAssumtions." localSheetId="21" hidden="1">{#N/A,#N/A,FALSE,"OperatingAssumptions"}</definedName>
    <definedName name="wrn.OperatingAssumtions." localSheetId="22" hidden="1">{#N/A,#N/A,FALSE,"OperatingAssumptions"}</definedName>
    <definedName name="wrn.OperatingAssumtions." localSheetId="15" hidden="1">{#N/A,#N/A,FALSE,"OperatingAssumptions"}</definedName>
    <definedName name="wrn.OperatingAssumtions." localSheetId="17" hidden="1">{#N/A,#N/A,FALSE,"OperatingAssumptions"}</definedName>
    <definedName name="wrn.OperatingAssumtions." localSheetId="10" hidden="1">{#N/A,#N/A,FALSE,"OperatingAssumptions"}</definedName>
    <definedName name="wrn.OperatingAssumtions." localSheetId="13" hidden="1">{#N/A,#N/A,FALSE,"OperatingAssumptions"}</definedName>
    <definedName name="wrn.OperatingAssumtions." hidden="1">{#N/A,#N/A,FALSE,"OperatingAssumptions"}</definedName>
    <definedName name="wrn.Package." localSheetId="4" hidden="1">{#N/A,#N/A,FALSE,"Executive Summary";#N/A,#N/A,FALSE,"Assumptions";#N/A,#N/A,FALSE,"Cash Flow";#N/A,#N/A,FALSE,"I&amp;E ";#N/A,#N/A,FALSE,"Occupancy Cost";#N/A,#N/A,FALSE,"Vacancy (Mall)";#N/A,#N/A,FALSE,"Expiration Schedule";#N/A,#N/A,FALSE,"Expiration Graph ";#N/A,#N/A,FALSE,"sales graph";#N/A,#N/A,FALSE,"Vacant rents";#N/A,#N/A,FALSE,"Hist Sales";#N/A,#N/A,FALSE,"Monthly Sales";#N/A,#N/A,FALSE,"Rent Roll"}</definedName>
    <definedName name="wrn.Package." localSheetId="3" hidden="1">{#N/A,#N/A,FALSE,"Executive Summary";#N/A,#N/A,FALSE,"Assumptions";#N/A,#N/A,FALSE,"Cash Flow";#N/A,#N/A,FALSE,"I&amp;E ";#N/A,#N/A,FALSE,"Occupancy Cost";#N/A,#N/A,FALSE,"Vacancy (Mall)";#N/A,#N/A,FALSE,"Expiration Schedule";#N/A,#N/A,FALSE,"Expiration Graph ";#N/A,#N/A,FALSE,"sales graph";#N/A,#N/A,FALSE,"Vacant rents";#N/A,#N/A,FALSE,"Hist Sales";#N/A,#N/A,FALSE,"Monthly Sales";#N/A,#N/A,FALSE,"Rent Roll"}</definedName>
    <definedName name="wrn.Package." localSheetId="5" hidden="1">{#N/A,#N/A,FALSE,"Executive Summary";#N/A,#N/A,FALSE,"Assumptions";#N/A,#N/A,FALSE,"Cash Flow";#N/A,#N/A,FALSE,"I&amp;E ";#N/A,#N/A,FALSE,"Occupancy Cost";#N/A,#N/A,FALSE,"Vacancy (Mall)";#N/A,#N/A,FALSE,"Expiration Schedule";#N/A,#N/A,FALSE,"Expiration Graph ";#N/A,#N/A,FALSE,"sales graph";#N/A,#N/A,FALSE,"Vacant rents";#N/A,#N/A,FALSE,"Hist Sales";#N/A,#N/A,FALSE,"Monthly Sales";#N/A,#N/A,FALSE,"Rent Roll"}</definedName>
    <definedName name="wrn.Package." localSheetId="2" hidden="1">{#N/A,#N/A,FALSE,"Executive Summary";#N/A,#N/A,FALSE,"Assumptions";#N/A,#N/A,FALSE,"Cash Flow";#N/A,#N/A,FALSE,"I&amp;E ";#N/A,#N/A,FALSE,"Occupancy Cost";#N/A,#N/A,FALSE,"Vacancy (Mall)";#N/A,#N/A,FALSE,"Expiration Schedule";#N/A,#N/A,FALSE,"Expiration Graph ";#N/A,#N/A,FALSE,"sales graph";#N/A,#N/A,FALSE,"Vacant rents";#N/A,#N/A,FALSE,"Hist Sales";#N/A,#N/A,FALSE,"Monthly Sales";#N/A,#N/A,FALSE,"Rent Roll"}</definedName>
    <definedName name="wrn.Package." localSheetId="21" hidden="1">{#N/A,#N/A,FALSE,"Executive Summary";#N/A,#N/A,FALSE,"Assumptions";#N/A,#N/A,FALSE,"Cash Flow";#N/A,#N/A,FALSE,"I&amp;E ";#N/A,#N/A,FALSE,"Occupancy Cost";#N/A,#N/A,FALSE,"Vacancy (Mall)";#N/A,#N/A,FALSE,"Expiration Schedule";#N/A,#N/A,FALSE,"Expiration Graph ";#N/A,#N/A,FALSE,"sales graph";#N/A,#N/A,FALSE,"Vacant rents";#N/A,#N/A,FALSE,"Hist Sales";#N/A,#N/A,FALSE,"Monthly Sales";#N/A,#N/A,FALSE,"Rent Roll"}</definedName>
    <definedName name="wrn.Package." localSheetId="22" hidden="1">{#N/A,#N/A,FALSE,"Executive Summary";#N/A,#N/A,FALSE,"Assumptions";#N/A,#N/A,FALSE,"Cash Flow";#N/A,#N/A,FALSE,"I&amp;E ";#N/A,#N/A,FALSE,"Occupancy Cost";#N/A,#N/A,FALSE,"Vacancy (Mall)";#N/A,#N/A,FALSE,"Expiration Schedule";#N/A,#N/A,FALSE,"Expiration Graph ";#N/A,#N/A,FALSE,"sales graph";#N/A,#N/A,FALSE,"Vacant rents";#N/A,#N/A,FALSE,"Hist Sales";#N/A,#N/A,FALSE,"Monthly Sales";#N/A,#N/A,FALSE,"Rent Roll"}</definedName>
    <definedName name="wrn.Package." localSheetId="15" hidden="1">{#N/A,#N/A,FALSE,"Executive Summary";#N/A,#N/A,FALSE,"Assumptions";#N/A,#N/A,FALSE,"Cash Flow";#N/A,#N/A,FALSE,"I&amp;E ";#N/A,#N/A,FALSE,"Occupancy Cost";#N/A,#N/A,FALSE,"Vacancy (Mall)";#N/A,#N/A,FALSE,"Expiration Schedule";#N/A,#N/A,FALSE,"Expiration Graph ";#N/A,#N/A,FALSE,"sales graph";#N/A,#N/A,FALSE,"Vacant rents";#N/A,#N/A,FALSE,"Hist Sales";#N/A,#N/A,FALSE,"Monthly Sales";#N/A,#N/A,FALSE,"Rent Roll"}</definedName>
    <definedName name="wrn.Package." localSheetId="17" hidden="1">{#N/A,#N/A,FALSE,"Executive Summary";#N/A,#N/A,FALSE,"Assumptions";#N/A,#N/A,FALSE,"Cash Flow";#N/A,#N/A,FALSE,"I&amp;E ";#N/A,#N/A,FALSE,"Occupancy Cost";#N/A,#N/A,FALSE,"Vacancy (Mall)";#N/A,#N/A,FALSE,"Expiration Schedule";#N/A,#N/A,FALSE,"Expiration Graph ";#N/A,#N/A,FALSE,"sales graph";#N/A,#N/A,FALSE,"Vacant rents";#N/A,#N/A,FALSE,"Hist Sales";#N/A,#N/A,FALSE,"Monthly Sales";#N/A,#N/A,FALSE,"Rent Roll"}</definedName>
    <definedName name="wrn.Package." localSheetId="10" hidden="1">{#N/A,#N/A,FALSE,"Executive Summary";#N/A,#N/A,FALSE,"Assumptions";#N/A,#N/A,FALSE,"Cash Flow";#N/A,#N/A,FALSE,"I&amp;E ";#N/A,#N/A,FALSE,"Occupancy Cost";#N/A,#N/A,FALSE,"Vacancy (Mall)";#N/A,#N/A,FALSE,"Expiration Schedule";#N/A,#N/A,FALSE,"Expiration Graph ";#N/A,#N/A,FALSE,"sales graph";#N/A,#N/A,FALSE,"Vacant rents";#N/A,#N/A,FALSE,"Hist Sales";#N/A,#N/A,FALSE,"Monthly Sales";#N/A,#N/A,FALSE,"Rent Roll"}</definedName>
    <definedName name="wrn.Package." localSheetId="13" hidden="1">{#N/A,#N/A,FALSE,"Executive Summary";#N/A,#N/A,FALSE,"Assumptions";#N/A,#N/A,FALSE,"Cash Flow";#N/A,#N/A,FALSE,"I&amp;E ";#N/A,#N/A,FALSE,"Occupancy Cost";#N/A,#N/A,FALSE,"Vacancy (Mall)";#N/A,#N/A,FALSE,"Expiration Schedule";#N/A,#N/A,FALSE,"Expiration Graph ";#N/A,#N/A,FALSE,"sales graph";#N/A,#N/A,FALSE,"Vacant rents";#N/A,#N/A,FALSE,"Hist Sales";#N/A,#N/A,FALSE,"Monthly Sales";#N/A,#N/A,FALSE,"Rent Roll"}</definedName>
    <definedName name="wrn.Package." hidden="1">{#N/A,#N/A,FALSE,"Executive Summary";#N/A,#N/A,FALSE,"Assumptions";#N/A,#N/A,FALSE,"Cash Flow";#N/A,#N/A,FALSE,"I&amp;E ";#N/A,#N/A,FALSE,"Occupancy Cost";#N/A,#N/A,FALSE,"Vacancy (Mall)";#N/A,#N/A,FALSE,"Expiration Schedule";#N/A,#N/A,FALSE,"Expiration Graph ";#N/A,#N/A,FALSE,"sales graph";#N/A,#N/A,FALSE,"Vacant rents";#N/A,#N/A,FALSE,"Hist Sales";#N/A,#N/A,FALSE,"Monthly Sales";#N/A,#N/A,FALSE,"Rent Roll"}</definedName>
    <definedName name="wrn.Partial." localSheetId="4"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 localSheetId="3"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 localSheetId="5"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 localSheetId="2"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 localSheetId="21"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 localSheetId="22"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 localSheetId="15"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 localSheetId="17"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 localSheetId="10"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 localSheetId="13"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hil." localSheetId="21" hidden="1">{#N/A,#N/A,FALSE,"Summary";#N/A,#N/A,FALSE,"41 Mad (Our)";#N/A,#N/A,FALSE,"41 Mad (Comp)";#N/A,#N/A,FALSE,"41 Mad (Rudin's)";#N/A,#N/A,FALSE,"41 Mad (7,354)"}</definedName>
    <definedName name="wrn.Phil." localSheetId="22" hidden="1">{#N/A,#N/A,FALSE,"Summary";#N/A,#N/A,FALSE,"41 Mad (Our)";#N/A,#N/A,FALSE,"41 Mad (Comp)";#N/A,#N/A,FALSE,"41 Mad (Rudin's)";#N/A,#N/A,FALSE,"41 Mad (7,354)"}</definedName>
    <definedName name="wrn.Phil." localSheetId="17" hidden="1">{#N/A,#N/A,FALSE,"Summary";#N/A,#N/A,FALSE,"41 Mad (Our)";#N/A,#N/A,FALSE,"41 Mad (Comp)";#N/A,#N/A,FALSE,"41 Mad (Rudin's)";#N/A,#N/A,FALSE,"41 Mad (7,354)"}</definedName>
    <definedName name="wrn.Phil." localSheetId="10" hidden="1">{#N/A,#N/A,FALSE,"Summary";#N/A,#N/A,FALSE,"41 Mad (Our)";#N/A,#N/A,FALSE,"41 Mad (Comp)";#N/A,#N/A,FALSE,"41 Mad (Rudin's)";#N/A,#N/A,FALSE,"41 Mad (7,354)"}</definedName>
    <definedName name="wrn.Phil." hidden="1">{#N/A,#N/A,FALSE,"Summary";#N/A,#N/A,FALSE,"41 Mad (Our)";#N/A,#N/A,FALSE,"41 Mad (Comp)";#N/A,#N/A,FALSE,"41 Mad (Rudin's)";#N/A,#N/A,FALSE,"41 Mad (7,354)"}</definedName>
    <definedName name="wrn.PIER._.UNITS." localSheetId="21" hidden="1">{"PIER UNITS",#N/A,FALSE,"PIER"}</definedName>
    <definedName name="wrn.PIER._.UNITS." localSheetId="22" hidden="1">{"PIER UNITS",#N/A,FALSE,"PIER"}</definedName>
    <definedName name="wrn.PIER._.UNITS." localSheetId="17" hidden="1">{"PIER UNITS",#N/A,FALSE,"PIER"}</definedName>
    <definedName name="wrn.PIER._.UNITS." localSheetId="10" hidden="1">{"PIER UNITS",#N/A,FALSE,"PIER"}</definedName>
    <definedName name="wrn.PIER._.UNITS." hidden="1">{"PIER UNITS",#N/A,FALSE,"PIER"}</definedName>
    <definedName name="wrn.PK._.Variance." localSheetId="21" hidden="1">{#N/A,#N/A,FALSE,"399 Park Var";#N/A,#N/A,FALSE,"PK NOTES"}</definedName>
    <definedName name="wrn.PK._.Variance." localSheetId="22" hidden="1">{#N/A,#N/A,FALSE,"399 Park Var";#N/A,#N/A,FALSE,"PK NOTES"}</definedName>
    <definedName name="wrn.PK._.Variance." localSheetId="17" hidden="1">{#N/A,#N/A,FALSE,"399 Park Var";#N/A,#N/A,FALSE,"PK NOTES"}</definedName>
    <definedName name="wrn.PK._.Variance." localSheetId="10" hidden="1">{#N/A,#N/A,FALSE,"399 Park Var";#N/A,#N/A,FALSE,"PK NOTES"}</definedName>
    <definedName name="wrn.PK._.Variance." hidden="1">{#N/A,#N/A,FALSE,"399 Park Var";#N/A,#N/A,FALSE,"PK NOTES"}</definedName>
    <definedName name="wrn.poop" localSheetId="2" hidden="1">{"Pulp Production",#N/A,FALSE,"Pulp";"Pulp Earnings",#N/A,FALSE,"Pulp"}</definedName>
    <definedName name="wrn.poop" localSheetId="21" hidden="1">{"Pulp Production",#N/A,FALSE,"Pulp";"Pulp Earnings",#N/A,FALSE,"Pulp"}</definedName>
    <definedName name="wrn.poop" localSheetId="22" hidden="1">{"Pulp Production",#N/A,FALSE,"Pulp";"Pulp Earnings",#N/A,FALSE,"Pulp"}</definedName>
    <definedName name="wrn.poop" localSheetId="15" hidden="1">{"Pulp Production",#N/A,FALSE,"Pulp";"Pulp Earnings",#N/A,FALSE,"Pulp"}</definedName>
    <definedName name="wrn.poop" localSheetId="17" hidden="1">{"Pulp Production",#N/A,FALSE,"Pulp";"Pulp Earnings",#N/A,FALSE,"Pulp"}</definedName>
    <definedName name="wrn.poop" localSheetId="10" hidden="1">{"Pulp Production",#N/A,FALSE,"Pulp";"Pulp Earnings",#N/A,FALSE,"Pulp"}</definedName>
    <definedName name="wrn.poop" localSheetId="13" hidden="1">{"Pulp Production",#N/A,FALSE,"Pulp";"Pulp Earnings",#N/A,FALSE,"Pulp"}</definedName>
    <definedName name="wrn.poop" hidden="1">{"Pulp Production",#N/A,FALSE,"Pulp";"Pulp Earnings",#N/A,FALSE,"Pulp"}</definedName>
    <definedName name="wrn.Presentation." localSheetId="2" hidden="1">{#N/A,#N/A,TRUE,"Summary";"AnnualRentRoll",#N/A,TRUE,"RentRoll";#N/A,#N/A,TRUE,"ExitStratigy";#N/A,#N/A,TRUE,"OperatingAssumptions"}</definedName>
    <definedName name="wrn.Presentation." localSheetId="21" hidden="1">{#N/A,#N/A,TRUE,"Summary";"AnnualRentRoll",#N/A,TRUE,"RentRoll";#N/A,#N/A,TRUE,"ExitStratigy";#N/A,#N/A,TRUE,"OperatingAssumptions"}</definedName>
    <definedName name="wrn.Presentation." localSheetId="22" hidden="1">{#N/A,#N/A,TRUE,"Summary";"AnnualRentRoll",#N/A,TRUE,"RentRoll";#N/A,#N/A,TRUE,"ExitStratigy";#N/A,#N/A,TRUE,"OperatingAssumptions"}</definedName>
    <definedName name="wrn.Presentation." localSheetId="15" hidden="1">{#N/A,#N/A,TRUE,"Summary";"AnnualRentRoll",#N/A,TRUE,"RentRoll";#N/A,#N/A,TRUE,"ExitStratigy";#N/A,#N/A,TRUE,"OperatingAssumptions"}</definedName>
    <definedName name="wrn.Presentation." localSheetId="17" hidden="1">{#N/A,#N/A,TRUE,"Summary";"AnnualRentRoll",#N/A,TRUE,"RentRoll";#N/A,#N/A,TRUE,"ExitStratigy";#N/A,#N/A,TRUE,"OperatingAssumptions"}</definedName>
    <definedName name="wrn.Presentation." localSheetId="10" hidden="1">{#N/A,#N/A,TRUE,"Summary";"AnnualRentRoll",#N/A,TRUE,"RentRoll";#N/A,#N/A,TRUE,"ExitStratigy";#N/A,#N/A,TRUE,"OperatingAssumptions"}</definedName>
    <definedName name="wrn.Presentation." localSheetId="13" hidden="1">{#N/A,#N/A,TRUE,"Summary";"AnnualRentRoll",#N/A,TRUE,"RentRoll";#N/A,#N/A,TRUE,"ExitStratigy";#N/A,#N/A,TRUE,"OperatingAssumptions"}</definedName>
    <definedName name="wrn.Presentation." hidden="1">{#N/A,#N/A,TRUE,"Summary";"AnnualRentRoll",#N/A,TRUE,"RentRoll";#N/A,#N/A,TRUE,"ExitStratigy";#N/A,#N/A,TRUE,"OperatingAssumptions"}</definedName>
    <definedName name="wrn.Pricing._.Strategy." localSheetId="4"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3"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5"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2"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21"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22"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15"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17"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10"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13"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nt." localSheetId="2" hidden="1">{"page1",#N/A,FALSE,"Sheet1";"page2",#N/A,FALSE,"Sheet1"}</definedName>
    <definedName name="wrn.print." localSheetId="21" hidden="1">{"page1",#N/A,FALSE,"Sheet1";"page2",#N/A,FALSE,"Sheet1"}</definedName>
    <definedName name="wrn.print." localSheetId="22" hidden="1">{"page1",#N/A,FALSE,"Sheet1";"page2",#N/A,FALSE,"Sheet1"}</definedName>
    <definedName name="wrn.print." localSheetId="15" hidden="1">{"page1",#N/A,FALSE,"Sheet1";"page2",#N/A,FALSE,"Sheet1"}</definedName>
    <definedName name="wrn.print." localSheetId="17" hidden="1">{"page1",#N/A,FALSE,"Sheet1";"page2",#N/A,FALSE,"Sheet1"}</definedName>
    <definedName name="wrn.print." localSheetId="10" hidden="1">{"page1",#N/A,FALSE,"Sheet1";"page2",#N/A,FALSE,"Sheet1"}</definedName>
    <definedName name="wrn.print." localSheetId="13" hidden="1">{"page1",#N/A,FALSE,"Sheet1";"page2",#N/A,FALSE,"Sheet1"}</definedName>
    <definedName name="wrn.print." hidden="1">{"page1",#N/A,FALSE,"Sheet1";"page2",#N/A,FALSE,"Sheet1"}</definedName>
    <definedName name="wrn.Print._.4." localSheetId="2" hidden="1">{"Outflow 1",#N/A,FALSE,"Outflows-Inflows";"Outflow 2",#N/A,FALSE,"Outflows-Inflows";"Inflow 1",#N/A,FALSE,"Outflows-Inflows";"Inflow 2",#N/A,FALSE,"Outflows-Inflows"}</definedName>
    <definedName name="wrn.Print._.4." localSheetId="21" hidden="1">{"Outflow 1",#N/A,FALSE,"Outflows-Inflows";"Outflow 2",#N/A,FALSE,"Outflows-Inflows";"Inflow 1",#N/A,FALSE,"Outflows-Inflows";"Inflow 2",#N/A,FALSE,"Outflows-Inflows"}</definedName>
    <definedName name="wrn.Print._.4." localSheetId="22" hidden="1">{"Outflow 1",#N/A,FALSE,"Outflows-Inflows";"Outflow 2",#N/A,FALSE,"Outflows-Inflows";"Inflow 1",#N/A,FALSE,"Outflows-Inflows";"Inflow 2",#N/A,FALSE,"Outflows-Inflows"}</definedName>
    <definedName name="wrn.Print._.4." localSheetId="15" hidden="1">{"Outflow 1",#N/A,FALSE,"Outflows-Inflows";"Outflow 2",#N/A,FALSE,"Outflows-Inflows";"Inflow 1",#N/A,FALSE,"Outflows-Inflows";"Inflow 2",#N/A,FALSE,"Outflows-Inflows"}</definedName>
    <definedName name="wrn.Print._.4." localSheetId="17" hidden="1">{"Outflow 1",#N/A,FALSE,"Outflows-Inflows";"Outflow 2",#N/A,FALSE,"Outflows-Inflows";"Inflow 1",#N/A,FALSE,"Outflows-Inflows";"Inflow 2",#N/A,FALSE,"Outflows-Inflows"}</definedName>
    <definedName name="wrn.Print._.4." localSheetId="10" hidden="1">{"Outflow 1",#N/A,FALSE,"Outflows-Inflows";"Outflow 2",#N/A,FALSE,"Outflows-Inflows";"Inflow 1",#N/A,FALSE,"Outflows-Inflows";"Inflow 2",#N/A,FALSE,"Outflows-Inflows"}</definedName>
    <definedName name="wrn.Print._.4." localSheetId="13" hidden="1">{"Outflow 1",#N/A,FALSE,"Outflows-Inflows";"Outflow 2",#N/A,FALSE,"Outflows-Inflows";"Inflow 1",#N/A,FALSE,"Outflows-Inflows";"Inflow 2",#N/A,FALSE,"Outflows-Inflows"}</definedName>
    <definedName name="wrn.Print._.4." hidden="1">{"Outflow 1",#N/A,FALSE,"Outflows-Inflows";"Outflow 2",#N/A,FALSE,"Outflows-Inflows";"Inflow 1",#N/A,FALSE,"Outflows-Inflows";"Inflow 2",#N/A,FALSE,"Outflows-Inflows"}</definedName>
    <definedName name="wrn.Print._.6." localSheetId="2" hidden="1">{"print 1.6",#N/A,FALSE,"Sheet1";"print 2.6",#N/A,FALSE,"Sheet1";"print 3.6",#N/A,FALSE,"Sheet1";"print 4.6",#N/A,FALSE,"Sheet1";"print 5.6",#N/A,FALSE,"Sheet1";"print 6.6",#N/A,FALSE,"Sheet1"}</definedName>
    <definedName name="wrn.Print._.6." localSheetId="21" hidden="1">{"print 1.6",#N/A,FALSE,"Sheet1";"print 2.6",#N/A,FALSE,"Sheet1";"print 3.6",#N/A,FALSE,"Sheet1";"print 4.6",#N/A,FALSE,"Sheet1";"print 5.6",#N/A,FALSE,"Sheet1";"print 6.6",#N/A,FALSE,"Sheet1"}</definedName>
    <definedName name="wrn.Print._.6." localSheetId="22" hidden="1">{"print 1.6",#N/A,FALSE,"Sheet1";"print 2.6",#N/A,FALSE,"Sheet1";"print 3.6",#N/A,FALSE,"Sheet1";"print 4.6",#N/A,FALSE,"Sheet1";"print 5.6",#N/A,FALSE,"Sheet1";"print 6.6",#N/A,FALSE,"Sheet1"}</definedName>
    <definedName name="wrn.Print._.6." localSheetId="15" hidden="1">{"print 1.6",#N/A,FALSE,"Sheet1";"print 2.6",#N/A,FALSE,"Sheet1";"print 3.6",#N/A,FALSE,"Sheet1";"print 4.6",#N/A,FALSE,"Sheet1";"print 5.6",#N/A,FALSE,"Sheet1";"print 6.6",#N/A,FALSE,"Sheet1"}</definedName>
    <definedName name="wrn.Print._.6." localSheetId="17" hidden="1">{"print 1.6",#N/A,FALSE,"Sheet1";"print 2.6",#N/A,FALSE,"Sheet1";"print 3.6",#N/A,FALSE,"Sheet1";"print 4.6",#N/A,FALSE,"Sheet1";"print 5.6",#N/A,FALSE,"Sheet1";"print 6.6",#N/A,FALSE,"Sheet1"}</definedName>
    <definedName name="wrn.Print._.6." localSheetId="10" hidden="1">{"print 1.6",#N/A,FALSE,"Sheet1";"print 2.6",#N/A,FALSE,"Sheet1";"print 3.6",#N/A,FALSE,"Sheet1";"print 4.6",#N/A,FALSE,"Sheet1";"print 5.6",#N/A,FALSE,"Sheet1";"print 6.6",#N/A,FALSE,"Sheet1"}</definedName>
    <definedName name="wrn.Print._.6." localSheetId="13" hidden="1">{"print 1.6",#N/A,FALSE,"Sheet1";"print 2.6",#N/A,FALSE,"Sheet1";"print 3.6",#N/A,FALSE,"Sheet1";"print 4.6",#N/A,FALSE,"Sheet1";"print 5.6",#N/A,FALSE,"Sheet1";"print 6.6",#N/A,FALSE,"Sheet1"}</definedName>
    <definedName name="wrn.Print._.6." hidden="1">{"print 1.6",#N/A,FALSE,"Sheet1";"print 2.6",#N/A,FALSE,"Sheet1";"print 3.6",#N/A,FALSE,"Sheet1";"print 4.6",#N/A,FALSE,"Sheet1";"print 5.6",#N/A,FALSE,"Sheet1";"print 6.6",#N/A,FALSE,"Sheet1"}</definedName>
    <definedName name="wrn.print._.704b._.aimco." localSheetId="2" hidden="1">{"704(b) Summary Page",#N/A,FALSE,"Summary";"Input Page 1",#N/A,FALSE,"704B Inputs";"Input Page 2",#N/A,FALSE,"704B Inputs";"Priority Worksheet",#N/A,FALSE,"Priority WS";"Minimum Gain",#N/A,FALSE,"Minimum Gain";"Minimum Gain Page 2",#N/A,FALSE,"Minimum Gain";"Increase in Minimum Gain",#N/A,FALSE,"Increase in MG";"Decrease in Minimum Gain",#N/A,FALSE,"Decrease in MG"}</definedName>
    <definedName name="wrn.print._.704b._.aimco." localSheetId="21" hidden="1">{"704(b) Summary Page",#N/A,FALSE,"Summary";"Input Page 1",#N/A,FALSE,"704B Inputs";"Input Page 2",#N/A,FALSE,"704B Inputs";"Priority Worksheet",#N/A,FALSE,"Priority WS";"Minimum Gain",#N/A,FALSE,"Minimum Gain";"Minimum Gain Page 2",#N/A,FALSE,"Minimum Gain";"Increase in Minimum Gain",#N/A,FALSE,"Increase in MG";"Decrease in Minimum Gain",#N/A,FALSE,"Decrease in MG"}</definedName>
    <definedName name="wrn.print._.704b._.aimco." localSheetId="22" hidden="1">{"704(b) Summary Page",#N/A,FALSE,"Summary";"Input Page 1",#N/A,FALSE,"704B Inputs";"Input Page 2",#N/A,FALSE,"704B Inputs";"Priority Worksheet",#N/A,FALSE,"Priority WS";"Minimum Gain",#N/A,FALSE,"Minimum Gain";"Minimum Gain Page 2",#N/A,FALSE,"Minimum Gain";"Increase in Minimum Gain",#N/A,FALSE,"Increase in MG";"Decrease in Minimum Gain",#N/A,FALSE,"Decrease in MG"}</definedName>
    <definedName name="wrn.print._.704b._.aimco." localSheetId="15" hidden="1">{"704(b) Summary Page",#N/A,FALSE,"Summary";"Input Page 1",#N/A,FALSE,"704B Inputs";"Input Page 2",#N/A,FALSE,"704B Inputs";"Priority Worksheet",#N/A,FALSE,"Priority WS";"Minimum Gain",#N/A,FALSE,"Minimum Gain";"Minimum Gain Page 2",#N/A,FALSE,"Minimum Gain";"Increase in Minimum Gain",#N/A,FALSE,"Increase in MG";"Decrease in Minimum Gain",#N/A,FALSE,"Decrease in MG"}</definedName>
    <definedName name="wrn.print._.704b._.aimco." localSheetId="17" hidden="1">{"704(b) Summary Page",#N/A,FALSE,"Summary";"Input Page 1",#N/A,FALSE,"704B Inputs";"Input Page 2",#N/A,FALSE,"704B Inputs";"Priority Worksheet",#N/A,FALSE,"Priority WS";"Minimum Gain",#N/A,FALSE,"Minimum Gain";"Minimum Gain Page 2",#N/A,FALSE,"Minimum Gain";"Increase in Minimum Gain",#N/A,FALSE,"Increase in MG";"Decrease in Minimum Gain",#N/A,FALSE,"Decrease in MG"}</definedName>
    <definedName name="wrn.print._.704b._.aimco." localSheetId="10" hidden="1">{"704(b) Summary Page",#N/A,FALSE,"Summary";"Input Page 1",#N/A,FALSE,"704B Inputs";"Input Page 2",#N/A,FALSE,"704B Inputs";"Priority Worksheet",#N/A,FALSE,"Priority WS";"Minimum Gain",#N/A,FALSE,"Minimum Gain";"Minimum Gain Page 2",#N/A,FALSE,"Minimum Gain";"Increase in Minimum Gain",#N/A,FALSE,"Increase in MG";"Decrease in Minimum Gain",#N/A,FALSE,"Decrease in MG"}</definedName>
    <definedName name="wrn.print._.704b._.aimco." localSheetId="13" hidden="1">{"704(b) Summary Page",#N/A,FALSE,"Summary";"Input Page 1",#N/A,FALSE,"704B Inputs";"Input Page 2",#N/A,FALSE,"704B Inputs";"Priority Worksheet",#N/A,FALSE,"Priority WS";"Minimum Gain",#N/A,FALSE,"Minimum Gain";"Minimum Gain Page 2",#N/A,FALSE,"Minimum Gain";"Increase in Minimum Gain",#N/A,FALSE,"Increase in MG";"Decrease in Minimum Gain",#N/A,FALSE,"Decrease in MG"}</definedName>
    <definedName name="wrn.print._.704b._.aimco." hidden="1">{"704(b) Summary Page",#N/A,FALSE,"Summary";"Input Page 1",#N/A,FALSE,"704B Inputs";"Input Page 2",#N/A,FALSE,"704B Inputs";"Priority Worksheet",#N/A,FALSE,"Priority WS";"Minimum Gain",#N/A,FALSE,"Minimum Gain";"Minimum Gain Page 2",#N/A,FALSE,"Minimum Gain";"Increase in Minimum Gain",#N/A,FALSE,"Increase in MG";"Decrease in Minimum Gain",#N/A,FALSE,"Decrease in MG"}</definedName>
    <definedName name="wrn.PRINT._.ALL." localSheetId="21" hidden="1">{#N/A,#N/A,FALSE,"Expense Detail ";#N/A,#N/A,FALSE,"Worksheet";#N/A,#N/A,FALSE,"Audit";#N/A,#N/A,FALSE,"Exclusions";#N/A,#N/A,FALSE,"Variance";#N/A,#N/A,FALSE,"Reconciliation"}</definedName>
    <definedName name="wrn.PRINT._.ALL." localSheetId="22" hidden="1">{#N/A,#N/A,FALSE,"Expense Detail ";#N/A,#N/A,FALSE,"Worksheet";#N/A,#N/A,FALSE,"Audit";#N/A,#N/A,FALSE,"Exclusions";#N/A,#N/A,FALSE,"Variance";#N/A,#N/A,FALSE,"Reconciliation"}</definedName>
    <definedName name="wrn.PRINT._.ALL." localSheetId="17" hidden="1">{#N/A,#N/A,FALSE,"Expense Detail ";#N/A,#N/A,FALSE,"Worksheet";#N/A,#N/A,FALSE,"Audit";#N/A,#N/A,FALSE,"Exclusions";#N/A,#N/A,FALSE,"Variance";#N/A,#N/A,FALSE,"Reconciliation"}</definedName>
    <definedName name="wrn.PRINT._.ALL." localSheetId="10" hidden="1">{#N/A,#N/A,FALSE,"Expense Detail ";#N/A,#N/A,FALSE,"Worksheet";#N/A,#N/A,FALSE,"Audit";#N/A,#N/A,FALSE,"Exclusions";#N/A,#N/A,FALSE,"Variance";#N/A,#N/A,FALSE,"Reconciliation"}</definedName>
    <definedName name="wrn.PRINT._.ALL." hidden="1">{#N/A,#N/A,FALSE,"Expense Detail ";#N/A,#N/A,FALSE,"Worksheet";#N/A,#N/A,FALSE,"Audit";#N/A,#N/A,FALSE,"Exclusions";#N/A,#N/A,FALSE,"Variance";#N/A,#N/A,FALSE,"Reconciliation"}</definedName>
    <definedName name="wrn.Print._.All._.Pages." localSheetId="21" hidden="1">{"LBO Summary",#N/A,FALSE,"Summary";"Income Statement",#N/A,FALSE,"Model";"Cash Flow",#N/A,FALSE,"Model";"Balance Sheet",#N/A,FALSE,"Model";"Working Capital",#N/A,FALSE,"Model";"Pro Forma Balance Sheets",#N/A,FALSE,"PFBS";"Debt Balances",#N/A,FALSE,"Model";"Fee Schedules",#N/A,FALSE,"Model"}</definedName>
    <definedName name="wrn.Print._.All._.Pages." localSheetId="2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7" hidden="1">{"LBO Summary",#N/A,FALSE,"Summary";"Income Statement",#N/A,FALSE,"Model";"Cash Flow",#N/A,FALSE,"Model";"Balance Sheet",#N/A,FALSE,"Model";"Working Capital",#N/A,FALSE,"Model";"Pro Forma Balance Sheets",#N/A,FALSE,"PFBS";"Debt Balances",#N/A,FALSE,"Model";"Fee Schedules",#N/A,FALSE,"Model"}</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Business._.Plan." localSheetId="21" hidden="1">{"bob_is1",#N/A,FALSE,"Financial Statements, Bob";"bob_bs1",#N/A,FALSE,"Financial Statements, Bob";"bob_cf1",#N/A,FALSE,"Financial Statements, Bob";"linnea_is1",#N/A,FALSE,"Financial Statements, Linnea";"linnea_bs1",#N/A,FALSE,"Financial Statements, Linnea";"linnea_cf1",#N/A,FALSE,"Financial Statements, Linnea"}</definedName>
    <definedName name="wrn.Print._.Business._.Plan." localSheetId="22" hidden="1">{"bob_is1",#N/A,FALSE,"Financial Statements, Bob";"bob_bs1",#N/A,FALSE,"Financial Statements, Bob";"bob_cf1",#N/A,FALSE,"Financial Statements, Bob";"linnea_is1",#N/A,FALSE,"Financial Statements, Linnea";"linnea_bs1",#N/A,FALSE,"Financial Statements, Linnea";"linnea_cf1",#N/A,FALSE,"Financial Statements, Linnea"}</definedName>
    <definedName name="wrn.Print._.Business._.Plan." localSheetId="17" hidden="1">{"bob_is1",#N/A,FALSE,"Financial Statements, Bob";"bob_bs1",#N/A,FALSE,"Financial Statements, Bob";"bob_cf1",#N/A,FALSE,"Financial Statements, Bob";"linnea_is1",#N/A,FALSE,"Financial Statements, Linnea";"linnea_bs1",#N/A,FALSE,"Financial Statements, Linnea";"linnea_cf1",#N/A,FALSE,"Financial Statements, Linnea"}</definedName>
    <definedName name="wrn.Print._.Business._.Plan." hidden="1">{"bob_is1",#N/A,FALSE,"Financial Statements, Bob";"bob_bs1",#N/A,FALSE,"Financial Statements, Bob";"bob_cf1",#N/A,FALSE,"Financial Statements, Bob";"linnea_is1",#N/A,FALSE,"Financial Statements, Linnea";"linnea_bs1",#N/A,FALSE,"Financial Statements, Linnea";"linnea_cf1",#N/A,FALSE,"Financial Statements, Linnea"}</definedName>
    <definedName name="wrn.Print._.Entire._.Workbook." localSheetId="2" hidden="1">{"Assumptions",#N/A,TRUE,"Assumptions";"qtrl1",#N/A,TRUE,"Annual Summary";"qtrl2",#N/A,TRUE,"Annual Summary";"qtrl3",#N/A,TRUE,"Annual Summary";"qtrl4",#N/A,TRUE,"QTLY Summary";"qtrl5",#N/A,TRUE,"QTLY Summary";"qtrl6",#N/A,TRUE,"QTLY Summary";"Lot Prices",#N/A,TRUE,"Annual Summary";"Construction Costs",#N/A,TRUE,"Annual Summary";"land1",#N/A,TRUE,"Annual Summary";"land2",#N/A,TRUE,"Annual Summary";"land3",#N/A,TRUE,"Annual Summary";"lot1",#N/A,TRUE,"Annual Summary";"lot2",#N/A,TRUE,"Annual Summary";"Lot3",#N/A,TRUE,"Annual Summary";"lot4",#N/A,TRUE,"Annual Summary";"lot5",#N/A,TRUE,"Annual Summary";"lot6",#N/A,TRUE,"Annual Summary";"lot7",#N/A,TRUE,"Annual Summary";"lot8",#N/A,TRUE,"Annual Summary";"lot9",#N/A,TRUE,"Annual Summary";"lot10",#N/A,TRUE,"Annual Summary";"lot11",#N/A,TRUE,"Annual Summary";"lot12",#N/A,TRUE,"Annual Summary";"lot inventory",#N/A,TRUE,"Annual Summary";"scen1",#N/A,TRUE,"Annual Summary";"scen2",#N/A,TRUE,"Annual Summary";"View1",#N/A,TRUE,"Annual Summary";"View2",#N/A,TRUE,"Annual Summary";"View3",#N/A,TRUE,"Annual Summary";"View4",#N/A,TRUE,"Annual Summary";"View5",#N/A,TRUE,"Annual Summary";"View6",#N/A,TRUE,"Annual Summary";"View7",#N/A,TRUE,"Annual Summary";"View8",#N/A,TRUE,"Annual Summary";"View9",#N/A,TRUE,"Annual Summary";"View10",#N/A,TRUE,"Annual Summary";"View11",#N/A,TRUE,"Annual Summary";"View12",#N/A,TRUE,"Annual Summary";"cot1",#N/A,TRUE,"Annual Summary";"cot2",#N/A,TRUE,"Annual Summary";"cot3",#N/A,TRUE,"Annual Summary"}</definedName>
    <definedName name="wrn.Print._.Entire._.Workbook." localSheetId="21" hidden="1">{"Assumptions",#N/A,TRUE,"Assumptions";"qtrl1",#N/A,TRUE,"Annual Summary";"qtrl2",#N/A,TRUE,"Annual Summary";"qtrl3",#N/A,TRUE,"Annual Summary";"qtrl4",#N/A,TRUE,"QTLY Summary";"qtrl5",#N/A,TRUE,"QTLY Summary";"qtrl6",#N/A,TRUE,"QTLY Summary";"Lot Prices",#N/A,TRUE,"Annual Summary";"Construction Costs",#N/A,TRUE,"Annual Summary";"land1",#N/A,TRUE,"Annual Summary";"land2",#N/A,TRUE,"Annual Summary";"land3",#N/A,TRUE,"Annual Summary";"lot1",#N/A,TRUE,"Annual Summary";"lot2",#N/A,TRUE,"Annual Summary";"Lot3",#N/A,TRUE,"Annual Summary";"lot4",#N/A,TRUE,"Annual Summary";"lot5",#N/A,TRUE,"Annual Summary";"lot6",#N/A,TRUE,"Annual Summary";"lot7",#N/A,TRUE,"Annual Summary";"lot8",#N/A,TRUE,"Annual Summary";"lot9",#N/A,TRUE,"Annual Summary";"lot10",#N/A,TRUE,"Annual Summary";"lot11",#N/A,TRUE,"Annual Summary";"lot12",#N/A,TRUE,"Annual Summary";"lot inventory",#N/A,TRUE,"Annual Summary";"scen1",#N/A,TRUE,"Annual Summary";"scen2",#N/A,TRUE,"Annual Summary";"View1",#N/A,TRUE,"Annual Summary";"View2",#N/A,TRUE,"Annual Summary";"View3",#N/A,TRUE,"Annual Summary";"View4",#N/A,TRUE,"Annual Summary";"View5",#N/A,TRUE,"Annual Summary";"View6",#N/A,TRUE,"Annual Summary";"View7",#N/A,TRUE,"Annual Summary";"View8",#N/A,TRUE,"Annual Summary";"View9",#N/A,TRUE,"Annual Summary";"View10",#N/A,TRUE,"Annual Summary";"View11",#N/A,TRUE,"Annual Summary";"View12",#N/A,TRUE,"Annual Summary";"cot1",#N/A,TRUE,"Annual Summary";"cot2",#N/A,TRUE,"Annual Summary";"cot3",#N/A,TRUE,"Annual Summary"}</definedName>
    <definedName name="wrn.Print._.Entire._.Workbook." localSheetId="22" hidden="1">{"Assumptions",#N/A,TRUE,"Assumptions";"qtrl1",#N/A,TRUE,"Annual Summary";"qtrl2",#N/A,TRUE,"Annual Summary";"qtrl3",#N/A,TRUE,"Annual Summary";"qtrl4",#N/A,TRUE,"QTLY Summary";"qtrl5",#N/A,TRUE,"QTLY Summary";"qtrl6",#N/A,TRUE,"QTLY Summary";"Lot Prices",#N/A,TRUE,"Annual Summary";"Construction Costs",#N/A,TRUE,"Annual Summary";"land1",#N/A,TRUE,"Annual Summary";"land2",#N/A,TRUE,"Annual Summary";"land3",#N/A,TRUE,"Annual Summary";"lot1",#N/A,TRUE,"Annual Summary";"lot2",#N/A,TRUE,"Annual Summary";"Lot3",#N/A,TRUE,"Annual Summary";"lot4",#N/A,TRUE,"Annual Summary";"lot5",#N/A,TRUE,"Annual Summary";"lot6",#N/A,TRUE,"Annual Summary";"lot7",#N/A,TRUE,"Annual Summary";"lot8",#N/A,TRUE,"Annual Summary";"lot9",#N/A,TRUE,"Annual Summary";"lot10",#N/A,TRUE,"Annual Summary";"lot11",#N/A,TRUE,"Annual Summary";"lot12",#N/A,TRUE,"Annual Summary";"lot inventory",#N/A,TRUE,"Annual Summary";"scen1",#N/A,TRUE,"Annual Summary";"scen2",#N/A,TRUE,"Annual Summary";"View1",#N/A,TRUE,"Annual Summary";"View2",#N/A,TRUE,"Annual Summary";"View3",#N/A,TRUE,"Annual Summary";"View4",#N/A,TRUE,"Annual Summary";"View5",#N/A,TRUE,"Annual Summary";"View6",#N/A,TRUE,"Annual Summary";"View7",#N/A,TRUE,"Annual Summary";"View8",#N/A,TRUE,"Annual Summary";"View9",#N/A,TRUE,"Annual Summary";"View10",#N/A,TRUE,"Annual Summary";"View11",#N/A,TRUE,"Annual Summary";"View12",#N/A,TRUE,"Annual Summary";"cot1",#N/A,TRUE,"Annual Summary";"cot2",#N/A,TRUE,"Annual Summary";"cot3",#N/A,TRUE,"Annual Summary"}</definedName>
    <definedName name="wrn.Print._.Entire._.Workbook." localSheetId="15" hidden="1">{"Assumptions",#N/A,TRUE,"Assumptions";"qtrl1",#N/A,TRUE,"Annual Summary";"qtrl2",#N/A,TRUE,"Annual Summary";"qtrl3",#N/A,TRUE,"Annual Summary";"qtrl4",#N/A,TRUE,"QTLY Summary";"qtrl5",#N/A,TRUE,"QTLY Summary";"qtrl6",#N/A,TRUE,"QTLY Summary";"Lot Prices",#N/A,TRUE,"Annual Summary";"Construction Costs",#N/A,TRUE,"Annual Summary";"land1",#N/A,TRUE,"Annual Summary";"land2",#N/A,TRUE,"Annual Summary";"land3",#N/A,TRUE,"Annual Summary";"lot1",#N/A,TRUE,"Annual Summary";"lot2",#N/A,TRUE,"Annual Summary";"Lot3",#N/A,TRUE,"Annual Summary";"lot4",#N/A,TRUE,"Annual Summary";"lot5",#N/A,TRUE,"Annual Summary";"lot6",#N/A,TRUE,"Annual Summary";"lot7",#N/A,TRUE,"Annual Summary";"lot8",#N/A,TRUE,"Annual Summary";"lot9",#N/A,TRUE,"Annual Summary";"lot10",#N/A,TRUE,"Annual Summary";"lot11",#N/A,TRUE,"Annual Summary";"lot12",#N/A,TRUE,"Annual Summary";"lot inventory",#N/A,TRUE,"Annual Summary";"scen1",#N/A,TRUE,"Annual Summary";"scen2",#N/A,TRUE,"Annual Summary";"View1",#N/A,TRUE,"Annual Summary";"View2",#N/A,TRUE,"Annual Summary";"View3",#N/A,TRUE,"Annual Summary";"View4",#N/A,TRUE,"Annual Summary";"View5",#N/A,TRUE,"Annual Summary";"View6",#N/A,TRUE,"Annual Summary";"View7",#N/A,TRUE,"Annual Summary";"View8",#N/A,TRUE,"Annual Summary";"View9",#N/A,TRUE,"Annual Summary";"View10",#N/A,TRUE,"Annual Summary";"View11",#N/A,TRUE,"Annual Summary";"View12",#N/A,TRUE,"Annual Summary";"cot1",#N/A,TRUE,"Annual Summary";"cot2",#N/A,TRUE,"Annual Summary";"cot3",#N/A,TRUE,"Annual Summary"}</definedName>
    <definedName name="wrn.Print._.Entire._.Workbook." localSheetId="17" hidden="1">{"Assumptions",#N/A,TRUE,"Assumptions";"qtrl1",#N/A,TRUE,"Annual Summary";"qtrl2",#N/A,TRUE,"Annual Summary";"qtrl3",#N/A,TRUE,"Annual Summary";"qtrl4",#N/A,TRUE,"QTLY Summary";"qtrl5",#N/A,TRUE,"QTLY Summary";"qtrl6",#N/A,TRUE,"QTLY Summary";"Lot Prices",#N/A,TRUE,"Annual Summary";"Construction Costs",#N/A,TRUE,"Annual Summary";"land1",#N/A,TRUE,"Annual Summary";"land2",#N/A,TRUE,"Annual Summary";"land3",#N/A,TRUE,"Annual Summary";"lot1",#N/A,TRUE,"Annual Summary";"lot2",#N/A,TRUE,"Annual Summary";"Lot3",#N/A,TRUE,"Annual Summary";"lot4",#N/A,TRUE,"Annual Summary";"lot5",#N/A,TRUE,"Annual Summary";"lot6",#N/A,TRUE,"Annual Summary";"lot7",#N/A,TRUE,"Annual Summary";"lot8",#N/A,TRUE,"Annual Summary";"lot9",#N/A,TRUE,"Annual Summary";"lot10",#N/A,TRUE,"Annual Summary";"lot11",#N/A,TRUE,"Annual Summary";"lot12",#N/A,TRUE,"Annual Summary";"lot inventory",#N/A,TRUE,"Annual Summary";"scen1",#N/A,TRUE,"Annual Summary";"scen2",#N/A,TRUE,"Annual Summary";"View1",#N/A,TRUE,"Annual Summary";"View2",#N/A,TRUE,"Annual Summary";"View3",#N/A,TRUE,"Annual Summary";"View4",#N/A,TRUE,"Annual Summary";"View5",#N/A,TRUE,"Annual Summary";"View6",#N/A,TRUE,"Annual Summary";"View7",#N/A,TRUE,"Annual Summary";"View8",#N/A,TRUE,"Annual Summary";"View9",#N/A,TRUE,"Annual Summary";"View10",#N/A,TRUE,"Annual Summary";"View11",#N/A,TRUE,"Annual Summary";"View12",#N/A,TRUE,"Annual Summary";"cot1",#N/A,TRUE,"Annual Summary";"cot2",#N/A,TRUE,"Annual Summary";"cot3",#N/A,TRUE,"Annual Summary"}</definedName>
    <definedName name="wrn.Print._.Entire._.Workbook." localSheetId="10" hidden="1">{"Assumptions",#N/A,TRUE,"Assumptions";"qtrl1",#N/A,TRUE,"Annual Summary";"qtrl2",#N/A,TRUE,"Annual Summary";"qtrl3",#N/A,TRUE,"Annual Summary";"qtrl4",#N/A,TRUE,"QTLY Summary";"qtrl5",#N/A,TRUE,"QTLY Summary";"qtrl6",#N/A,TRUE,"QTLY Summary";"Lot Prices",#N/A,TRUE,"Annual Summary";"Construction Costs",#N/A,TRUE,"Annual Summary";"land1",#N/A,TRUE,"Annual Summary";"land2",#N/A,TRUE,"Annual Summary";"land3",#N/A,TRUE,"Annual Summary";"lot1",#N/A,TRUE,"Annual Summary";"lot2",#N/A,TRUE,"Annual Summary";"Lot3",#N/A,TRUE,"Annual Summary";"lot4",#N/A,TRUE,"Annual Summary";"lot5",#N/A,TRUE,"Annual Summary";"lot6",#N/A,TRUE,"Annual Summary";"lot7",#N/A,TRUE,"Annual Summary";"lot8",#N/A,TRUE,"Annual Summary";"lot9",#N/A,TRUE,"Annual Summary";"lot10",#N/A,TRUE,"Annual Summary";"lot11",#N/A,TRUE,"Annual Summary";"lot12",#N/A,TRUE,"Annual Summary";"lot inventory",#N/A,TRUE,"Annual Summary";"scen1",#N/A,TRUE,"Annual Summary";"scen2",#N/A,TRUE,"Annual Summary";"View1",#N/A,TRUE,"Annual Summary";"View2",#N/A,TRUE,"Annual Summary";"View3",#N/A,TRUE,"Annual Summary";"View4",#N/A,TRUE,"Annual Summary";"View5",#N/A,TRUE,"Annual Summary";"View6",#N/A,TRUE,"Annual Summary";"View7",#N/A,TRUE,"Annual Summary";"View8",#N/A,TRUE,"Annual Summary";"View9",#N/A,TRUE,"Annual Summary";"View10",#N/A,TRUE,"Annual Summary";"View11",#N/A,TRUE,"Annual Summary";"View12",#N/A,TRUE,"Annual Summary";"cot1",#N/A,TRUE,"Annual Summary";"cot2",#N/A,TRUE,"Annual Summary";"cot3",#N/A,TRUE,"Annual Summary"}</definedName>
    <definedName name="wrn.Print._.Entire._.Workbook." localSheetId="13" hidden="1">{"Assumptions",#N/A,TRUE,"Assumptions";"qtrl1",#N/A,TRUE,"Annual Summary";"qtrl2",#N/A,TRUE,"Annual Summary";"qtrl3",#N/A,TRUE,"Annual Summary";"qtrl4",#N/A,TRUE,"QTLY Summary";"qtrl5",#N/A,TRUE,"QTLY Summary";"qtrl6",#N/A,TRUE,"QTLY Summary";"Lot Prices",#N/A,TRUE,"Annual Summary";"Construction Costs",#N/A,TRUE,"Annual Summary";"land1",#N/A,TRUE,"Annual Summary";"land2",#N/A,TRUE,"Annual Summary";"land3",#N/A,TRUE,"Annual Summary";"lot1",#N/A,TRUE,"Annual Summary";"lot2",#N/A,TRUE,"Annual Summary";"Lot3",#N/A,TRUE,"Annual Summary";"lot4",#N/A,TRUE,"Annual Summary";"lot5",#N/A,TRUE,"Annual Summary";"lot6",#N/A,TRUE,"Annual Summary";"lot7",#N/A,TRUE,"Annual Summary";"lot8",#N/A,TRUE,"Annual Summary";"lot9",#N/A,TRUE,"Annual Summary";"lot10",#N/A,TRUE,"Annual Summary";"lot11",#N/A,TRUE,"Annual Summary";"lot12",#N/A,TRUE,"Annual Summary";"lot inventory",#N/A,TRUE,"Annual Summary";"scen1",#N/A,TRUE,"Annual Summary";"scen2",#N/A,TRUE,"Annual Summary";"View1",#N/A,TRUE,"Annual Summary";"View2",#N/A,TRUE,"Annual Summary";"View3",#N/A,TRUE,"Annual Summary";"View4",#N/A,TRUE,"Annual Summary";"View5",#N/A,TRUE,"Annual Summary";"View6",#N/A,TRUE,"Annual Summary";"View7",#N/A,TRUE,"Annual Summary";"View8",#N/A,TRUE,"Annual Summary";"View9",#N/A,TRUE,"Annual Summary";"View10",#N/A,TRUE,"Annual Summary";"View11",#N/A,TRUE,"Annual Summary";"View12",#N/A,TRUE,"Annual Summary";"cot1",#N/A,TRUE,"Annual Summary";"cot2",#N/A,TRUE,"Annual Summary";"cot3",#N/A,TRUE,"Annual Summary"}</definedName>
    <definedName name="wrn.Print._.Entire._.Workbook." hidden="1">{"Assumptions",#N/A,TRUE,"Assumptions";"qtrl1",#N/A,TRUE,"Annual Summary";"qtrl2",#N/A,TRUE,"Annual Summary";"qtrl3",#N/A,TRUE,"Annual Summary";"qtrl4",#N/A,TRUE,"QTLY Summary";"qtrl5",#N/A,TRUE,"QTLY Summary";"qtrl6",#N/A,TRUE,"QTLY Summary";"Lot Prices",#N/A,TRUE,"Annual Summary";"Construction Costs",#N/A,TRUE,"Annual Summary";"land1",#N/A,TRUE,"Annual Summary";"land2",#N/A,TRUE,"Annual Summary";"land3",#N/A,TRUE,"Annual Summary";"lot1",#N/A,TRUE,"Annual Summary";"lot2",#N/A,TRUE,"Annual Summary";"Lot3",#N/A,TRUE,"Annual Summary";"lot4",#N/A,TRUE,"Annual Summary";"lot5",#N/A,TRUE,"Annual Summary";"lot6",#N/A,TRUE,"Annual Summary";"lot7",#N/A,TRUE,"Annual Summary";"lot8",#N/A,TRUE,"Annual Summary";"lot9",#N/A,TRUE,"Annual Summary";"lot10",#N/A,TRUE,"Annual Summary";"lot11",#N/A,TRUE,"Annual Summary";"lot12",#N/A,TRUE,"Annual Summary";"lot inventory",#N/A,TRUE,"Annual Summary";"scen1",#N/A,TRUE,"Annual Summary";"scen2",#N/A,TRUE,"Annual Summary";"View1",#N/A,TRUE,"Annual Summary";"View2",#N/A,TRUE,"Annual Summary";"View3",#N/A,TRUE,"Annual Summary";"View4",#N/A,TRUE,"Annual Summary";"View5",#N/A,TRUE,"Annual Summary";"View6",#N/A,TRUE,"Annual Summary";"View7",#N/A,TRUE,"Annual Summary";"View8",#N/A,TRUE,"Annual Summary";"View9",#N/A,TRUE,"Annual Summary";"View10",#N/A,TRUE,"Annual Summary";"View11",#N/A,TRUE,"Annual Summary";"View12",#N/A,TRUE,"Annual Summary";"cot1",#N/A,TRUE,"Annual Summary";"cot2",#N/A,TRUE,"Annual Summary";"cot3",#N/A,TRUE,"Annual Summary"}</definedName>
    <definedName name="wrn.Print._.It." localSheetId="2" hidden="1">{#N/A,#N/A,TRUE,"base case";#N/A,#N/A,TRUE,"valuation";#N/A,#N/A,TRUE,"sources and uses";#N/A,#N/A,TRUE,"recapitalization";#N/A,#N/A,TRUE,"flowchart";#N/A,#N/A,TRUE,"summary";#N/A,#N/A,TRUE,"sensitivities";#N/A,#N/A,TRUE,"pro forma";#N/A,#N/A,TRUE,"PAC shares"}</definedName>
    <definedName name="wrn.Print._.It." localSheetId="21" hidden="1">{#N/A,#N/A,TRUE,"base case";#N/A,#N/A,TRUE,"valuation";#N/A,#N/A,TRUE,"sources and uses";#N/A,#N/A,TRUE,"recapitalization";#N/A,#N/A,TRUE,"flowchart";#N/A,#N/A,TRUE,"summary";#N/A,#N/A,TRUE,"sensitivities";#N/A,#N/A,TRUE,"pro forma";#N/A,#N/A,TRUE,"PAC shares"}</definedName>
    <definedName name="wrn.Print._.It." localSheetId="22" hidden="1">{#N/A,#N/A,TRUE,"base case";#N/A,#N/A,TRUE,"valuation";#N/A,#N/A,TRUE,"sources and uses";#N/A,#N/A,TRUE,"recapitalization";#N/A,#N/A,TRUE,"flowchart";#N/A,#N/A,TRUE,"summary";#N/A,#N/A,TRUE,"sensitivities";#N/A,#N/A,TRUE,"pro forma";#N/A,#N/A,TRUE,"PAC shares"}</definedName>
    <definedName name="wrn.Print._.It." localSheetId="15" hidden="1">{#N/A,#N/A,TRUE,"base case";#N/A,#N/A,TRUE,"valuation";#N/A,#N/A,TRUE,"sources and uses";#N/A,#N/A,TRUE,"recapitalization";#N/A,#N/A,TRUE,"flowchart";#N/A,#N/A,TRUE,"summary";#N/A,#N/A,TRUE,"sensitivities";#N/A,#N/A,TRUE,"pro forma";#N/A,#N/A,TRUE,"PAC shares"}</definedName>
    <definedName name="wrn.Print._.It." localSheetId="17" hidden="1">{#N/A,#N/A,TRUE,"base case";#N/A,#N/A,TRUE,"valuation";#N/A,#N/A,TRUE,"sources and uses";#N/A,#N/A,TRUE,"recapitalization";#N/A,#N/A,TRUE,"flowchart";#N/A,#N/A,TRUE,"summary";#N/A,#N/A,TRUE,"sensitivities";#N/A,#N/A,TRUE,"pro forma";#N/A,#N/A,TRUE,"PAC shares"}</definedName>
    <definedName name="wrn.Print._.It." localSheetId="10" hidden="1">{#N/A,#N/A,TRUE,"base case";#N/A,#N/A,TRUE,"valuation";#N/A,#N/A,TRUE,"sources and uses";#N/A,#N/A,TRUE,"recapitalization";#N/A,#N/A,TRUE,"flowchart";#N/A,#N/A,TRUE,"summary";#N/A,#N/A,TRUE,"sensitivities";#N/A,#N/A,TRUE,"pro forma";#N/A,#N/A,TRUE,"PAC shares"}</definedName>
    <definedName name="wrn.Print._.It." localSheetId="13" hidden="1">{#N/A,#N/A,TRUE,"base case";#N/A,#N/A,TRUE,"valuation";#N/A,#N/A,TRUE,"sources and uses";#N/A,#N/A,TRUE,"recapitalization";#N/A,#N/A,TRUE,"flowchart";#N/A,#N/A,TRUE,"summary";#N/A,#N/A,TRUE,"sensitivities";#N/A,#N/A,TRUE,"pro forma";#N/A,#N/A,TRUE,"PAC shares"}</definedName>
    <definedName name="wrn.Print._.It." hidden="1">{#N/A,#N/A,TRUE,"base case";#N/A,#N/A,TRUE,"valuation";#N/A,#N/A,TRUE,"sources and uses";#N/A,#N/A,TRUE,"recapitalization";#N/A,#N/A,TRUE,"flowchart";#N/A,#N/A,TRUE,"summary";#N/A,#N/A,TRUE,"sensitivities";#N/A,#N/A,TRUE,"pro forma";#N/A,#N/A,TRUE,"PAC shares"}</definedName>
    <definedName name="wrn.print._.w._.12._.partners." localSheetId="2" hidden="1">{"summary 6",#N/A,FALSE,"Summary";"summary 12",#N/A,FALSE,"Summary";"input ptnr 6",#N/A,FALSE,"Input";"input ptnr 12",#N/A,FALSE,"Input";"input assets 6",#N/A,FALSE,"Input";"priority 6",#N/A,FALSE,"Priority WS";"mingain 6",#N/A,FALSE,"Minimum Gain";"mingain 12",#N/A,FALSE,"Minimum Gain";"mingain begend 6",#N/A,FALSE,"Minimum Gain";"mingain begend 12",#N/A,FALSE,"Minimum Gain";"increase 6",#N/A,FALSE,"Increase in MG";"increase 12",#N/A,FALSE,"Increase in MG";"decrease 6",#N/A,FALSE,"Decrease in MG";"decrease 12",#N/A,FALSE,"Decrease in MG"}</definedName>
    <definedName name="wrn.print._.w._.12._.partners." localSheetId="21" hidden="1">{"summary 6",#N/A,FALSE,"Summary";"summary 12",#N/A,FALSE,"Summary";"input ptnr 6",#N/A,FALSE,"Input";"input ptnr 12",#N/A,FALSE,"Input";"input assets 6",#N/A,FALSE,"Input";"priority 6",#N/A,FALSE,"Priority WS";"mingain 6",#N/A,FALSE,"Minimum Gain";"mingain 12",#N/A,FALSE,"Minimum Gain";"mingain begend 6",#N/A,FALSE,"Minimum Gain";"mingain begend 12",#N/A,FALSE,"Minimum Gain";"increase 6",#N/A,FALSE,"Increase in MG";"increase 12",#N/A,FALSE,"Increase in MG";"decrease 6",#N/A,FALSE,"Decrease in MG";"decrease 12",#N/A,FALSE,"Decrease in MG"}</definedName>
    <definedName name="wrn.print._.w._.12._.partners." localSheetId="22" hidden="1">{"summary 6",#N/A,FALSE,"Summary";"summary 12",#N/A,FALSE,"Summary";"input ptnr 6",#N/A,FALSE,"Input";"input ptnr 12",#N/A,FALSE,"Input";"input assets 6",#N/A,FALSE,"Input";"priority 6",#N/A,FALSE,"Priority WS";"mingain 6",#N/A,FALSE,"Minimum Gain";"mingain 12",#N/A,FALSE,"Minimum Gain";"mingain begend 6",#N/A,FALSE,"Minimum Gain";"mingain begend 12",#N/A,FALSE,"Minimum Gain";"increase 6",#N/A,FALSE,"Increase in MG";"increase 12",#N/A,FALSE,"Increase in MG";"decrease 6",#N/A,FALSE,"Decrease in MG";"decrease 12",#N/A,FALSE,"Decrease in MG"}</definedName>
    <definedName name="wrn.print._.w._.12._.partners." localSheetId="15" hidden="1">{"summary 6",#N/A,FALSE,"Summary";"summary 12",#N/A,FALSE,"Summary";"input ptnr 6",#N/A,FALSE,"Input";"input ptnr 12",#N/A,FALSE,"Input";"input assets 6",#N/A,FALSE,"Input";"priority 6",#N/A,FALSE,"Priority WS";"mingain 6",#N/A,FALSE,"Minimum Gain";"mingain 12",#N/A,FALSE,"Minimum Gain";"mingain begend 6",#N/A,FALSE,"Minimum Gain";"mingain begend 12",#N/A,FALSE,"Minimum Gain";"increase 6",#N/A,FALSE,"Increase in MG";"increase 12",#N/A,FALSE,"Increase in MG";"decrease 6",#N/A,FALSE,"Decrease in MG";"decrease 12",#N/A,FALSE,"Decrease in MG"}</definedName>
    <definedName name="wrn.print._.w._.12._.partners." localSheetId="17" hidden="1">{"summary 6",#N/A,FALSE,"Summary";"summary 12",#N/A,FALSE,"Summary";"input ptnr 6",#N/A,FALSE,"Input";"input ptnr 12",#N/A,FALSE,"Input";"input assets 6",#N/A,FALSE,"Input";"priority 6",#N/A,FALSE,"Priority WS";"mingain 6",#N/A,FALSE,"Minimum Gain";"mingain 12",#N/A,FALSE,"Minimum Gain";"mingain begend 6",#N/A,FALSE,"Minimum Gain";"mingain begend 12",#N/A,FALSE,"Minimum Gain";"increase 6",#N/A,FALSE,"Increase in MG";"increase 12",#N/A,FALSE,"Increase in MG";"decrease 6",#N/A,FALSE,"Decrease in MG";"decrease 12",#N/A,FALSE,"Decrease in MG"}</definedName>
    <definedName name="wrn.print._.w._.12._.partners." localSheetId="10" hidden="1">{"summary 6",#N/A,FALSE,"Summary";"summary 12",#N/A,FALSE,"Summary";"input ptnr 6",#N/A,FALSE,"Input";"input ptnr 12",#N/A,FALSE,"Input";"input assets 6",#N/A,FALSE,"Input";"priority 6",#N/A,FALSE,"Priority WS";"mingain 6",#N/A,FALSE,"Minimum Gain";"mingain 12",#N/A,FALSE,"Minimum Gain";"mingain begend 6",#N/A,FALSE,"Minimum Gain";"mingain begend 12",#N/A,FALSE,"Minimum Gain";"increase 6",#N/A,FALSE,"Increase in MG";"increase 12",#N/A,FALSE,"Increase in MG";"decrease 6",#N/A,FALSE,"Decrease in MG";"decrease 12",#N/A,FALSE,"Decrease in MG"}</definedName>
    <definedName name="wrn.print._.w._.12._.partners." localSheetId="13" hidden="1">{"summary 6",#N/A,FALSE,"Summary";"summary 12",#N/A,FALSE,"Summary";"input ptnr 6",#N/A,FALSE,"Input";"input ptnr 12",#N/A,FALSE,"Input";"input assets 6",#N/A,FALSE,"Input";"priority 6",#N/A,FALSE,"Priority WS";"mingain 6",#N/A,FALSE,"Minimum Gain";"mingain 12",#N/A,FALSE,"Minimum Gain";"mingain begend 6",#N/A,FALSE,"Minimum Gain";"mingain begend 12",#N/A,FALSE,"Minimum Gain";"increase 6",#N/A,FALSE,"Increase in MG";"increase 12",#N/A,FALSE,"Increase in MG";"decrease 6",#N/A,FALSE,"Decrease in MG";"decrease 12",#N/A,FALSE,"Decrease in MG"}</definedName>
    <definedName name="wrn.print._.w._.12._.partners." hidden="1">{"summary 6",#N/A,FALSE,"Summary";"summary 12",#N/A,FALSE,"Summary";"input ptnr 6",#N/A,FALSE,"Input";"input ptnr 12",#N/A,FALSE,"Input";"input assets 6",#N/A,FALSE,"Input";"priority 6",#N/A,FALSE,"Priority WS";"mingain 6",#N/A,FALSE,"Minimum Gain";"mingain 12",#N/A,FALSE,"Minimum Gain";"mingain begend 6",#N/A,FALSE,"Minimum Gain";"mingain begend 12",#N/A,FALSE,"Minimum Gain";"increase 6",#N/A,FALSE,"Increase in MG";"increase 12",#N/A,FALSE,"Increase in MG";"decrease 6",#N/A,FALSE,"Decrease in MG";"decrease 12",#N/A,FALSE,"Decrease in MG"}</definedName>
    <definedName name="wrn.print._.with._.6._.ptnrs." localSheetId="2" hidden="1">{"summary 6",#N/A,TRUE,"Summary";"input ptnr 6",#N/A,TRUE,"Input";"input assets 6",#N/A,TRUE,"Input";"priority 6",#N/A,TRUE,"Priority WS";"mingain 6",#N/A,TRUE,"Minimum Gain";"mingain begend 6",#N/A,TRUE,"Minimum Gain";"increase 6",#N/A,TRUE,"Increase in MG";"decrease 6",#N/A,TRUE,"Decrease in MG"}</definedName>
    <definedName name="wrn.print._.with._.6._.ptnrs." localSheetId="21" hidden="1">{"summary 6",#N/A,TRUE,"Summary";"input ptnr 6",#N/A,TRUE,"Input";"input assets 6",#N/A,TRUE,"Input";"priority 6",#N/A,TRUE,"Priority WS";"mingain 6",#N/A,TRUE,"Minimum Gain";"mingain begend 6",#N/A,TRUE,"Minimum Gain";"increase 6",#N/A,TRUE,"Increase in MG";"decrease 6",#N/A,TRUE,"Decrease in MG"}</definedName>
    <definedName name="wrn.print._.with._.6._.ptnrs." localSheetId="22" hidden="1">{"summary 6",#N/A,TRUE,"Summary";"input ptnr 6",#N/A,TRUE,"Input";"input assets 6",#N/A,TRUE,"Input";"priority 6",#N/A,TRUE,"Priority WS";"mingain 6",#N/A,TRUE,"Minimum Gain";"mingain begend 6",#N/A,TRUE,"Minimum Gain";"increase 6",#N/A,TRUE,"Increase in MG";"decrease 6",#N/A,TRUE,"Decrease in MG"}</definedName>
    <definedName name="wrn.print._.with._.6._.ptnrs." localSheetId="15" hidden="1">{"summary 6",#N/A,TRUE,"Summary";"input ptnr 6",#N/A,TRUE,"Input";"input assets 6",#N/A,TRUE,"Input";"priority 6",#N/A,TRUE,"Priority WS";"mingain 6",#N/A,TRUE,"Minimum Gain";"mingain begend 6",#N/A,TRUE,"Minimum Gain";"increase 6",#N/A,TRUE,"Increase in MG";"decrease 6",#N/A,TRUE,"Decrease in MG"}</definedName>
    <definedName name="wrn.print._.with._.6._.ptnrs." localSheetId="17" hidden="1">{"summary 6",#N/A,TRUE,"Summary";"input ptnr 6",#N/A,TRUE,"Input";"input assets 6",#N/A,TRUE,"Input";"priority 6",#N/A,TRUE,"Priority WS";"mingain 6",#N/A,TRUE,"Minimum Gain";"mingain begend 6",#N/A,TRUE,"Minimum Gain";"increase 6",#N/A,TRUE,"Increase in MG";"decrease 6",#N/A,TRUE,"Decrease in MG"}</definedName>
    <definedName name="wrn.print._.with._.6._.ptnrs." localSheetId="10" hidden="1">{"summary 6",#N/A,TRUE,"Summary";"input ptnr 6",#N/A,TRUE,"Input";"input assets 6",#N/A,TRUE,"Input";"priority 6",#N/A,TRUE,"Priority WS";"mingain 6",#N/A,TRUE,"Minimum Gain";"mingain begend 6",#N/A,TRUE,"Minimum Gain";"increase 6",#N/A,TRUE,"Increase in MG";"decrease 6",#N/A,TRUE,"Decrease in MG"}</definedName>
    <definedName name="wrn.print._.with._.6._.ptnrs." localSheetId="13" hidden="1">{"summary 6",#N/A,TRUE,"Summary";"input ptnr 6",#N/A,TRUE,"Input";"input assets 6",#N/A,TRUE,"Input";"priority 6",#N/A,TRUE,"Priority WS";"mingain 6",#N/A,TRUE,"Minimum Gain";"mingain begend 6",#N/A,TRUE,"Minimum Gain";"increase 6",#N/A,TRUE,"Increase in MG";"decrease 6",#N/A,TRUE,"Decrease in MG"}</definedName>
    <definedName name="wrn.print._.with._.6._.ptnrs." hidden="1">{"summary 6",#N/A,TRUE,"Summary";"input ptnr 6",#N/A,TRUE,"Input";"input assets 6",#N/A,TRUE,"Input";"priority 6",#N/A,TRUE,"Priority WS";"mingain 6",#N/A,TRUE,"Minimum Gain";"mingain begend 6",#N/A,TRUE,"Minimum Gain";"increase 6",#N/A,TRUE,"Increase in MG";"decrease 6",#N/A,TRUE,"Decrease in MG"}</definedName>
    <definedName name="wrn.PrintAll." localSheetId="4" hidden="1">{#N/A,#N/A,FALSE,"Broker Sheet";#N/A,#N/A,FALSE,"Exec.Summary";#N/A,#N/A,FALSE,"Argus Cash Flow";#N/A,#N/A,FALSE,"SPF";#N/A,#N/A,FALSE,"RentRoll"}</definedName>
    <definedName name="wrn.PrintAll." localSheetId="3" hidden="1">{#N/A,#N/A,FALSE,"Broker Sheet";#N/A,#N/A,FALSE,"Exec.Summary";#N/A,#N/A,FALSE,"Argus Cash Flow";#N/A,#N/A,FALSE,"SPF";#N/A,#N/A,FALSE,"RentRoll"}</definedName>
    <definedName name="wrn.PrintAll." localSheetId="5" hidden="1">{#N/A,#N/A,FALSE,"Broker Sheet";#N/A,#N/A,FALSE,"Exec.Summary";#N/A,#N/A,FALSE,"Argus Cash Flow";#N/A,#N/A,FALSE,"SPF";#N/A,#N/A,FALSE,"RentRoll"}</definedName>
    <definedName name="wrn.PrintAll." localSheetId="2" hidden="1">{#N/A,#N/A,FALSE,"Broker Sheet";#N/A,#N/A,FALSE,"Exec.Summary";#N/A,#N/A,FALSE,"Argus Cash Flow";#N/A,#N/A,FALSE,"SPF";#N/A,#N/A,FALSE,"RentRoll"}</definedName>
    <definedName name="wrn.PrintAll." localSheetId="21" hidden="1">{#N/A,#N/A,FALSE,"Broker Sheet";#N/A,#N/A,FALSE,"Exec.Summary";#N/A,#N/A,FALSE,"Argus Cash Flow";#N/A,#N/A,FALSE,"SPF";#N/A,#N/A,FALSE,"RentRoll"}</definedName>
    <definedName name="wrn.PrintAll." localSheetId="22" hidden="1">{#N/A,#N/A,FALSE,"Broker Sheet";#N/A,#N/A,FALSE,"Exec.Summary";#N/A,#N/A,FALSE,"Argus Cash Flow";#N/A,#N/A,FALSE,"SPF";#N/A,#N/A,FALSE,"RentRoll"}</definedName>
    <definedName name="wrn.PrintAll." localSheetId="15" hidden="1">{#N/A,#N/A,FALSE,"Broker Sheet";#N/A,#N/A,FALSE,"Exec.Summary";#N/A,#N/A,FALSE,"Argus Cash Flow";#N/A,#N/A,FALSE,"SPF";#N/A,#N/A,FALSE,"RentRoll"}</definedName>
    <definedName name="wrn.PrintAll." localSheetId="17" hidden="1">{#N/A,#N/A,FALSE,"Broker Sheet";#N/A,#N/A,FALSE,"Exec.Summary";#N/A,#N/A,FALSE,"Argus Cash Flow";#N/A,#N/A,FALSE,"SPF";#N/A,#N/A,FALSE,"RentRoll"}</definedName>
    <definedName name="wrn.PrintAll." localSheetId="10" hidden="1">{#N/A,#N/A,FALSE,"Broker Sheet";#N/A,#N/A,FALSE,"Exec.Summary";#N/A,#N/A,FALSE,"Argus Cash Flow";#N/A,#N/A,FALSE,"SPF";#N/A,#N/A,FALSE,"RentRoll"}</definedName>
    <definedName name="wrn.PrintAll." localSheetId="13" hidden="1">{#N/A,#N/A,FALSE,"Broker Sheet";#N/A,#N/A,FALSE,"Exec.Summary";#N/A,#N/A,FALSE,"Argus Cash Flow";#N/A,#N/A,FALSE,"SPF";#N/A,#N/A,FALSE,"RentRoll"}</definedName>
    <definedName name="wrn.PrintAll." hidden="1">{#N/A,#N/A,FALSE,"Broker Sheet";#N/A,#N/A,FALSE,"Exec.Summary";#N/A,#N/A,FALSE,"Argus Cash Flow";#N/A,#N/A,FALSE,"SPF";#N/A,#N/A,FALSE,"RentRoll"}</definedName>
    <definedName name="wrn.Pro._.Forma." localSheetId="21" hidden="1">{#N/A,#N/A,FALSE,"Assumptions";#N/A,#N/A,FALSE,"Proforma";#N/A,#N/A,FALSE,"Value Matrices";#N/A,#N/A,FALSE,"Graph &amp; Rent Roll"}</definedName>
    <definedName name="wrn.Pro._.Forma." localSheetId="22" hidden="1">{#N/A,#N/A,FALSE,"Assumptions";#N/A,#N/A,FALSE,"Proforma";#N/A,#N/A,FALSE,"Value Matrices";#N/A,#N/A,FALSE,"Graph &amp; Rent Roll"}</definedName>
    <definedName name="wrn.Pro._.Forma." localSheetId="17" hidden="1">{#N/A,#N/A,FALSE,"Assumptions";#N/A,#N/A,FALSE,"Proforma";#N/A,#N/A,FALSE,"Value Matrices";#N/A,#N/A,FALSE,"Graph &amp; Rent Roll"}</definedName>
    <definedName name="wrn.Pro._.Forma." localSheetId="10" hidden="1">{#N/A,#N/A,FALSE,"Assumptions";#N/A,#N/A,FALSE,"Proforma";#N/A,#N/A,FALSE,"Value Matrices";#N/A,#N/A,FALSE,"Graph &amp; Rent Roll"}</definedName>
    <definedName name="wrn.Pro._.Forma." hidden="1">{#N/A,#N/A,FALSE,"Assumptions";#N/A,#N/A,FALSE,"Proforma";#N/A,#N/A,FALSE,"Value Matrices";#N/A,#N/A,FALSE,"Graph &amp; Rent Roll"}</definedName>
    <definedName name="wrn.Proforma." localSheetId="4" hidden="1">{#N/A,#N/A,TRUE,"Summary";#N/A,#N/A,TRUE,"InPlace";#N/A,#N/A,TRUE,"Stable";#N/A,#N/A,TRUE,"RentRoll";#N/A,#N/A,TRUE,"I&amp;E";#N/A,#N/A,TRUE,"Expense Detail";#N/A,#N/A,TRUE,"CAM Recov(InPlace)";#N/A,#N/A,TRUE,"CAM Recov(Stable)";#N/A,#N/A,TRUE,"Tax Recov";#N/A,#N/A,TRUE,"Expiration";#N/A,#N/A,TRUE,"Sales";#N/A,#N/A,TRUE,"Tax"}</definedName>
    <definedName name="wrn.Proforma." localSheetId="3" hidden="1">{#N/A,#N/A,TRUE,"Summary";#N/A,#N/A,TRUE,"InPlace";#N/A,#N/A,TRUE,"Stable";#N/A,#N/A,TRUE,"RentRoll";#N/A,#N/A,TRUE,"I&amp;E";#N/A,#N/A,TRUE,"Expense Detail";#N/A,#N/A,TRUE,"CAM Recov(InPlace)";#N/A,#N/A,TRUE,"CAM Recov(Stable)";#N/A,#N/A,TRUE,"Tax Recov";#N/A,#N/A,TRUE,"Expiration";#N/A,#N/A,TRUE,"Sales";#N/A,#N/A,TRUE,"Tax"}</definedName>
    <definedName name="wrn.Proforma." localSheetId="5" hidden="1">{#N/A,#N/A,TRUE,"Summary";#N/A,#N/A,TRUE,"InPlace";#N/A,#N/A,TRUE,"Stable";#N/A,#N/A,TRUE,"RentRoll";#N/A,#N/A,TRUE,"I&amp;E";#N/A,#N/A,TRUE,"Expense Detail";#N/A,#N/A,TRUE,"CAM Recov(InPlace)";#N/A,#N/A,TRUE,"CAM Recov(Stable)";#N/A,#N/A,TRUE,"Tax Recov";#N/A,#N/A,TRUE,"Expiration";#N/A,#N/A,TRUE,"Sales";#N/A,#N/A,TRUE,"Tax"}</definedName>
    <definedName name="wrn.Proforma." localSheetId="2" hidden="1">{#N/A,#N/A,TRUE,"Summary";#N/A,#N/A,TRUE,"InPlace";#N/A,#N/A,TRUE,"Stable";#N/A,#N/A,TRUE,"RentRoll";#N/A,#N/A,TRUE,"I&amp;E";#N/A,#N/A,TRUE,"Expense Detail";#N/A,#N/A,TRUE,"CAM Recov(InPlace)";#N/A,#N/A,TRUE,"CAM Recov(Stable)";#N/A,#N/A,TRUE,"Tax Recov";#N/A,#N/A,TRUE,"Expiration";#N/A,#N/A,TRUE,"Sales";#N/A,#N/A,TRUE,"Tax"}</definedName>
    <definedName name="wrn.Proforma." localSheetId="21" hidden="1">{#N/A,#N/A,TRUE,"Summary";#N/A,#N/A,TRUE,"InPlace";#N/A,#N/A,TRUE,"Stable";#N/A,#N/A,TRUE,"RentRoll";#N/A,#N/A,TRUE,"I&amp;E";#N/A,#N/A,TRUE,"Expense Detail";#N/A,#N/A,TRUE,"CAM Recov(InPlace)";#N/A,#N/A,TRUE,"CAM Recov(Stable)";#N/A,#N/A,TRUE,"Tax Recov";#N/A,#N/A,TRUE,"Expiration";#N/A,#N/A,TRUE,"Sales";#N/A,#N/A,TRUE,"Tax"}</definedName>
    <definedName name="wrn.Proforma." localSheetId="22" hidden="1">{#N/A,#N/A,TRUE,"Summary";#N/A,#N/A,TRUE,"InPlace";#N/A,#N/A,TRUE,"Stable";#N/A,#N/A,TRUE,"RentRoll";#N/A,#N/A,TRUE,"I&amp;E";#N/A,#N/A,TRUE,"Expense Detail";#N/A,#N/A,TRUE,"CAM Recov(InPlace)";#N/A,#N/A,TRUE,"CAM Recov(Stable)";#N/A,#N/A,TRUE,"Tax Recov";#N/A,#N/A,TRUE,"Expiration";#N/A,#N/A,TRUE,"Sales";#N/A,#N/A,TRUE,"Tax"}</definedName>
    <definedName name="wrn.Proforma." localSheetId="15" hidden="1">{#N/A,#N/A,TRUE,"Summary";#N/A,#N/A,TRUE,"InPlace";#N/A,#N/A,TRUE,"Stable";#N/A,#N/A,TRUE,"RentRoll";#N/A,#N/A,TRUE,"I&amp;E";#N/A,#N/A,TRUE,"Expense Detail";#N/A,#N/A,TRUE,"CAM Recov(InPlace)";#N/A,#N/A,TRUE,"CAM Recov(Stable)";#N/A,#N/A,TRUE,"Tax Recov";#N/A,#N/A,TRUE,"Expiration";#N/A,#N/A,TRUE,"Sales";#N/A,#N/A,TRUE,"Tax"}</definedName>
    <definedName name="wrn.Proforma." localSheetId="17" hidden="1">{#N/A,#N/A,TRUE,"Summary";#N/A,#N/A,TRUE,"InPlace";#N/A,#N/A,TRUE,"Stable";#N/A,#N/A,TRUE,"RentRoll";#N/A,#N/A,TRUE,"I&amp;E";#N/A,#N/A,TRUE,"Expense Detail";#N/A,#N/A,TRUE,"CAM Recov(InPlace)";#N/A,#N/A,TRUE,"CAM Recov(Stable)";#N/A,#N/A,TRUE,"Tax Recov";#N/A,#N/A,TRUE,"Expiration";#N/A,#N/A,TRUE,"Sales";#N/A,#N/A,TRUE,"Tax"}</definedName>
    <definedName name="wrn.Proforma." localSheetId="10" hidden="1">{#N/A,#N/A,TRUE,"Summary";#N/A,#N/A,TRUE,"InPlace";#N/A,#N/A,TRUE,"Stable";#N/A,#N/A,TRUE,"RentRoll";#N/A,#N/A,TRUE,"I&amp;E";#N/A,#N/A,TRUE,"Expense Detail";#N/A,#N/A,TRUE,"CAM Recov(InPlace)";#N/A,#N/A,TRUE,"CAM Recov(Stable)";#N/A,#N/A,TRUE,"Tax Recov";#N/A,#N/A,TRUE,"Expiration";#N/A,#N/A,TRUE,"Sales";#N/A,#N/A,TRUE,"Tax"}</definedName>
    <definedName name="wrn.Proforma." localSheetId="13" hidden="1">{#N/A,#N/A,TRUE,"Summary";#N/A,#N/A,TRUE,"InPlace";#N/A,#N/A,TRUE,"Stable";#N/A,#N/A,TRUE,"RentRoll";#N/A,#N/A,TRUE,"I&amp;E";#N/A,#N/A,TRUE,"Expense Detail";#N/A,#N/A,TRUE,"CAM Recov(InPlace)";#N/A,#N/A,TRUE,"CAM Recov(Stable)";#N/A,#N/A,TRUE,"Tax Recov";#N/A,#N/A,TRUE,"Expiration";#N/A,#N/A,TRUE,"Sales";#N/A,#N/A,TRUE,"Tax"}</definedName>
    <definedName name="wrn.Proforma." hidden="1">{#N/A,#N/A,TRUE,"Summary";#N/A,#N/A,TRUE,"InPlace";#N/A,#N/A,TRUE,"Stable";#N/A,#N/A,TRUE,"RentRoll";#N/A,#N/A,TRUE,"I&amp;E";#N/A,#N/A,TRUE,"Expense Detail";#N/A,#N/A,TRUE,"CAM Recov(InPlace)";#N/A,#N/A,TRUE,"CAM Recov(Stable)";#N/A,#N/A,TRUE,"Tax Recov";#N/A,#N/A,TRUE,"Expiration";#N/A,#N/A,TRUE,"Sales";#N/A,#N/A,TRUE,"Tax"}</definedName>
    <definedName name="wrn.PropertyInformation." localSheetId="2" hidden="1">{#N/A,#N/A,FALSE,"PropertyInfo"}</definedName>
    <definedName name="wrn.PropertyInformation." localSheetId="21" hidden="1">{#N/A,#N/A,FALSE,"PropertyInfo"}</definedName>
    <definedName name="wrn.PropertyInformation." localSheetId="22" hidden="1">{#N/A,#N/A,FALSE,"PropertyInfo"}</definedName>
    <definedName name="wrn.PropertyInformation." localSheetId="15" hidden="1">{#N/A,#N/A,FALSE,"PropertyInfo"}</definedName>
    <definedName name="wrn.PropertyInformation." localSheetId="17" hidden="1">{#N/A,#N/A,FALSE,"PropertyInfo"}</definedName>
    <definedName name="wrn.PropertyInformation." localSheetId="10" hidden="1">{#N/A,#N/A,FALSE,"PropertyInfo"}</definedName>
    <definedName name="wrn.PropertyInformation." localSheetId="13" hidden="1">{#N/A,#N/A,FALSE,"PropertyInfo"}</definedName>
    <definedName name="wrn.PropertyInformation." hidden="1">{#N/A,#N/A,FALSE,"PropertyInfo"}</definedName>
    <definedName name="wrn.Pulp." localSheetId="2" hidden="1">{"Pulp Production",#N/A,FALSE,"Pulp";"Pulp Earnings",#N/A,FALSE,"Pulp"}</definedName>
    <definedName name="wrn.Pulp." localSheetId="21" hidden="1">{"Pulp Production",#N/A,FALSE,"Pulp";"Pulp Earnings",#N/A,FALSE,"Pulp"}</definedName>
    <definedName name="wrn.Pulp." localSheetId="22" hidden="1">{"Pulp Production",#N/A,FALSE,"Pulp";"Pulp Earnings",#N/A,FALSE,"Pulp"}</definedName>
    <definedName name="wrn.Pulp." localSheetId="15" hidden="1">{"Pulp Production",#N/A,FALSE,"Pulp";"Pulp Earnings",#N/A,FALSE,"Pulp"}</definedName>
    <definedName name="wrn.Pulp." localSheetId="17" hidden="1">{"Pulp Production",#N/A,FALSE,"Pulp";"Pulp Earnings",#N/A,FALSE,"Pulp"}</definedName>
    <definedName name="wrn.Pulp." localSheetId="10" hidden="1">{"Pulp Production",#N/A,FALSE,"Pulp";"Pulp Earnings",#N/A,FALSE,"Pulp"}</definedName>
    <definedName name="wrn.Pulp." localSheetId="13" hidden="1">{"Pulp Production",#N/A,FALSE,"Pulp";"Pulp Earnings",#N/A,FALSE,"Pulp"}</definedName>
    <definedName name="wrn.Pulp." hidden="1">{"Pulp Production",#N/A,FALSE,"Pulp";"Pulp Earnings",#N/A,FALSE,"Pulp"}</definedName>
    <definedName name="wrn.Pulp.2" localSheetId="2" hidden="1">{"Pulp Production",#N/A,FALSE,"Pulp";"Pulp Earnings",#N/A,FALSE,"Pulp"}</definedName>
    <definedName name="wrn.Pulp.2" localSheetId="21" hidden="1">{"Pulp Production",#N/A,FALSE,"Pulp";"Pulp Earnings",#N/A,FALSE,"Pulp"}</definedName>
    <definedName name="wrn.Pulp.2" localSheetId="22" hidden="1">{"Pulp Production",#N/A,FALSE,"Pulp";"Pulp Earnings",#N/A,FALSE,"Pulp"}</definedName>
    <definedName name="wrn.Pulp.2" localSheetId="15" hidden="1">{"Pulp Production",#N/A,FALSE,"Pulp";"Pulp Earnings",#N/A,FALSE,"Pulp"}</definedName>
    <definedName name="wrn.Pulp.2" localSheetId="17" hidden="1">{"Pulp Production",#N/A,FALSE,"Pulp";"Pulp Earnings",#N/A,FALSE,"Pulp"}</definedName>
    <definedName name="wrn.Pulp.2" localSheetId="10" hidden="1">{"Pulp Production",#N/A,FALSE,"Pulp";"Pulp Earnings",#N/A,FALSE,"Pulp"}</definedName>
    <definedName name="wrn.Pulp.2" localSheetId="13" hidden="1">{"Pulp Production",#N/A,FALSE,"Pulp";"Pulp Earnings",#N/A,FALSE,"Pulp"}</definedName>
    <definedName name="wrn.Pulp.2" hidden="1">{"Pulp Production",#N/A,FALSE,"Pulp";"Pulp Earnings",#N/A,FALSE,"Pulp"}</definedName>
    <definedName name="wrn.Pulp.3" localSheetId="2" hidden="1">{"Pulp Production",#N/A,FALSE,"Pulp";"Pulp Earnings",#N/A,FALSE,"Pulp"}</definedName>
    <definedName name="wrn.Pulp.3" localSheetId="21" hidden="1">{"Pulp Production",#N/A,FALSE,"Pulp";"Pulp Earnings",#N/A,FALSE,"Pulp"}</definedName>
    <definedName name="wrn.Pulp.3" localSheetId="22" hidden="1">{"Pulp Production",#N/A,FALSE,"Pulp";"Pulp Earnings",#N/A,FALSE,"Pulp"}</definedName>
    <definedName name="wrn.Pulp.3" localSheetId="15" hidden="1">{"Pulp Production",#N/A,FALSE,"Pulp";"Pulp Earnings",#N/A,FALSE,"Pulp"}</definedName>
    <definedName name="wrn.Pulp.3" localSheetId="17" hidden="1">{"Pulp Production",#N/A,FALSE,"Pulp";"Pulp Earnings",#N/A,FALSE,"Pulp"}</definedName>
    <definedName name="wrn.Pulp.3" localSheetId="10" hidden="1">{"Pulp Production",#N/A,FALSE,"Pulp";"Pulp Earnings",#N/A,FALSE,"Pulp"}</definedName>
    <definedName name="wrn.Pulp.3" localSheetId="13" hidden="1">{"Pulp Production",#N/A,FALSE,"Pulp";"Pulp Earnings",#N/A,FALSE,"Pulp"}</definedName>
    <definedName name="wrn.Pulp.3" hidden="1">{"Pulp Production",#N/A,FALSE,"Pulp";"Pulp Earnings",#N/A,FALSE,"Pulp"}</definedName>
    <definedName name="wrn.QQ_Quick_Merge_3yr." localSheetId="2" hidden="1">{"Cover",#N/A,FALSE,"Cover";"trans_sum_print",#N/A,FALSE,"Transaction Summary";"earnings_impact_3yr",#N/A,FALSE,"Earnings Impact";"accr_dil_3yr",#N/A,FALSE,"accretion dilution";"prof_inc_stmt_3yr",#N/A,FALSE,"Pro Forma Income Statement";"contr_anal_3yr",#N/A,FALSE,"Contribution_Analysis";"Acquiror_3yr",#N/A,FALSE,"Acquirer";"Target_3yr",#N/A,FALSE,"Target";"HasGets-3yr",#N/A,FALSE,"Has-Gets"}</definedName>
    <definedName name="wrn.QQ_Quick_Merge_3yr." localSheetId="21" hidden="1">{"Cover",#N/A,FALSE,"Cover";"trans_sum_print",#N/A,FALSE,"Transaction Summary";"earnings_impact_3yr",#N/A,FALSE,"Earnings Impact";"accr_dil_3yr",#N/A,FALSE,"accretion dilution";"prof_inc_stmt_3yr",#N/A,FALSE,"Pro Forma Income Statement";"contr_anal_3yr",#N/A,FALSE,"Contribution_Analysis";"Acquiror_3yr",#N/A,FALSE,"Acquirer";"Target_3yr",#N/A,FALSE,"Target";"HasGets-3yr",#N/A,FALSE,"Has-Gets"}</definedName>
    <definedName name="wrn.QQ_Quick_Merge_3yr." localSheetId="22" hidden="1">{"Cover",#N/A,FALSE,"Cover";"trans_sum_print",#N/A,FALSE,"Transaction Summary";"earnings_impact_3yr",#N/A,FALSE,"Earnings Impact";"accr_dil_3yr",#N/A,FALSE,"accretion dilution";"prof_inc_stmt_3yr",#N/A,FALSE,"Pro Forma Income Statement";"contr_anal_3yr",#N/A,FALSE,"Contribution_Analysis";"Acquiror_3yr",#N/A,FALSE,"Acquirer";"Target_3yr",#N/A,FALSE,"Target";"HasGets-3yr",#N/A,FALSE,"Has-Gets"}</definedName>
    <definedName name="wrn.QQ_Quick_Merge_3yr." localSheetId="15" hidden="1">{"Cover",#N/A,FALSE,"Cover";"trans_sum_print",#N/A,FALSE,"Transaction Summary";"earnings_impact_3yr",#N/A,FALSE,"Earnings Impact";"accr_dil_3yr",#N/A,FALSE,"accretion dilution";"prof_inc_stmt_3yr",#N/A,FALSE,"Pro Forma Income Statement";"contr_anal_3yr",#N/A,FALSE,"Contribution_Analysis";"Acquiror_3yr",#N/A,FALSE,"Acquirer";"Target_3yr",#N/A,FALSE,"Target";"HasGets-3yr",#N/A,FALSE,"Has-Gets"}</definedName>
    <definedName name="wrn.QQ_Quick_Merge_3yr." localSheetId="17" hidden="1">{"Cover",#N/A,FALSE,"Cover";"trans_sum_print",#N/A,FALSE,"Transaction Summary";"earnings_impact_3yr",#N/A,FALSE,"Earnings Impact";"accr_dil_3yr",#N/A,FALSE,"accretion dilution";"prof_inc_stmt_3yr",#N/A,FALSE,"Pro Forma Income Statement";"contr_anal_3yr",#N/A,FALSE,"Contribution_Analysis";"Acquiror_3yr",#N/A,FALSE,"Acquirer";"Target_3yr",#N/A,FALSE,"Target";"HasGets-3yr",#N/A,FALSE,"Has-Gets"}</definedName>
    <definedName name="wrn.QQ_Quick_Merge_3yr." localSheetId="10" hidden="1">{"Cover",#N/A,FALSE,"Cover";"trans_sum_print",#N/A,FALSE,"Transaction Summary";"earnings_impact_3yr",#N/A,FALSE,"Earnings Impact";"accr_dil_3yr",#N/A,FALSE,"accretion dilution";"prof_inc_stmt_3yr",#N/A,FALSE,"Pro Forma Income Statement";"contr_anal_3yr",#N/A,FALSE,"Contribution_Analysis";"Acquiror_3yr",#N/A,FALSE,"Acquirer";"Target_3yr",#N/A,FALSE,"Target";"HasGets-3yr",#N/A,FALSE,"Has-Gets"}</definedName>
    <definedName name="wrn.QQ_Quick_Merge_3yr." localSheetId="13" hidden="1">{"Cover",#N/A,FALSE,"Cover";"trans_sum_print",#N/A,FALSE,"Transaction Summary";"earnings_impact_3yr",#N/A,FALSE,"Earnings Impact";"accr_dil_3yr",#N/A,FALSE,"accretion dilution";"prof_inc_stmt_3yr",#N/A,FALSE,"Pro Forma Income Statement";"contr_anal_3yr",#N/A,FALSE,"Contribution_Analysis";"Acquiror_3yr",#N/A,FALSE,"Acquirer";"Target_3yr",#N/A,FALSE,"Target";"HasGets-3yr",#N/A,FALSE,"Has-Gets"}</definedName>
    <definedName name="wrn.QQ_Quick_Merge_3yr." hidden="1">{"Cover",#N/A,FALSE,"Cover";"trans_sum_print",#N/A,FALSE,"Transaction Summary";"earnings_impact_3yr",#N/A,FALSE,"Earnings Impact";"accr_dil_3yr",#N/A,FALSE,"accretion dilution";"prof_inc_stmt_3yr",#N/A,FALSE,"Pro Forma Income Statement";"contr_anal_3yr",#N/A,FALSE,"Contribution_Analysis";"Acquiror_3yr",#N/A,FALSE,"Acquirer";"Target_3yr",#N/A,FALSE,"Target";"HasGets-3yr",#N/A,FALSE,"Has-Gets"}</definedName>
    <definedName name="wrn.QQ_Quick_Merge_4yr." localSheetId="2" hidden="1">{"Cover",#N/A,FALSE,"Cover";"trans_sum_print",#N/A,FALSE,"Transaction Summary";"earnings_impact_4yr",#N/A,FALSE,"Earnings Impact";"accr_dil_4yr",#N/A,FALSE,"accretion dilution";"prof_inc_stmt_4yr",#N/A,FALSE,"Pro Forma Income Statement";"contr_anal_4yr",#N/A,FALSE,"Contribution_Analysis";"Target_4yr",#N/A,FALSE,"Target";"Acquiror_4yr",#N/A,FALSE,"Acquirer";"HasGets-4yr",#N/A,FALSE,"Has-Gets"}</definedName>
    <definedName name="wrn.QQ_Quick_Merge_4yr." localSheetId="21" hidden="1">{"Cover",#N/A,FALSE,"Cover";"trans_sum_print",#N/A,FALSE,"Transaction Summary";"earnings_impact_4yr",#N/A,FALSE,"Earnings Impact";"accr_dil_4yr",#N/A,FALSE,"accretion dilution";"prof_inc_stmt_4yr",#N/A,FALSE,"Pro Forma Income Statement";"contr_anal_4yr",#N/A,FALSE,"Contribution_Analysis";"Target_4yr",#N/A,FALSE,"Target";"Acquiror_4yr",#N/A,FALSE,"Acquirer";"HasGets-4yr",#N/A,FALSE,"Has-Gets"}</definedName>
    <definedName name="wrn.QQ_Quick_Merge_4yr." localSheetId="22" hidden="1">{"Cover",#N/A,FALSE,"Cover";"trans_sum_print",#N/A,FALSE,"Transaction Summary";"earnings_impact_4yr",#N/A,FALSE,"Earnings Impact";"accr_dil_4yr",#N/A,FALSE,"accretion dilution";"prof_inc_stmt_4yr",#N/A,FALSE,"Pro Forma Income Statement";"contr_anal_4yr",#N/A,FALSE,"Contribution_Analysis";"Target_4yr",#N/A,FALSE,"Target";"Acquiror_4yr",#N/A,FALSE,"Acquirer";"HasGets-4yr",#N/A,FALSE,"Has-Gets"}</definedName>
    <definedName name="wrn.QQ_Quick_Merge_4yr." localSheetId="15" hidden="1">{"Cover",#N/A,FALSE,"Cover";"trans_sum_print",#N/A,FALSE,"Transaction Summary";"earnings_impact_4yr",#N/A,FALSE,"Earnings Impact";"accr_dil_4yr",#N/A,FALSE,"accretion dilution";"prof_inc_stmt_4yr",#N/A,FALSE,"Pro Forma Income Statement";"contr_anal_4yr",#N/A,FALSE,"Contribution_Analysis";"Target_4yr",#N/A,FALSE,"Target";"Acquiror_4yr",#N/A,FALSE,"Acquirer";"HasGets-4yr",#N/A,FALSE,"Has-Gets"}</definedName>
    <definedName name="wrn.QQ_Quick_Merge_4yr." localSheetId="17" hidden="1">{"Cover",#N/A,FALSE,"Cover";"trans_sum_print",#N/A,FALSE,"Transaction Summary";"earnings_impact_4yr",#N/A,FALSE,"Earnings Impact";"accr_dil_4yr",#N/A,FALSE,"accretion dilution";"prof_inc_stmt_4yr",#N/A,FALSE,"Pro Forma Income Statement";"contr_anal_4yr",#N/A,FALSE,"Contribution_Analysis";"Target_4yr",#N/A,FALSE,"Target";"Acquiror_4yr",#N/A,FALSE,"Acquirer";"HasGets-4yr",#N/A,FALSE,"Has-Gets"}</definedName>
    <definedName name="wrn.QQ_Quick_Merge_4yr." localSheetId="10" hidden="1">{"Cover",#N/A,FALSE,"Cover";"trans_sum_print",#N/A,FALSE,"Transaction Summary";"earnings_impact_4yr",#N/A,FALSE,"Earnings Impact";"accr_dil_4yr",#N/A,FALSE,"accretion dilution";"prof_inc_stmt_4yr",#N/A,FALSE,"Pro Forma Income Statement";"contr_anal_4yr",#N/A,FALSE,"Contribution_Analysis";"Target_4yr",#N/A,FALSE,"Target";"Acquiror_4yr",#N/A,FALSE,"Acquirer";"HasGets-4yr",#N/A,FALSE,"Has-Gets"}</definedName>
    <definedName name="wrn.QQ_Quick_Merge_4yr." localSheetId="13" hidden="1">{"Cover",#N/A,FALSE,"Cover";"trans_sum_print",#N/A,FALSE,"Transaction Summary";"earnings_impact_4yr",#N/A,FALSE,"Earnings Impact";"accr_dil_4yr",#N/A,FALSE,"accretion dilution";"prof_inc_stmt_4yr",#N/A,FALSE,"Pro Forma Income Statement";"contr_anal_4yr",#N/A,FALSE,"Contribution_Analysis";"Target_4yr",#N/A,FALSE,"Target";"Acquiror_4yr",#N/A,FALSE,"Acquirer";"HasGets-4yr",#N/A,FALSE,"Has-Gets"}</definedName>
    <definedName name="wrn.QQ_Quick_Merge_4yr." hidden="1">{"Cover",#N/A,FALSE,"Cover";"trans_sum_print",#N/A,FALSE,"Transaction Summary";"earnings_impact_4yr",#N/A,FALSE,"Earnings Impact";"accr_dil_4yr",#N/A,FALSE,"accretion dilution";"prof_inc_stmt_4yr",#N/A,FALSE,"Pro Forma Income Statement";"contr_anal_4yr",#N/A,FALSE,"Contribution_Analysis";"Target_4yr",#N/A,FALSE,"Target";"Acquiror_4yr",#N/A,FALSE,"Acquirer";"HasGets-4yr",#N/A,FALSE,"Has-Gets"}</definedName>
    <definedName name="wrn.QQ_Quick_Merge_5yr." localSheetId="2" hidden="1">{"Cover",#N/A,FALSE,"Cover";"trans_sum_print",#N/A,FALSE,"Transaction Summary";"earnings_impact_5yr",#N/A,FALSE,"Earnings Impact";"accr_dil_5yr",#N/A,FALSE,"accretion dilution";"prof_inc_stmt_5yr",#N/A,FALSE,"Pro Forma Income Statement";"contr_anal_5yr",#N/A,FALSE,"Contribution_Analysis";"Acquiror_5yr",#N/A,FALSE,"Acquirer";"Target_5yr",#N/A,FALSE,"Target";"HasGets-yr5",#N/A,FALSE,"Has-Gets"}</definedName>
    <definedName name="wrn.QQ_Quick_Merge_5yr." localSheetId="21" hidden="1">{"Cover",#N/A,FALSE,"Cover";"trans_sum_print",#N/A,FALSE,"Transaction Summary";"earnings_impact_5yr",#N/A,FALSE,"Earnings Impact";"accr_dil_5yr",#N/A,FALSE,"accretion dilution";"prof_inc_stmt_5yr",#N/A,FALSE,"Pro Forma Income Statement";"contr_anal_5yr",#N/A,FALSE,"Contribution_Analysis";"Acquiror_5yr",#N/A,FALSE,"Acquirer";"Target_5yr",#N/A,FALSE,"Target";"HasGets-yr5",#N/A,FALSE,"Has-Gets"}</definedName>
    <definedName name="wrn.QQ_Quick_Merge_5yr." localSheetId="22" hidden="1">{"Cover",#N/A,FALSE,"Cover";"trans_sum_print",#N/A,FALSE,"Transaction Summary";"earnings_impact_5yr",#N/A,FALSE,"Earnings Impact";"accr_dil_5yr",#N/A,FALSE,"accretion dilution";"prof_inc_stmt_5yr",#N/A,FALSE,"Pro Forma Income Statement";"contr_anal_5yr",#N/A,FALSE,"Contribution_Analysis";"Acquiror_5yr",#N/A,FALSE,"Acquirer";"Target_5yr",#N/A,FALSE,"Target";"HasGets-yr5",#N/A,FALSE,"Has-Gets"}</definedName>
    <definedName name="wrn.QQ_Quick_Merge_5yr." localSheetId="15" hidden="1">{"Cover",#N/A,FALSE,"Cover";"trans_sum_print",#N/A,FALSE,"Transaction Summary";"earnings_impact_5yr",#N/A,FALSE,"Earnings Impact";"accr_dil_5yr",#N/A,FALSE,"accretion dilution";"prof_inc_stmt_5yr",#N/A,FALSE,"Pro Forma Income Statement";"contr_anal_5yr",#N/A,FALSE,"Contribution_Analysis";"Acquiror_5yr",#N/A,FALSE,"Acquirer";"Target_5yr",#N/A,FALSE,"Target";"HasGets-yr5",#N/A,FALSE,"Has-Gets"}</definedName>
    <definedName name="wrn.QQ_Quick_Merge_5yr." localSheetId="17" hidden="1">{"Cover",#N/A,FALSE,"Cover";"trans_sum_print",#N/A,FALSE,"Transaction Summary";"earnings_impact_5yr",#N/A,FALSE,"Earnings Impact";"accr_dil_5yr",#N/A,FALSE,"accretion dilution";"prof_inc_stmt_5yr",#N/A,FALSE,"Pro Forma Income Statement";"contr_anal_5yr",#N/A,FALSE,"Contribution_Analysis";"Acquiror_5yr",#N/A,FALSE,"Acquirer";"Target_5yr",#N/A,FALSE,"Target";"HasGets-yr5",#N/A,FALSE,"Has-Gets"}</definedName>
    <definedName name="wrn.QQ_Quick_Merge_5yr." localSheetId="10" hidden="1">{"Cover",#N/A,FALSE,"Cover";"trans_sum_print",#N/A,FALSE,"Transaction Summary";"earnings_impact_5yr",#N/A,FALSE,"Earnings Impact";"accr_dil_5yr",#N/A,FALSE,"accretion dilution";"prof_inc_stmt_5yr",#N/A,FALSE,"Pro Forma Income Statement";"contr_anal_5yr",#N/A,FALSE,"Contribution_Analysis";"Acquiror_5yr",#N/A,FALSE,"Acquirer";"Target_5yr",#N/A,FALSE,"Target";"HasGets-yr5",#N/A,FALSE,"Has-Gets"}</definedName>
    <definedName name="wrn.QQ_Quick_Merge_5yr." localSheetId="13" hidden="1">{"Cover",#N/A,FALSE,"Cover";"trans_sum_print",#N/A,FALSE,"Transaction Summary";"earnings_impact_5yr",#N/A,FALSE,"Earnings Impact";"accr_dil_5yr",#N/A,FALSE,"accretion dilution";"prof_inc_stmt_5yr",#N/A,FALSE,"Pro Forma Income Statement";"contr_anal_5yr",#N/A,FALSE,"Contribution_Analysis";"Acquiror_5yr",#N/A,FALSE,"Acquirer";"Target_5yr",#N/A,FALSE,"Target";"HasGets-yr5",#N/A,FALSE,"Has-Gets"}</definedName>
    <definedName name="wrn.QQ_Quick_Merge_5yr." hidden="1">{"Cover",#N/A,FALSE,"Cover";"trans_sum_print",#N/A,FALSE,"Transaction Summary";"earnings_impact_5yr",#N/A,FALSE,"Earnings Impact";"accr_dil_5yr",#N/A,FALSE,"accretion dilution";"prof_inc_stmt_5yr",#N/A,FALSE,"Pro Forma Income Statement";"contr_anal_5yr",#N/A,FALSE,"Contribution_Analysis";"Acquiror_5yr",#N/A,FALSE,"Acquirer";"Target_5yr",#N/A,FALSE,"Target";"HasGets-yr5",#N/A,FALSE,"Has-Gets"}</definedName>
    <definedName name="wrn.QQ_Quick_Merge_6yr." localSheetId="2" hidden="1">{"Cover",#N/A,FALSE,"Cover";"trans_sum_print",#N/A,FALSE,"Transaction Summary";"earnings_impact_6yr",#N/A,FALSE,"Earnings Impact";"accr_dil_6yr",#N/A,FALSE,"accretion dilution";"prof_inc_stmt_6yr",#N/A,FALSE,"Pro Forma Income Statement";"contr_anal_6yr",#N/A,FALSE,"Contribution_Analysis";"Acquiror_6yr",#N/A,FALSE,"Acquirer";"Target_6yr",#N/A,FALSE,"Target";"HasGets-yr6",#N/A,FALSE,"Has-Gets"}</definedName>
    <definedName name="wrn.QQ_Quick_Merge_6yr." localSheetId="21" hidden="1">{"Cover",#N/A,FALSE,"Cover";"trans_sum_print",#N/A,FALSE,"Transaction Summary";"earnings_impact_6yr",#N/A,FALSE,"Earnings Impact";"accr_dil_6yr",#N/A,FALSE,"accretion dilution";"prof_inc_stmt_6yr",#N/A,FALSE,"Pro Forma Income Statement";"contr_anal_6yr",#N/A,FALSE,"Contribution_Analysis";"Acquiror_6yr",#N/A,FALSE,"Acquirer";"Target_6yr",#N/A,FALSE,"Target";"HasGets-yr6",#N/A,FALSE,"Has-Gets"}</definedName>
    <definedName name="wrn.QQ_Quick_Merge_6yr." localSheetId="22" hidden="1">{"Cover",#N/A,FALSE,"Cover";"trans_sum_print",#N/A,FALSE,"Transaction Summary";"earnings_impact_6yr",#N/A,FALSE,"Earnings Impact";"accr_dil_6yr",#N/A,FALSE,"accretion dilution";"prof_inc_stmt_6yr",#N/A,FALSE,"Pro Forma Income Statement";"contr_anal_6yr",#N/A,FALSE,"Contribution_Analysis";"Acquiror_6yr",#N/A,FALSE,"Acquirer";"Target_6yr",#N/A,FALSE,"Target";"HasGets-yr6",#N/A,FALSE,"Has-Gets"}</definedName>
    <definedName name="wrn.QQ_Quick_Merge_6yr." localSheetId="15" hidden="1">{"Cover",#N/A,FALSE,"Cover";"trans_sum_print",#N/A,FALSE,"Transaction Summary";"earnings_impact_6yr",#N/A,FALSE,"Earnings Impact";"accr_dil_6yr",#N/A,FALSE,"accretion dilution";"prof_inc_stmt_6yr",#N/A,FALSE,"Pro Forma Income Statement";"contr_anal_6yr",#N/A,FALSE,"Contribution_Analysis";"Acquiror_6yr",#N/A,FALSE,"Acquirer";"Target_6yr",#N/A,FALSE,"Target";"HasGets-yr6",#N/A,FALSE,"Has-Gets"}</definedName>
    <definedName name="wrn.QQ_Quick_Merge_6yr." localSheetId="17" hidden="1">{"Cover",#N/A,FALSE,"Cover";"trans_sum_print",#N/A,FALSE,"Transaction Summary";"earnings_impact_6yr",#N/A,FALSE,"Earnings Impact";"accr_dil_6yr",#N/A,FALSE,"accretion dilution";"prof_inc_stmt_6yr",#N/A,FALSE,"Pro Forma Income Statement";"contr_anal_6yr",#N/A,FALSE,"Contribution_Analysis";"Acquiror_6yr",#N/A,FALSE,"Acquirer";"Target_6yr",#N/A,FALSE,"Target";"HasGets-yr6",#N/A,FALSE,"Has-Gets"}</definedName>
    <definedName name="wrn.QQ_Quick_Merge_6yr." localSheetId="10" hidden="1">{"Cover",#N/A,FALSE,"Cover";"trans_sum_print",#N/A,FALSE,"Transaction Summary";"earnings_impact_6yr",#N/A,FALSE,"Earnings Impact";"accr_dil_6yr",#N/A,FALSE,"accretion dilution";"prof_inc_stmt_6yr",#N/A,FALSE,"Pro Forma Income Statement";"contr_anal_6yr",#N/A,FALSE,"Contribution_Analysis";"Acquiror_6yr",#N/A,FALSE,"Acquirer";"Target_6yr",#N/A,FALSE,"Target";"HasGets-yr6",#N/A,FALSE,"Has-Gets"}</definedName>
    <definedName name="wrn.QQ_Quick_Merge_6yr." localSheetId="13" hidden="1">{"Cover",#N/A,FALSE,"Cover";"trans_sum_print",#N/A,FALSE,"Transaction Summary";"earnings_impact_6yr",#N/A,FALSE,"Earnings Impact";"accr_dil_6yr",#N/A,FALSE,"accretion dilution";"prof_inc_stmt_6yr",#N/A,FALSE,"Pro Forma Income Statement";"contr_anal_6yr",#N/A,FALSE,"Contribution_Analysis";"Acquiror_6yr",#N/A,FALSE,"Acquirer";"Target_6yr",#N/A,FALSE,"Target";"HasGets-yr6",#N/A,FALSE,"Has-Gets"}</definedName>
    <definedName name="wrn.QQ_Quick_Merge_6yr." hidden="1">{"Cover",#N/A,FALSE,"Cover";"trans_sum_print",#N/A,FALSE,"Transaction Summary";"earnings_impact_6yr",#N/A,FALSE,"Earnings Impact";"accr_dil_6yr",#N/A,FALSE,"accretion dilution";"prof_inc_stmt_6yr",#N/A,FALSE,"Pro Forma Income Statement";"contr_anal_6yr",#N/A,FALSE,"Contribution_Analysis";"Acquiror_6yr",#N/A,FALSE,"Acquirer";"Target_6yr",#N/A,FALSE,"Target";"HasGets-yr6",#N/A,FALSE,"Has-Gets"}</definedName>
    <definedName name="wrn.QQQ_Quick_Merge_3yr." localSheetId="2" hidden="1">{"Cover",#N/A,FALSE,"Cover";"trans_sum_print",#N/A,FALSE,"Transaction Summary";"earnings_impact_3yrQQ",#N/A,FALSE,"Earnings Impact";"accr_dil_3yr",#N/A,FALSE,"accretion dilution"}</definedName>
    <definedName name="wrn.QQQ_Quick_Merge_3yr." localSheetId="21" hidden="1">{"Cover",#N/A,FALSE,"Cover";"trans_sum_print",#N/A,FALSE,"Transaction Summary";"earnings_impact_3yrQQ",#N/A,FALSE,"Earnings Impact";"accr_dil_3yr",#N/A,FALSE,"accretion dilution"}</definedName>
    <definedName name="wrn.QQQ_Quick_Merge_3yr." localSheetId="22" hidden="1">{"Cover",#N/A,FALSE,"Cover";"trans_sum_print",#N/A,FALSE,"Transaction Summary";"earnings_impact_3yrQQ",#N/A,FALSE,"Earnings Impact";"accr_dil_3yr",#N/A,FALSE,"accretion dilution"}</definedName>
    <definedName name="wrn.QQQ_Quick_Merge_3yr." localSheetId="15" hidden="1">{"Cover",#N/A,FALSE,"Cover";"trans_sum_print",#N/A,FALSE,"Transaction Summary";"earnings_impact_3yrQQ",#N/A,FALSE,"Earnings Impact";"accr_dil_3yr",#N/A,FALSE,"accretion dilution"}</definedName>
    <definedName name="wrn.QQQ_Quick_Merge_3yr." localSheetId="17" hidden="1">{"Cover",#N/A,FALSE,"Cover";"trans_sum_print",#N/A,FALSE,"Transaction Summary";"earnings_impact_3yrQQ",#N/A,FALSE,"Earnings Impact";"accr_dil_3yr",#N/A,FALSE,"accretion dilution"}</definedName>
    <definedName name="wrn.QQQ_Quick_Merge_3yr." localSheetId="10" hidden="1">{"Cover",#N/A,FALSE,"Cover";"trans_sum_print",#N/A,FALSE,"Transaction Summary";"earnings_impact_3yrQQ",#N/A,FALSE,"Earnings Impact";"accr_dil_3yr",#N/A,FALSE,"accretion dilution"}</definedName>
    <definedName name="wrn.QQQ_Quick_Merge_3yr." localSheetId="13" hidden="1">{"Cover",#N/A,FALSE,"Cover";"trans_sum_print",#N/A,FALSE,"Transaction Summary";"earnings_impact_3yrQQ",#N/A,FALSE,"Earnings Impact";"accr_dil_3yr",#N/A,FALSE,"accretion dilution"}</definedName>
    <definedName name="wrn.QQQ_Quick_Merge_3yr." hidden="1">{"Cover",#N/A,FALSE,"Cover";"trans_sum_print",#N/A,FALSE,"Transaction Summary";"earnings_impact_3yrQQ",#N/A,FALSE,"Earnings Impact";"accr_dil_3yr",#N/A,FALSE,"accretion dilution"}</definedName>
    <definedName name="wrn.QQQ_Quick_Merge_4yr." localSheetId="2" hidden="1">{"Cover",#N/A,FALSE,"Cover";"trans_sum_print",#N/A,FALSE,"Transaction Summary";"earnings_impact_4yrQQ",#N/A,FALSE,"Earnings Impact";"accr_dil_4yr",#N/A,FALSE,"accretion dilution"}</definedName>
    <definedName name="wrn.QQQ_Quick_Merge_4yr." localSheetId="21" hidden="1">{"Cover",#N/A,FALSE,"Cover";"trans_sum_print",#N/A,FALSE,"Transaction Summary";"earnings_impact_4yrQQ",#N/A,FALSE,"Earnings Impact";"accr_dil_4yr",#N/A,FALSE,"accretion dilution"}</definedName>
    <definedName name="wrn.QQQ_Quick_Merge_4yr." localSheetId="22" hidden="1">{"Cover",#N/A,FALSE,"Cover";"trans_sum_print",#N/A,FALSE,"Transaction Summary";"earnings_impact_4yrQQ",#N/A,FALSE,"Earnings Impact";"accr_dil_4yr",#N/A,FALSE,"accretion dilution"}</definedName>
    <definedName name="wrn.QQQ_Quick_Merge_4yr." localSheetId="15" hidden="1">{"Cover",#N/A,FALSE,"Cover";"trans_sum_print",#N/A,FALSE,"Transaction Summary";"earnings_impact_4yrQQ",#N/A,FALSE,"Earnings Impact";"accr_dil_4yr",#N/A,FALSE,"accretion dilution"}</definedName>
    <definedName name="wrn.QQQ_Quick_Merge_4yr." localSheetId="17" hidden="1">{"Cover",#N/A,FALSE,"Cover";"trans_sum_print",#N/A,FALSE,"Transaction Summary";"earnings_impact_4yrQQ",#N/A,FALSE,"Earnings Impact";"accr_dil_4yr",#N/A,FALSE,"accretion dilution"}</definedName>
    <definedName name="wrn.QQQ_Quick_Merge_4yr." localSheetId="10" hidden="1">{"Cover",#N/A,FALSE,"Cover";"trans_sum_print",#N/A,FALSE,"Transaction Summary";"earnings_impact_4yrQQ",#N/A,FALSE,"Earnings Impact";"accr_dil_4yr",#N/A,FALSE,"accretion dilution"}</definedName>
    <definedName name="wrn.QQQ_Quick_Merge_4yr." localSheetId="13" hidden="1">{"Cover",#N/A,FALSE,"Cover";"trans_sum_print",#N/A,FALSE,"Transaction Summary";"earnings_impact_4yrQQ",#N/A,FALSE,"Earnings Impact";"accr_dil_4yr",#N/A,FALSE,"accretion dilution"}</definedName>
    <definedName name="wrn.QQQ_Quick_Merge_4yr." hidden="1">{"Cover",#N/A,FALSE,"Cover";"trans_sum_print",#N/A,FALSE,"Transaction Summary";"earnings_impact_4yrQQ",#N/A,FALSE,"Earnings Impact";"accr_dil_4yr",#N/A,FALSE,"accretion dilution"}</definedName>
    <definedName name="wrn.QQQ_Quick_Merge_5yr." localSheetId="2" hidden="1">{"Cover",#N/A,FALSE,"Cover";"trans_sum_print",#N/A,FALSE,"Transaction Summary";"earnings_impact_5yrQQ",#N/A,FALSE,"Earnings Impact";"accr_dil_5yr",#N/A,FALSE,"accretion dilution"}</definedName>
    <definedName name="wrn.QQQ_Quick_Merge_5yr." localSheetId="21" hidden="1">{"Cover",#N/A,FALSE,"Cover";"trans_sum_print",#N/A,FALSE,"Transaction Summary";"earnings_impact_5yrQQ",#N/A,FALSE,"Earnings Impact";"accr_dil_5yr",#N/A,FALSE,"accretion dilution"}</definedName>
    <definedName name="wrn.QQQ_Quick_Merge_5yr." localSheetId="22" hidden="1">{"Cover",#N/A,FALSE,"Cover";"trans_sum_print",#N/A,FALSE,"Transaction Summary";"earnings_impact_5yrQQ",#N/A,FALSE,"Earnings Impact";"accr_dil_5yr",#N/A,FALSE,"accretion dilution"}</definedName>
    <definedName name="wrn.QQQ_Quick_Merge_5yr." localSheetId="15" hidden="1">{"Cover",#N/A,FALSE,"Cover";"trans_sum_print",#N/A,FALSE,"Transaction Summary";"earnings_impact_5yrQQ",#N/A,FALSE,"Earnings Impact";"accr_dil_5yr",#N/A,FALSE,"accretion dilution"}</definedName>
    <definedName name="wrn.QQQ_Quick_Merge_5yr." localSheetId="17" hidden="1">{"Cover",#N/A,FALSE,"Cover";"trans_sum_print",#N/A,FALSE,"Transaction Summary";"earnings_impact_5yrQQ",#N/A,FALSE,"Earnings Impact";"accr_dil_5yr",#N/A,FALSE,"accretion dilution"}</definedName>
    <definedName name="wrn.QQQ_Quick_Merge_5yr." localSheetId="10" hidden="1">{"Cover",#N/A,FALSE,"Cover";"trans_sum_print",#N/A,FALSE,"Transaction Summary";"earnings_impact_5yrQQ",#N/A,FALSE,"Earnings Impact";"accr_dil_5yr",#N/A,FALSE,"accretion dilution"}</definedName>
    <definedName name="wrn.QQQ_Quick_Merge_5yr." localSheetId="13" hidden="1">{"Cover",#N/A,FALSE,"Cover";"trans_sum_print",#N/A,FALSE,"Transaction Summary";"earnings_impact_5yrQQ",#N/A,FALSE,"Earnings Impact";"accr_dil_5yr",#N/A,FALSE,"accretion dilution"}</definedName>
    <definedName name="wrn.QQQ_Quick_Merge_5yr." hidden="1">{"Cover",#N/A,FALSE,"Cover";"trans_sum_print",#N/A,FALSE,"Transaction Summary";"earnings_impact_5yrQQ",#N/A,FALSE,"Earnings Impact";"accr_dil_5yr",#N/A,FALSE,"accretion dilution"}</definedName>
    <definedName name="wrn.QQQ_Quick_Merge_6yr." localSheetId="2" hidden="1">{"Cover",#N/A,FALSE,"Cover";"trans_sum_print",#N/A,FALSE,"Transaction Summary";"earnings_impact_6yrQQ",#N/A,FALSE,"Earnings Impact";"accr_dil_6yr",#N/A,FALSE,"accretion dilution"}</definedName>
    <definedName name="wrn.QQQ_Quick_Merge_6yr." localSheetId="21" hidden="1">{"Cover",#N/A,FALSE,"Cover";"trans_sum_print",#N/A,FALSE,"Transaction Summary";"earnings_impact_6yrQQ",#N/A,FALSE,"Earnings Impact";"accr_dil_6yr",#N/A,FALSE,"accretion dilution"}</definedName>
    <definedName name="wrn.QQQ_Quick_Merge_6yr." localSheetId="22" hidden="1">{"Cover",#N/A,FALSE,"Cover";"trans_sum_print",#N/A,FALSE,"Transaction Summary";"earnings_impact_6yrQQ",#N/A,FALSE,"Earnings Impact";"accr_dil_6yr",#N/A,FALSE,"accretion dilution"}</definedName>
    <definedName name="wrn.QQQ_Quick_Merge_6yr." localSheetId="15" hidden="1">{"Cover",#N/A,FALSE,"Cover";"trans_sum_print",#N/A,FALSE,"Transaction Summary";"earnings_impact_6yrQQ",#N/A,FALSE,"Earnings Impact";"accr_dil_6yr",#N/A,FALSE,"accretion dilution"}</definedName>
    <definedName name="wrn.QQQ_Quick_Merge_6yr." localSheetId="17" hidden="1">{"Cover",#N/A,FALSE,"Cover";"trans_sum_print",#N/A,FALSE,"Transaction Summary";"earnings_impact_6yrQQ",#N/A,FALSE,"Earnings Impact";"accr_dil_6yr",#N/A,FALSE,"accretion dilution"}</definedName>
    <definedName name="wrn.QQQ_Quick_Merge_6yr." localSheetId="10" hidden="1">{"Cover",#N/A,FALSE,"Cover";"trans_sum_print",#N/A,FALSE,"Transaction Summary";"earnings_impact_6yrQQ",#N/A,FALSE,"Earnings Impact";"accr_dil_6yr",#N/A,FALSE,"accretion dilution"}</definedName>
    <definedName name="wrn.QQQ_Quick_Merge_6yr." localSheetId="13" hidden="1">{"Cover",#N/A,FALSE,"Cover";"trans_sum_print",#N/A,FALSE,"Transaction Summary";"earnings_impact_6yrQQ",#N/A,FALSE,"Earnings Impact";"accr_dil_6yr",#N/A,FALSE,"accretion dilution"}</definedName>
    <definedName name="wrn.QQQ_Quick_Merge_6yr." hidden="1">{"Cover",#N/A,FALSE,"Cover";"trans_sum_print",#N/A,FALSE,"Transaction Summary";"earnings_impact_6yrQQ",#N/A,FALSE,"Earnings Impact";"accr_dil_6yr",#N/A,FALSE,"accretion dilution"}</definedName>
    <definedName name="wrn.Quarterly._.Reports." localSheetId="21" hidden="1">{#N/A,#N/A,TRUE,"Exec Summary";#N/A,#N/A,TRUE,"Model";"JSI View",#N/A,TRUE,"JSI ";"Variance View",#N/A,TRUE,"JSI ";#N/A,#N/A,TRUE,"LC &amp; TI";#N/A,#N/A,TRUE,"Rent Variance"}</definedName>
    <definedName name="wrn.Quarterly._.Reports." localSheetId="22" hidden="1">{#N/A,#N/A,TRUE,"Exec Summary";#N/A,#N/A,TRUE,"Model";"JSI View",#N/A,TRUE,"JSI ";"Variance View",#N/A,TRUE,"JSI ";#N/A,#N/A,TRUE,"LC &amp; TI";#N/A,#N/A,TRUE,"Rent Variance"}</definedName>
    <definedName name="wrn.Quarterly._.Reports." localSheetId="17" hidden="1">{#N/A,#N/A,TRUE,"Exec Summary";#N/A,#N/A,TRUE,"Model";"JSI View",#N/A,TRUE,"JSI ";"Variance View",#N/A,TRUE,"JSI ";#N/A,#N/A,TRUE,"LC &amp; TI";#N/A,#N/A,TRUE,"Rent Variance"}</definedName>
    <definedName name="wrn.Quarterly._.Reports." localSheetId="10" hidden="1">{#N/A,#N/A,TRUE,"Exec Summary";#N/A,#N/A,TRUE,"Model";"JSI View",#N/A,TRUE,"JSI ";"Variance View",#N/A,TRUE,"JSI ";#N/A,#N/A,TRUE,"LC &amp; TI";#N/A,#N/A,TRUE,"Rent Variance"}</definedName>
    <definedName name="wrn.Quarterly._.Reports." hidden="1">{#N/A,#N/A,TRUE,"Exec Summary";#N/A,#N/A,TRUE,"Model";"JSI View",#N/A,TRUE,"JSI ";"Variance View",#N/A,TRUE,"JSI ";#N/A,#N/A,TRUE,"LC &amp; TI";#N/A,#N/A,TRUE,"Rent Variance"}</definedName>
    <definedName name="wrn.Quarterly._.Summary." localSheetId="2" hidden="1">{"qtrl1",#N/A,TRUE,"Annual Summary";"qtrl2",#N/A,TRUE,"Annual Summary";"qtrl3",#N/A,TRUE,"Annual Summary";"qtrl4",#N/A,TRUE,"QTLY Summary";"qtrl5",#N/A,TRUE,"QTLY Summary";"qtrl6",#N/A,TRUE,"QTLY Summary"}</definedName>
    <definedName name="wrn.Quarterly._.Summary." localSheetId="21" hidden="1">{"qtrl1",#N/A,TRUE,"Annual Summary";"qtrl2",#N/A,TRUE,"Annual Summary";"qtrl3",#N/A,TRUE,"Annual Summary";"qtrl4",#N/A,TRUE,"QTLY Summary";"qtrl5",#N/A,TRUE,"QTLY Summary";"qtrl6",#N/A,TRUE,"QTLY Summary"}</definedName>
    <definedName name="wrn.Quarterly._.Summary." localSheetId="22" hidden="1">{"qtrl1",#N/A,TRUE,"Annual Summary";"qtrl2",#N/A,TRUE,"Annual Summary";"qtrl3",#N/A,TRUE,"Annual Summary";"qtrl4",#N/A,TRUE,"QTLY Summary";"qtrl5",#N/A,TRUE,"QTLY Summary";"qtrl6",#N/A,TRUE,"QTLY Summary"}</definedName>
    <definedName name="wrn.Quarterly._.Summary." localSheetId="15" hidden="1">{"qtrl1",#N/A,TRUE,"Annual Summary";"qtrl2",#N/A,TRUE,"Annual Summary";"qtrl3",#N/A,TRUE,"Annual Summary";"qtrl4",#N/A,TRUE,"QTLY Summary";"qtrl5",#N/A,TRUE,"QTLY Summary";"qtrl6",#N/A,TRUE,"QTLY Summary"}</definedName>
    <definedName name="wrn.Quarterly._.Summary." localSheetId="17" hidden="1">{"qtrl1",#N/A,TRUE,"Annual Summary";"qtrl2",#N/A,TRUE,"Annual Summary";"qtrl3",#N/A,TRUE,"Annual Summary";"qtrl4",#N/A,TRUE,"QTLY Summary";"qtrl5",#N/A,TRUE,"QTLY Summary";"qtrl6",#N/A,TRUE,"QTLY Summary"}</definedName>
    <definedName name="wrn.Quarterly._.Summary." localSheetId="10" hidden="1">{"qtrl1",#N/A,TRUE,"Annual Summary";"qtrl2",#N/A,TRUE,"Annual Summary";"qtrl3",#N/A,TRUE,"Annual Summary";"qtrl4",#N/A,TRUE,"QTLY Summary";"qtrl5",#N/A,TRUE,"QTLY Summary";"qtrl6",#N/A,TRUE,"QTLY Summary"}</definedName>
    <definedName name="wrn.Quarterly._.Summary." localSheetId="13" hidden="1">{"qtrl1",#N/A,TRUE,"Annual Summary";"qtrl2",#N/A,TRUE,"Annual Summary";"qtrl3",#N/A,TRUE,"Annual Summary";"qtrl4",#N/A,TRUE,"QTLY Summary";"qtrl5",#N/A,TRUE,"QTLY Summary";"qtrl6",#N/A,TRUE,"QTLY Summary"}</definedName>
    <definedName name="wrn.Quarterly._.Summary." hidden="1">{"qtrl1",#N/A,TRUE,"Annual Summary";"qtrl2",#N/A,TRUE,"Annual Summary";"qtrl3",#N/A,TRUE,"Annual Summary";"qtrl4",#N/A,TRUE,"QTLY Summary";"qtrl5",#N/A,TRUE,"QTLY Summary";"qtrl6",#N/A,TRUE,"QTLY Summary"}</definedName>
    <definedName name="wrn.Quick_Merge_3yr." localSheetId="2" hidden="1">{"Cover",#N/A,FALSE,"Cover";"trans_sum_debt",#N/A,FALSE,"Transaction_Sum_debt_Stats";"earnings_impact_3yr",#N/A,FALSE,"Earnings Impact";"accr_dil_3yr",#N/A,FALSE,"accretion dilution";"prof_inc_stmt_3yr",#N/A,FALSE,"Pro Forma Income Statement";"contr_anal_3yr",#N/A,FALSE,"Contribution_Analysis";"bal_adj",#N/A,FALSE,"Pro Forma Balance Sheet";"Acquiror_3yr",#N/A,FALSE,"Acquirer";"Target_3yr",#N/A,FALSE,"Target";"HasGets-3yr",#N/A,FALSE,"Has-Gets"}</definedName>
    <definedName name="wrn.Quick_Merge_3yr." localSheetId="21" hidden="1">{"Cover",#N/A,FALSE,"Cover";"trans_sum_debt",#N/A,FALSE,"Transaction_Sum_debt_Stats";"earnings_impact_3yr",#N/A,FALSE,"Earnings Impact";"accr_dil_3yr",#N/A,FALSE,"accretion dilution";"prof_inc_stmt_3yr",#N/A,FALSE,"Pro Forma Income Statement";"contr_anal_3yr",#N/A,FALSE,"Contribution_Analysis";"bal_adj",#N/A,FALSE,"Pro Forma Balance Sheet";"Acquiror_3yr",#N/A,FALSE,"Acquirer";"Target_3yr",#N/A,FALSE,"Target";"HasGets-3yr",#N/A,FALSE,"Has-Gets"}</definedName>
    <definedName name="wrn.Quick_Merge_3yr." localSheetId="22" hidden="1">{"Cover",#N/A,FALSE,"Cover";"trans_sum_debt",#N/A,FALSE,"Transaction_Sum_debt_Stats";"earnings_impact_3yr",#N/A,FALSE,"Earnings Impact";"accr_dil_3yr",#N/A,FALSE,"accretion dilution";"prof_inc_stmt_3yr",#N/A,FALSE,"Pro Forma Income Statement";"contr_anal_3yr",#N/A,FALSE,"Contribution_Analysis";"bal_adj",#N/A,FALSE,"Pro Forma Balance Sheet";"Acquiror_3yr",#N/A,FALSE,"Acquirer";"Target_3yr",#N/A,FALSE,"Target";"HasGets-3yr",#N/A,FALSE,"Has-Gets"}</definedName>
    <definedName name="wrn.Quick_Merge_3yr." localSheetId="15" hidden="1">{"Cover",#N/A,FALSE,"Cover";"trans_sum_debt",#N/A,FALSE,"Transaction_Sum_debt_Stats";"earnings_impact_3yr",#N/A,FALSE,"Earnings Impact";"accr_dil_3yr",#N/A,FALSE,"accretion dilution";"prof_inc_stmt_3yr",#N/A,FALSE,"Pro Forma Income Statement";"contr_anal_3yr",#N/A,FALSE,"Contribution_Analysis";"bal_adj",#N/A,FALSE,"Pro Forma Balance Sheet";"Acquiror_3yr",#N/A,FALSE,"Acquirer";"Target_3yr",#N/A,FALSE,"Target";"HasGets-3yr",#N/A,FALSE,"Has-Gets"}</definedName>
    <definedName name="wrn.Quick_Merge_3yr." localSheetId="17" hidden="1">{"Cover",#N/A,FALSE,"Cover";"trans_sum_debt",#N/A,FALSE,"Transaction_Sum_debt_Stats";"earnings_impact_3yr",#N/A,FALSE,"Earnings Impact";"accr_dil_3yr",#N/A,FALSE,"accretion dilution";"prof_inc_stmt_3yr",#N/A,FALSE,"Pro Forma Income Statement";"contr_anal_3yr",#N/A,FALSE,"Contribution_Analysis";"bal_adj",#N/A,FALSE,"Pro Forma Balance Sheet";"Acquiror_3yr",#N/A,FALSE,"Acquirer";"Target_3yr",#N/A,FALSE,"Target";"HasGets-3yr",#N/A,FALSE,"Has-Gets"}</definedName>
    <definedName name="wrn.Quick_Merge_3yr." localSheetId="10" hidden="1">{"Cover",#N/A,FALSE,"Cover";"trans_sum_debt",#N/A,FALSE,"Transaction_Sum_debt_Stats";"earnings_impact_3yr",#N/A,FALSE,"Earnings Impact";"accr_dil_3yr",#N/A,FALSE,"accretion dilution";"prof_inc_stmt_3yr",#N/A,FALSE,"Pro Forma Income Statement";"contr_anal_3yr",#N/A,FALSE,"Contribution_Analysis";"bal_adj",#N/A,FALSE,"Pro Forma Balance Sheet";"Acquiror_3yr",#N/A,FALSE,"Acquirer";"Target_3yr",#N/A,FALSE,"Target";"HasGets-3yr",#N/A,FALSE,"Has-Gets"}</definedName>
    <definedName name="wrn.Quick_Merge_3yr." localSheetId="13" hidden="1">{"Cover",#N/A,FALSE,"Cover";"trans_sum_debt",#N/A,FALSE,"Transaction_Sum_debt_Stats";"earnings_impact_3yr",#N/A,FALSE,"Earnings Impact";"accr_dil_3yr",#N/A,FALSE,"accretion dilution";"prof_inc_stmt_3yr",#N/A,FALSE,"Pro Forma Income Statement";"contr_anal_3yr",#N/A,FALSE,"Contribution_Analysis";"bal_adj",#N/A,FALSE,"Pro Forma Balance Sheet";"Acquiror_3yr",#N/A,FALSE,"Acquirer";"Target_3yr",#N/A,FALSE,"Target";"HasGets-3yr",#N/A,FALSE,"Has-Gets"}</definedName>
    <definedName name="wrn.Quick_Merge_3yr." hidden="1">{"Cover",#N/A,FALSE,"Cover";"trans_sum_debt",#N/A,FALSE,"Transaction_Sum_debt_Stats";"earnings_impact_3yr",#N/A,FALSE,"Earnings Impact";"accr_dil_3yr",#N/A,FALSE,"accretion dilution";"prof_inc_stmt_3yr",#N/A,FALSE,"Pro Forma Income Statement";"contr_anal_3yr",#N/A,FALSE,"Contribution_Analysis";"bal_adj",#N/A,FALSE,"Pro Forma Balance Sheet";"Acquiror_3yr",#N/A,FALSE,"Acquirer";"Target_3yr",#N/A,FALSE,"Target";"HasGets-3yr",#N/A,FALSE,"Has-Gets"}</definedName>
    <definedName name="wrn.Quick_Merge_4yr." localSheetId="2" hidden="1">{"Cover",#N/A,FALSE,"Cover";"trans_sum_debt",#N/A,FALSE,"Transaction_Sum_debt_Stats";"earnings_impact_4yr",#N/A,FALSE,"Earnings Impact";"accr_dil_4yr",#N/A,FALSE,"accretion dilution";"prof_inc_stmt_4yr",#N/A,FALSE,"Pro Forma Income Statement";"contr_anal_4yr",#N/A,FALSE,"Contribution_Analysis";"bal_adj",#N/A,FALSE,"Pro Forma Balance Sheet";"Acquiror_4yr",#N/A,FALSE,"Acquirer";"Target_4yr",#N/A,FALSE,"Target";"HasGets-4yr",#N/A,FALSE,"Has-Gets"}</definedName>
    <definedName name="wrn.Quick_Merge_4yr." localSheetId="21" hidden="1">{"Cover",#N/A,FALSE,"Cover";"trans_sum_debt",#N/A,FALSE,"Transaction_Sum_debt_Stats";"earnings_impact_4yr",#N/A,FALSE,"Earnings Impact";"accr_dil_4yr",#N/A,FALSE,"accretion dilution";"prof_inc_stmt_4yr",#N/A,FALSE,"Pro Forma Income Statement";"contr_anal_4yr",#N/A,FALSE,"Contribution_Analysis";"bal_adj",#N/A,FALSE,"Pro Forma Balance Sheet";"Acquiror_4yr",#N/A,FALSE,"Acquirer";"Target_4yr",#N/A,FALSE,"Target";"HasGets-4yr",#N/A,FALSE,"Has-Gets"}</definedName>
    <definedName name="wrn.Quick_Merge_4yr." localSheetId="22" hidden="1">{"Cover",#N/A,FALSE,"Cover";"trans_sum_debt",#N/A,FALSE,"Transaction_Sum_debt_Stats";"earnings_impact_4yr",#N/A,FALSE,"Earnings Impact";"accr_dil_4yr",#N/A,FALSE,"accretion dilution";"prof_inc_stmt_4yr",#N/A,FALSE,"Pro Forma Income Statement";"contr_anal_4yr",#N/A,FALSE,"Contribution_Analysis";"bal_adj",#N/A,FALSE,"Pro Forma Balance Sheet";"Acquiror_4yr",#N/A,FALSE,"Acquirer";"Target_4yr",#N/A,FALSE,"Target";"HasGets-4yr",#N/A,FALSE,"Has-Gets"}</definedName>
    <definedName name="wrn.Quick_Merge_4yr." localSheetId="15" hidden="1">{"Cover",#N/A,FALSE,"Cover";"trans_sum_debt",#N/A,FALSE,"Transaction_Sum_debt_Stats";"earnings_impact_4yr",#N/A,FALSE,"Earnings Impact";"accr_dil_4yr",#N/A,FALSE,"accretion dilution";"prof_inc_stmt_4yr",#N/A,FALSE,"Pro Forma Income Statement";"contr_anal_4yr",#N/A,FALSE,"Contribution_Analysis";"bal_adj",#N/A,FALSE,"Pro Forma Balance Sheet";"Acquiror_4yr",#N/A,FALSE,"Acquirer";"Target_4yr",#N/A,FALSE,"Target";"HasGets-4yr",#N/A,FALSE,"Has-Gets"}</definedName>
    <definedName name="wrn.Quick_Merge_4yr." localSheetId="17" hidden="1">{"Cover",#N/A,FALSE,"Cover";"trans_sum_debt",#N/A,FALSE,"Transaction_Sum_debt_Stats";"earnings_impact_4yr",#N/A,FALSE,"Earnings Impact";"accr_dil_4yr",#N/A,FALSE,"accretion dilution";"prof_inc_stmt_4yr",#N/A,FALSE,"Pro Forma Income Statement";"contr_anal_4yr",#N/A,FALSE,"Contribution_Analysis";"bal_adj",#N/A,FALSE,"Pro Forma Balance Sheet";"Acquiror_4yr",#N/A,FALSE,"Acquirer";"Target_4yr",#N/A,FALSE,"Target";"HasGets-4yr",#N/A,FALSE,"Has-Gets"}</definedName>
    <definedName name="wrn.Quick_Merge_4yr." localSheetId="10" hidden="1">{"Cover",#N/A,FALSE,"Cover";"trans_sum_debt",#N/A,FALSE,"Transaction_Sum_debt_Stats";"earnings_impact_4yr",#N/A,FALSE,"Earnings Impact";"accr_dil_4yr",#N/A,FALSE,"accretion dilution";"prof_inc_stmt_4yr",#N/A,FALSE,"Pro Forma Income Statement";"contr_anal_4yr",#N/A,FALSE,"Contribution_Analysis";"bal_adj",#N/A,FALSE,"Pro Forma Balance Sheet";"Acquiror_4yr",#N/A,FALSE,"Acquirer";"Target_4yr",#N/A,FALSE,"Target";"HasGets-4yr",#N/A,FALSE,"Has-Gets"}</definedName>
    <definedName name="wrn.Quick_Merge_4yr." localSheetId="13" hidden="1">{"Cover",#N/A,FALSE,"Cover";"trans_sum_debt",#N/A,FALSE,"Transaction_Sum_debt_Stats";"earnings_impact_4yr",#N/A,FALSE,"Earnings Impact";"accr_dil_4yr",#N/A,FALSE,"accretion dilution";"prof_inc_stmt_4yr",#N/A,FALSE,"Pro Forma Income Statement";"contr_anal_4yr",#N/A,FALSE,"Contribution_Analysis";"bal_adj",#N/A,FALSE,"Pro Forma Balance Sheet";"Acquiror_4yr",#N/A,FALSE,"Acquirer";"Target_4yr",#N/A,FALSE,"Target";"HasGets-4yr",#N/A,FALSE,"Has-Gets"}</definedName>
    <definedName name="wrn.Quick_Merge_4yr." hidden="1">{"Cover",#N/A,FALSE,"Cover";"trans_sum_debt",#N/A,FALSE,"Transaction_Sum_debt_Stats";"earnings_impact_4yr",#N/A,FALSE,"Earnings Impact";"accr_dil_4yr",#N/A,FALSE,"accretion dilution";"prof_inc_stmt_4yr",#N/A,FALSE,"Pro Forma Income Statement";"contr_anal_4yr",#N/A,FALSE,"Contribution_Analysis";"bal_adj",#N/A,FALSE,"Pro Forma Balance Sheet";"Acquiror_4yr",#N/A,FALSE,"Acquirer";"Target_4yr",#N/A,FALSE,"Target";"HasGets-4yr",#N/A,FALSE,"Has-Gets"}</definedName>
    <definedName name="wrn.Quick_Merge_5yr." localSheetId="2" hidden="1">{"Cover",#N/A,FALSE,"Cover";"trans_sum_debt",#N/A,FALSE,"Transaction_Sum_debt_Stats";"earnings_impact_5yr",#N/A,FALSE,"Earnings Impact";"accr_dil_5yr",#N/A,FALSE,"accretion dilution";"prof_inc_stmt_5yr",#N/A,FALSE,"Pro Forma Income Statement";"contr_anal_5yr",#N/A,FALSE,"Contribution_Analysis";"bal_adj",#N/A,FALSE,"Pro Forma Balance Sheet";"Acquiror_5yr",#N/A,FALSE,"Acquirer";"Target_5yr",#N/A,FALSE,"Target";"HasGets-yr5",#N/A,FALSE,"Has-Gets"}</definedName>
    <definedName name="wrn.Quick_Merge_5yr." localSheetId="21" hidden="1">{"Cover",#N/A,FALSE,"Cover";"trans_sum_debt",#N/A,FALSE,"Transaction_Sum_debt_Stats";"earnings_impact_5yr",#N/A,FALSE,"Earnings Impact";"accr_dil_5yr",#N/A,FALSE,"accretion dilution";"prof_inc_stmt_5yr",#N/A,FALSE,"Pro Forma Income Statement";"contr_anal_5yr",#N/A,FALSE,"Contribution_Analysis";"bal_adj",#N/A,FALSE,"Pro Forma Balance Sheet";"Acquiror_5yr",#N/A,FALSE,"Acquirer";"Target_5yr",#N/A,FALSE,"Target";"HasGets-yr5",#N/A,FALSE,"Has-Gets"}</definedName>
    <definedName name="wrn.Quick_Merge_5yr." localSheetId="22" hidden="1">{"Cover",#N/A,FALSE,"Cover";"trans_sum_debt",#N/A,FALSE,"Transaction_Sum_debt_Stats";"earnings_impact_5yr",#N/A,FALSE,"Earnings Impact";"accr_dil_5yr",#N/A,FALSE,"accretion dilution";"prof_inc_stmt_5yr",#N/A,FALSE,"Pro Forma Income Statement";"contr_anal_5yr",#N/A,FALSE,"Contribution_Analysis";"bal_adj",#N/A,FALSE,"Pro Forma Balance Sheet";"Acquiror_5yr",#N/A,FALSE,"Acquirer";"Target_5yr",#N/A,FALSE,"Target";"HasGets-yr5",#N/A,FALSE,"Has-Gets"}</definedName>
    <definedName name="wrn.Quick_Merge_5yr." localSheetId="15" hidden="1">{"Cover",#N/A,FALSE,"Cover";"trans_sum_debt",#N/A,FALSE,"Transaction_Sum_debt_Stats";"earnings_impact_5yr",#N/A,FALSE,"Earnings Impact";"accr_dil_5yr",#N/A,FALSE,"accretion dilution";"prof_inc_stmt_5yr",#N/A,FALSE,"Pro Forma Income Statement";"contr_anal_5yr",#N/A,FALSE,"Contribution_Analysis";"bal_adj",#N/A,FALSE,"Pro Forma Balance Sheet";"Acquiror_5yr",#N/A,FALSE,"Acquirer";"Target_5yr",#N/A,FALSE,"Target";"HasGets-yr5",#N/A,FALSE,"Has-Gets"}</definedName>
    <definedName name="wrn.Quick_Merge_5yr." localSheetId="17" hidden="1">{"Cover",#N/A,FALSE,"Cover";"trans_sum_debt",#N/A,FALSE,"Transaction_Sum_debt_Stats";"earnings_impact_5yr",#N/A,FALSE,"Earnings Impact";"accr_dil_5yr",#N/A,FALSE,"accretion dilution";"prof_inc_stmt_5yr",#N/A,FALSE,"Pro Forma Income Statement";"contr_anal_5yr",#N/A,FALSE,"Contribution_Analysis";"bal_adj",#N/A,FALSE,"Pro Forma Balance Sheet";"Acquiror_5yr",#N/A,FALSE,"Acquirer";"Target_5yr",#N/A,FALSE,"Target";"HasGets-yr5",#N/A,FALSE,"Has-Gets"}</definedName>
    <definedName name="wrn.Quick_Merge_5yr." localSheetId="10" hidden="1">{"Cover",#N/A,FALSE,"Cover";"trans_sum_debt",#N/A,FALSE,"Transaction_Sum_debt_Stats";"earnings_impact_5yr",#N/A,FALSE,"Earnings Impact";"accr_dil_5yr",#N/A,FALSE,"accretion dilution";"prof_inc_stmt_5yr",#N/A,FALSE,"Pro Forma Income Statement";"contr_anal_5yr",#N/A,FALSE,"Contribution_Analysis";"bal_adj",#N/A,FALSE,"Pro Forma Balance Sheet";"Acquiror_5yr",#N/A,FALSE,"Acquirer";"Target_5yr",#N/A,FALSE,"Target";"HasGets-yr5",#N/A,FALSE,"Has-Gets"}</definedName>
    <definedName name="wrn.Quick_Merge_5yr." localSheetId="13" hidden="1">{"Cover",#N/A,FALSE,"Cover";"trans_sum_debt",#N/A,FALSE,"Transaction_Sum_debt_Stats";"earnings_impact_5yr",#N/A,FALSE,"Earnings Impact";"accr_dil_5yr",#N/A,FALSE,"accretion dilution";"prof_inc_stmt_5yr",#N/A,FALSE,"Pro Forma Income Statement";"contr_anal_5yr",#N/A,FALSE,"Contribution_Analysis";"bal_adj",#N/A,FALSE,"Pro Forma Balance Sheet";"Acquiror_5yr",#N/A,FALSE,"Acquirer";"Target_5yr",#N/A,FALSE,"Target";"HasGets-yr5",#N/A,FALSE,"Has-Gets"}</definedName>
    <definedName name="wrn.Quick_Merge_5yr." hidden="1">{"Cover",#N/A,FALSE,"Cover";"trans_sum_debt",#N/A,FALSE,"Transaction_Sum_debt_Stats";"earnings_impact_5yr",#N/A,FALSE,"Earnings Impact";"accr_dil_5yr",#N/A,FALSE,"accretion dilution";"prof_inc_stmt_5yr",#N/A,FALSE,"Pro Forma Income Statement";"contr_anal_5yr",#N/A,FALSE,"Contribution_Analysis";"bal_adj",#N/A,FALSE,"Pro Forma Balance Sheet";"Acquiror_5yr",#N/A,FALSE,"Acquirer";"Target_5yr",#N/A,FALSE,"Target";"HasGets-yr5",#N/A,FALSE,"Has-Gets"}</definedName>
    <definedName name="wrn.Quick_Merge_6yr." localSheetId="2" hidden="1">{"Cover",#N/A,FALSE,"Cover";"trans_sum_debt",#N/A,FALSE,"Transaction_Sum_debt_Stats";"earnings_impact_6yr",#N/A,FALSE,"Earnings Impact";"accr_dil_6yr",#N/A,FALSE,"accretion dilution";"prof_inc_stmt_6yr",#N/A,FALSE,"Pro Forma Income Statement";"contr_anal_6yr",#N/A,FALSE,"Contribution_Analysis";"bal_adj",#N/A,FALSE,"Pro Forma Balance Sheet";"Acquiror_6yr",#N/A,FALSE,"Acquirer";"Target_6yr",#N/A,FALSE,"Target";"HasGets-yr6",#N/A,FALSE,"Has-Gets"}</definedName>
    <definedName name="wrn.Quick_Merge_6yr." localSheetId="21" hidden="1">{"Cover",#N/A,FALSE,"Cover";"trans_sum_debt",#N/A,FALSE,"Transaction_Sum_debt_Stats";"earnings_impact_6yr",#N/A,FALSE,"Earnings Impact";"accr_dil_6yr",#N/A,FALSE,"accretion dilution";"prof_inc_stmt_6yr",#N/A,FALSE,"Pro Forma Income Statement";"contr_anal_6yr",#N/A,FALSE,"Contribution_Analysis";"bal_adj",#N/A,FALSE,"Pro Forma Balance Sheet";"Acquiror_6yr",#N/A,FALSE,"Acquirer";"Target_6yr",#N/A,FALSE,"Target";"HasGets-yr6",#N/A,FALSE,"Has-Gets"}</definedName>
    <definedName name="wrn.Quick_Merge_6yr." localSheetId="22" hidden="1">{"Cover",#N/A,FALSE,"Cover";"trans_sum_debt",#N/A,FALSE,"Transaction_Sum_debt_Stats";"earnings_impact_6yr",#N/A,FALSE,"Earnings Impact";"accr_dil_6yr",#N/A,FALSE,"accretion dilution";"prof_inc_stmt_6yr",#N/A,FALSE,"Pro Forma Income Statement";"contr_anal_6yr",#N/A,FALSE,"Contribution_Analysis";"bal_adj",#N/A,FALSE,"Pro Forma Balance Sheet";"Acquiror_6yr",#N/A,FALSE,"Acquirer";"Target_6yr",#N/A,FALSE,"Target";"HasGets-yr6",#N/A,FALSE,"Has-Gets"}</definedName>
    <definedName name="wrn.Quick_Merge_6yr." localSheetId="15" hidden="1">{"Cover",#N/A,FALSE,"Cover";"trans_sum_debt",#N/A,FALSE,"Transaction_Sum_debt_Stats";"earnings_impact_6yr",#N/A,FALSE,"Earnings Impact";"accr_dil_6yr",#N/A,FALSE,"accretion dilution";"prof_inc_stmt_6yr",#N/A,FALSE,"Pro Forma Income Statement";"contr_anal_6yr",#N/A,FALSE,"Contribution_Analysis";"bal_adj",#N/A,FALSE,"Pro Forma Balance Sheet";"Acquiror_6yr",#N/A,FALSE,"Acquirer";"Target_6yr",#N/A,FALSE,"Target";"HasGets-yr6",#N/A,FALSE,"Has-Gets"}</definedName>
    <definedName name="wrn.Quick_Merge_6yr." localSheetId="17" hidden="1">{"Cover",#N/A,FALSE,"Cover";"trans_sum_debt",#N/A,FALSE,"Transaction_Sum_debt_Stats";"earnings_impact_6yr",#N/A,FALSE,"Earnings Impact";"accr_dil_6yr",#N/A,FALSE,"accretion dilution";"prof_inc_stmt_6yr",#N/A,FALSE,"Pro Forma Income Statement";"contr_anal_6yr",#N/A,FALSE,"Contribution_Analysis";"bal_adj",#N/A,FALSE,"Pro Forma Balance Sheet";"Acquiror_6yr",#N/A,FALSE,"Acquirer";"Target_6yr",#N/A,FALSE,"Target";"HasGets-yr6",#N/A,FALSE,"Has-Gets"}</definedName>
    <definedName name="wrn.Quick_Merge_6yr." localSheetId="10" hidden="1">{"Cover",#N/A,FALSE,"Cover";"trans_sum_debt",#N/A,FALSE,"Transaction_Sum_debt_Stats";"earnings_impact_6yr",#N/A,FALSE,"Earnings Impact";"accr_dil_6yr",#N/A,FALSE,"accretion dilution";"prof_inc_stmt_6yr",#N/A,FALSE,"Pro Forma Income Statement";"contr_anal_6yr",#N/A,FALSE,"Contribution_Analysis";"bal_adj",#N/A,FALSE,"Pro Forma Balance Sheet";"Acquiror_6yr",#N/A,FALSE,"Acquirer";"Target_6yr",#N/A,FALSE,"Target";"HasGets-yr6",#N/A,FALSE,"Has-Gets"}</definedName>
    <definedName name="wrn.Quick_Merge_6yr." localSheetId="13" hidden="1">{"Cover",#N/A,FALSE,"Cover";"trans_sum_debt",#N/A,FALSE,"Transaction_Sum_debt_Stats";"earnings_impact_6yr",#N/A,FALSE,"Earnings Impact";"accr_dil_6yr",#N/A,FALSE,"accretion dilution";"prof_inc_stmt_6yr",#N/A,FALSE,"Pro Forma Income Statement";"contr_anal_6yr",#N/A,FALSE,"Contribution_Analysis";"bal_adj",#N/A,FALSE,"Pro Forma Balance Sheet";"Acquiror_6yr",#N/A,FALSE,"Acquirer";"Target_6yr",#N/A,FALSE,"Target";"HasGets-yr6",#N/A,FALSE,"Has-Gets"}</definedName>
    <definedName name="wrn.Quick_Merge_6yr." hidden="1">{"Cover",#N/A,FALSE,"Cover";"trans_sum_debt",#N/A,FALSE,"Transaction_Sum_debt_Stats";"earnings_impact_6yr",#N/A,FALSE,"Earnings Impact";"accr_dil_6yr",#N/A,FALSE,"accretion dilution";"prof_inc_stmt_6yr",#N/A,FALSE,"Pro Forma Income Statement";"contr_anal_6yr",#N/A,FALSE,"Contribution_Analysis";"bal_adj",#N/A,FALSE,"Pro Forma Balance Sheet";"Acquiror_6yr",#N/A,FALSE,"Acquirer";"Target_6yr",#N/A,FALSE,"Target";"HasGets-yr6",#N/A,FALSE,"Has-Gets"}</definedName>
    <definedName name="wrn.Relevant._.Sections." localSheetId="2" hidden="1">{#N/A,#N/A,FALSE,"Summary";#N/A,#N/A,FALSE,"Program Scheme";#N/A,#N/A,FALSE,"Assumptions";#N/A,#N/A,FALSE,"Development Budget";#N/A,#N/A,FALSE,"Timing";#N/A,#N/A,FALSE,"Development Costs &amp; Revenues";#N/A,#N/A,FALSE,"Cash Flow to Debt &amp; Equity";#N/A,#N/A,FALSE,"Cash Flow to Athena LP"}</definedName>
    <definedName name="wrn.Relevant._.Sections." localSheetId="21" hidden="1">{#N/A,#N/A,FALSE,"Summary";#N/A,#N/A,FALSE,"Program Scheme";#N/A,#N/A,FALSE,"Assumptions";#N/A,#N/A,FALSE,"Development Budget";#N/A,#N/A,FALSE,"Timing";#N/A,#N/A,FALSE,"Development Costs &amp; Revenues";#N/A,#N/A,FALSE,"Cash Flow to Debt &amp; Equity";#N/A,#N/A,FALSE,"Cash Flow to Athena LP"}</definedName>
    <definedName name="wrn.Relevant._.Sections." localSheetId="22" hidden="1">{#N/A,#N/A,FALSE,"Summary";#N/A,#N/A,FALSE,"Program Scheme";#N/A,#N/A,FALSE,"Assumptions";#N/A,#N/A,FALSE,"Development Budget";#N/A,#N/A,FALSE,"Timing";#N/A,#N/A,FALSE,"Development Costs &amp; Revenues";#N/A,#N/A,FALSE,"Cash Flow to Debt &amp; Equity";#N/A,#N/A,FALSE,"Cash Flow to Athena LP"}</definedName>
    <definedName name="wrn.Relevant._.Sections." localSheetId="15" hidden="1">{#N/A,#N/A,FALSE,"Summary";#N/A,#N/A,FALSE,"Program Scheme";#N/A,#N/A,FALSE,"Assumptions";#N/A,#N/A,FALSE,"Development Budget";#N/A,#N/A,FALSE,"Timing";#N/A,#N/A,FALSE,"Development Costs &amp; Revenues";#N/A,#N/A,FALSE,"Cash Flow to Debt &amp; Equity";#N/A,#N/A,FALSE,"Cash Flow to Athena LP"}</definedName>
    <definedName name="wrn.Relevant._.Sections." localSheetId="17" hidden="1">{#N/A,#N/A,FALSE,"Summary";#N/A,#N/A,FALSE,"Program Scheme";#N/A,#N/A,FALSE,"Assumptions";#N/A,#N/A,FALSE,"Development Budget";#N/A,#N/A,FALSE,"Timing";#N/A,#N/A,FALSE,"Development Costs &amp; Revenues";#N/A,#N/A,FALSE,"Cash Flow to Debt &amp; Equity";#N/A,#N/A,FALSE,"Cash Flow to Athena LP"}</definedName>
    <definedName name="wrn.Relevant._.Sections." localSheetId="10" hidden="1">{#N/A,#N/A,FALSE,"Summary";#N/A,#N/A,FALSE,"Program Scheme";#N/A,#N/A,FALSE,"Assumptions";#N/A,#N/A,FALSE,"Development Budget";#N/A,#N/A,FALSE,"Timing";#N/A,#N/A,FALSE,"Development Costs &amp; Revenues";#N/A,#N/A,FALSE,"Cash Flow to Debt &amp; Equity";#N/A,#N/A,FALSE,"Cash Flow to Athena LP"}</definedName>
    <definedName name="wrn.Relevant._.Sections." localSheetId="13" hidden="1">{#N/A,#N/A,FALSE,"Summary";#N/A,#N/A,FALSE,"Program Scheme";#N/A,#N/A,FALSE,"Assumptions";#N/A,#N/A,FALSE,"Development Budget";#N/A,#N/A,FALSE,"Timing";#N/A,#N/A,FALSE,"Development Costs &amp; Revenues";#N/A,#N/A,FALSE,"Cash Flow to Debt &amp; Equity";#N/A,#N/A,FALSE,"Cash Flow to Athena LP"}</definedName>
    <definedName name="wrn.Relevant._.Sections." hidden="1">{#N/A,#N/A,FALSE,"Summary";#N/A,#N/A,FALSE,"Program Scheme";#N/A,#N/A,FALSE,"Assumptions";#N/A,#N/A,FALSE,"Development Budget";#N/A,#N/A,FALSE,"Timing";#N/A,#N/A,FALSE,"Development Costs &amp; Revenues";#N/A,#N/A,FALSE,"Cash Flow to Debt &amp; Equity";#N/A,#N/A,FALSE,"Cash Flow to Athena LP"}</definedName>
    <definedName name="wrn.Remaining._.Obligation." localSheetId="21" hidden="1">{#N/A,#N/A,FALSE,"Summary (Oblg)";#N/A,#N/A,FALSE,"41 Mad (27&amp;28)";#N/A,#N/A,FALSE,"41 Mad (29-1)";#N/A,#N/A,FALSE,"41 Mad (29-2A)";#N/A,#N/A,FALSE,"41 Mad (29-2B)";#N/A,#N/A,FALSE,"41 Mad (30)";#N/A,#N/A,FALSE,"41 Mad (42)"}</definedName>
    <definedName name="wrn.Remaining._.Obligation." localSheetId="22" hidden="1">{#N/A,#N/A,FALSE,"Summary (Oblg)";#N/A,#N/A,FALSE,"41 Mad (27&amp;28)";#N/A,#N/A,FALSE,"41 Mad (29-1)";#N/A,#N/A,FALSE,"41 Mad (29-2A)";#N/A,#N/A,FALSE,"41 Mad (29-2B)";#N/A,#N/A,FALSE,"41 Mad (30)";#N/A,#N/A,FALSE,"41 Mad (42)"}</definedName>
    <definedName name="wrn.Remaining._.Obligation." localSheetId="17" hidden="1">{#N/A,#N/A,FALSE,"Summary (Oblg)";#N/A,#N/A,FALSE,"41 Mad (27&amp;28)";#N/A,#N/A,FALSE,"41 Mad (29-1)";#N/A,#N/A,FALSE,"41 Mad (29-2A)";#N/A,#N/A,FALSE,"41 Mad (29-2B)";#N/A,#N/A,FALSE,"41 Mad (30)";#N/A,#N/A,FALSE,"41 Mad (42)"}</definedName>
    <definedName name="wrn.Remaining._.Obligation." localSheetId="10" hidden="1">{#N/A,#N/A,FALSE,"Summary (Oblg)";#N/A,#N/A,FALSE,"41 Mad (27&amp;28)";#N/A,#N/A,FALSE,"41 Mad (29-1)";#N/A,#N/A,FALSE,"41 Mad (29-2A)";#N/A,#N/A,FALSE,"41 Mad (29-2B)";#N/A,#N/A,FALSE,"41 Mad (30)";#N/A,#N/A,FALSE,"41 Mad (42)"}</definedName>
    <definedName name="wrn.Remaining._.Obligation." hidden="1">{#N/A,#N/A,FALSE,"Summary (Oblg)";#N/A,#N/A,FALSE,"41 Mad (27&amp;28)";#N/A,#N/A,FALSE,"41 Mad (29-1)";#N/A,#N/A,FALSE,"41 Mad (29-2A)";#N/A,#N/A,FALSE,"41 Mad (29-2B)";#N/A,#N/A,FALSE,"41 Mad (30)";#N/A,#N/A,FALSE,"41 Mad (42)"}</definedName>
    <definedName name="wrn.RentRoll." localSheetId="21" hidden="1">{"CurrentRentRoll",#N/A,FALSE,"Graph &amp; Rent Roll"}</definedName>
    <definedName name="wrn.RentRoll." localSheetId="22" hidden="1">{"CurrentRentRoll",#N/A,FALSE,"Graph &amp; Rent Roll"}</definedName>
    <definedName name="wrn.RentRoll." localSheetId="17" hidden="1">{"CurrentRentRoll",#N/A,FALSE,"Graph &amp; Rent Roll"}</definedName>
    <definedName name="wrn.RentRoll." localSheetId="10" hidden="1">{"CurrentRentRoll",#N/A,FALSE,"Graph &amp; Rent Roll"}</definedName>
    <definedName name="wrn.RentRoll." hidden="1">{"CurrentRentRoll",#N/A,FALSE,"Graph &amp; Rent Roll"}</definedName>
    <definedName name="wrn.report" localSheetId="21" hidden="1">{#N/A,#N/A,FALSE,"Project Summary";#N/A,#N/A,FALSE,"Parameter Summary";#N/A,#N/A,FALSE,"Budget Control Report";#N/A,#N/A,FALSE,"DETAIL.XLS"}</definedName>
    <definedName name="wrn.report" localSheetId="22" hidden="1">{#N/A,#N/A,FALSE,"Project Summary";#N/A,#N/A,FALSE,"Parameter Summary";#N/A,#N/A,FALSE,"Budget Control Report";#N/A,#N/A,FALSE,"DETAIL.XLS"}</definedName>
    <definedName name="wrn.report" localSheetId="17" hidden="1">{#N/A,#N/A,FALSE,"Project Summary";#N/A,#N/A,FALSE,"Parameter Summary";#N/A,#N/A,FALSE,"Budget Control Report";#N/A,#N/A,FALSE,"DETAIL.XLS"}</definedName>
    <definedName name="wrn.report" localSheetId="10" hidden="1">{#N/A,#N/A,FALSE,"Project Summary";#N/A,#N/A,FALSE,"Parameter Summary";#N/A,#N/A,FALSE,"Budget Control Report";#N/A,#N/A,FALSE,"DETAIL.XLS"}</definedName>
    <definedName name="wrn.report" hidden="1">{#N/A,#N/A,FALSE,"Project Summary";#N/A,#N/A,FALSE,"Parameter Summary";#N/A,#N/A,FALSE,"Budget Control Report";#N/A,#N/A,FALSE,"DETAIL.XLS"}</definedName>
    <definedName name="wrn.Report." localSheetId="4" hidden="1">{#N/A,#N/A,FALSE,"Summary";#N/A,#N/A,FALSE,"Assumptions";#N/A,#N/A,FALSE,"Notes";#N/A,#N/A,FALSE,"Cash Flow";#N/A,#N/A,FALSE,"Eff. Rent Detail";#N/A,#N/A,FALSE,"Residual";#N/A,#N/A,FALSE,"Value Matrix";#N/A,#N/A,FALSE,"Pro Forma";#N/A,#N/A,FALSE,"Historical Op";#N/A,#N/A,FALSE,"Value Comp";#N/A,#N/A,FALSE,"Matrices"}</definedName>
    <definedName name="wrn.Report." localSheetId="3" hidden="1">{#N/A,#N/A,FALSE,"Summary";#N/A,#N/A,FALSE,"Assumptions";#N/A,#N/A,FALSE,"Notes";#N/A,#N/A,FALSE,"Cash Flow";#N/A,#N/A,FALSE,"Eff. Rent Detail";#N/A,#N/A,FALSE,"Residual";#N/A,#N/A,FALSE,"Value Matrix";#N/A,#N/A,FALSE,"Pro Forma";#N/A,#N/A,FALSE,"Historical Op";#N/A,#N/A,FALSE,"Value Comp";#N/A,#N/A,FALSE,"Matrices"}</definedName>
    <definedName name="wrn.Report." localSheetId="5" hidden="1">{#N/A,#N/A,FALSE,"Summary";#N/A,#N/A,FALSE,"Assumptions";#N/A,#N/A,FALSE,"Notes";#N/A,#N/A,FALSE,"Cash Flow";#N/A,#N/A,FALSE,"Eff. Rent Detail";#N/A,#N/A,FALSE,"Residual";#N/A,#N/A,FALSE,"Value Matrix";#N/A,#N/A,FALSE,"Pro Forma";#N/A,#N/A,FALSE,"Historical Op";#N/A,#N/A,FALSE,"Value Comp";#N/A,#N/A,FALSE,"Matrices"}</definedName>
    <definedName name="wrn.Report." localSheetId="2" hidden="1">{#N/A,#N/A,FALSE,"Summary";#N/A,#N/A,FALSE,"Assumptions";#N/A,#N/A,FALSE,"Notes";#N/A,#N/A,FALSE,"Cash Flow";#N/A,#N/A,FALSE,"Eff. Rent Detail";#N/A,#N/A,FALSE,"Residual";#N/A,#N/A,FALSE,"Value Matrix";#N/A,#N/A,FALSE,"Pro Forma";#N/A,#N/A,FALSE,"Historical Op";#N/A,#N/A,FALSE,"Value Comp";#N/A,#N/A,FALSE,"Matrices"}</definedName>
    <definedName name="wrn.Report." localSheetId="21" hidden="1">{#N/A,#N/A,FALSE,"Summary";#N/A,#N/A,FALSE,"Assumptions";#N/A,#N/A,FALSE,"Notes";#N/A,#N/A,FALSE,"Cash Flow";#N/A,#N/A,FALSE,"Eff. Rent Detail";#N/A,#N/A,FALSE,"Residual";#N/A,#N/A,FALSE,"Value Matrix";#N/A,#N/A,FALSE,"Pro Forma";#N/A,#N/A,FALSE,"Historical Op";#N/A,#N/A,FALSE,"Value Comp";#N/A,#N/A,FALSE,"Matrices"}</definedName>
    <definedName name="wrn.Report." localSheetId="22" hidden="1">{#N/A,#N/A,FALSE,"Summary";#N/A,#N/A,FALSE,"Assumptions";#N/A,#N/A,FALSE,"Notes";#N/A,#N/A,FALSE,"Cash Flow";#N/A,#N/A,FALSE,"Eff. Rent Detail";#N/A,#N/A,FALSE,"Residual";#N/A,#N/A,FALSE,"Value Matrix";#N/A,#N/A,FALSE,"Pro Forma";#N/A,#N/A,FALSE,"Historical Op";#N/A,#N/A,FALSE,"Value Comp";#N/A,#N/A,FALSE,"Matrices"}</definedName>
    <definedName name="wrn.Report." localSheetId="15" hidden="1">{#N/A,#N/A,FALSE,"Summary";#N/A,#N/A,FALSE,"Assumptions";#N/A,#N/A,FALSE,"Notes";#N/A,#N/A,FALSE,"Cash Flow";#N/A,#N/A,FALSE,"Eff. Rent Detail";#N/A,#N/A,FALSE,"Residual";#N/A,#N/A,FALSE,"Value Matrix";#N/A,#N/A,FALSE,"Pro Forma";#N/A,#N/A,FALSE,"Historical Op";#N/A,#N/A,FALSE,"Value Comp";#N/A,#N/A,FALSE,"Matrices"}</definedName>
    <definedName name="wrn.Report." localSheetId="17" hidden="1">{#N/A,#N/A,FALSE,"Summary";#N/A,#N/A,FALSE,"Assumptions";#N/A,#N/A,FALSE,"Notes";#N/A,#N/A,FALSE,"Cash Flow";#N/A,#N/A,FALSE,"Eff. Rent Detail";#N/A,#N/A,FALSE,"Residual";#N/A,#N/A,FALSE,"Value Matrix";#N/A,#N/A,FALSE,"Pro Forma";#N/A,#N/A,FALSE,"Historical Op";#N/A,#N/A,FALSE,"Value Comp";#N/A,#N/A,FALSE,"Matrices"}</definedName>
    <definedName name="wrn.Report." localSheetId="10" hidden="1">{#N/A,#N/A,FALSE,"Summary";#N/A,#N/A,FALSE,"Assumptions";#N/A,#N/A,FALSE,"Notes";#N/A,#N/A,FALSE,"Cash Flow";#N/A,#N/A,FALSE,"Eff. Rent Detail";#N/A,#N/A,FALSE,"Residual";#N/A,#N/A,FALSE,"Value Matrix";#N/A,#N/A,FALSE,"Pro Forma";#N/A,#N/A,FALSE,"Historical Op";#N/A,#N/A,FALSE,"Value Comp";#N/A,#N/A,FALSE,"Matrices"}</definedName>
    <definedName name="wrn.Report." localSheetId="13" hidden="1">{#N/A,#N/A,FALSE,"Summary";#N/A,#N/A,FALSE,"Assumptions";#N/A,#N/A,FALSE,"Notes";#N/A,#N/A,FALSE,"Cash Flow";#N/A,#N/A,FALSE,"Eff. Rent Detail";#N/A,#N/A,FALSE,"Residual";#N/A,#N/A,FALSE,"Value Matrix";#N/A,#N/A,FALSE,"Pro Forma";#N/A,#N/A,FALSE,"Historical Op";#N/A,#N/A,FALSE,"Value Comp";#N/A,#N/A,FALSE,"Matrices"}</definedName>
    <definedName name="wrn.Report." hidden="1">{#N/A,#N/A,FALSE,"Summary";#N/A,#N/A,FALSE,"Assumptions";#N/A,#N/A,FALSE,"Notes";#N/A,#N/A,FALSE,"Cash Flow";#N/A,#N/A,FALSE,"Eff. Rent Detail";#N/A,#N/A,FALSE,"Residual";#N/A,#N/A,FALSE,"Value Matrix";#N/A,#N/A,FALSE,"Pro Forma";#N/A,#N/A,FALSE,"Historical Op";#N/A,#N/A,FALSE,"Value Comp";#N/A,#N/A,FALSE,"Matrices"}</definedName>
    <definedName name="wrn.REPORT_1." localSheetId="2" hidden="1">{"SIMPLIFD_P1",#N/A,FALSE,"SIMPLIFD"}</definedName>
    <definedName name="wrn.REPORT_1." localSheetId="21" hidden="1">{"SIMPLIFD_P1",#N/A,FALSE,"SIMPLIFD"}</definedName>
    <definedName name="wrn.REPORT_1." localSheetId="22" hidden="1">{"SIMPLIFD_P1",#N/A,FALSE,"SIMPLIFD"}</definedName>
    <definedName name="wrn.REPORT_1." localSheetId="15" hidden="1">{"SIMPLIFD_P1",#N/A,FALSE,"SIMPLIFD"}</definedName>
    <definedName name="wrn.REPORT_1." localSheetId="17" hidden="1">{"SIMPLIFD_P1",#N/A,FALSE,"SIMPLIFD"}</definedName>
    <definedName name="wrn.REPORT_1." localSheetId="10" hidden="1">{"SIMPLIFD_P1",#N/A,FALSE,"SIMPLIFD"}</definedName>
    <definedName name="wrn.REPORT_1." localSheetId="13" hidden="1">{"SIMPLIFD_P1",#N/A,FALSE,"SIMPLIFD"}</definedName>
    <definedName name="wrn.REPORT_1." hidden="1">{"SIMPLIFD_P1",#N/A,FALSE,"SIMPLIFD"}</definedName>
    <definedName name="wrn.reports." localSheetId="21" hidden="1">{#N/A,#N/A,FALSE,"Project Summary";#N/A,#N/A,FALSE,"Parameter Summary";#N/A,#N/A,FALSE,"Budget Control Report";#N/A,#N/A,FALSE,"DETAIL.XLS"}</definedName>
    <definedName name="wrn.reports." localSheetId="22" hidden="1">{#N/A,#N/A,FALSE,"Project Summary";#N/A,#N/A,FALSE,"Parameter Summary";#N/A,#N/A,FALSE,"Budget Control Report";#N/A,#N/A,FALSE,"DETAIL.XLS"}</definedName>
    <definedName name="wrn.reports." localSheetId="17" hidden="1">{#N/A,#N/A,FALSE,"Project Summary";#N/A,#N/A,FALSE,"Parameter Summary";#N/A,#N/A,FALSE,"Budget Control Report";#N/A,#N/A,FALSE,"DETAIL.XLS"}</definedName>
    <definedName name="wrn.reports." localSheetId="10" hidden="1">{#N/A,#N/A,FALSE,"Project Summary";#N/A,#N/A,FALSE,"Parameter Summary";#N/A,#N/A,FALSE,"Budget Control Report";#N/A,#N/A,FALSE,"DETAIL.XLS"}</definedName>
    <definedName name="wrn.reports." hidden="1">{#N/A,#N/A,FALSE,"Project Summary";#N/A,#N/A,FALSE,"Parameter Summary";#N/A,#N/A,FALSE,"Budget Control Report";#N/A,#N/A,FALSE,"DETAIL.XLS"}</definedName>
    <definedName name="wrn.Restbericht." localSheetId="21" hidden="1">{#N/A,#N/A,FALSE,"DATA";#N/A,#N/A,FALSE,"BS";#N/A,#N/A,FALSE,"P&amp;L";#N/A,#N/A,FALSE,"stat.con.";#N/A,#N/A,FALSE,"Average";#N/A,#N/A,FALSE,"Zusatz1";#N/A,#N/A,FALSE,"Konzern";#N/A,#N/A,FALSE,"BIS 1";#N/A,#N/A,FALSE,"BIS-Assets";#N/A,#N/A,FALSE,"BIS 2"}</definedName>
    <definedName name="wrn.Restbericht." localSheetId="22" hidden="1">{#N/A,#N/A,FALSE,"DATA";#N/A,#N/A,FALSE,"BS";#N/A,#N/A,FALSE,"P&amp;L";#N/A,#N/A,FALSE,"stat.con.";#N/A,#N/A,FALSE,"Average";#N/A,#N/A,FALSE,"Zusatz1";#N/A,#N/A,FALSE,"Konzern";#N/A,#N/A,FALSE,"BIS 1";#N/A,#N/A,FALSE,"BIS-Assets";#N/A,#N/A,FALSE,"BIS 2"}</definedName>
    <definedName name="wrn.Restbericht." localSheetId="17" hidden="1">{#N/A,#N/A,FALSE,"DATA";#N/A,#N/A,FALSE,"BS";#N/A,#N/A,FALSE,"P&amp;L";#N/A,#N/A,FALSE,"stat.con.";#N/A,#N/A,FALSE,"Average";#N/A,#N/A,FALSE,"Zusatz1";#N/A,#N/A,FALSE,"Konzern";#N/A,#N/A,FALSE,"BIS 1";#N/A,#N/A,FALSE,"BIS-Assets";#N/A,#N/A,FALSE,"BIS 2"}</definedName>
    <definedName name="wrn.Restbericht." hidden="1">{#N/A,#N/A,FALSE,"DATA";#N/A,#N/A,FALSE,"BS";#N/A,#N/A,FALSE,"P&amp;L";#N/A,#N/A,FALSE,"stat.con.";#N/A,#N/A,FALSE,"Average";#N/A,#N/A,FALSE,"Zusatz1";#N/A,#N/A,FALSE,"Konzern";#N/A,#N/A,FALSE,"BIS 1";#N/A,#N/A,FALSE,"BIS-Assets";#N/A,#N/A,FALSE,"BIS 2"}</definedName>
    <definedName name="wrn.sales." localSheetId="2" hidden="1">{"sales",#N/A,FALSE,"Sales";"sales existing",#N/A,FALSE,"Sales";"sales rd1",#N/A,FALSE,"Sales";"sales rd2",#N/A,FALSE,"Sales"}</definedName>
    <definedName name="wrn.sales." localSheetId="21" hidden="1">{"sales",#N/A,FALSE,"Sales";"sales existing",#N/A,FALSE,"Sales";"sales rd1",#N/A,FALSE,"Sales";"sales rd2",#N/A,FALSE,"Sales"}</definedName>
    <definedName name="wrn.sales." localSheetId="22" hidden="1">{"sales",#N/A,FALSE,"Sales";"sales existing",#N/A,FALSE,"Sales";"sales rd1",#N/A,FALSE,"Sales";"sales rd2",#N/A,FALSE,"Sales"}</definedName>
    <definedName name="wrn.sales." localSheetId="15" hidden="1">{"sales",#N/A,FALSE,"Sales";"sales existing",#N/A,FALSE,"Sales";"sales rd1",#N/A,FALSE,"Sales";"sales rd2",#N/A,FALSE,"Sales"}</definedName>
    <definedName name="wrn.sales." localSheetId="17" hidden="1">{"sales",#N/A,FALSE,"Sales";"sales existing",#N/A,FALSE,"Sales";"sales rd1",#N/A,FALSE,"Sales";"sales rd2",#N/A,FALSE,"Sales"}</definedName>
    <definedName name="wrn.sales." localSheetId="10" hidden="1">{"sales",#N/A,FALSE,"Sales";"sales existing",#N/A,FALSE,"Sales";"sales rd1",#N/A,FALSE,"Sales";"sales rd2",#N/A,FALSE,"Sales"}</definedName>
    <definedName name="wrn.sales." localSheetId="13" hidden="1">{"sales",#N/A,FALSE,"Sales";"sales existing",#N/A,FALSE,"Sales";"sales rd1",#N/A,FALSE,"Sales";"sales rd2",#N/A,FALSE,"Sales"}</definedName>
    <definedName name="wrn.sales." hidden="1">{"sales",#N/A,FALSE,"Sales";"sales existing",#N/A,FALSE,"Sales";"sales rd1",#N/A,FALSE,"Sales";"sales rd2",#N/A,FALSE,"Sales"}</definedName>
    <definedName name="wrn.Scenario." localSheetId="2" hidden="1">{"scen1",#N/A,FALSE,"Scenarios";"scen2",#N/A,FALSE,"Scenarios"}</definedName>
    <definedName name="wrn.Scenario." localSheetId="21" hidden="1">{"scen1",#N/A,FALSE,"Scenarios";"scen2",#N/A,FALSE,"Scenarios"}</definedName>
    <definedName name="wrn.Scenario." localSheetId="22" hidden="1">{"scen1",#N/A,FALSE,"Scenarios";"scen2",#N/A,FALSE,"Scenarios"}</definedName>
    <definedName name="wrn.Scenario." localSheetId="15" hidden="1">{"scen1",#N/A,FALSE,"Scenarios";"scen2",#N/A,FALSE,"Scenarios"}</definedName>
    <definedName name="wrn.Scenario." localSheetId="17" hidden="1">{"scen1",#N/A,FALSE,"Scenarios";"scen2",#N/A,FALSE,"Scenarios"}</definedName>
    <definedName name="wrn.Scenario." localSheetId="10" hidden="1">{"scen1",#N/A,FALSE,"Scenarios";"scen2",#N/A,FALSE,"Scenarios"}</definedName>
    <definedName name="wrn.Scenario." localSheetId="13" hidden="1">{"scen1",#N/A,FALSE,"Scenarios";"scen2",#N/A,FALSE,"Scenarios"}</definedName>
    <definedName name="wrn.Scenario." hidden="1">{"scen1",#N/A,FALSE,"Scenarios";"scen2",#N/A,FALSE,"Scenarios"}</definedName>
    <definedName name="wrn.SCHEDULE" localSheetId="21" hidden="1">{"SCHEDULE",#N/A,FALSE,"Fin_sched"}</definedName>
    <definedName name="wrn.SCHEDULE" localSheetId="22" hidden="1">{"SCHEDULE",#N/A,FALSE,"Fin_sched"}</definedName>
    <definedName name="wrn.SCHEDULE" localSheetId="17" hidden="1">{"SCHEDULE",#N/A,FALSE,"Fin_sched"}</definedName>
    <definedName name="wrn.SCHEDULE" localSheetId="10" hidden="1">{"SCHEDULE",#N/A,FALSE,"Fin_sched"}</definedName>
    <definedName name="wrn.SCHEDULE" hidden="1">{"SCHEDULE",#N/A,FALSE,"Fin_sched"}</definedName>
    <definedName name="wrn.SCHEDULE." localSheetId="21" hidden="1">{"SCHEDULE",#N/A,FALSE,"Fin_sched"}</definedName>
    <definedName name="wrn.SCHEDULE." localSheetId="22" hidden="1">{"SCHEDULE",#N/A,FALSE,"Fin_sched"}</definedName>
    <definedName name="wrn.SCHEDULE." localSheetId="17" hidden="1">{"SCHEDULE",#N/A,FALSE,"Fin_sched"}</definedName>
    <definedName name="wrn.SCHEDULE." localSheetId="10" hidden="1">{"SCHEDULE",#N/A,FALSE,"Fin_sched"}</definedName>
    <definedName name="wrn.SCHEDULE." hidden="1">{"SCHEDULE",#N/A,FALSE,"Fin_sched"}</definedName>
    <definedName name="wrn.schedules." localSheetId="2" hidden="1">{"schedule1",#N/A,FALSE,"Sheet1";"schedule2",#N/A,FALSE,"Sheet1";"schedule3",#N/A,FALSE,"Sheet1";"schedule4",#N/A,FALSE,"Sheet1";"schedule5",#N/A,FALSE,"Sheet1";"schedule6",#N/A,FALSE,"Sheet1"}</definedName>
    <definedName name="wrn.schedules." localSheetId="21" hidden="1">{"schedule1",#N/A,FALSE,"Sheet1";"schedule2",#N/A,FALSE,"Sheet1";"schedule3",#N/A,FALSE,"Sheet1";"schedule4",#N/A,FALSE,"Sheet1";"schedule5",#N/A,FALSE,"Sheet1";"schedule6",#N/A,FALSE,"Sheet1"}</definedName>
    <definedName name="wrn.schedules." localSheetId="22" hidden="1">{"schedule1",#N/A,FALSE,"Sheet1";"schedule2",#N/A,FALSE,"Sheet1";"schedule3",#N/A,FALSE,"Sheet1";"schedule4",#N/A,FALSE,"Sheet1";"schedule5",#N/A,FALSE,"Sheet1";"schedule6",#N/A,FALSE,"Sheet1"}</definedName>
    <definedName name="wrn.schedules." localSheetId="15" hidden="1">{"schedule1",#N/A,FALSE,"Sheet1";"schedule2",#N/A,FALSE,"Sheet1";"schedule3",#N/A,FALSE,"Sheet1";"schedule4",#N/A,FALSE,"Sheet1";"schedule5",#N/A,FALSE,"Sheet1";"schedule6",#N/A,FALSE,"Sheet1"}</definedName>
    <definedName name="wrn.schedules." localSheetId="17" hidden="1">{"schedule1",#N/A,FALSE,"Sheet1";"schedule2",#N/A,FALSE,"Sheet1";"schedule3",#N/A,FALSE,"Sheet1";"schedule4",#N/A,FALSE,"Sheet1";"schedule5",#N/A,FALSE,"Sheet1";"schedule6",#N/A,FALSE,"Sheet1"}</definedName>
    <definedName name="wrn.schedules." localSheetId="10" hidden="1">{"schedule1",#N/A,FALSE,"Sheet1";"schedule2",#N/A,FALSE,"Sheet1";"schedule3",#N/A,FALSE,"Sheet1";"schedule4",#N/A,FALSE,"Sheet1";"schedule5",#N/A,FALSE,"Sheet1";"schedule6",#N/A,FALSE,"Sheet1"}</definedName>
    <definedName name="wrn.schedules." localSheetId="13" hidden="1">{"schedule1",#N/A,FALSE,"Sheet1";"schedule2",#N/A,FALSE,"Sheet1";"schedule3",#N/A,FALSE,"Sheet1";"schedule4",#N/A,FALSE,"Sheet1";"schedule5",#N/A,FALSE,"Sheet1";"schedule6",#N/A,FALSE,"Sheet1"}</definedName>
    <definedName name="wrn.schedules." hidden="1">{"schedule1",#N/A,FALSE,"Sheet1";"schedule2",#N/A,FALSE,"Sheet1";"schedule3",#N/A,FALSE,"Sheet1";"schedule4",#N/A,FALSE,"Sheet1";"schedule5",#N/A,FALSE,"Sheet1";"schedule6",#N/A,FALSE,"Sheet1"}</definedName>
    <definedName name="wrn.Sierra." localSheetId="2" hidden="1">{#N/A,#N/A,FALSE,"OXHP"}</definedName>
    <definedName name="wrn.Sierra." localSheetId="21" hidden="1">{#N/A,#N/A,FALSE,"OXHP"}</definedName>
    <definedName name="wrn.Sierra." localSheetId="22" hidden="1">{#N/A,#N/A,FALSE,"OXHP"}</definedName>
    <definedName name="wrn.Sierra." localSheetId="15" hidden="1">{#N/A,#N/A,FALSE,"OXHP"}</definedName>
    <definedName name="wrn.Sierra." localSheetId="17" hidden="1">{#N/A,#N/A,FALSE,"OXHP"}</definedName>
    <definedName name="wrn.Sierra." localSheetId="10" hidden="1">{#N/A,#N/A,FALSE,"OXHP"}</definedName>
    <definedName name="wrn.Sierra." localSheetId="13" hidden="1">{#N/A,#N/A,FALSE,"OXHP"}</definedName>
    <definedName name="wrn.Sierra." hidden="1">{#N/A,#N/A,FALSE,"OXHP"}</definedName>
    <definedName name="wrn.SPG._.Estimate." localSheetId="21" hidden="1">{#N/A,#N/A,FALSE,"Detail";#N/A,#N/A,FALSE,"Totals"}</definedName>
    <definedName name="wrn.SPG._.Estimate." localSheetId="22" hidden="1">{#N/A,#N/A,FALSE,"Detail";#N/A,#N/A,FALSE,"Totals"}</definedName>
    <definedName name="wrn.SPG._.Estimate." localSheetId="17" hidden="1">{#N/A,#N/A,FALSE,"Detail";#N/A,#N/A,FALSE,"Totals"}</definedName>
    <definedName name="wrn.SPG._.Estimate." localSheetId="10" hidden="1">{#N/A,#N/A,FALSE,"Detail";#N/A,#N/A,FALSE,"Totals"}</definedName>
    <definedName name="wrn.SPG._.Estimate." hidden="1">{#N/A,#N/A,FALSE,"Detail";#N/A,#N/A,FALSE,"Totals"}</definedName>
    <definedName name="wrn.Stadium._.PCD." localSheetId="21" hidden="1">{#N/A,#N/A,TRUE,"Ericsson Stadium PCD ";#N/A,#N/A,TRUE,"Ericsson Stadium IOR"}</definedName>
    <definedName name="wrn.Stadium._.PCD." localSheetId="22" hidden="1">{#N/A,#N/A,TRUE,"Ericsson Stadium PCD ";#N/A,#N/A,TRUE,"Ericsson Stadium IOR"}</definedName>
    <definedName name="wrn.Stadium._.PCD." localSheetId="17" hidden="1">{#N/A,#N/A,TRUE,"Ericsson Stadium PCD ";#N/A,#N/A,TRUE,"Ericsson Stadium IOR"}</definedName>
    <definedName name="wrn.Stadium._.PCD." localSheetId="10" hidden="1">{#N/A,#N/A,TRUE,"Ericsson Stadium PCD ";#N/A,#N/A,TRUE,"Ericsson Stadium IOR"}</definedName>
    <definedName name="wrn.Stadium._.PCD." hidden="1">{#N/A,#N/A,TRUE,"Ericsson Stadium PCD ";#N/A,#N/A,TRUE,"Ericsson Stadium IOR"}</definedName>
    <definedName name="wrn.standard." localSheetId="21" hidden="1">{#N/A,#N/A,FALSE,"Title";#N/A,#N/A,FALSE,"EMA";#N/A,#N/A,FALSE,"Components";#N/A,#N/A,FALSE,"Walgreens";#N/A,#N/A,FALSE,"KMart";#N/A,#N/A,FALSE,"CVR Title";#N/A,#N/A,FALSE,"MVIC";#N/A,#N/A,FALSE,"EM Trend";#N/A,#N/A,FALSE,"Econ Aud Charts";#N/A,#N/A,FALSE,"AppxTitle ";#N/A,#N/A,FALSE,"Shaw";#N/A,#N/A,FALSE,"PEERS";#N/A,#N/A,FALSE,"WALGR";#N/A,#N/A,FALSE,"Decomp Chart"}</definedName>
    <definedName name="wrn.standard." localSheetId="22" hidden="1">{#N/A,#N/A,FALSE,"Title";#N/A,#N/A,FALSE,"EMA";#N/A,#N/A,FALSE,"Components";#N/A,#N/A,FALSE,"Walgreens";#N/A,#N/A,FALSE,"KMart";#N/A,#N/A,FALSE,"CVR Title";#N/A,#N/A,FALSE,"MVIC";#N/A,#N/A,FALSE,"EM Trend";#N/A,#N/A,FALSE,"Econ Aud Charts";#N/A,#N/A,FALSE,"AppxTitle ";#N/A,#N/A,FALSE,"Shaw";#N/A,#N/A,FALSE,"PEERS";#N/A,#N/A,FALSE,"WALGR";#N/A,#N/A,FALSE,"Decomp Chart"}</definedName>
    <definedName name="wrn.standard." localSheetId="17" hidden="1">{#N/A,#N/A,FALSE,"Title";#N/A,#N/A,FALSE,"EMA";#N/A,#N/A,FALSE,"Components";#N/A,#N/A,FALSE,"Walgreens";#N/A,#N/A,FALSE,"KMart";#N/A,#N/A,FALSE,"CVR Title";#N/A,#N/A,FALSE,"MVIC";#N/A,#N/A,FALSE,"EM Trend";#N/A,#N/A,FALSE,"Econ Aud Charts";#N/A,#N/A,FALSE,"AppxTitle ";#N/A,#N/A,FALSE,"Shaw";#N/A,#N/A,FALSE,"PEERS";#N/A,#N/A,FALSE,"WALGR";#N/A,#N/A,FALSE,"Decomp Chart"}</definedName>
    <definedName name="wrn.standard." hidden="1">{#N/A,#N/A,FALSE,"Title";#N/A,#N/A,FALSE,"EMA";#N/A,#N/A,FALSE,"Components";#N/A,#N/A,FALSE,"Walgreens";#N/A,#N/A,FALSE,"KMart";#N/A,#N/A,FALSE,"CVR Title";#N/A,#N/A,FALSE,"MVIC";#N/A,#N/A,FALSE,"EM Trend";#N/A,#N/A,FALSE,"Econ Aud Charts";#N/A,#N/A,FALSE,"AppxTitle ";#N/A,#N/A,FALSE,"Shaw";#N/A,#N/A,FALSE,"PEERS";#N/A,#N/A,FALSE,"WALGR";#N/A,#N/A,FALSE,"Decomp Chart"}</definedName>
    <definedName name="wrn.standard.Flagler" localSheetId="21" hidden="1">{#N/A,#N/A,FALSE,"Title";#N/A,#N/A,FALSE,"EMA";#N/A,#N/A,FALSE,"Components";#N/A,#N/A,FALSE,"Walgreens";#N/A,#N/A,FALSE,"KMart";#N/A,#N/A,FALSE,"CVR Title";#N/A,#N/A,FALSE,"MVIC";#N/A,#N/A,FALSE,"EM Trend";#N/A,#N/A,FALSE,"Econ Aud Charts";#N/A,#N/A,FALSE,"AppxTitle ";#N/A,#N/A,FALSE,"Shaw";#N/A,#N/A,FALSE,"PEERS";#N/A,#N/A,FALSE,"WALGR";#N/A,#N/A,FALSE,"Decomp Chart"}</definedName>
    <definedName name="wrn.standard.Flagler" localSheetId="22" hidden="1">{#N/A,#N/A,FALSE,"Title";#N/A,#N/A,FALSE,"EMA";#N/A,#N/A,FALSE,"Components";#N/A,#N/A,FALSE,"Walgreens";#N/A,#N/A,FALSE,"KMart";#N/A,#N/A,FALSE,"CVR Title";#N/A,#N/A,FALSE,"MVIC";#N/A,#N/A,FALSE,"EM Trend";#N/A,#N/A,FALSE,"Econ Aud Charts";#N/A,#N/A,FALSE,"AppxTitle ";#N/A,#N/A,FALSE,"Shaw";#N/A,#N/A,FALSE,"PEERS";#N/A,#N/A,FALSE,"WALGR";#N/A,#N/A,FALSE,"Decomp Chart"}</definedName>
    <definedName name="wrn.standard.Flagler" localSheetId="17" hidden="1">{#N/A,#N/A,FALSE,"Title";#N/A,#N/A,FALSE,"EMA";#N/A,#N/A,FALSE,"Components";#N/A,#N/A,FALSE,"Walgreens";#N/A,#N/A,FALSE,"KMart";#N/A,#N/A,FALSE,"CVR Title";#N/A,#N/A,FALSE,"MVIC";#N/A,#N/A,FALSE,"EM Trend";#N/A,#N/A,FALSE,"Econ Aud Charts";#N/A,#N/A,FALSE,"AppxTitle ";#N/A,#N/A,FALSE,"Shaw";#N/A,#N/A,FALSE,"PEERS";#N/A,#N/A,FALSE,"WALGR";#N/A,#N/A,FALSE,"Decomp Chart"}</definedName>
    <definedName name="wrn.standard.Flagler" hidden="1">{#N/A,#N/A,FALSE,"Title";#N/A,#N/A,FALSE,"EMA";#N/A,#N/A,FALSE,"Components";#N/A,#N/A,FALSE,"Walgreens";#N/A,#N/A,FALSE,"KMart";#N/A,#N/A,FALSE,"CVR Title";#N/A,#N/A,FALSE,"MVIC";#N/A,#N/A,FALSE,"EM Trend";#N/A,#N/A,FALSE,"Econ Aud Charts";#N/A,#N/A,FALSE,"AppxTitle ";#N/A,#N/A,FALSE,"Shaw";#N/A,#N/A,FALSE,"PEERS";#N/A,#N/A,FALSE,"WALGR";#N/A,#N/A,FALSE,"Decomp Chart"}</definedName>
    <definedName name="wrn.Structural._.Frame." localSheetId="21" hidden="1">{"structural",#N/A,FALSE,"DETAIL.XLS"}</definedName>
    <definedName name="wrn.Structural._.Frame." localSheetId="22" hidden="1">{"structural",#N/A,FALSE,"DETAIL.XLS"}</definedName>
    <definedName name="wrn.Structural._.Frame." localSheetId="17" hidden="1">{"structural",#N/A,FALSE,"DETAIL.XLS"}</definedName>
    <definedName name="wrn.Structural._.Frame." localSheetId="10" hidden="1">{"structural",#N/A,FALSE,"DETAIL.XLS"}</definedName>
    <definedName name="wrn.Structural._.Frame." hidden="1">{"structural",#N/A,FALSE,"DETAIL.XLS"}</definedName>
    <definedName name="wrn.SUM._.ONLY." localSheetId="21" hidden="1">{"SUMMARY",#N/A,FALSE,"BIDSUM"}</definedName>
    <definedName name="wrn.SUM._.ONLY." localSheetId="22" hidden="1">{"SUMMARY",#N/A,FALSE,"BIDSUM"}</definedName>
    <definedName name="wrn.SUM._.ONLY." localSheetId="17" hidden="1">{"SUMMARY",#N/A,FALSE,"BIDSUM"}</definedName>
    <definedName name="wrn.SUM._.ONLY." localSheetId="10" hidden="1">{"SUMMARY",#N/A,FALSE,"BIDSUM"}</definedName>
    <definedName name="wrn.SUM._.ONLY." hidden="1">{"SUMMARY",#N/A,FALSE,"BIDSUM"}</definedName>
    <definedName name="wrn.SUM._.WITH._.GC." localSheetId="21" hidden="1">{"SUMMARY",#N/A,FALSE,"BIDSUM";"SUMALTS",#N/A,FALSE,"BIDSUM";#N/A,#N/A,FALSE,"GCOND"}</definedName>
    <definedName name="wrn.SUM._.WITH._.GC." localSheetId="22" hidden="1">{"SUMMARY",#N/A,FALSE,"BIDSUM";"SUMALTS",#N/A,FALSE,"BIDSUM";#N/A,#N/A,FALSE,"GCOND"}</definedName>
    <definedName name="wrn.SUM._.WITH._.GC." localSheetId="17" hidden="1">{"SUMMARY",#N/A,FALSE,"BIDSUM";"SUMALTS",#N/A,FALSE,"BIDSUM";#N/A,#N/A,FALSE,"GCOND"}</definedName>
    <definedName name="wrn.SUM._.WITH._.GC." localSheetId="10" hidden="1">{"SUMMARY",#N/A,FALSE,"BIDSUM";"SUMALTS",#N/A,FALSE,"BIDSUM";#N/A,#N/A,FALSE,"GCOND"}</definedName>
    <definedName name="wrn.SUM._.WITH._.GC." hidden="1">{"SUMMARY",#N/A,FALSE,"BIDSUM";"SUMALTS",#N/A,FALSE,"BIDSUM";#N/A,#N/A,FALSE,"GCOND"}</definedName>
    <definedName name="wrn.Summary." localSheetId="2" hidden="1">{#N/A,#N/A,FALSE,"Summary"}</definedName>
    <definedName name="wrn.Summary." localSheetId="21" hidden="1">{#N/A,#N/A,FALSE,"Summary"}</definedName>
    <definedName name="wrn.Summary." localSheetId="22" hidden="1">{#N/A,#N/A,FALSE,"Summary"}</definedName>
    <definedName name="wrn.Summary." localSheetId="15" hidden="1">{#N/A,#N/A,FALSE,"Summary"}</definedName>
    <definedName name="wrn.Summary." localSheetId="17" hidden="1">{#N/A,#N/A,FALSE,"Summary"}</definedName>
    <definedName name="wrn.Summary." localSheetId="10" hidden="1">{#N/A,#N/A,FALSE,"Summary"}</definedName>
    <definedName name="wrn.Summary." localSheetId="13" hidden="1">{#N/A,#N/A,FALSE,"Summary"}</definedName>
    <definedName name="wrn.Summary." hidden="1">{#N/A,#N/A,FALSE,"Summary"}</definedName>
    <definedName name="wrn.TANASBOURNE._.ONLY." localSheetId="2" hidden="1">{#N/A,#N/A,FALSE,"Expense Comparison"}</definedName>
    <definedName name="wrn.TANASBOURNE._.ONLY." localSheetId="21" hidden="1">{#N/A,#N/A,FALSE,"Expense Comparison"}</definedName>
    <definedName name="wrn.TANASBOURNE._.ONLY." localSheetId="22" hidden="1">{#N/A,#N/A,FALSE,"Expense Comparison"}</definedName>
    <definedName name="wrn.TANASBOURNE._.ONLY." localSheetId="15" hidden="1">{#N/A,#N/A,FALSE,"Expense Comparison"}</definedName>
    <definedName name="wrn.TANASBOURNE._.ONLY." localSheetId="17" hidden="1">{#N/A,#N/A,FALSE,"Expense Comparison"}</definedName>
    <definedName name="wrn.TANASBOURNE._.ONLY." localSheetId="10" hidden="1">{#N/A,#N/A,FALSE,"Expense Comparison"}</definedName>
    <definedName name="wrn.TANASBOURNE._.ONLY." localSheetId="13" hidden="1">{#N/A,#N/A,FALSE,"Expense Comparison"}</definedName>
    <definedName name="wrn.TANASBOURNE._.ONLY." hidden="1">{#N/A,#N/A,FALSE,"Expense Comparison"}</definedName>
    <definedName name="wrn.Template." localSheetId="21" hidden="1">{#N/A,#N/A,FALSE,"1_Executive Summary";#N/A,#N/A,FALSE,"2_Assumptions";#N/A,#N/A,FALSE,"3_Footnotes";#N/A,#N/A,FALSE,"4_Cash Flow";#N/A,#N/A,FALSE,"6_Residual - Marketing";#N/A,#N/A,FALSE,"7_Residual Matrix";#N/A,#N/A,FALSE,"8_Pricing Matrix";#N/A,#N/A,FALSE,"9_Value Matrix";#N/A,#N/A,FALSE,"10_Vacancy Detail";#N/A,#N/A,FALSE,"11_Basic Expiration"}</definedName>
    <definedName name="wrn.Template." localSheetId="22" hidden="1">{#N/A,#N/A,FALSE,"1_Executive Summary";#N/A,#N/A,FALSE,"2_Assumptions";#N/A,#N/A,FALSE,"3_Footnotes";#N/A,#N/A,FALSE,"4_Cash Flow";#N/A,#N/A,FALSE,"6_Residual - Marketing";#N/A,#N/A,FALSE,"7_Residual Matrix";#N/A,#N/A,FALSE,"8_Pricing Matrix";#N/A,#N/A,FALSE,"9_Value Matrix";#N/A,#N/A,FALSE,"10_Vacancy Detail";#N/A,#N/A,FALSE,"11_Basic Expiration"}</definedName>
    <definedName name="wrn.Template." localSheetId="17" hidden="1">{#N/A,#N/A,FALSE,"1_Executive Summary";#N/A,#N/A,FALSE,"2_Assumptions";#N/A,#N/A,FALSE,"3_Footnotes";#N/A,#N/A,FALSE,"4_Cash Flow";#N/A,#N/A,FALSE,"6_Residual - Marketing";#N/A,#N/A,FALSE,"7_Residual Matrix";#N/A,#N/A,FALSE,"8_Pricing Matrix";#N/A,#N/A,FALSE,"9_Value Matrix";#N/A,#N/A,FALSE,"10_Vacancy Detail";#N/A,#N/A,FALSE,"11_Basic Expiration"}</definedName>
    <definedName name="wrn.Template." localSheetId="10" hidden="1">{#N/A,#N/A,FALSE,"1_Executive Summary";#N/A,#N/A,FALSE,"2_Assumptions";#N/A,#N/A,FALSE,"3_Footnotes";#N/A,#N/A,FALSE,"4_Cash Flow";#N/A,#N/A,FALSE,"6_Residual - Marketing";#N/A,#N/A,FALSE,"7_Residual Matrix";#N/A,#N/A,FALSE,"8_Pricing Matrix";#N/A,#N/A,FALSE,"9_Value Matrix";#N/A,#N/A,FALSE,"10_Vacancy Detail";#N/A,#N/A,FALSE,"11_Basic Expiration"}</definedName>
    <definedName name="wrn.Template." hidden="1">{#N/A,#N/A,FALSE,"1_Executive Summary";#N/A,#N/A,FALSE,"2_Assumptions";#N/A,#N/A,FALSE,"3_Footnotes";#N/A,#N/A,FALSE,"4_Cash Flow";#N/A,#N/A,FALSE,"6_Residual - Marketing";#N/A,#N/A,FALSE,"7_Residual Matrix";#N/A,#N/A,FALSE,"8_Pricing Matrix";#N/A,#N/A,FALSE,"9_Value Matrix";#N/A,#N/A,FALSE,"10_Vacancy Detail";#N/A,#N/A,FALSE,"11_Basic Expiration"}</definedName>
    <definedName name="wrn.TEST1." localSheetId="2" hidden="1">{"TEST1",#N/A,FALSE,"SIMPLIFD"}</definedName>
    <definedName name="wrn.TEST1." localSheetId="21" hidden="1">{"TEST1",#N/A,FALSE,"SIMPLIFD"}</definedName>
    <definedName name="wrn.TEST1." localSheetId="22" hidden="1">{"TEST1",#N/A,FALSE,"SIMPLIFD"}</definedName>
    <definedName name="wrn.TEST1." localSheetId="15" hidden="1">{"TEST1",#N/A,FALSE,"SIMPLIFD"}</definedName>
    <definedName name="wrn.TEST1." localSheetId="17" hidden="1">{"TEST1",#N/A,FALSE,"SIMPLIFD"}</definedName>
    <definedName name="wrn.TEST1." localSheetId="10" hidden="1">{"TEST1",#N/A,FALSE,"SIMPLIFD"}</definedName>
    <definedName name="wrn.TEST1." localSheetId="13" hidden="1">{"TEST1",#N/A,FALSE,"SIMPLIFD"}</definedName>
    <definedName name="wrn.TEST1." hidden="1">{"TEST1",#N/A,FALSE,"SIMPLIFD"}</definedName>
    <definedName name="wrn.Texas._.All." hidden="1">{"Texas Sub_Consolidation",#N/A,TRUE,"Texas";"Texas Trial Balances",#N/A,TRUE,"Texas";"Texas Investment Analysis",#N/A,TRUE,"Texas";"Texas AJEs",#N/A,TRUE,"Texas";"Texas AJE Summary",#N/A,TRUE,"Texas";"Texas_P_L_Minority",#N/A,TRUE,"Texas"}</definedName>
    <definedName name="wrn.Total." localSheetId="21" hidden="1">{#N/A,#N/A,FALSE,"Exec Sum";#N/A,#N/A,FALSE,"Rent Rate Comp";#N/A,#N/A,FALSE,"Rate, NPV Comp";#N/A,#N/A,FALSE,"Opt A NNN";#N/A,#N/A,FALSE,"15-yr Opt. A Sum";#N/A,#N/A,FALSE,"15-yr Opt A Other Costs";#N/A,#N/A,FALSE,"10-yr Opt. A Sum";#N/A,#N/A,FALSE,"10-yr Opt A Other Costs";#N/A,#N/A,FALSE,"NPV Calc"}</definedName>
    <definedName name="wrn.Total." localSheetId="22" hidden="1">{#N/A,#N/A,FALSE,"Exec Sum";#N/A,#N/A,FALSE,"Rent Rate Comp";#N/A,#N/A,FALSE,"Rate, NPV Comp";#N/A,#N/A,FALSE,"Opt A NNN";#N/A,#N/A,FALSE,"15-yr Opt. A Sum";#N/A,#N/A,FALSE,"15-yr Opt A Other Costs";#N/A,#N/A,FALSE,"10-yr Opt. A Sum";#N/A,#N/A,FALSE,"10-yr Opt A Other Costs";#N/A,#N/A,FALSE,"NPV Calc"}</definedName>
    <definedName name="wrn.Total." localSheetId="17" hidden="1">{#N/A,#N/A,FALSE,"Exec Sum";#N/A,#N/A,FALSE,"Rent Rate Comp";#N/A,#N/A,FALSE,"Rate, NPV Comp";#N/A,#N/A,FALSE,"Opt A NNN";#N/A,#N/A,FALSE,"15-yr Opt. A Sum";#N/A,#N/A,FALSE,"15-yr Opt A Other Costs";#N/A,#N/A,FALSE,"10-yr Opt. A Sum";#N/A,#N/A,FALSE,"10-yr Opt A Other Costs";#N/A,#N/A,FALSE,"NPV Calc"}</definedName>
    <definedName name="wrn.Total." localSheetId="10" hidden="1">{#N/A,#N/A,FALSE,"Exec Sum";#N/A,#N/A,FALSE,"Rent Rate Comp";#N/A,#N/A,FALSE,"Rate, NPV Comp";#N/A,#N/A,FALSE,"Opt A NNN";#N/A,#N/A,FALSE,"15-yr Opt. A Sum";#N/A,#N/A,FALSE,"15-yr Opt A Other Costs";#N/A,#N/A,FALSE,"10-yr Opt. A Sum";#N/A,#N/A,FALSE,"10-yr Opt A Other Costs";#N/A,#N/A,FALSE,"NPV Calc"}</definedName>
    <definedName name="wrn.Total." hidden="1">{#N/A,#N/A,FALSE,"Exec Sum";#N/A,#N/A,FALSE,"Rent Rate Comp";#N/A,#N/A,FALSE,"Rate, NPV Comp";#N/A,#N/A,FALSE,"Opt A NNN";#N/A,#N/A,FALSE,"15-yr Opt. A Sum";#N/A,#N/A,FALSE,"15-yr Opt A Other Costs";#N/A,#N/A,FALSE,"10-yr Opt. A Sum";#N/A,#N/A,FALSE,"10-yr Opt A Other Costs";#N/A,#N/A,FALSE,"NPV Calc"}</definedName>
    <definedName name="wrn.TOTAL._.SHEETS." localSheetId="21" hidden="1">{#N/A,#N/A,FALSE,"DEV COSTS";#N/A,#N/A,FALSE,"10-YR C. F."}</definedName>
    <definedName name="wrn.TOTAL._.SHEETS." localSheetId="22" hidden="1">{#N/A,#N/A,FALSE,"DEV COSTS";#N/A,#N/A,FALSE,"10-YR C. F."}</definedName>
    <definedName name="wrn.TOTAL._.SHEETS." localSheetId="17" hidden="1">{#N/A,#N/A,FALSE,"DEV COSTS";#N/A,#N/A,FALSE,"10-YR C. F."}</definedName>
    <definedName name="wrn.TOTAL._.SHEETS." localSheetId="10" hidden="1">{#N/A,#N/A,FALSE,"DEV COSTS";#N/A,#N/A,FALSE,"10-YR C. F."}</definedName>
    <definedName name="wrn.TOTAL._.SHEETS." hidden="1">{#N/A,#N/A,FALSE,"DEV COSTS";#N/A,#N/A,FALSE,"10-YR C. F."}</definedName>
    <definedName name="wrn.Tycon._.Model." localSheetId="2" hidden="1">{"rtn",#N/A,FALSE,"RTN";"tables",#N/A,FALSE,"RTN";"cf",#N/A,FALSE,"CF";"stats",#N/A,FALSE,"Stats";"prop",#N/A,FALSE,"Prop"}</definedName>
    <definedName name="wrn.Tycon._.Model." localSheetId="21" hidden="1">{"rtn",#N/A,FALSE,"RTN";"tables",#N/A,FALSE,"RTN";"cf",#N/A,FALSE,"CF";"stats",#N/A,FALSE,"Stats";"prop",#N/A,FALSE,"Prop"}</definedName>
    <definedName name="wrn.Tycon._.Model." localSheetId="22" hidden="1">{"rtn",#N/A,FALSE,"RTN";"tables",#N/A,FALSE,"RTN";"cf",#N/A,FALSE,"CF";"stats",#N/A,FALSE,"Stats";"prop",#N/A,FALSE,"Prop"}</definedName>
    <definedName name="wrn.Tycon._.Model." localSheetId="15" hidden="1">{"rtn",#N/A,FALSE,"RTN";"tables",#N/A,FALSE,"RTN";"cf",#N/A,FALSE,"CF";"stats",#N/A,FALSE,"Stats";"prop",#N/A,FALSE,"Prop"}</definedName>
    <definedName name="wrn.Tycon._.Model." localSheetId="17" hidden="1">{"rtn",#N/A,FALSE,"RTN";"tables",#N/A,FALSE,"RTN";"cf",#N/A,FALSE,"CF";"stats",#N/A,FALSE,"Stats";"prop",#N/A,FALSE,"Prop"}</definedName>
    <definedName name="wrn.Tycon._.Model." localSheetId="10" hidden="1">{"rtn",#N/A,FALSE,"RTN";"tables",#N/A,FALSE,"RTN";"cf",#N/A,FALSE,"CF";"stats",#N/A,FALSE,"Stats";"prop",#N/A,FALSE,"Prop"}</definedName>
    <definedName name="wrn.Tycon._.Model." localSheetId="13" hidden="1">{"rtn",#N/A,FALSE,"RTN";"tables",#N/A,FALSE,"RTN";"cf",#N/A,FALSE,"CF";"stats",#N/A,FALSE,"Stats";"prop",#N/A,FALSE,"Prop"}</definedName>
    <definedName name="wrn.Tycon._.Model." hidden="1">{"rtn",#N/A,FALSE,"RTN";"tables",#N/A,FALSE,"RTN";"cf",#N/A,FALSE,"CF";"stats",#N/A,FALSE,"Stats";"prop",#N/A,FALSE,"Prop"}</definedName>
    <definedName name="wrn.USSC_Reports." localSheetId="4" hidden="1">{#N/A,#N/A,FALSE,"9Pricing Matrix";#N/A,#N/A,FALSE,"1Summary";#N/A,#N/A,FALSE,"2Assumptions";#N/A,#N/A,FALSE,"3Cash Flow";#N/A,#N/A,FALSE,"5Residual";#N/A,#N/A,FALSE,"Occupancy Cost";#N/A,#N/A,FALSE,"7Financing Sensitivity";#N/A,#N/A,FALSE,"8Residual Sensitivity";#N/A,#N/A,FALSE,"10Vacancy Matrix";#N/A,#N/A,FALSE,"11Expiration Schedule";#N/A,#N/A,FALSE,"12Lease-up Schedule";#N/A,#N/A,FALSE,"OFS-Lease-up Schedule";#N/A,#N/A,FALSE,"Short Holds"}</definedName>
    <definedName name="wrn.USSC_Reports." localSheetId="3" hidden="1">{#N/A,#N/A,FALSE,"9Pricing Matrix";#N/A,#N/A,FALSE,"1Summary";#N/A,#N/A,FALSE,"2Assumptions";#N/A,#N/A,FALSE,"3Cash Flow";#N/A,#N/A,FALSE,"5Residual";#N/A,#N/A,FALSE,"Occupancy Cost";#N/A,#N/A,FALSE,"7Financing Sensitivity";#N/A,#N/A,FALSE,"8Residual Sensitivity";#N/A,#N/A,FALSE,"10Vacancy Matrix";#N/A,#N/A,FALSE,"11Expiration Schedule";#N/A,#N/A,FALSE,"12Lease-up Schedule";#N/A,#N/A,FALSE,"OFS-Lease-up Schedule";#N/A,#N/A,FALSE,"Short Holds"}</definedName>
    <definedName name="wrn.USSC_Reports." localSheetId="5" hidden="1">{#N/A,#N/A,FALSE,"9Pricing Matrix";#N/A,#N/A,FALSE,"1Summary";#N/A,#N/A,FALSE,"2Assumptions";#N/A,#N/A,FALSE,"3Cash Flow";#N/A,#N/A,FALSE,"5Residual";#N/A,#N/A,FALSE,"Occupancy Cost";#N/A,#N/A,FALSE,"7Financing Sensitivity";#N/A,#N/A,FALSE,"8Residual Sensitivity";#N/A,#N/A,FALSE,"10Vacancy Matrix";#N/A,#N/A,FALSE,"11Expiration Schedule";#N/A,#N/A,FALSE,"12Lease-up Schedule";#N/A,#N/A,FALSE,"OFS-Lease-up Schedule";#N/A,#N/A,FALSE,"Short Holds"}</definedName>
    <definedName name="wrn.USSC_Reports." localSheetId="2" hidden="1">{#N/A,#N/A,FALSE,"9Pricing Matrix";#N/A,#N/A,FALSE,"1Summary";#N/A,#N/A,FALSE,"2Assumptions";#N/A,#N/A,FALSE,"3Cash Flow";#N/A,#N/A,FALSE,"5Residual";#N/A,#N/A,FALSE,"Occupancy Cost";#N/A,#N/A,FALSE,"7Financing Sensitivity";#N/A,#N/A,FALSE,"8Residual Sensitivity";#N/A,#N/A,FALSE,"10Vacancy Matrix";#N/A,#N/A,FALSE,"11Expiration Schedule";#N/A,#N/A,FALSE,"12Lease-up Schedule";#N/A,#N/A,FALSE,"OFS-Lease-up Schedule";#N/A,#N/A,FALSE,"Short Holds"}</definedName>
    <definedName name="wrn.USSC_Reports." localSheetId="21" hidden="1">{#N/A,#N/A,FALSE,"9Pricing Matrix";#N/A,#N/A,FALSE,"1Summary";#N/A,#N/A,FALSE,"2Assumptions";#N/A,#N/A,FALSE,"3Cash Flow";#N/A,#N/A,FALSE,"5Residual";#N/A,#N/A,FALSE,"Occupancy Cost";#N/A,#N/A,FALSE,"7Financing Sensitivity";#N/A,#N/A,FALSE,"8Residual Sensitivity";#N/A,#N/A,FALSE,"10Vacancy Matrix";#N/A,#N/A,FALSE,"11Expiration Schedule";#N/A,#N/A,FALSE,"12Lease-up Schedule";#N/A,#N/A,FALSE,"OFS-Lease-up Schedule";#N/A,#N/A,FALSE,"Short Holds"}</definedName>
    <definedName name="wrn.USSC_Reports." localSheetId="22" hidden="1">{#N/A,#N/A,FALSE,"9Pricing Matrix";#N/A,#N/A,FALSE,"1Summary";#N/A,#N/A,FALSE,"2Assumptions";#N/A,#N/A,FALSE,"3Cash Flow";#N/A,#N/A,FALSE,"5Residual";#N/A,#N/A,FALSE,"Occupancy Cost";#N/A,#N/A,FALSE,"7Financing Sensitivity";#N/A,#N/A,FALSE,"8Residual Sensitivity";#N/A,#N/A,FALSE,"10Vacancy Matrix";#N/A,#N/A,FALSE,"11Expiration Schedule";#N/A,#N/A,FALSE,"12Lease-up Schedule";#N/A,#N/A,FALSE,"OFS-Lease-up Schedule";#N/A,#N/A,FALSE,"Short Holds"}</definedName>
    <definedName name="wrn.USSC_Reports." localSheetId="15" hidden="1">{#N/A,#N/A,FALSE,"9Pricing Matrix";#N/A,#N/A,FALSE,"1Summary";#N/A,#N/A,FALSE,"2Assumptions";#N/A,#N/A,FALSE,"3Cash Flow";#N/A,#N/A,FALSE,"5Residual";#N/A,#N/A,FALSE,"Occupancy Cost";#N/A,#N/A,FALSE,"7Financing Sensitivity";#N/A,#N/A,FALSE,"8Residual Sensitivity";#N/A,#N/A,FALSE,"10Vacancy Matrix";#N/A,#N/A,FALSE,"11Expiration Schedule";#N/A,#N/A,FALSE,"12Lease-up Schedule";#N/A,#N/A,FALSE,"OFS-Lease-up Schedule";#N/A,#N/A,FALSE,"Short Holds"}</definedName>
    <definedName name="wrn.USSC_Reports." localSheetId="17" hidden="1">{#N/A,#N/A,FALSE,"9Pricing Matrix";#N/A,#N/A,FALSE,"1Summary";#N/A,#N/A,FALSE,"2Assumptions";#N/A,#N/A,FALSE,"3Cash Flow";#N/A,#N/A,FALSE,"5Residual";#N/A,#N/A,FALSE,"Occupancy Cost";#N/A,#N/A,FALSE,"7Financing Sensitivity";#N/A,#N/A,FALSE,"8Residual Sensitivity";#N/A,#N/A,FALSE,"10Vacancy Matrix";#N/A,#N/A,FALSE,"11Expiration Schedule";#N/A,#N/A,FALSE,"12Lease-up Schedule";#N/A,#N/A,FALSE,"OFS-Lease-up Schedule";#N/A,#N/A,FALSE,"Short Holds"}</definedName>
    <definedName name="wrn.USSC_Reports." localSheetId="10" hidden="1">{#N/A,#N/A,FALSE,"9Pricing Matrix";#N/A,#N/A,FALSE,"1Summary";#N/A,#N/A,FALSE,"2Assumptions";#N/A,#N/A,FALSE,"3Cash Flow";#N/A,#N/A,FALSE,"5Residual";#N/A,#N/A,FALSE,"Occupancy Cost";#N/A,#N/A,FALSE,"7Financing Sensitivity";#N/A,#N/A,FALSE,"8Residual Sensitivity";#N/A,#N/A,FALSE,"10Vacancy Matrix";#N/A,#N/A,FALSE,"11Expiration Schedule";#N/A,#N/A,FALSE,"12Lease-up Schedule";#N/A,#N/A,FALSE,"OFS-Lease-up Schedule";#N/A,#N/A,FALSE,"Short Holds"}</definedName>
    <definedName name="wrn.USSC_Reports." localSheetId="13" hidden="1">{#N/A,#N/A,FALSE,"9Pricing Matrix";#N/A,#N/A,FALSE,"1Summary";#N/A,#N/A,FALSE,"2Assumptions";#N/A,#N/A,FALSE,"3Cash Flow";#N/A,#N/A,FALSE,"5Residual";#N/A,#N/A,FALSE,"Occupancy Cost";#N/A,#N/A,FALSE,"7Financing Sensitivity";#N/A,#N/A,FALSE,"8Residual Sensitivity";#N/A,#N/A,FALSE,"10Vacancy Matrix";#N/A,#N/A,FALSE,"11Expiration Schedule";#N/A,#N/A,FALSE,"12Lease-up Schedule";#N/A,#N/A,FALSE,"OFS-Lease-up Schedule";#N/A,#N/A,FALSE,"Short Holds"}</definedName>
    <definedName name="wrn.USSC_Reports." hidden="1">{#N/A,#N/A,FALSE,"9Pricing Matrix";#N/A,#N/A,FALSE,"1Summary";#N/A,#N/A,FALSE,"2Assumptions";#N/A,#N/A,FALSE,"3Cash Flow";#N/A,#N/A,FALSE,"5Residual";#N/A,#N/A,FALSE,"Occupancy Cost";#N/A,#N/A,FALSE,"7Financing Sensitivity";#N/A,#N/A,FALSE,"8Residual Sensitivity";#N/A,#N/A,FALSE,"10Vacancy Matrix";#N/A,#N/A,FALSE,"11Expiration Schedule";#N/A,#N/A,FALSE,"12Lease-up Schedule";#N/A,#N/A,FALSE,"OFS-Lease-up Schedule";#N/A,#N/A,FALSE,"Short Holds"}</definedName>
    <definedName name="wrn.Variance." localSheetId="21" hidden="1">{#N/A,#N/A,FALSE,"CCC Variance";#N/A,#N/A,FALSE,"CCC Notes"}</definedName>
    <definedName name="wrn.Variance." localSheetId="22" hidden="1">{#N/A,#N/A,FALSE,"CCC Variance";#N/A,#N/A,FALSE,"CCC Notes"}</definedName>
    <definedName name="wrn.Variance." localSheetId="17" hidden="1">{#N/A,#N/A,FALSE,"CCC Variance";#N/A,#N/A,FALSE,"CCC Notes"}</definedName>
    <definedName name="wrn.Variance." localSheetId="10" hidden="1">{#N/A,#N/A,FALSE,"CCC Variance";#N/A,#N/A,FALSE,"CCC Notes"}</definedName>
    <definedName name="wrn.Variance." hidden="1">{#N/A,#N/A,FALSE,"CCC Variance";#N/A,#N/A,FALSE,"CCC Notes"}</definedName>
    <definedName name="wrn.Variance._.Report." localSheetId="21" hidden="1">{"Variance View",#N/A,FALSE,"JSI "}</definedName>
    <definedName name="wrn.Variance._.Report." localSheetId="22" hidden="1">{"Variance View",#N/A,FALSE,"JSI "}</definedName>
    <definedName name="wrn.Variance._.Report." localSheetId="17" hidden="1">{"Variance View",#N/A,FALSE,"JSI "}</definedName>
    <definedName name="wrn.Variance._.Report." localSheetId="10" hidden="1">{"Variance View",#N/A,FALSE,"JSI "}</definedName>
    <definedName name="wrn.Variance._.Report." hidden="1">{"Variance View",#N/A,FALSE,"JSI "}</definedName>
    <definedName name="wrn.Year._.End._.APF._.reports." localSheetId="2" hidden="1">{#N/A,#N/A,FALSE,"Summary";#N/A,#N/A,FALSE,"CVI04";#N/A,#N/A,FALSE,"REG04";#N/A,#N/A,FALSE,"HAL04";#N/A,#N/A,FALSE,"WPL04";#N/A,#N/A,FALSE,"RPL04";#N/A,#N/A,FALSE,"GVA04";#N/A,#N/A,FALSE,"LRJKL04";#N/A,#N/A,FALSE,"RGW04";#N/A,#N/A,FALSE,"RHL04sum ";#N/A,#N/A,FALSE,"WPM04sum"}</definedName>
    <definedName name="wrn.Year._.End._.APF._.reports." localSheetId="21" hidden="1">{#N/A,#N/A,FALSE,"Summary";#N/A,#N/A,FALSE,"CVI04";#N/A,#N/A,FALSE,"REG04";#N/A,#N/A,FALSE,"HAL04";#N/A,#N/A,FALSE,"WPL04";#N/A,#N/A,FALSE,"RPL04";#N/A,#N/A,FALSE,"GVA04";#N/A,#N/A,FALSE,"LRJKL04";#N/A,#N/A,FALSE,"RGW04";#N/A,#N/A,FALSE,"RHL04sum ";#N/A,#N/A,FALSE,"WPM04sum"}</definedName>
    <definedName name="wrn.Year._.End._.APF._.reports." localSheetId="11" hidden="1">{#N/A,#N/A,FALSE,"Summary";#N/A,#N/A,FALSE,"CVI04";#N/A,#N/A,FALSE,"REG04";#N/A,#N/A,FALSE,"HAL04";#N/A,#N/A,FALSE,"WPL04";#N/A,#N/A,FALSE,"RPL04";#N/A,#N/A,FALSE,"GVA04";#N/A,#N/A,FALSE,"LRJKL04";#N/A,#N/A,FALSE,"RGW04";#N/A,#N/A,FALSE,"RHL04sum ";#N/A,#N/A,FALSE,"WPM04sum"}</definedName>
    <definedName name="wrn.Year._.End._.APF._.reports." localSheetId="22" hidden="1">{#N/A,#N/A,FALSE,"Summary";#N/A,#N/A,FALSE,"CVI04";#N/A,#N/A,FALSE,"REG04";#N/A,#N/A,FALSE,"HAL04";#N/A,#N/A,FALSE,"WPL04";#N/A,#N/A,FALSE,"RPL04";#N/A,#N/A,FALSE,"GVA04";#N/A,#N/A,FALSE,"LRJKL04";#N/A,#N/A,FALSE,"RGW04";#N/A,#N/A,FALSE,"RHL04sum ";#N/A,#N/A,FALSE,"WPM04sum"}</definedName>
    <definedName name="wrn.Year._.End._.APF._.reports." localSheetId="15" hidden="1">{#N/A,#N/A,FALSE,"Summary";#N/A,#N/A,FALSE,"CVI04";#N/A,#N/A,FALSE,"REG04";#N/A,#N/A,FALSE,"HAL04";#N/A,#N/A,FALSE,"WPL04";#N/A,#N/A,FALSE,"RPL04";#N/A,#N/A,FALSE,"GVA04";#N/A,#N/A,FALSE,"LRJKL04";#N/A,#N/A,FALSE,"RGW04";#N/A,#N/A,FALSE,"RHL04sum ";#N/A,#N/A,FALSE,"WPM04sum"}</definedName>
    <definedName name="wrn.Year._.End._.APF._.reports." localSheetId="17" hidden="1">{#N/A,#N/A,FALSE,"Summary";#N/A,#N/A,FALSE,"CVI04";#N/A,#N/A,FALSE,"REG04";#N/A,#N/A,FALSE,"HAL04";#N/A,#N/A,FALSE,"WPL04";#N/A,#N/A,FALSE,"RPL04";#N/A,#N/A,FALSE,"GVA04";#N/A,#N/A,FALSE,"LRJKL04";#N/A,#N/A,FALSE,"RGW04";#N/A,#N/A,FALSE,"RHL04sum ";#N/A,#N/A,FALSE,"WPM04sum"}</definedName>
    <definedName name="wrn.Year._.End._.APF._.reports." localSheetId="10" hidden="1">{#N/A,#N/A,FALSE,"Summary";#N/A,#N/A,FALSE,"CVI04";#N/A,#N/A,FALSE,"REG04";#N/A,#N/A,FALSE,"HAL04";#N/A,#N/A,FALSE,"WPL04";#N/A,#N/A,FALSE,"RPL04";#N/A,#N/A,FALSE,"GVA04";#N/A,#N/A,FALSE,"LRJKL04";#N/A,#N/A,FALSE,"RGW04";#N/A,#N/A,FALSE,"RHL04sum ";#N/A,#N/A,FALSE,"WPM04sum"}</definedName>
    <definedName name="wrn.Year._.End._.APF._.reports." localSheetId="13" hidden="1">{#N/A,#N/A,FALSE,"Summary";#N/A,#N/A,FALSE,"CVI04";#N/A,#N/A,FALSE,"REG04";#N/A,#N/A,FALSE,"HAL04";#N/A,#N/A,FALSE,"WPL04";#N/A,#N/A,FALSE,"RPL04";#N/A,#N/A,FALSE,"GVA04";#N/A,#N/A,FALSE,"LRJKL04";#N/A,#N/A,FALSE,"RGW04";#N/A,#N/A,FALSE,"RHL04sum ";#N/A,#N/A,FALSE,"WPM04sum"}</definedName>
    <definedName name="wrn.Year._.End._.APF._.reports." hidden="1">{#N/A,#N/A,FALSE,"Summary";#N/A,#N/A,FALSE,"CVI04";#N/A,#N/A,FALSE,"REG04";#N/A,#N/A,FALSE,"HAL04";#N/A,#N/A,FALSE,"WPL04";#N/A,#N/A,FALSE,"RPL04";#N/A,#N/A,FALSE,"GVA04";#N/A,#N/A,FALSE,"LRJKL04";#N/A,#N/A,FALSE,"RGW04";#N/A,#N/A,FALSE,"RHL04sum ";#N/A,#N/A,FALSE,"WPM04sum"}</definedName>
    <definedName name="xxx3" localSheetId="2" hidden="1">{"AnnualRentRoll",#N/A,FALSE,"RentRoll"}</definedName>
    <definedName name="xxx3" localSheetId="21" hidden="1">{"AnnualRentRoll",#N/A,FALSE,"RentRoll"}</definedName>
    <definedName name="xxx3" localSheetId="22" hidden="1">{"AnnualRentRoll",#N/A,FALSE,"RentRoll"}</definedName>
    <definedName name="xxx3" localSheetId="15" hidden="1">{"AnnualRentRoll",#N/A,FALSE,"RentRoll"}</definedName>
    <definedName name="xxx3" localSheetId="17" hidden="1">{"AnnualRentRoll",#N/A,FALSE,"RentRoll"}</definedName>
    <definedName name="xxx3" localSheetId="10" hidden="1">{"AnnualRentRoll",#N/A,FALSE,"RentRoll"}</definedName>
    <definedName name="xxx3" localSheetId="13" hidden="1">{"AnnualRentRoll",#N/A,FALSE,"RentRoll"}</definedName>
    <definedName name="xxx3" hidden="1">{"AnnualRentRoll",#N/A,FALSE,"RentRoll"}</definedName>
    <definedName name="xxx4" localSheetId="2" hidden="1">{#N/A,#N/A,FALSE,"ExitStratigy"}</definedName>
    <definedName name="xxx4" localSheetId="21" hidden="1">{#N/A,#N/A,FALSE,"ExitStratigy"}</definedName>
    <definedName name="xxx4" localSheetId="22" hidden="1">{#N/A,#N/A,FALSE,"ExitStratigy"}</definedName>
    <definedName name="xxx4" localSheetId="15" hidden="1">{#N/A,#N/A,FALSE,"ExitStratigy"}</definedName>
    <definedName name="xxx4" localSheetId="17" hidden="1">{#N/A,#N/A,FALSE,"ExitStratigy"}</definedName>
    <definedName name="xxx4" localSheetId="10" hidden="1">{#N/A,#N/A,FALSE,"ExitStratigy"}</definedName>
    <definedName name="xxx4" localSheetId="13" hidden="1">{#N/A,#N/A,FALSE,"ExitStratigy"}</definedName>
    <definedName name="xxx4" hidden="1">{#N/A,#N/A,FALSE,"ExitStratigy"}</definedName>
    <definedName name="xyz" localSheetId="2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xyz" localSheetId="2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xyz" localSheetId="1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xyz"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s>
  <calcPr calcId="191028"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1" i="19" l="1"/>
  <c r="O6" i="9"/>
  <c r="K34" i="22"/>
  <c r="O34" i="22" s="1"/>
  <c r="G14" i="9" a="1"/>
  <c r="G14" i="9" s="1"/>
  <c r="H13" i="9"/>
  <c r="H9" i="9"/>
  <c r="AK7" i="21"/>
  <c r="AB7" i="21"/>
  <c r="AE7" i="21"/>
  <c r="AK8" i="21"/>
  <c r="AE40" i="21"/>
  <c r="AE39" i="21"/>
  <c r="AE38" i="21"/>
  <c r="AE37" i="21"/>
  <c r="AE36" i="21"/>
  <c r="AE35" i="21"/>
  <c r="AE34" i="21"/>
  <c r="AE33" i="21"/>
  <c r="AE32" i="21"/>
  <c r="AE31" i="21"/>
  <c r="AE30" i="21"/>
  <c r="AE29" i="21"/>
  <c r="AE28" i="21"/>
  <c r="AE27" i="21"/>
  <c r="AE26" i="21"/>
  <c r="AE25" i="21"/>
  <c r="AE24" i="21"/>
  <c r="AE23" i="21"/>
  <c r="AE22" i="21"/>
  <c r="AE21" i="21"/>
  <c r="AE20" i="21"/>
  <c r="AE19" i="21"/>
  <c r="AE18" i="21"/>
  <c r="AE17" i="21"/>
  <c r="AE16" i="21"/>
  <c r="AE15" i="21"/>
  <c r="AE14" i="21"/>
  <c r="AE13" i="21"/>
  <c r="AE12" i="21"/>
  <c r="AE11" i="21"/>
  <c r="AE10" i="21"/>
  <c r="AE9" i="21"/>
  <c r="AE8" i="21"/>
  <c r="AK40" i="21"/>
  <c r="AK39" i="21"/>
  <c r="AK38" i="21"/>
  <c r="AK37" i="21"/>
  <c r="AK36" i="21"/>
  <c r="AK35" i="21"/>
  <c r="AK34" i="21"/>
  <c r="AK33" i="21"/>
  <c r="AK32" i="21"/>
  <c r="AK31" i="21"/>
  <c r="AK30" i="21"/>
  <c r="AK29" i="21"/>
  <c r="AK28" i="21"/>
  <c r="AK27" i="21"/>
  <c r="AK26" i="21"/>
  <c r="AK25" i="21"/>
  <c r="AK24" i="21"/>
  <c r="AK23" i="21"/>
  <c r="AK22" i="21"/>
  <c r="AK21" i="21"/>
  <c r="AK20" i="21"/>
  <c r="AK19" i="21"/>
  <c r="AK18" i="21"/>
  <c r="AK17" i="21"/>
  <c r="AK16" i="21"/>
  <c r="AK15" i="21"/>
  <c r="AK14" i="21"/>
  <c r="AK13" i="21"/>
  <c r="AK12" i="21"/>
  <c r="AK11" i="21"/>
  <c r="AK10" i="21"/>
  <c r="AK9" i="21"/>
  <c r="AB8" i="21"/>
  <c r="AB9" i="21"/>
  <c r="AB10" i="21"/>
  <c r="AB11" i="21"/>
  <c r="AB12" i="21"/>
  <c r="AB13" i="21"/>
  <c r="AB14" i="21"/>
  <c r="AB15" i="21"/>
  <c r="AB16" i="21"/>
  <c r="AB17" i="21"/>
  <c r="AB18" i="21"/>
  <c r="AB19" i="21"/>
  <c r="AB20" i="21"/>
  <c r="AB21" i="21"/>
  <c r="AB22" i="21"/>
  <c r="AB23" i="21"/>
  <c r="AB24" i="21"/>
  <c r="AB25" i="21"/>
  <c r="AB26" i="21"/>
  <c r="AB27" i="21"/>
  <c r="AB28" i="21"/>
  <c r="AB29" i="21"/>
  <c r="AB30" i="21"/>
  <c r="AB31" i="21"/>
  <c r="AB32" i="21"/>
  <c r="AB33" i="21"/>
  <c r="AB34" i="21"/>
  <c r="AB35" i="21"/>
  <c r="AB36" i="21"/>
  <c r="AB37" i="21"/>
  <c r="AB38" i="21"/>
  <c r="AB39" i="21"/>
  <c r="AB40" i="21"/>
  <c r="L29" i="22" l="1"/>
  <c r="A2" i="21"/>
  <c r="P19" i="19"/>
  <c r="P34" i="22"/>
  <c r="Q34" i="22" s="1"/>
  <c r="R34" i="22" s="1"/>
  <c r="S34" i="22" s="1"/>
  <c r="T34" i="22" s="1"/>
  <c r="U34" i="22" s="1"/>
  <c r="V34" i="22" s="1"/>
  <c r="W34" i="22" s="1"/>
  <c r="X34" i="22" s="1"/>
  <c r="Y34" i="22" s="1"/>
  <c r="Z34" i="22" s="1"/>
  <c r="P17" i="22"/>
  <c r="P18" i="22"/>
  <c r="Q18" i="22" s="1"/>
  <c r="R18" i="22" s="1"/>
  <c r="S18" i="22" s="1"/>
  <c r="T18" i="22" s="1"/>
  <c r="U18" i="22" s="1"/>
  <c r="V18" i="22" s="1"/>
  <c r="W18" i="22" s="1"/>
  <c r="X18" i="22" s="1"/>
  <c r="Y18" i="22" s="1"/>
  <c r="Z18" i="22" s="1"/>
  <c r="P35" i="6" l="1"/>
  <c r="P64" i="6"/>
  <c r="P63" i="6"/>
  <c r="P61" i="6"/>
  <c r="P58" i="6"/>
  <c r="J33" i="22"/>
  <c r="AE36" i="8" l="1"/>
  <c r="K17" i="22"/>
  <c r="D23" i="19"/>
  <c r="Y72" i="6"/>
  <c r="Y71" i="6"/>
  <c r="Y70" i="6"/>
  <c r="AC67" i="6"/>
  <c r="AC66" i="6"/>
  <c r="K63" i="6"/>
  <c r="K66" i="6"/>
  <c r="K65" i="6"/>
  <c r="K64" i="6"/>
  <c r="L103" i="6"/>
  <c r="L105" i="6" s="1"/>
  <c r="L97" i="6"/>
  <c r="L96" i="6"/>
  <c r="L65" i="6"/>
  <c r="L67" i="6"/>
  <c r="M36" i="6"/>
  <c r="M34" i="6"/>
  <c r="D39" i="19"/>
  <c r="D98" i="20"/>
  <c r="W16" i="38"/>
  <c r="AA16" i="38"/>
  <c r="K16" i="38"/>
  <c r="O16" i="38"/>
  <c r="Y17" i="38"/>
  <c r="AC17" i="38"/>
  <c r="W17" i="38"/>
  <c r="AA17" i="38"/>
  <c r="M17" i="38"/>
  <c r="Q17" i="38"/>
  <c r="K17" i="38"/>
  <c r="O17" i="38"/>
  <c r="D27" i="19"/>
  <c r="B4" i="39"/>
  <c r="F4" i="39"/>
  <c r="E4" i="39"/>
  <c r="D4" i="39"/>
  <c r="C4" i="39"/>
  <c r="L77" i="33" a="1"/>
  <c r="L77" i="33" s="1"/>
  <c r="M40" i="39"/>
  <c r="M37" i="39"/>
  <c r="M34" i="39"/>
  <c r="M33" i="39"/>
  <c r="M32" i="39"/>
  <c r="M31" i="39"/>
  <c r="M30" i="39"/>
  <c r="M29" i="39"/>
  <c r="M28" i="39"/>
  <c r="M22" i="39"/>
  <c r="M21" i="39"/>
  <c r="M20" i="39"/>
  <c r="M16" i="39"/>
  <c r="M15" i="39"/>
  <c r="M14" i="39"/>
  <c r="M12" i="39"/>
  <c r="T13" i="8"/>
  <c r="K100" i="33"/>
  <c r="L100" i="33" s="1" a="1"/>
  <c r="L100" i="33" s="1"/>
  <c r="K99" i="33"/>
  <c r="L99" i="33" s="1" a="1"/>
  <c r="L99" i="33" s="1"/>
  <c r="K98" i="33"/>
  <c r="R98" i="33" s="1"/>
  <c r="K97" i="33"/>
  <c r="M97" i="33" s="1"/>
  <c r="N97" i="33" s="1"/>
  <c r="O97" i="33" s="1"/>
  <c r="S97" i="33"/>
  <c r="K96" i="33"/>
  <c r="L96" i="33" s="1" a="1"/>
  <c r="L96" i="33" s="1"/>
  <c r="K95" i="33"/>
  <c r="R95" i="33" s="1"/>
  <c r="K94" i="33"/>
  <c r="P94" i="33" s="1"/>
  <c r="M94" i="33"/>
  <c r="N94" i="33" s="1"/>
  <c r="O94" i="33" s="1"/>
  <c r="K93" i="33"/>
  <c r="L93" i="33" s="1" a="1"/>
  <c r="L93" i="33" s="1"/>
  <c r="K92" i="33"/>
  <c r="K91" i="33"/>
  <c r="L91" i="33" s="1" a="1"/>
  <c r="L91" i="33" s="1"/>
  <c r="K90" i="33"/>
  <c r="L90" i="33" s="1" a="1"/>
  <c r="L90" i="33" s="1"/>
  <c r="K89" i="33"/>
  <c r="L89" i="33" s="1" a="1"/>
  <c r="L89" i="33" s="1"/>
  <c r="S89" i="33"/>
  <c r="K88" i="33"/>
  <c r="L88" i="33" s="1" a="1"/>
  <c r="L88" i="33" s="1"/>
  <c r="K87" i="33"/>
  <c r="L87" i="33" s="1" a="1"/>
  <c r="L87" i="33" s="1"/>
  <c r="K86" i="33"/>
  <c r="K85" i="33"/>
  <c r="L85" i="33" s="1" a="1"/>
  <c r="L85" i="33" s="1"/>
  <c r="K84" i="33"/>
  <c r="L84" i="33" s="1" a="1"/>
  <c r="L84" i="33" s="1"/>
  <c r="K83" i="33"/>
  <c r="L83" i="33" s="1" a="1"/>
  <c r="L83" i="33" s="1"/>
  <c r="K82" i="33"/>
  <c r="L82" i="33" s="1" a="1"/>
  <c r="L82" i="33" s="1"/>
  <c r="K81" i="33"/>
  <c r="L81" i="33" s="1" a="1"/>
  <c r="L81" i="33" s="1"/>
  <c r="K80" i="33"/>
  <c r="K79" i="33"/>
  <c r="M79" i="33" s="1"/>
  <c r="N79" i="33" s="1"/>
  <c r="O79" i="33" s="1"/>
  <c r="K78" i="33"/>
  <c r="P78" i="33" s="1"/>
  <c r="K77" i="33"/>
  <c r="K76" i="33"/>
  <c r="L76" i="33" s="1" a="1"/>
  <c r="L76" i="33" s="1"/>
  <c r="S76" i="33"/>
  <c r="K75" i="33"/>
  <c r="L75" i="33" s="1" a="1"/>
  <c r="L75" i="33" s="1"/>
  <c r="K74" i="33"/>
  <c r="M74" i="33" s="1"/>
  <c r="N74" i="33" s="1"/>
  <c r="O74" i="33" s="1"/>
  <c r="K73" i="33"/>
  <c r="L73" i="33" s="1" a="1"/>
  <c r="L73" i="33" s="1"/>
  <c r="S73" i="33"/>
  <c r="K72" i="33"/>
  <c r="L72" i="33" s="1" a="1"/>
  <c r="L72" i="33" s="1"/>
  <c r="K71" i="33"/>
  <c r="L71" i="33" s="1" a="1"/>
  <c r="L71" i="33" s="1"/>
  <c r="K70" i="33"/>
  <c r="P70" i="33" s="1"/>
  <c r="M70" i="33"/>
  <c r="N70" i="33" s="1"/>
  <c r="O70" i="33" s="1"/>
  <c r="K69" i="33"/>
  <c r="L69" i="33" s="1" a="1"/>
  <c r="L69" i="33" s="1"/>
  <c r="K68" i="33"/>
  <c r="L68" i="33" s="1" a="1"/>
  <c r="L68" i="33" s="1"/>
  <c r="K67" i="33"/>
  <c r="L67" i="33" s="1" a="1"/>
  <c r="L67" i="33" s="1"/>
  <c r="K66" i="33"/>
  <c r="L66" i="33" s="1" a="1"/>
  <c r="L66" i="33" s="1"/>
  <c r="K65" i="33"/>
  <c r="M65" i="33" s="1"/>
  <c r="N65" i="33" s="1"/>
  <c r="O65" i="33" s="1"/>
  <c r="K64" i="33"/>
  <c r="L64" i="33" s="1" a="1"/>
  <c r="L64" i="33" s="1"/>
  <c r="K63" i="33"/>
  <c r="M63" i="33" s="1"/>
  <c r="N63" i="33" s="1"/>
  <c r="O63" i="33" s="1"/>
  <c r="K62" i="33"/>
  <c r="S62" i="33" s="1"/>
  <c r="K61" i="33"/>
  <c r="L61" i="33" s="1" a="1"/>
  <c r="L61" i="33" s="1"/>
  <c r="K60" i="33"/>
  <c r="L60" i="33" s="1" a="1"/>
  <c r="L60" i="33" s="1"/>
  <c r="K59" i="33"/>
  <c r="L59" i="33" s="1" a="1"/>
  <c r="L59" i="33" s="1"/>
  <c r="K58" i="33"/>
  <c r="Q58" i="33" s="1"/>
  <c r="K57" i="33"/>
  <c r="L57" i="33" s="1" a="1"/>
  <c r="L57" i="33" s="1"/>
  <c r="K56" i="33"/>
  <c r="Q56" i="33" s="1"/>
  <c r="K55" i="33"/>
  <c r="L55" i="33" s="1" a="1"/>
  <c r="L55" i="33" s="1"/>
  <c r="K54" i="33"/>
  <c r="Q54" i="33" s="1"/>
  <c r="K53" i="33"/>
  <c r="L53" i="33" s="1" a="1"/>
  <c r="L53" i="33" s="1"/>
  <c r="K52" i="33"/>
  <c r="L52" i="33" s="1" a="1"/>
  <c r="L52" i="33" s="1"/>
  <c r="K51" i="33"/>
  <c r="L51" i="33" s="1" a="1"/>
  <c r="L51" i="33" s="1"/>
  <c r="K50" i="33"/>
  <c r="L50" i="33" s="1" a="1"/>
  <c r="L50" i="33" s="1"/>
  <c r="K49" i="33"/>
  <c r="K48" i="33"/>
  <c r="L48" i="33" s="1" a="1"/>
  <c r="L48" i="33" s="1"/>
  <c r="K47" i="33"/>
  <c r="M47" i="33" s="1"/>
  <c r="N47" i="33" s="1"/>
  <c r="O47" i="33" s="1"/>
  <c r="K46" i="33"/>
  <c r="R46" i="33" s="1"/>
  <c r="M46" i="33"/>
  <c r="N46" i="33" s="1"/>
  <c r="O46" i="33" s="1"/>
  <c r="K45" i="33"/>
  <c r="L45" i="33" s="1" a="1"/>
  <c r="L45" i="33" s="1"/>
  <c r="K44" i="33"/>
  <c r="K43" i="33"/>
  <c r="M43" i="33" s="1"/>
  <c r="N43" i="33" s="1"/>
  <c r="O43" i="33" s="1"/>
  <c r="K42" i="33"/>
  <c r="L42" i="33" s="1" a="1"/>
  <c r="L42" i="33" s="1"/>
  <c r="K41" i="33"/>
  <c r="L41" i="33" s="1" a="1"/>
  <c r="L41" i="33" s="1"/>
  <c r="K40" i="33"/>
  <c r="L40" i="33" s="1" a="1"/>
  <c r="L40" i="33" s="1"/>
  <c r="K38" i="33"/>
  <c r="K35" i="33"/>
  <c r="R35" i="33" s="1"/>
  <c r="K30" i="33"/>
  <c r="S30" i="33" s="1"/>
  <c r="K27" i="33"/>
  <c r="Q27" i="33" s="1"/>
  <c r="K23" i="33"/>
  <c r="Q23" i="33" s="1"/>
  <c r="M42" i="33"/>
  <c r="N42" i="33" s="1"/>
  <c r="O42" i="33" s="1"/>
  <c r="S42" i="33"/>
  <c r="Q42" i="33"/>
  <c r="R42" i="33"/>
  <c r="P42" i="33"/>
  <c r="Q50" i="33"/>
  <c r="M82" i="33"/>
  <c r="N82" i="33" s="1"/>
  <c r="O82" i="33" s="1"/>
  <c r="S82" i="33"/>
  <c r="Q82" i="33"/>
  <c r="R82" i="33"/>
  <c r="P82" i="33"/>
  <c r="M77" i="33"/>
  <c r="N77" i="33" s="1"/>
  <c r="O77" i="33" s="1"/>
  <c r="M93" i="33"/>
  <c r="N93" i="33" s="1"/>
  <c r="O93" i="33" s="1"/>
  <c r="P71" i="33"/>
  <c r="P79" i="33"/>
  <c r="P87" i="33"/>
  <c r="R55" i="33"/>
  <c r="R71" i="33"/>
  <c r="R87" i="33"/>
  <c r="Q71" i="33"/>
  <c r="Q87" i="33"/>
  <c r="Q95" i="33"/>
  <c r="S71" i="33"/>
  <c r="S87" i="33"/>
  <c r="S95" i="33"/>
  <c r="P40" i="33"/>
  <c r="P64" i="33"/>
  <c r="P88" i="33"/>
  <c r="R40" i="33"/>
  <c r="R56" i="33"/>
  <c r="R64" i="33"/>
  <c r="R88" i="33"/>
  <c r="Q40" i="33"/>
  <c r="Q64" i="33"/>
  <c r="Q88" i="33"/>
  <c r="S40" i="33"/>
  <c r="S56" i="33"/>
  <c r="S64" i="33"/>
  <c r="S88" i="33"/>
  <c r="M71" i="33"/>
  <c r="N71" i="33" s="1"/>
  <c r="O71" i="33" s="1"/>
  <c r="M87" i="33"/>
  <c r="N87" i="33" s="1"/>
  <c r="O87" i="33" s="1"/>
  <c r="P41" i="33"/>
  <c r="P57" i="33"/>
  <c r="P73" i="33"/>
  <c r="P81" i="33"/>
  <c r="P89" i="33"/>
  <c r="P97" i="33"/>
  <c r="R41" i="33"/>
  <c r="R57" i="33"/>
  <c r="R73" i="33"/>
  <c r="R81" i="33"/>
  <c r="R89" i="33"/>
  <c r="R97" i="33"/>
  <c r="Q41" i="33"/>
  <c r="Q57" i="33"/>
  <c r="Q73" i="33"/>
  <c r="Q81" i="33"/>
  <c r="Q89" i="33"/>
  <c r="Q97" i="33"/>
  <c r="M40" i="33"/>
  <c r="N40" i="33" s="1"/>
  <c r="O40" i="33" s="1"/>
  <c r="M64" i="33"/>
  <c r="N64" i="33" s="1"/>
  <c r="O64" i="33" s="1"/>
  <c r="M88" i="33"/>
  <c r="N88" i="33" s="1"/>
  <c r="O88" i="33" s="1"/>
  <c r="M96" i="33"/>
  <c r="N96" i="33" s="1"/>
  <c r="O96" i="33" s="1"/>
  <c r="P35" i="33"/>
  <c r="P67" i="33"/>
  <c r="P75" i="33"/>
  <c r="P83" i="33"/>
  <c r="P91" i="33"/>
  <c r="P99" i="33"/>
  <c r="R59" i="33"/>
  <c r="R67" i="33"/>
  <c r="R75" i="33"/>
  <c r="R83" i="33"/>
  <c r="R91" i="33"/>
  <c r="R99" i="33"/>
  <c r="Q51" i="33"/>
  <c r="Q59" i="33"/>
  <c r="Q67" i="33"/>
  <c r="Q75" i="33"/>
  <c r="Q83" i="33"/>
  <c r="Q91" i="33"/>
  <c r="Q99" i="33"/>
  <c r="S59" i="33"/>
  <c r="S67" i="33"/>
  <c r="S75" i="33"/>
  <c r="S83" i="33"/>
  <c r="S91" i="33"/>
  <c r="S99" i="33"/>
  <c r="P76" i="33"/>
  <c r="P92" i="33"/>
  <c r="R60" i="33"/>
  <c r="R76" i="33"/>
  <c r="Q60" i="33"/>
  <c r="Q68" i="33"/>
  <c r="Q76" i="33"/>
  <c r="P77" i="33"/>
  <c r="P85" i="33"/>
  <c r="P93" i="33"/>
  <c r="R77" i="33"/>
  <c r="R85" i="33"/>
  <c r="R93" i="33"/>
  <c r="Q77" i="33"/>
  <c r="Q93" i="33"/>
  <c r="S69" i="33"/>
  <c r="S77" i="33"/>
  <c r="S93" i="33"/>
  <c r="T103" i="6"/>
  <c r="T97" i="6"/>
  <c r="T96" i="6"/>
  <c r="T79" i="6"/>
  <c r="T65" i="6"/>
  <c r="T105" i="6"/>
  <c r="T52" i="6"/>
  <c r="R103" i="6"/>
  <c r="R105" i="6"/>
  <c r="R97" i="6"/>
  <c r="R96" i="6"/>
  <c r="R79" i="6"/>
  <c r="R65" i="6"/>
  <c r="R67" i="6"/>
  <c r="R66" i="6"/>
  <c r="R52" i="6"/>
  <c r="C9" i="39"/>
  <c r="B3" i="39"/>
  <c r="C4" i="38"/>
  <c r="AE20" i="38"/>
  <c r="AG20" i="38"/>
  <c r="AI18" i="38"/>
  <c r="AE18" i="38"/>
  <c r="AA18" i="38"/>
  <c r="AA19" i="38"/>
  <c r="AA20" i="38"/>
  <c r="W18" i="38"/>
  <c r="Y18" i="38"/>
  <c r="Y19" i="38"/>
  <c r="Y20" i="38"/>
  <c r="S18" i="38"/>
  <c r="U18" i="38"/>
  <c r="U19" i="38"/>
  <c r="U20" i="38"/>
  <c r="O18" i="38"/>
  <c r="Q18" i="38"/>
  <c r="Q19" i="38"/>
  <c r="Q20" i="38"/>
  <c r="K18" i="38"/>
  <c r="M18" i="38"/>
  <c r="M19" i="38"/>
  <c r="M20" i="38"/>
  <c r="G18" i="38"/>
  <c r="I18" i="38"/>
  <c r="I19" i="38"/>
  <c r="I20" i="38"/>
  <c r="AY11" i="38"/>
  <c r="AX11" i="38"/>
  <c r="AW11" i="38"/>
  <c r="AV11" i="38"/>
  <c r="AU11" i="38"/>
  <c r="AT11" i="38"/>
  <c r="AS11" i="38"/>
  <c r="AR11" i="38"/>
  <c r="AY10" i="38"/>
  <c r="AX10" i="38"/>
  <c r="AW10" i="38"/>
  <c r="AV10" i="38"/>
  <c r="AU10" i="38"/>
  <c r="AT10" i="38"/>
  <c r="AS10" i="38"/>
  <c r="AR10" i="38"/>
  <c r="AY9" i="38"/>
  <c r="AX9" i="38"/>
  <c r="AW9" i="38"/>
  <c r="AV9" i="38"/>
  <c r="AU9" i="38"/>
  <c r="AT9" i="38"/>
  <c r="AS9" i="38"/>
  <c r="AR9" i="38"/>
  <c r="S37" i="6"/>
  <c r="P97" i="6"/>
  <c r="P96" i="6"/>
  <c r="Z103" i="6"/>
  <c r="Z97" i="6"/>
  <c r="Z96" i="6"/>
  <c r="Z79" i="6"/>
  <c r="Z65" i="6"/>
  <c r="Z67" i="6"/>
  <c r="Z52" i="6"/>
  <c r="AA49" i="6"/>
  <c r="AA48" i="6"/>
  <c r="AA36" i="6"/>
  <c r="AA34" i="6"/>
  <c r="Z9" i="6"/>
  <c r="AG18" i="38"/>
  <c r="AG19" i="38"/>
  <c r="AE19" i="38"/>
  <c r="AK18" i="38"/>
  <c r="AI19" i="38"/>
  <c r="W19" i="38"/>
  <c r="W20" i="38"/>
  <c r="G19" i="38"/>
  <c r="G20" i="38"/>
  <c r="K19" i="38"/>
  <c r="K20" i="38"/>
  <c r="O19" i="38"/>
  <c r="O20" i="38"/>
  <c r="S19" i="38"/>
  <c r="S20" i="38"/>
  <c r="AC18" i="38"/>
  <c r="AC19" i="38"/>
  <c r="AC20" i="38"/>
  <c r="AI20" i="38"/>
  <c r="AK20" i="38"/>
  <c r="AK19" i="38"/>
  <c r="W65" i="6"/>
  <c r="W66" i="6"/>
  <c r="D10" i="37"/>
  <c r="D9" i="37"/>
  <c r="D6" i="37"/>
  <c r="D7" i="37"/>
  <c r="D5" i="37"/>
  <c r="D4" i="37"/>
  <c r="C10" i="37"/>
  <c r="C9" i="37"/>
  <c r="C6" i="37"/>
  <c r="C7" i="37"/>
  <c r="C5" i="37"/>
  <c r="C4" i="37"/>
  <c r="AQ103" i="6"/>
  <c r="AQ97" i="6"/>
  <c r="AQ96" i="6"/>
  <c r="AQ79" i="6"/>
  <c r="AQ65" i="6"/>
  <c r="AQ105" i="6"/>
  <c r="AQ52" i="6"/>
  <c r="P52" i="6"/>
  <c r="P65" i="6"/>
  <c r="P67" i="6" s="1"/>
  <c r="P66" i="6" s="1"/>
  <c r="P79" i="6"/>
  <c r="P103" i="6"/>
  <c r="E54" i="21"/>
  <c r="N54" i="21" s="1" a="1"/>
  <c r="N54" i="21" s="1"/>
  <c r="H54" i="21"/>
  <c r="E55" i="21"/>
  <c r="N55" i="21" s="1" a="1"/>
  <c r="N55" i="21" s="1"/>
  <c r="H55" i="21"/>
  <c r="E56" i="21"/>
  <c r="N56" i="21" s="1" a="1"/>
  <c r="N56" i="21" s="1"/>
  <c r="H56" i="21"/>
  <c r="E57" i="21"/>
  <c r="N57" i="21" s="1" a="1"/>
  <c r="N57" i="21" s="1"/>
  <c r="H57" i="21"/>
  <c r="E58" i="21"/>
  <c r="Y58" i="21" s="1" a="1"/>
  <c r="Y58" i="21" s="1"/>
  <c r="H58" i="21"/>
  <c r="E59" i="21"/>
  <c r="Y59" i="21" s="1" a="1"/>
  <c r="Y59" i="21" s="1"/>
  <c r="H59" i="21"/>
  <c r="E60" i="21"/>
  <c r="L60" i="21" s="1" a="1"/>
  <c r="L60" i="21" s="1"/>
  <c r="H60" i="21"/>
  <c r="E61" i="21"/>
  <c r="N61" i="21" s="1" a="1"/>
  <c r="N61" i="21" s="1"/>
  <c r="H61" i="21"/>
  <c r="E62" i="21"/>
  <c r="L62" i="21" s="1" a="1"/>
  <c r="L62" i="21" s="1"/>
  <c r="H62" i="21"/>
  <c r="E63" i="21"/>
  <c r="X63" i="21" s="1" a="1"/>
  <c r="X63" i="21" s="1"/>
  <c r="H63" i="21"/>
  <c r="E64" i="21"/>
  <c r="Y64" i="21" s="1" a="1"/>
  <c r="Y64" i="21" s="1"/>
  <c r="H64" i="21"/>
  <c r="E65" i="21"/>
  <c r="L65" i="21" s="1" a="1"/>
  <c r="L65" i="21" s="1"/>
  <c r="H65" i="21"/>
  <c r="E66" i="21"/>
  <c r="Y66" i="21" s="1" a="1"/>
  <c r="Y66" i="21" s="1"/>
  <c r="H66" i="21"/>
  <c r="E67" i="21"/>
  <c r="L67" i="21" s="1" a="1"/>
  <c r="L67" i="21" s="1"/>
  <c r="H67" i="21"/>
  <c r="E68" i="21"/>
  <c r="N68" i="21" s="1" a="1"/>
  <c r="N68" i="21" s="1"/>
  <c r="H68" i="21"/>
  <c r="E69" i="21"/>
  <c r="L69" i="21" s="1" a="1"/>
  <c r="L69" i="21" s="1"/>
  <c r="H69" i="21"/>
  <c r="E70" i="21"/>
  <c r="L70" i="21" s="1" a="1"/>
  <c r="L70" i="21" s="1"/>
  <c r="H70" i="21"/>
  <c r="E71" i="21"/>
  <c r="X71" i="21" s="1" a="1"/>
  <c r="X71" i="21" s="1"/>
  <c r="H71" i="21"/>
  <c r="U20" i="18"/>
  <c r="S20" i="18"/>
  <c r="K37" i="18"/>
  <c r="M20" i="18"/>
  <c r="K20" i="18"/>
  <c r="Q20" i="18"/>
  <c r="O20" i="18"/>
  <c r="I20" i="18"/>
  <c r="G20" i="18"/>
  <c r="M12" i="11"/>
  <c r="M11" i="11"/>
  <c r="C3" i="18"/>
  <c r="C4" i="18"/>
  <c r="G3" i="22"/>
  <c r="E3" i="22"/>
  <c r="N65" i="6"/>
  <c r="H50" i="21"/>
  <c r="H51" i="21"/>
  <c r="H52" i="21"/>
  <c r="E50" i="21"/>
  <c r="E51" i="21"/>
  <c r="X51" i="21" s="1" a="1"/>
  <c r="X51" i="21" s="1"/>
  <c r="E52" i="21"/>
  <c r="X52" i="21" s="1" a="1"/>
  <c r="X52" i="21" s="1"/>
  <c r="X9" i="22"/>
  <c r="Y9" i="22" s="1"/>
  <c r="Z9" i="22" s="1"/>
  <c r="AA9" i="22" s="1"/>
  <c r="AB9" i="22" s="1"/>
  <c r="AC9" i="22" s="1"/>
  <c r="B7" i="27"/>
  <c r="P15" i="22"/>
  <c r="Q15" i="22"/>
  <c r="R15" i="22"/>
  <c r="S15" i="22"/>
  <c r="T15" i="22"/>
  <c r="U15" i="22"/>
  <c r="V15" i="22"/>
  <c r="W15" i="22"/>
  <c r="X15" i="22"/>
  <c r="Y15" i="22"/>
  <c r="Z15" i="22"/>
  <c r="P22" i="22"/>
  <c r="Q22" i="22"/>
  <c r="R22" i="22"/>
  <c r="S22" i="22"/>
  <c r="T22" i="22"/>
  <c r="U22" i="22"/>
  <c r="V22" i="22"/>
  <c r="W22" i="22"/>
  <c r="X22" i="22"/>
  <c r="Y22" i="22"/>
  <c r="Z22" i="22"/>
  <c r="T7" i="22"/>
  <c r="U7" i="22"/>
  <c r="V7" i="22"/>
  <c r="W7" i="22"/>
  <c r="X7" i="22"/>
  <c r="Y7" i="22"/>
  <c r="Z7" i="22"/>
  <c r="AA7" i="22"/>
  <c r="AB7" i="22"/>
  <c r="AC7" i="22"/>
  <c r="AD7" i="22"/>
  <c r="N7" i="22"/>
  <c r="O7" i="22"/>
  <c r="P7" i="22"/>
  <c r="B8" i="22"/>
  <c r="B64" i="20"/>
  <c r="T10" i="8"/>
  <c r="J30" i="22"/>
  <c r="M16" i="9"/>
  <c r="G11" i="9" s="1"/>
  <c r="D5" i="35"/>
  <c r="D125" i="35"/>
  <c r="D124" i="35"/>
  <c r="D123" i="35"/>
  <c r="D122" i="35"/>
  <c r="D121" i="35"/>
  <c r="D120" i="35"/>
  <c r="D119" i="35"/>
  <c r="D118" i="35"/>
  <c r="D117" i="35"/>
  <c r="D116" i="35"/>
  <c r="D115" i="35"/>
  <c r="D114" i="35"/>
  <c r="D113" i="35"/>
  <c r="D112" i="35"/>
  <c r="D111" i="35"/>
  <c r="D110" i="35"/>
  <c r="D109" i="35"/>
  <c r="D108" i="35"/>
  <c r="D107" i="35"/>
  <c r="D106" i="35"/>
  <c r="D105" i="35"/>
  <c r="D104" i="35"/>
  <c r="D103" i="35"/>
  <c r="D102" i="35"/>
  <c r="D101" i="35"/>
  <c r="D100" i="35"/>
  <c r="D99" i="35"/>
  <c r="D98" i="35"/>
  <c r="D97" i="35"/>
  <c r="D96" i="35"/>
  <c r="D95" i="35"/>
  <c r="D94" i="35"/>
  <c r="D93" i="35"/>
  <c r="D92" i="35"/>
  <c r="D91" i="35"/>
  <c r="D90" i="35"/>
  <c r="D89" i="35"/>
  <c r="D88" i="35"/>
  <c r="D87" i="35"/>
  <c r="D86" i="35"/>
  <c r="D85" i="35"/>
  <c r="D84" i="35"/>
  <c r="D83" i="35"/>
  <c r="D82" i="35"/>
  <c r="D81" i="35"/>
  <c r="D80" i="35"/>
  <c r="D79" i="35"/>
  <c r="D78" i="35"/>
  <c r="D77" i="35"/>
  <c r="D76" i="35"/>
  <c r="D75" i="35"/>
  <c r="D74" i="35"/>
  <c r="D73" i="35"/>
  <c r="D72" i="35"/>
  <c r="D71" i="35"/>
  <c r="D70" i="35"/>
  <c r="D69" i="35"/>
  <c r="D68" i="35"/>
  <c r="D67" i="35"/>
  <c r="D66" i="35"/>
  <c r="D65" i="35"/>
  <c r="D64" i="35"/>
  <c r="D63" i="35"/>
  <c r="D62" i="35"/>
  <c r="D61" i="35"/>
  <c r="D60" i="35"/>
  <c r="D59" i="35"/>
  <c r="D58" i="35"/>
  <c r="D57" i="35"/>
  <c r="D56" i="35"/>
  <c r="D55" i="35"/>
  <c r="D54" i="35"/>
  <c r="D53" i="35"/>
  <c r="D52" i="35"/>
  <c r="D51" i="35"/>
  <c r="D50" i="35"/>
  <c r="D49" i="35"/>
  <c r="D48" i="35"/>
  <c r="D47" i="35"/>
  <c r="D46" i="35"/>
  <c r="D45" i="35"/>
  <c r="D44" i="35"/>
  <c r="D43" i="35"/>
  <c r="D42" i="35"/>
  <c r="D41" i="35"/>
  <c r="D40" i="35"/>
  <c r="D39" i="35"/>
  <c r="D38" i="35"/>
  <c r="D37" i="35"/>
  <c r="D36" i="35"/>
  <c r="D35" i="35"/>
  <c r="D34" i="35"/>
  <c r="D33" i="35"/>
  <c r="D32" i="35"/>
  <c r="D31" i="35"/>
  <c r="D30" i="35"/>
  <c r="D29" i="35"/>
  <c r="D28" i="35"/>
  <c r="D27" i="35"/>
  <c r="D26" i="35"/>
  <c r="D25" i="35"/>
  <c r="D24" i="35"/>
  <c r="D23" i="35"/>
  <c r="D22" i="35"/>
  <c r="D21" i="35"/>
  <c r="D20" i="35"/>
  <c r="D19" i="35"/>
  <c r="D18" i="35"/>
  <c r="D17" i="35"/>
  <c r="D16" i="35"/>
  <c r="D15" i="35"/>
  <c r="D14" i="35"/>
  <c r="D13" i="35"/>
  <c r="D12" i="35"/>
  <c r="D11" i="35"/>
  <c r="D10" i="35"/>
  <c r="D9" i="35"/>
  <c r="D8" i="35"/>
  <c r="D7" i="35"/>
  <c r="D6" i="35"/>
  <c r="B33" i="19"/>
  <c r="B32" i="19"/>
  <c r="C36" i="18"/>
  <c r="C6" i="35"/>
  <c r="V46" i="8"/>
  <c r="C7" i="35"/>
  <c r="C8" i="35"/>
  <c r="C20" i="11"/>
  <c r="C9" i="35"/>
  <c r="C10" i="35"/>
  <c r="C11" i="35"/>
  <c r="C141" i="20"/>
  <c r="C138" i="20"/>
  <c r="C12" i="35"/>
  <c r="C13" i="35"/>
  <c r="C14" i="35"/>
  <c r="C15" i="35"/>
  <c r="C16" i="35"/>
  <c r="C17" i="35"/>
  <c r="C18" i="35"/>
  <c r="C19" i="35"/>
  <c r="C20" i="35"/>
  <c r="C21" i="35"/>
  <c r="C22" i="35"/>
  <c r="C23" i="35"/>
  <c r="C24" i="35"/>
  <c r="C25" i="35"/>
  <c r="C26" i="35"/>
  <c r="C27" i="35"/>
  <c r="C28" i="35"/>
  <c r="C29" i="35"/>
  <c r="C30" i="35"/>
  <c r="C31" i="35"/>
  <c r="C32" i="35"/>
  <c r="C33" i="35"/>
  <c r="C34" i="35"/>
  <c r="C35" i="35"/>
  <c r="C36" i="35"/>
  <c r="C37" i="35"/>
  <c r="C38" i="35"/>
  <c r="C39" i="35"/>
  <c r="C40" i="35"/>
  <c r="C41" i="35"/>
  <c r="C42" i="35"/>
  <c r="C43" i="35"/>
  <c r="C44" i="35"/>
  <c r="C45" i="35"/>
  <c r="C46" i="35"/>
  <c r="C47" i="35"/>
  <c r="C48" i="35"/>
  <c r="C49" i="35"/>
  <c r="C50" i="35"/>
  <c r="C51" i="35"/>
  <c r="C52" i="35"/>
  <c r="C53" i="35"/>
  <c r="C54" i="35"/>
  <c r="C55" i="35"/>
  <c r="C56" i="35"/>
  <c r="C57" i="35"/>
  <c r="C58" i="35"/>
  <c r="C59" i="35"/>
  <c r="C60" i="35"/>
  <c r="C61" i="35"/>
  <c r="C62" i="35"/>
  <c r="C63" i="35"/>
  <c r="C64" i="35"/>
  <c r="C65" i="35"/>
  <c r="C66" i="35"/>
  <c r="C67" i="35"/>
  <c r="C68" i="35"/>
  <c r="C69" i="35"/>
  <c r="C70" i="35"/>
  <c r="C71" i="35"/>
  <c r="C72" i="35"/>
  <c r="C73" i="35"/>
  <c r="C74" i="35"/>
  <c r="C75" i="35"/>
  <c r="C76" i="35"/>
  <c r="C77" i="35"/>
  <c r="C78" i="35"/>
  <c r="C79" i="35"/>
  <c r="C80" i="35"/>
  <c r="C81" i="35"/>
  <c r="C82" i="35"/>
  <c r="C83" i="35"/>
  <c r="C84" i="35"/>
  <c r="C85" i="35"/>
  <c r="C86" i="35"/>
  <c r="C87" i="35"/>
  <c r="C88" i="35"/>
  <c r="C89" i="35"/>
  <c r="C90" i="35"/>
  <c r="C91" i="35"/>
  <c r="C92" i="35"/>
  <c r="C93" i="35"/>
  <c r="C94" i="35"/>
  <c r="C95" i="35"/>
  <c r="C96" i="35"/>
  <c r="C97" i="35"/>
  <c r="C98" i="35"/>
  <c r="C99" i="35"/>
  <c r="C100" i="35"/>
  <c r="C101" i="35"/>
  <c r="C102" i="35"/>
  <c r="C103" i="35"/>
  <c r="C104" i="35"/>
  <c r="C105" i="35"/>
  <c r="C106" i="35"/>
  <c r="C107" i="35"/>
  <c r="C108" i="35"/>
  <c r="C109" i="35"/>
  <c r="C110" i="35"/>
  <c r="C111" i="35"/>
  <c r="C112" i="35"/>
  <c r="C113" i="35"/>
  <c r="C114" i="35"/>
  <c r="C115" i="35"/>
  <c r="C116" i="35"/>
  <c r="C117" i="35"/>
  <c r="C118" i="35"/>
  <c r="C119" i="35"/>
  <c r="C120" i="35"/>
  <c r="C121" i="35"/>
  <c r="C122" i="35"/>
  <c r="C123" i="35"/>
  <c r="C124" i="35"/>
  <c r="C125" i="35"/>
  <c r="D7" i="34"/>
  <c r="E7" i="34" s="1"/>
  <c r="EB110" i="34"/>
  <c r="EA110" i="34"/>
  <c r="DZ110" i="34"/>
  <c r="DY110" i="34"/>
  <c r="DX110" i="34"/>
  <c r="DW110" i="34"/>
  <c r="DV110" i="34"/>
  <c r="DU110" i="34"/>
  <c r="DT110" i="34"/>
  <c r="DS110" i="34"/>
  <c r="DR110" i="34"/>
  <c r="DQ110" i="34"/>
  <c r="DP110" i="34"/>
  <c r="DO110" i="34"/>
  <c r="DN110" i="34"/>
  <c r="DM110" i="34"/>
  <c r="DL110" i="34"/>
  <c r="DK110" i="34"/>
  <c r="DJ110" i="34"/>
  <c r="DI110" i="34"/>
  <c r="DH110" i="34"/>
  <c r="DG110" i="34"/>
  <c r="DF110" i="34"/>
  <c r="DE110" i="34"/>
  <c r="DD110" i="34"/>
  <c r="DC110" i="34"/>
  <c r="DB110" i="34"/>
  <c r="DA110" i="34"/>
  <c r="CZ110" i="34"/>
  <c r="CY110" i="34"/>
  <c r="CX110" i="34"/>
  <c r="CW110" i="34"/>
  <c r="CV110" i="34"/>
  <c r="CU110" i="34"/>
  <c r="CT110" i="34"/>
  <c r="CS110" i="34"/>
  <c r="CR110" i="34"/>
  <c r="CQ110" i="34"/>
  <c r="CP110" i="34"/>
  <c r="CO110" i="34"/>
  <c r="CN110" i="34"/>
  <c r="CM110" i="34"/>
  <c r="CL110" i="34"/>
  <c r="CK110" i="34"/>
  <c r="CJ110" i="34"/>
  <c r="CI110" i="34"/>
  <c r="CH110" i="34"/>
  <c r="CG110" i="34"/>
  <c r="CF110" i="34"/>
  <c r="CE110" i="34"/>
  <c r="CD110" i="34"/>
  <c r="CC110" i="34"/>
  <c r="CB110" i="34"/>
  <c r="CA110" i="34"/>
  <c r="BZ110" i="34"/>
  <c r="BY110" i="34"/>
  <c r="BX110" i="34"/>
  <c r="BW110" i="34"/>
  <c r="BV110" i="34"/>
  <c r="BU110" i="34"/>
  <c r="BT110" i="34"/>
  <c r="BS110" i="34"/>
  <c r="BR110" i="34"/>
  <c r="BQ110" i="34"/>
  <c r="BP110" i="34"/>
  <c r="BO110" i="34"/>
  <c r="BN110" i="34"/>
  <c r="BM110" i="34"/>
  <c r="BL110" i="34"/>
  <c r="BK110" i="34"/>
  <c r="BJ110" i="34"/>
  <c r="BI110" i="34"/>
  <c r="BH110" i="34"/>
  <c r="BG110" i="34"/>
  <c r="BF110" i="34"/>
  <c r="BE110" i="34"/>
  <c r="BD110" i="34"/>
  <c r="BC110" i="34"/>
  <c r="BB110" i="34"/>
  <c r="BA110" i="34"/>
  <c r="AZ110" i="34"/>
  <c r="AY110" i="34"/>
  <c r="AX110" i="34"/>
  <c r="AW110" i="34"/>
  <c r="AV110" i="34"/>
  <c r="AU110" i="34"/>
  <c r="AT110" i="34"/>
  <c r="AS110" i="34"/>
  <c r="AR110" i="34"/>
  <c r="AQ110" i="34"/>
  <c r="AP110" i="34"/>
  <c r="AO110" i="34"/>
  <c r="AN110" i="34"/>
  <c r="AM110" i="34"/>
  <c r="AL110" i="34"/>
  <c r="AK110" i="34"/>
  <c r="AJ110" i="34"/>
  <c r="AI110" i="34"/>
  <c r="AH110" i="34"/>
  <c r="AG110" i="34"/>
  <c r="AF110" i="34"/>
  <c r="AE110" i="34"/>
  <c r="AD110" i="34"/>
  <c r="AC110" i="34"/>
  <c r="AB110" i="34"/>
  <c r="AA110" i="34"/>
  <c r="Z110" i="34"/>
  <c r="Y110" i="34"/>
  <c r="X110" i="34"/>
  <c r="W110" i="34"/>
  <c r="V110" i="34"/>
  <c r="U110" i="34"/>
  <c r="T110" i="34"/>
  <c r="S110" i="34"/>
  <c r="R110" i="34"/>
  <c r="Q110" i="34"/>
  <c r="P110" i="34"/>
  <c r="O110" i="34"/>
  <c r="N110" i="34"/>
  <c r="M110" i="34"/>
  <c r="I101" i="34"/>
  <c r="J101" i="34"/>
  <c r="L100" i="34"/>
  <c r="EB92" i="34"/>
  <c r="EA92" i="34"/>
  <c r="DZ92" i="34"/>
  <c r="DY92" i="34"/>
  <c r="DX92" i="34"/>
  <c r="DW92" i="34"/>
  <c r="DV92" i="34"/>
  <c r="DU92" i="34"/>
  <c r="DT92" i="34"/>
  <c r="DS92" i="34"/>
  <c r="DR92" i="34"/>
  <c r="DQ92" i="34"/>
  <c r="DP92" i="34"/>
  <c r="DO92" i="34"/>
  <c r="DN92" i="34"/>
  <c r="DM92" i="34"/>
  <c r="DL92" i="34"/>
  <c r="DK92" i="34"/>
  <c r="DJ92" i="34"/>
  <c r="DI92" i="34"/>
  <c r="DH92" i="34"/>
  <c r="DG92" i="34"/>
  <c r="DF92" i="34"/>
  <c r="DE92" i="34"/>
  <c r="DD92" i="34"/>
  <c r="DC92" i="34"/>
  <c r="DB92" i="34"/>
  <c r="DA92" i="34"/>
  <c r="CZ92" i="34"/>
  <c r="CY92" i="34"/>
  <c r="CX92" i="34"/>
  <c r="CW92" i="34"/>
  <c r="CV92" i="34"/>
  <c r="CU92" i="34"/>
  <c r="CT92" i="34"/>
  <c r="CS92" i="34"/>
  <c r="CR92" i="34"/>
  <c r="CQ92" i="34"/>
  <c r="CP92" i="34"/>
  <c r="CO92" i="34"/>
  <c r="CN92" i="34"/>
  <c r="CM92" i="34"/>
  <c r="CL92" i="34"/>
  <c r="CK92" i="34"/>
  <c r="CJ92" i="34"/>
  <c r="CI92" i="34"/>
  <c r="CH92" i="34"/>
  <c r="CG92" i="34"/>
  <c r="CF92" i="34"/>
  <c r="CE92" i="34"/>
  <c r="CD92" i="34"/>
  <c r="CC92" i="34"/>
  <c r="CB92" i="34"/>
  <c r="CA92" i="34"/>
  <c r="BZ92" i="34"/>
  <c r="BY92" i="34"/>
  <c r="BX92" i="34"/>
  <c r="BW92" i="34"/>
  <c r="BV92" i="34"/>
  <c r="BU92" i="34"/>
  <c r="BT92" i="34"/>
  <c r="BS92" i="34"/>
  <c r="BR92" i="34"/>
  <c r="BQ92" i="34"/>
  <c r="BP92" i="34"/>
  <c r="BO92" i="34"/>
  <c r="BN92" i="34"/>
  <c r="BM92" i="34"/>
  <c r="BL92" i="34"/>
  <c r="BK92" i="34"/>
  <c r="BJ92" i="34"/>
  <c r="BI92" i="34"/>
  <c r="BH92" i="34"/>
  <c r="BG92" i="34"/>
  <c r="BF92" i="34"/>
  <c r="BE92" i="34"/>
  <c r="BD92" i="34"/>
  <c r="BC92" i="34"/>
  <c r="BB92" i="34"/>
  <c r="BA92" i="34"/>
  <c r="AZ92" i="34"/>
  <c r="AY92" i="34"/>
  <c r="AX92" i="34"/>
  <c r="AW92" i="34"/>
  <c r="AV92" i="34"/>
  <c r="AU92" i="34"/>
  <c r="AT92" i="34"/>
  <c r="AS92" i="34"/>
  <c r="AR92" i="34"/>
  <c r="AQ92" i="34"/>
  <c r="AP92" i="34"/>
  <c r="AO92" i="34"/>
  <c r="AN92" i="34"/>
  <c r="AM92" i="34"/>
  <c r="AL92" i="34"/>
  <c r="AK92" i="34"/>
  <c r="AJ92" i="34"/>
  <c r="AI92" i="34"/>
  <c r="AH92" i="34"/>
  <c r="AG92" i="34"/>
  <c r="AF92" i="34"/>
  <c r="AE92" i="34"/>
  <c r="AD92" i="34"/>
  <c r="AC92" i="34"/>
  <c r="AB92" i="34"/>
  <c r="AA92" i="34"/>
  <c r="Z92" i="34"/>
  <c r="Y92" i="34"/>
  <c r="X92" i="34"/>
  <c r="W92" i="34"/>
  <c r="V92" i="34"/>
  <c r="U92" i="34"/>
  <c r="T92" i="34"/>
  <c r="S92" i="34"/>
  <c r="R92" i="34"/>
  <c r="Q92" i="34"/>
  <c r="P92" i="34"/>
  <c r="O92" i="34"/>
  <c r="N92" i="34"/>
  <c r="M92" i="34"/>
  <c r="I89" i="34"/>
  <c r="J83" i="34"/>
  <c r="I83" i="34"/>
  <c r="L82" i="34"/>
  <c r="L83" i="34"/>
  <c r="EB74" i="34"/>
  <c r="EA74" i="34"/>
  <c r="DZ74" i="34"/>
  <c r="DY74" i="34"/>
  <c r="DX74" i="34"/>
  <c r="DW74" i="34"/>
  <c r="DV74" i="34"/>
  <c r="DU74" i="34"/>
  <c r="DT74" i="34"/>
  <c r="DS74" i="34"/>
  <c r="DR74" i="34"/>
  <c r="DQ74" i="34"/>
  <c r="DP74" i="34"/>
  <c r="DO74" i="34"/>
  <c r="DN74" i="34"/>
  <c r="DM74" i="34"/>
  <c r="DL74" i="34"/>
  <c r="DK74" i="34"/>
  <c r="DJ74" i="34"/>
  <c r="DI74" i="34"/>
  <c r="DH74" i="34"/>
  <c r="DG74" i="34"/>
  <c r="DF74" i="34"/>
  <c r="DE74" i="34"/>
  <c r="DD74" i="34"/>
  <c r="DC74" i="34"/>
  <c r="DB74" i="34"/>
  <c r="DA74" i="34"/>
  <c r="CZ74" i="34"/>
  <c r="CY74" i="34"/>
  <c r="CX74" i="34"/>
  <c r="CW74" i="34"/>
  <c r="CV74" i="34"/>
  <c r="CU74" i="34"/>
  <c r="CT74" i="34"/>
  <c r="CS74" i="34"/>
  <c r="CR74" i="34"/>
  <c r="CQ74" i="34"/>
  <c r="CP74" i="34"/>
  <c r="CO74" i="34"/>
  <c r="CN74" i="34"/>
  <c r="CM74" i="34"/>
  <c r="CL74" i="34"/>
  <c r="CK74" i="34"/>
  <c r="CJ74" i="34"/>
  <c r="CI74" i="34"/>
  <c r="CH74" i="34"/>
  <c r="CG74" i="34"/>
  <c r="CF74" i="34"/>
  <c r="CE74" i="34"/>
  <c r="CD74" i="34"/>
  <c r="CC74" i="34"/>
  <c r="CB74" i="34"/>
  <c r="CA74" i="34"/>
  <c r="BZ74" i="34"/>
  <c r="BY74" i="34"/>
  <c r="BX74" i="34"/>
  <c r="BW74" i="34"/>
  <c r="BV74" i="34"/>
  <c r="BU74" i="34"/>
  <c r="BT74" i="34"/>
  <c r="BS74" i="34"/>
  <c r="BR74" i="34"/>
  <c r="BQ74" i="34"/>
  <c r="BP74" i="34"/>
  <c r="BO74" i="34"/>
  <c r="BN74" i="34"/>
  <c r="BM74" i="34"/>
  <c r="BL74" i="34"/>
  <c r="BK74" i="34"/>
  <c r="BJ74" i="34"/>
  <c r="BI74" i="34"/>
  <c r="BH74" i="34"/>
  <c r="BG74" i="34"/>
  <c r="BF74" i="34"/>
  <c r="BE74" i="34"/>
  <c r="BD74" i="34"/>
  <c r="BC74" i="34"/>
  <c r="BB74" i="34"/>
  <c r="BA74" i="34"/>
  <c r="AZ74" i="34"/>
  <c r="AY74" i="34"/>
  <c r="AX74" i="34"/>
  <c r="AW74" i="34"/>
  <c r="AV74" i="34"/>
  <c r="AU74" i="34"/>
  <c r="AT74" i="34"/>
  <c r="AS74" i="34"/>
  <c r="AR74" i="34"/>
  <c r="AQ74" i="34"/>
  <c r="AP74" i="34"/>
  <c r="AO74" i="34"/>
  <c r="AN74" i="34"/>
  <c r="AM74" i="34"/>
  <c r="AL74" i="34"/>
  <c r="AK74" i="34"/>
  <c r="AJ74" i="34"/>
  <c r="AI74" i="34"/>
  <c r="AH74" i="34"/>
  <c r="AG74" i="34"/>
  <c r="AF74" i="34"/>
  <c r="AE74" i="34"/>
  <c r="AD74" i="34"/>
  <c r="AC74" i="34"/>
  <c r="AB74" i="34"/>
  <c r="AA74" i="34"/>
  <c r="Z74" i="34"/>
  <c r="Y74" i="34"/>
  <c r="X74" i="34"/>
  <c r="W74" i="34"/>
  <c r="V74" i="34"/>
  <c r="U74" i="34"/>
  <c r="T74" i="34"/>
  <c r="S74" i="34"/>
  <c r="R74" i="34"/>
  <c r="Q74" i="34"/>
  <c r="P74" i="34"/>
  <c r="O74" i="34"/>
  <c r="N74" i="34"/>
  <c r="M74" i="34"/>
  <c r="I65" i="34"/>
  <c r="J65" i="34"/>
  <c r="L65" i="34"/>
  <c r="L64" i="34"/>
  <c r="EB56" i="34"/>
  <c r="EA56" i="34"/>
  <c r="DZ56" i="34"/>
  <c r="DY56" i="34"/>
  <c r="DX56" i="34"/>
  <c r="DW56" i="34"/>
  <c r="DV56" i="34"/>
  <c r="DU56" i="34"/>
  <c r="DT56" i="34"/>
  <c r="DS56" i="34"/>
  <c r="DR56" i="34"/>
  <c r="DQ56" i="34"/>
  <c r="DP56" i="34"/>
  <c r="DO56" i="34"/>
  <c r="DN56" i="34"/>
  <c r="DM56" i="34"/>
  <c r="DL56" i="34"/>
  <c r="DK56" i="34"/>
  <c r="DJ56" i="34"/>
  <c r="DI56" i="34"/>
  <c r="DH56" i="34"/>
  <c r="DG56" i="34"/>
  <c r="DF56" i="34"/>
  <c r="DE56" i="34"/>
  <c r="DD56" i="34"/>
  <c r="DC56" i="34"/>
  <c r="DB56" i="34"/>
  <c r="DA56" i="34"/>
  <c r="CZ56" i="34"/>
  <c r="CY56" i="34"/>
  <c r="CX56" i="34"/>
  <c r="CW56" i="34"/>
  <c r="CV56" i="34"/>
  <c r="CU56" i="34"/>
  <c r="CT56" i="34"/>
  <c r="CS56" i="34"/>
  <c r="CR56" i="34"/>
  <c r="CQ56" i="34"/>
  <c r="CP56" i="34"/>
  <c r="CO56" i="34"/>
  <c r="CN56" i="34"/>
  <c r="CM56" i="34"/>
  <c r="CL56" i="34"/>
  <c r="CK56" i="34"/>
  <c r="CJ56" i="34"/>
  <c r="CI56" i="34"/>
  <c r="CH56" i="34"/>
  <c r="CG56" i="34"/>
  <c r="CF56" i="34"/>
  <c r="CE56" i="34"/>
  <c r="CD56" i="34"/>
  <c r="CC56" i="34"/>
  <c r="CB56" i="34"/>
  <c r="CA56" i="34"/>
  <c r="BZ56" i="34"/>
  <c r="BY56" i="34"/>
  <c r="BX56" i="34"/>
  <c r="BW56" i="34"/>
  <c r="BV56" i="34"/>
  <c r="BU56" i="34"/>
  <c r="BT56" i="34"/>
  <c r="BS56" i="34"/>
  <c r="BR56" i="34"/>
  <c r="BQ56" i="34"/>
  <c r="BP56" i="34"/>
  <c r="BO56" i="34"/>
  <c r="BN56" i="34"/>
  <c r="BM56" i="34"/>
  <c r="BL56" i="34"/>
  <c r="BK56" i="34"/>
  <c r="BJ56" i="34"/>
  <c r="BI56" i="34"/>
  <c r="BH56" i="34"/>
  <c r="BG56" i="34"/>
  <c r="BF56" i="34"/>
  <c r="BE56" i="34"/>
  <c r="BD56" i="34"/>
  <c r="BC56" i="34"/>
  <c r="BB56" i="34"/>
  <c r="BA56" i="34"/>
  <c r="AZ56" i="34"/>
  <c r="AY56" i="34"/>
  <c r="AX56" i="34"/>
  <c r="AW56" i="34"/>
  <c r="AV56" i="34"/>
  <c r="AU56" i="34"/>
  <c r="AT56" i="34"/>
  <c r="AS56" i="34"/>
  <c r="AR56" i="34"/>
  <c r="AQ56" i="34"/>
  <c r="AP56" i="34"/>
  <c r="AO56" i="34"/>
  <c r="AN56" i="34"/>
  <c r="AM56" i="34"/>
  <c r="AL56" i="34"/>
  <c r="AK56" i="34"/>
  <c r="AJ56" i="34"/>
  <c r="AI56" i="34"/>
  <c r="AH56" i="34"/>
  <c r="AG56" i="34"/>
  <c r="AF56" i="34"/>
  <c r="AE56" i="34"/>
  <c r="AD56" i="34"/>
  <c r="AC56" i="34"/>
  <c r="AB56" i="34"/>
  <c r="AA56" i="34"/>
  <c r="Z56" i="34"/>
  <c r="Y56" i="34"/>
  <c r="X56" i="34"/>
  <c r="W56" i="34"/>
  <c r="V56" i="34"/>
  <c r="U56" i="34"/>
  <c r="T56" i="34"/>
  <c r="S56" i="34"/>
  <c r="R56" i="34"/>
  <c r="Q56" i="34"/>
  <c r="P56" i="34"/>
  <c r="O56" i="34"/>
  <c r="N56" i="34"/>
  <c r="M56" i="34"/>
  <c r="I53" i="34"/>
  <c r="I47" i="34"/>
  <c r="J47" i="34"/>
  <c r="L46" i="34"/>
  <c r="L47" i="34"/>
  <c r="I29" i="34"/>
  <c r="J29" i="34"/>
  <c r="L29" i="34"/>
  <c r="L28" i="34"/>
  <c r="I21" i="34"/>
  <c r="J10" i="34"/>
  <c r="I10" i="34"/>
  <c r="L9" i="34"/>
  <c r="L10" i="34"/>
  <c r="L101" i="34"/>
  <c r="B57" i="27"/>
  <c r="B56" i="27"/>
  <c r="B55" i="27"/>
  <c r="B53" i="27"/>
  <c r="B52" i="27"/>
  <c r="B51" i="27"/>
  <c r="B45" i="27"/>
  <c r="B46" i="27"/>
  <c r="B47" i="27"/>
  <c r="B48" i="27"/>
  <c r="B44" i="27"/>
  <c r="B41" i="27"/>
  <c r="F5" i="9"/>
  <c r="E5" i="9"/>
  <c r="D5" i="9"/>
  <c r="E115" i="20"/>
  <c r="B33" i="22"/>
  <c r="B34" i="22"/>
  <c r="B35" i="22"/>
  <c r="B36" i="22"/>
  <c r="B32" i="22"/>
  <c r="B24" i="22"/>
  <c r="B25" i="22"/>
  <c r="B26" i="22"/>
  <c r="B27" i="22"/>
  <c r="B28" i="22"/>
  <c r="B29" i="22"/>
  <c r="B23" i="22"/>
  <c r="B17" i="22"/>
  <c r="B18" i="22"/>
  <c r="B16" i="22"/>
  <c r="B12" i="22"/>
  <c r="B7" i="22"/>
  <c r="B9" i="22"/>
  <c r="B11" i="22"/>
  <c r="B10" i="22"/>
  <c r="D116" i="20"/>
  <c r="C116" i="20"/>
  <c r="C111" i="20"/>
  <c r="C98" i="20"/>
  <c r="G27" i="19"/>
  <c r="L53" i="6"/>
  <c r="L37" i="19"/>
  <c r="D125" i="20"/>
  <c r="C125" i="20"/>
  <c r="N53" i="6"/>
  <c r="V53" i="6" s="1"/>
  <c r="E116" i="20"/>
  <c r="P12" i="19"/>
  <c r="C7" i="21"/>
  <c r="C8" i="21"/>
  <c r="L8" i="21" s="1"/>
  <c r="C9" i="21"/>
  <c r="E9" i="21" s="1"/>
  <c r="C10" i="21"/>
  <c r="C11" i="21"/>
  <c r="C12" i="21"/>
  <c r="Y12" i="21" s="1"/>
  <c r="C13" i="21"/>
  <c r="C14" i="21"/>
  <c r="Y14" i="21" s="1"/>
  <c r="C15" i="21"/>
  <c r="Y15" i="21" s="1"/>
  <c r="B17" i="20"/>
  <c r="C16" i="21"/>
  <c r="C17" i="21"/>
  <c r="J17" i="21" s="1"/>
  <c r="C18" i="21"/>
  <c r="C19" i="21"/>
  <c r="Y19" i="21" s="1"/>
  <c r="C20" i="21"/>
  <c r="Y20" i="21" s="1"/>
  <c r="K19" i="33"/>
  <c r="C21" i="21"/>
  <c r="Y21" i="21" s="1"/>
  <c r="K20" i="33"/>
  <c r="C22" i="21"/>
  <c r="E22" i="21" s="1"/>
  <c r="K22" i="21" s="1"/>
  <c r="C23" i="21"/>
  <c r="Y23" i="21" s="1"/>
  <c r="C24" i="21"/>
  <c r="Y24" i="21" s="1"/>
  <c r="C25" i="21"/>
  <c r="Y25" i="21" s="1"/>
  <c r="C26" i="21"/>
  <c r="Y26" i="21" s="1"/>
  <c r="C27" i="21"/>
  <c r="C28" i="21"/>
  <c r="Y28" i="21" s="1"/>
  <c r="C29" i="21"/>
  <c r="C30" i="21"/>
  <c r="U30" i="21" s="1"/>
  <c r="C31" i="21"/>
  <c r="Y31" i="21" s="1"/>
  <c r="C32" i="21"/>
  <c r="Y32" i="21" s="1"/>
  <c r="C33" i="21"/>
  <c r="Y33" i="21" s="1"/>
  <c r="C34" i="21"/>
  <c r="Y34" i="21" s="1"/>
  <c r="C35" i="21"/>
  <c r="C36" i="21"/>
  <c r="Y36" i="21" s="1"/>
  <c r="C37" i="21"/>
  <c r="C38" i="21"/>
  <c r="C39" i="21"/>
  <c r="Y39" i="21" s="1"/>
  <c r="C40" i="21"/>
  <c r="Y40" i="21" s="1"/>
  <c r="C6" i="21"/>
  <c r="B8" i="20" s="1"/>
  <c r="E1002" i="33"/>
  <c r="D9" i="19" s="1"/>
  <c r="C9" i="19" s="1"/>
  <c r="D1002" i="33"/>
  <c r="D1003" i="33" s="1"/>
  <c r="A1002" i="33"/>
  <c r="D40" i="20"/>
  <c r="E40" i="20" s="1"/>
  <c r="B40" i="20"/>
  <c r="BF40" i="20" s="1"/>
  <c r="D30" i="20"/>
  <c r="E30" i="20" s="1"/>
  <c r="B30" i="20"/>
  <c r="AI30" i="20"/>
  <c r="B31" i="20"/>
  <c r="B29" i="20"/>
  <c r="B36" i="20"/>
  <c r="D36" i="20"/>
  <c r="E36" i="20" s="1"/>
  <c r="D28" i="20"/>
  <c r="E28" i="20" s="1"/>
  <c r="B28" i="20"/>
  <c r="N28" i="20" s="1"/>
  <c r="B35" i="20"/>
  <c r="W35" i="20" s="1"/>
  <c r="D35" i="20"/>
  <c r="E35" i="20" s="1"/>
  <c r="B27" i="20"/>
  <c r="DP27" i="20" s="1"/>
  <c r="D27" i="20"/>
  <c r="E27" i="20" s="1"/>
  <c r="B39" i="20"/>
  <c r="D39" i="20"/>
  <c r="E39" i="20" s="1"/>
  <c r="B42" i="20"/>
  <c r="CI42" i="20" s="1"/>
  <c r="D42" i="20"/>
  <c r="E42" i="20" s="1"/>
  <c r="B34" i="20"/>
  <c r="DF34" i="20" s="1"/>
  <c r="D34" i="20"/>
  <c r="E34" i="20" s="1"/>
  <c r="B26" i="20"/>
  <c r="BH26" i="20"/>
  <c r="D26" i="20"/>
  <c r="E26" i="20" s="1"/>
  <c r="D38" i="20"/>
  <c r="E38" i="20" s="1"/>
  <c r="B38" i="20"/>
  <c r="CQ38" i="20" s="1"/>
  <c r="B41" i="20"/>
  <c r="DQ41" i="20" s="1"/>
  <c r="D41" i="20"/>
  <c r="E41" i="20" s="1"/>
  <c r="B33" i="20"/>
  <c r="AX33" i="20" s="1"/>
  <c r="D33" i="20"/>
  <c r="E33" i="20" s="1"/>
  <c r="B25" i="20"/>
  <c r="D25" i="20"/>
  <c r="E25" i="20" s="1"/>
  <c r="B23" i="20"/>
  <c r="B11" i="20"/>
  <c r="B22" i="20"/>
  <c r="AW22" i="20" s="1"/>
  <c r="B21" i="20"/>
  <c r="B20" i="20"/>
  <c r="Q20" i="20" s="1"/>
  <c r="S38" i="21"/>
  <c r="S29" i="21"/>
  <c r="U29" i="21"/>
  <c r="S36" i="21"/>
  <c r="Q36" i="21"/>
  <c r="U36" i="21"/>
  <c r="Q28" i="21"/>
  <c r="U28" i="21"/>
  <c r="S28" i="21"/>
  <c r="U33" i="21"/>
  <c r="S33" i="21"/>
  <c r="Q33" i="21"/>
  <c r="U34" i="21"/>
  <c r="Q34" i="21"/>
  <c r="S34" i="21"/>
  <c r="U40" i="21"/>
  <c r="S40" i="21"/>
  <c r="Q40" i="21"/>
  <c r="U32" i="21"/>
  <c r="S32" i="21"/>
  <c r="Q32" i="21"/>
  <c r="U39" i="21"/>
  <c r="S39" i="21"/>
  <c r="Q39" i="21"/>
  <c r="U31" i="21"/>
  <c r="S31" i="21"/>
  <c r="Q31" i="21"/>
  <c r="N6" i="21"/>
  <c r="AM6" i="21" s="1"/>
  <c r="AO6" i="21" s="1"/>
  <c r="M29" i="21"/>
  <c r="M36" i="21"/>
  <c r="O36" i="21"/>
  <c r="O37" i="21"/>
  <c r="M34" i="21"/>
  <c r="O34" i="21"/>
  <c r="M38" i="21"/>
  <c r="M28" i="21"/>
  <c r="O28" i="21"/>
  <c r="M33" i="21"/>
  <c r="O33" i="21"/>
  <c r="O35" i="21"/>
  <c r="M40" i="21"/>
  <c r="O40" i="21"/>
  <c r="M32" i="21"/>
  <c r="O32" i="21"/>
  <c r="O30" i="21"/>
  <c r="M39" i="21"/>
  <c r="O39" i="21"/>
  <c r="M31" i="21"/>
  <c r="O31" i="21"/>
  <c r="K5" i="33"/>
  <c r="M5" i="33" s="1"/>
  <c r="V6" i="21" s="1"/>
  <c r="R33" i="21"/>
  <c r="T33" i="21" s="1"/>
  <c r="Z33" i="21" s="1"/>
  <c r="R29" i="21"/>
  <c r="T29" i="21" s="1"/>
  <c r="Z29" i="21" s="1"/>
  <c r="R34" i="21"/>
  <c r="T34" i="21" s="1"/>
  <c r="Z34" i="21" s="1"/>
  <c r="R40" i="21"/>
  <c r="T40" i="21" s="1"/>
  <c r="Z40" i="21" s="1"/>
  <c r="M38" i="33"/>
  <c r="V40" i="21" s="1"/>
  <c r="R32" i="21"/>
  <c r="T32" i="21" s="1"/>
  <c r="Z32" i="21" s="1"/>
  <c r="R28" i="21"/>
  <c r="T28" i="21" s="1"/>
  <c r="Z28" i="21" s="1"/>
  <c r="R30" i="21"/>
  <c r="T30" i="21" s="1"/>
  <c r="Z30" i="21" s="1"/>
  <c r="R36" i="21"/>
  <c r="T36" i="21" s="1"/>
  <c r="Z36" i="21" s="1"/>
  <c r="R39" i="21"/>
  <c r="T39" i="21" s="1"/>
  <c r="Z39" i="21" s="1"/>
  <c r="R35" i="21"/>
  <c r="T35" i="21" s="1"/>
  <c r="Z35" i="21" s="1"/>
  <c r="R31" i="21"/>
  <c r="T31" i="21" s="1"/>
  <c r="Z31" i="21" s="1"/>
  <c r="N22" i="21"/>
  <c r="L20" i="21"/>
  <c r="L27" i="21"/>
  <c r="L19" i="21"/>
  <c r="F26" i="21"/>
  <c r="F18" i="21"/>
  <c r="L28" i="21"/>
  <c r="J33" i="21"/>
  <c r="J25" i="21"/>
  <c r="L36" i="21"/>
  <c r="F34" i="21"/>
  <c r="J40" i="21"/>
  <c r="J32" i="21"/>
  <c r="J24" i="21"/>
  <c r="H21" i="21"/>
  <c r="L35" i="21"/>
  <c r="E39" i="21"/>
  <c r="K39" i="21" s="1"/>
  <c r="E31" i="21"/>
  <c r="K31" i="21" s="1"/>
  <c r="E23" i="21"/>
  <c r="K23" i="21" s="1"/>
  <c r="E38" i="21"/>
  <c r="K38" i="21" s="1"/>
  <c r="E14" i="21"/>
  <c r="F25" i="21"/>
  <c r="J23" i="21"/>
  <c r="L34" i="21"/>
  <c r="E36" i="21"/>
  <c r="K36" i="21" s="1"/>
  <c r="F23" i="21"/>
  <c r="H34" i="21"/>
  <c r="J21" i="21"/>
  <c r="L32" i="21"/>
  <c r="H36" i="21"/>
  <c r="F6" i="21"/>
  <c r="H28" i="21"/>
  <c r="J39" i="21"/>
  <c r="L26" i="21"/>
  <c r="N37" i="21"/>
  <c r="E28" i="21"/>
  <c r="K28" i="21" s="1"/>
  <c r="F39" i="21"/>
  <c r="H26" i="21"/>
  <c r="L24" i="21"/>
  <c r="F33" i="21"/>
  <c r="H20" i="21"/>
  <c r="J31" i="21"/>
  <c r="L18" i="21"/>
  <c r="N21" i="21"/>
  <c r="AC21" i="21" s="1"/>
  <c r="D23" i="20"/>
  <c r="E23" i="20" s="1"/>
  <c r="E20" i="21"/>
  <c r="F31" i="21"/>
  <c r="H18" i="21"/>
  <c r="L40" i="21"/>
  <c r="E37" i="21"/>
  <c r="K37" i="21" s="1"/>
  <c r="E29" i="21"/>
  <c r="K29" i="21" s="1"/>
  <c r="E21" i="21"/>
  <c r="K21" i="21" s="1"/>
  <c r="F40" i="21"/>
  <c r="F32" i="21"/>
  <c r="F24" i="21"/>
  <c r="H27" i="21"/>
  <c r="H19" i="21"/>
  <c r="J38" i="21"/>
  <c r="J22" i="21"/>
  <c r="J14" i="21"/>
  <c r="L33" i="21"/>
  <c r="L25" i="21"/>
  <c r="N36" i="21"/>
  <c r="AM36" i="21" s="1"/>
  <c r="AO36" i="21" s="1"/>
  <c r="N28" i="21"/>
  <c r="N20" i="21"/>
  <c r="AM20" i="21" s="1"/>
  <c r="AO20" i="21" s="1"/>
  <c r="D22" i="20"/>
  <c r="E22" i="20" s="1"/>
  <c r="E35" i="21"/>
  <c r="K35" i="21" s="1"/>
  <c r="E19" i="21"/>
  <c r="F38" i="21"/>
  <c r="F22" i="21"/>
  <c r="H6" i="21"/>
  <c r="H33" i="21"/>
  <c r="H25" i="21"/>
  <c r="J36" i="21"/>
  <c r="J28" i="21"/>
  <c r="J20" i="21"/>
  <c r="J12" i="21"/>
  <c r="L39" i="21"/>
  <c r="L31" i="21"/>
  <c r="L23" i="21"/>
  <c r="N34" i="21"/>
  <c r="AN34" i="21" s="1"/>
  <c r="AP34" i="21" s="1"/>
  <c r="AQ34" i="21" s="1"/>
  <c r="N26" i="21"/>
  <c r="AG26" i="21" s="1"/>
  <c r="D20" i="20"/>
  <c r="E20" i="20" s="1"/>
  <c r="N10" i="21"/>
  <c r="N27" i="21"/>
  <c r="E34" i="21"/>
  <c r="K34" i="21" s="1"/>
  <c r="E26" i="21"/>
  <c r="K26" i="21" s="1"/>
  <c r="Q26" i="21"/>
  <c r="E18" i="21"/>
  <c r="K18" i="21" s="1"/>
  <c r="S18" i="21"/>
  <c r="E10" i="21"/>
  <c r="S10" i="21" s="1"/>
  <c r="F21" i="21"/>
  <c r="H40" i="21"/>
  <c r="H32" i="21"/>
  <c r="H24" i="21"/>
  <c r="J35" i="21"/>
  <c r="J27" i="21"/>
  <c r="J19" i="21"/>
  <c r="L30" i="21"/>
  <c r="L14" i="21"/>
  <c r="N33" i="21"/>
  <c r="N25" i="21"/>
  <c r="AF25" i="21" s="1"/>
  <c r="N19" i="21"/>
  <c r="AD19" i="21" s="1"/>
  <c r="E33" i="21"/>
  <c r="K33" i="21" s="1"/>
  <c r="E25" i="21"/>
  <c r="K25" i="21"/>
  <c r="E48" i="21"/>
  <c r="Y48" i="21" s="1" a="1"/>
  <c r="Y48" i="21" s="1"/>
  <c r="F36" i="21"/>
  <c r="F28" i="21"/>
  <c r="F20" i="21"/>
  <c r="H39" i="21"/>
  <c r="H31" i="21"/>
  <c r="H23" i="21"/>
  <c r="J34" i="21"/>
  <c r="J26" i="21"/>
  <c r="L29" i="21"/>
  <c r="L21" i="21"/>
  <c r="N40" i="21"/>
  <c r="N32" i="21"/>
  <c r="N24" i="21"/>
  <c r="E40" i="21"/>
  <c r="K40" i="21" s="1"/>
  <c r="E32" i="21"/>
  <c r="K32" i="21" s="1"/>
  <c r="E24" i="21"/>
  <c r="K24" i="21" s="1"/>
  <c r="F35" i="21"/>
  <c r="F27" i="21"/>
  <c r="F19" i="21"/>
  <c r="H30" i="21"/>
  <c r="N39" i="21"/>
  <c r="N31" i="21"/>
  <c r="N23" i="21"/>
  <c r="AM23" i="21" s="1"/>
  <c r="AO23" i="21" s="1"/>
  <c r="O23" i="21"/>
  <c r="E49" i="21"/>
  <c r="X49" i="21" s="1" a="1"/>
  <c r="X49" i="21" s="1"/>
  <c r="M27" i="33"/>
  <c r="N27" i="33" s="1"/>
  <c r="O27" i="33" s="1"/>
  <c r="M35" i="33"/>
  <c r="N35" i="33" s="1"/>
  <c r="O35" i="33" s="1"/>
  <c r="D21" i="20"/>
  <c r="E21" i="20" s="1"/>
  <c r="CH38" i="20"/>
  <c r="V38" i="20"/>
  <c r="K38" i="20"/>
  <c r="CS38" i="20"/>
  <c r="CI38" i="20"/>
  <c r="BP38" i="20"/>
  <c r="BF38" i="20"/>
  <c r="CG38" i="20"/>
  <c r="O38" i="20"/>
  <c r="DS38" i="20"/>
  <c r="CZ38" i="20"/>
  <c r="AO38" i="20"/>
  <c r="BJ38" i="20"/>
  <c r="AY38" i="20"/>
  <c r="AF38" i="20"/>
  <c r="H38" i="20"/>
  <c r="DD38" i="20"/>
  <c r="CT38" i="20"/>
  <c r="DQ38" i="20"/>
  <c r="BC38" i="20"/>
  <c r="AJ38" i="20"/>
  <c r="Z38" i="20"/>
  <c r="CC38" i="20"/>
  <c r="CX38" i="20"/>
  <c r="CM38" i="20"/>
  <c r="BT38" i="20"/>
  <c r="AS38" i="20"/>
  <c r="AD38" i="20"/>
  <c r="S38" i="20"/>
  <c r="M38" i="20"/>
  <c r="AW39" i="20"/>
  <c r="BN36" i="20"/>
  <c r="BX36" i="20"/>
  <c r="L36" i="20"/>
  <c r="BW36" i="20"/>
  <c r="K36" i="20"/>
  <c r="BM36" i="20"/>
  <c r="DP36" i="20"/>
  <c r="BD36" i="20"/>
  <c r="DG36" i="20"/>
  <c r="AU36" i="20"/>
  <c r="CW36" i="20"/>
  <c r="AK36" i="20"/>
  <c r="CX36" i="20"/>
  <c r="BF36" i="20"/>
  <c r="AT36" i="20"/>
  <c r="BP36" i="20"/>
  <c r="F36" i="20"/>
  <c r="BO36" i="20"/>
  <c r="DQ36" i="20"/>
  <c r="BE36" i="20"/>
  <c r="DH36" i="20"/>
  <c r="AV36" i="20"/>
  <c r="CY36" i="20"/>
  <c r="AM36" i="20"/>
  <c r="CO36" i="20"/>
  <c r="AC36" i="20"/>
  <c r="BR36" i="20"/>
  <c r="Z36" i="20"/>
  <c r="N36" i="20"/>
  <c r="DT36" i="20"/>
  <c r="BH36" i="20"/>
  <c r="DS36" i="20"/>
  <c r="BG36" i="20"/>
  <c r="DI36" i="20"/>
  <c r="AW36" i="20"/>
  <c r="CZ36" i="20"/>
  <c r="AN36" i="20"/>
  <c r="CQ36" i="20"/>
  <c r="AE36" i="20"/>
  <c r="CG36" i="20"/>
  <c r="U36" i="20"/>
  <c r="AL36" i="20"/>
  <c r="DN36" i="20"/>
  <c r="CT36" i="20"/>
  <c r="DL36" i="20"/>
  <c r="AZ36" i="20"/>
  <c r="DK36" i="20"/>
  <c r="AY36" i="20"/>
  <c r="DA36" i="20"/>
  <c r="AO36" i="20"/>
  <c r="CR36" i="20"/>
  <c r="AF36" i="20"/>
  <c r="CI36" i="20"/>
  <c r="W36" i="20"/>
  <c r="BY36" i="20"/>
  <c r="M36" i="20"/>
  <c r="CP36" i="20"/>
  <c r="CH36" i="20"/>
  <c r="CD36" i="20"/>
  <c r="DD36" i="20"/>
  <c r="AR36" i="20"/>
  <c r="DC36" i="20"/>
  <c r="AQ36" i="20"/>
  <c r="CS36" i="20"/>
  <c r="AG36" i="20"/>
  <c r="CJ36" i="20"/>
  <c r="X36" i="20"/>
  <c r="CA36" i="20"/>
  <c r="O36" i="20"/>
  <c r="BQ36" i="20"/>
  <c r="DB36" i="20"/>
  <c r="BJ36" i="20"/>
  <c r="BB36" i="20"/>
  <c r="AX36" i="20"/>
  <c r="CV36" i="20"/>
  <c r="AJ36" i="20"/>
  <c r="CU36" i="20"/>
  <c r="AI36" i="20"/>
  <c r="CK36" i="20"/>
  <c r="Y36" i="20"/>
  <c r="CB36" i="20"/>
  <c r="P36" i="20"/>
  <c r="BS36" i="20"/>
  <c r="G36" i="20"/>
  <c r="BI36" i="20"/>
  <c r="BV36" i="20"/>
  <c r="AD36" i="20"/>
  <c r="V36" i="20"/>
  <c r="AH36" i="20"/>
  <c r="CN36" i="20"/>
  <c r="AB36" i="20"/>
  <c r="CM36" i="20"/>
  <c r="AA36" i="20"/>
  <c r="CC36" i="20"/>
  <c r="Q36" i="20"/>
  <c r="BT36" i="20"/>
  <c r="H36" i="20"/>
  <c r="BK36" i="20"/>
  <c r="DM36" i="20"/>
  <c r="BA36" i="20"/>
  <c r="AP36" i="20"/>
  <c r="DR36" i="20"/>
  <c r="DF36" i="20"/>
  <c r="R36" i="20"/>
  <c r="CF36" i="20"/>
  <c r="T36" i="20"/>
  <c r="CE36" i="20"/>
  <c r="S36" i="20"/>
  <c r="BU36" i="20"/>
  <c r="I36" i="20"/>
  <c r="BL36" i="20"/>
  <c r="DO36" i="20"/>
  <c r="BC36" i="20"/>
  <c r="DE36" i="20"/>
  <c r="AS36" i="20"/>
  <c r="J36" i="20"/>
  <c r="CL36" i="20"/>
  <c r="BZ36" i="20"/>
  <c r="DJ36" i="20"/>
  <c r="AA29" i="20"/>
  <c r="DK29" i="20"/>
  <c r="O29" i="20"/>
  <c r="DM29" i="20"/>
  <c r="DD29" i="20"/>
  <c r="AR29" i="20"/>
  <c r="CK29" i="20"/>
  <c r="CP29" i="20"/>
  <c r="W29" i="20"/>
  <c r="DS29" i="20"/>
  <c r="DE29" i="20"/>
  <c r="CV29" i="20"/>
  <c r="CL29" i="20"/>
  <c r="Z29" i="20"/>
  <c r="CH29" i="20"/>
  <c r="I29" i="20"/>
  <c r="AQ29" i="20"/>
  <c r="N29" i="20"/>
  <c r="CN29" i="20"/>
  <c r="CD29" i="20"/>
  <c r="BU29" i="20"/>
  <c r="CR29" i="20"/>
  <c r="CQ29" i="20"/>
  <c r="AD29" i="20"/>
  <c r="AC29" i="20"/>
  <c r="CF29" i="20"/>
  <c r="J29" i="20"/>
  <c r="CJ29" i="20"/>
  <c r="K29" i="20"/>
  <c r="BO29" i="20"/>
  <c r="CG29" i="20"/>
  <c r="BX29" i="20"/>
  <c r="BN29" i="20"/>
  <c r="DQ29" i="20"/>
  <c r="BJ29" i="20"/>
  <c r="AU29" i="20"/>
  <c r="DG29" i="20"/>
  <c r="BY29" i="20"/>
  <c r="DR29" i="20"/>
  <c r="DI29" i="20"/>
  <c r="DN29" i="20"/>
  <c r="BB29" i="20"/>
  <c r="Q29" i="20"/>
  <c r="BQ29" i="20"/>
  <c r="BH29" i="20"/>
  <c r="DJ29" i="20"/>
  <c r="AO29" i="20"/>
  <c r="DC29" i="20"/>
  <c r="S29" i="20"/>
  <c r="DO29" i="20"/>
  <c r="BI29" i="20"/>
  <c r="AZ29" i="20"/>
  <c r="AP29" i="20"/>
  <c r="CS29" i="20"/>
  <c r="BW29" i="20"/>
  <c r="G29" i="20"/>
  <c r="AM29" i="20"/>
  <c r="BG29" i="20"/>
  <c r="BS29" i="20"/>
  <c r="AR25" i="20"/>
  <c r="BX25" i="20"/>
  <c r="DD25" i="20"/>
  <c r="CF25" i="20"/>
  <c r="DL25" i="20"/>
  <c r="X25" i="20"/>
  <c r="DR25" i="20"/>
  <c r="L25" i="20"/>
  <c r="DB25" i="20"/>
  <c r="AH25" i="20"/>
  <c r="CK25" i="20"/>
  <c r="O25" i="20"/>
  <c r="DM25" i="20"/>
  <c r="DC25" i="20"/>
  <c r="AQ25" i="20"/>
  <c r="CC25" i="20"/>
  <c r="BS25" i="20"/>
  <c r="BJ25" i="20"/>
  <c r="DE25" i="20"/>
  <c r="AI25" i="20"/>
  <c r="R25" i="20"/>
  <c r="I25" i="20"/>
  <c r="BK25" i="20"/>
  <c r="CW25" i="20"/>
  <c r="CM25" i="20"/>
  <c r="BV25" i="20"/>
  <c r="J25" i="20"/>
  <c r="BC25" i="20"/>
  <c r="AT25" i="20"/>
  <c r="AC25" i="20"/>
  <c r="CE25" i="20"/>
  <c r="DQ25" i="20"/>
  <c r="DG25" i="20"/>
  <c r="CX25" i="20"/>
  <c r="AL25" i="20"/>
  <c r="BW25" i="20"/>
  <c r="AV25" i="20"/>
  <c r="DI25" i="20"/>
  <c r="AW25" i="20"/>
  <c r="CP25" i="20"/>
  <c r="BY25" i="20"/>
  <c r="BO25" i="20"/>
  <c r="DH25" i="20"/>
  <c r="AO25" i="20"/>
  <c r="AE25" i="20"/>
  <c r="V25" i="20"/>
  <c r="BQ25" i="20"/>
  <c r="AP25" i="20"/>
  <c r="AG25" i="20"/>
  <c r="W25" i="20"/>
  <c r="BZ25" i="20"/>
  <c r="DK25" i="20"/>
  <c r="BL25" i="20"/>
  <c r="AB25" i="20"/>
  <c r="AJ25" i="20"/>
  <c r="CN25" i="20"/>
  <c r="DT25" i="20"/>
  <c r="AN25" i="20"/>
  <c r="BT25" i="20"/>
  <c r="AH26" i="20"/>
  <c r="BY26" i="20"/>
  <c r="AG26" i="20"/>
  <c r="H26" i="20"/>
  <c r="CE26" i="20"/>
  <c r="BO26" i="20"/>
  <c r="CO26" i="20"/>
  <c r="BD27" i="20"/>
  <c r="X27" i="20"/>
  <c r="CR27" i="20"/>
  <c r="AN27" i="20"/>
  <c r="BT27" i="20"/>
  <c r="BP27" i="20"/>
  <c r="AF27" i="20"/>
  <c r="CX27" i="20"/>
  <c r="U27" i="20"/>
  <c r="CP27" i="20"/>
  <c r="AD27" i="20"/>
  <c r="M27" i="20"/>
  <c r="V27" i="20"/>
  <c r="BQ27" i="20"/>
  <c r="BR27" i="20"/>
  <c r="DM27" i="20"/>
  <c r="BA27" i="20"/>
  <c r="DC27" i="20"/>
  <c r="AC27" i="20"/>
  <c r="AY27" i="20"/>
  <c r="AP27" i="20"/>
  <c r="CS27" i="20"/>
  <c r="AG27" i="20"/>
  <c r="CI27" i="20"/>
  <c r="P27" i="20"/>
  <c r="CF27" i="20"/>
  <c r="DK27" i="20"/>
  <c r="AQ27" i="20"/>
  <c r="CT27" i="20"/>
  <c r="AH27" i="20"/>
  <c r="Y27" i="20"/>
  <c r="CA27" i="20"/>
  <c r="AV27" i="20"/>
  <c r="DL27" i="20"/>
  <c r="F27" i="20"/>
  <c r="DE27" i="20"/>
  <c r="AI27" i="20"/>
  <c r="CL27" i="20"/>
  <c r="CC27" i="20"/>
  <c r="Q27" i="20"/>
  <c r="BS27" i="20"/>
  <c r="G27" i="20"/>
  <c r="DN27" i="20"/>
  <c r="CW27" i="20"/>
  <c r="AA27" i="20"/>
  <c r="CD27" i="20"/>
  <c r="R27" i="20"/>
  <c r="BU27" i="20"/>
  <c r="BK27" i="20"/>
  <c r="DH27" i="20"/>
  <c r="CO27" i="20"/>
  <c r="CE27" i="20"/>
  <c r="S27" i="20"/>
  <c r="BV27" i="20"/>
  <c r="J27" i="20"/>
  <c r="BM27" i="20"/>
  <c r="DO27" i="20"/>
  <c r="BZ27" i="20"/>
  <c r="BI27" i="20"/>
  <c r="BW27" i="20"/>
  <c r="K27" i="20"/>
  <c r="BN27" i="20"/>
  <c r="DQ27" i="20"/>
  <c r="BE27" i="20"/>
  <c r="AU27" i="20"/>
  <c r="BJ27" i="20"/>
  <c r="AS27" i="20"/>
  <c r="BO27" i="20"/>
  <c r="DR27" i="20"/>
  <c r="BF27" i="20"/>
  <c r="DI27" i="20"/>
  <c r="CY27" i="20"/>
  <c r="AM27" i="20"/>
  <c r="T27" i="20"/>
  <c r="BB27" i="20"/>
  <c r="AK27" i="20"/>
  <c r="BG27" i="20"/>
  <c r="DJ27" i="20"/>
  <c r="DA27" i="20"/>
  <c r="AO27" i="20"/>
  <c r="CQ27" i="20"/>
  <c r="AE27" i="20"/>
  <c r="AZ27" i="20"/>
  <c r="BH27" i="20"/>
  <c r="CN27" i="20"/>
  <c r="AB27" i="20"/>
  <c r="AO33" i="20"/>
  <c r="AZ34" i="20"/>
  <c r="BT34" i="20"/>
  <c r="DQ34" i="20"/>
  <c r="DO34" i="20"/>
  <c r="AW34" i="20"/>
  <c r="AU34" i="20"/>
  <c r="I34" i="20"/>
  <c r="CO34" i="20"/>
  <c r="CX34" i="20"/>
  <c r="U34" i="20"/>
  <c r="CL34" i="20"/>
  <c r="BP34" i="20"/>
  <c r="CP34" i="20"/>
  <c r="CU34" i="20"/>
  <c r="BT28" i="20"/>
  <c r="CJ28" i="20"/>
  <c r="CD28" i="20"/>
  <c r="AI28" i="20"/>
  <c r="DG28" i="20"/>
  <c r="BN28" i="20"/>
  <c r="S28" i="20"/>
  <c r="CI28" i="20"/>
  <c r="AX28" i="20"/>
  <c r="DN28" i="20"/>
  <c r="BM28" i="20"/>
  <c r="DH28" i="20"/>
  <c r="CO28" i="20"/>
  <c r="AS28" i="20"/>
  <c r="Z28" i="20"/>
  <c r="L40" i="20"/>
  <c r="BJ40" i="20"/>
  <c r="DA40" i="20"/>
  <c r="DD41" i="20"/>
  <c r="BZ42" i="20"/>
  <c r="DT42" i="20"/>
  <c r="AZ42" i="20"/>
  <c r="CU42" i="20"/>
  <c r="AA42" i="20"/>
  <c r="BV42" i="20"/>
  <c r="DP42" i="20"/>
  <c r="AV42" i="20"/>
  <c r="F31" i="20"/>
  <c r="BM31" i="20"/>
  <c r="DP31" i="20"/>
  <c r="BD31" i="20"/>
  <c r="DF31" i="20"/>
  <c r="AT31" i="20"/>
  <c r="CO31" i="20"/>
  <c r="AC31" i="20"/>
  <c r="CF31" i="20"/>
  <c r="T31" i="20"/>
  <c r="BV31" i="20"/>
  <c r="J31" i="20"/>
  <c r="DK31" i="20"/>
  <c r="DC31" i="20"/>
  <c r="DQ31" i="20"/>
  <c r="BE31" i="20"/>
  <c r="DH31" i="20"/>
  <c r="AV31" i="20"/>
  <c r="CX31" i="20"/>
  <c r="AL31" i="20"/>
  <c r="CG31" i="20"/>
  <c r="U31" i="20"/>
  <c r="BX31" i="20"/>
  <c r="L31" i="20"/>
  <c r="BN31" i="20"/>
  <c r="CQ31" i="20"/>
  <c r="CE31" i="20"/>
  <c r="BW31" i="20"/>
  <c r="W31" i="20"/>
  <c r="DI31" i="20"/>
  <c r="AW31" i="20"/>
  <c r="CZ31" i="20"/>
  <c r="AN31" i="20"/>
  <c r="CP31" i="20"/>
  <c r="AD31" i="20"/>
  <c r="BY31" i="20"/>
  <c r="M31" i="20"/>
  <c r="BP31" i="20"/>
  <c r="DR31" i="20"/>
  <c r="BF31" i="20"/>
  <c r="BK31" i="20"/>
  <c r="AY31" i="20"/>
  <c r="AQ31" i="20"/>
  <c r="G31" i="20"/>
  <c r="DA31" i="20"/>
  <c r="AO31" i="20"/>
  <c r="CR31" i="20"/>
  <c r="AF31" i="20"/>
  <c r="CH31" i="20"/>
  <c r="V31" i="20"/>
  <c r="BQ31" i="20"/>
  <c r="DT31" i="20"/>
  <c r="BH31" i="20"/>
  <c r="DJ31" i="20"/>
  <c r="AX31" i="20"/>
  <c r="AE31" i="20"/>
  <c r="S31" i="20"/>
  <c r="K31" i="20"/>
  <c r="CS31" i="20"/>
  <c r="AG31" i="20"/>
  <c r="CJ31" i="20"/>
  <c r="X31" i="20"/>
  <c r="BZ31" i="20"/>
  <c r="N31" i="20"/>
  <c r="BI31" i="20"/>
  <c r="DL31" i="20"/>
  <c r="AZ31" i="20"/>
  <c r="DB31" i="20"/>
  <c r="AP31" i="20"/>
  <c r="DS31" i="20"/>
  <c r="DG31" i="20"/>
  <c r="CU31" i="20"/>
  <c r="CK31" i="20"/>
  <c r="Y31" i="20"/>
  <c r="CB31" i="20"/>
  <c r="P31" i="20"/>
  <c r="BR31" i="20"/>
  <c r="DM31" i="20"/>
  <c r="BA31" i="20"/>
  <c r="DD31" i="20"/>
  <c r="AR31" i="20"/>
  <c r="CT31" i="20"/>
  <c r="AH31" i="20"/>
  <c r="CM31" i="20"/>
  <c r="CA31" i="20"/>
  <c r="BO31" i="20"/>
  <c r="CC31" i="20"/>
  <c r="Q31" i="20"/>
  <c r="BT31" i="20"/>
  <c r="H31" i="20"/>
  <c r="BJ31" i="20"/>
  <c r="DE31" i="20"/>
  <c r="AS31" i="20"/>
  <c r="CV31" i="20"/>
  <c r="AJ31" i="20"/>
  <c r="CL31" i="20"/>
  <c r="Z31" i="20"/>
  <c r="BG31" i="20"/>
  <c r="AU31" i="20"/>
  <c r="AI31" i="20"/>
  <c r="BU31" i="20"/>
  <c r="I31" i="20"/>
  <c r="BL31" i="20"/>
  <c r="DN31" i="20"/>
  <c r="BB31" i="20"/>
  <c r="CW31" i="20"/>
  <c r="AK31" i="20"/>
  <c r="CN31" i="20"/>
  <c r="AB31" i="20"/>
  <c r="CD31" i="20"/>
  <c r="R31" i="20"/>
  <c r="AA31" i="20"/>
  <c r="O31" i="20"/>
  <c r="CY31" i="20"/>
  <c r="AM31" i="20"/>
  <c r="DO31" i="20"/>
  <c r="BS31" i="20"/>
  <c r="BC31" i="20"/>
  <c r="CI31" i="20"/>
  <c r="K19" i="21"/>
  <c r="O24" i="21"/>
  <c r="O22" i="21"/>
  <c r="S19" i="21"/>
  <c r="Q18" i="21"/>
  <c r="U18" i="21"/>
  <c r="Q22" i="21"/>
  <c r="R22" i="21"/>
  <c r="T22" i="21" s="1"/>
  <c r="Z22" i="21" s="1"/>
  <c r="M24" i="21"/>
  <c r="M22" i="21"/>
  <c r="Q17" i="21"/>
  <c r="R17" i="21"/>
  <c r="T17" i="21" s="1"/>
  <c r="Z17" i="21" s="1"/>
  <c r="S27" i="21"/>
  <c r="S22" i="21"/>
  <c r="R24" i="21"/>
  <c r="T24" i="21" s="1"/>
  <c r="Z24" i="21" s="1"/>
  <c r="O27" i="21"/>
  <c r="O17" i="21"/>
  <c r="O19" i="21"/>
  <c r="O21" i="21"/>
  <c r="S17" i="21"/>
  <c r="Q27" i="21"/>
  <c r="U27" i="21"/>
  <c r="M27" i="21"/>
  <c r="M17" i="21"/>
  <c r="M19" i="21"/>
  <c r="M21" i="21"/>
  <c r="S26" i="21"/>
  <c r="U26" i="21"/>
  <c r="O25" i="21"/>
  <c r="O18" i="21"/>
  <c r="O20" i="21"/>
  <c r="Q25" i="21"/>
  <c r="U25" i="21"/>
  <c r="S21" i="21"/>
  <c r="K20" i="21"/>
  <c r="M23" i="21"/>
  <c r="M25" i="21"/>
  <c r="M18" i="21"/>
  <c r="M20" i="21"/>
  <c r="Q24" i="21"/>
  <c r="S25" i="21"/>
  <c r="Q20" i="21"/>
  <c r="Q21" i="21"/>
  <c r="R26" i="21"/>
  <c r="T26" i="21" s="1"/>
  <c r="Z26" i="21" s="1"/>
  <c r="O26" i="21"/>
  <c r="Q23" i="21"/>
  <c r="R23" i="21"/>
  <c r="T23" i="21" s="1"/>
  <c r="Z23" i="21" s="1"/>
  <c r="S24" i="21"/>
  <c r="S20" i="21"/>
  <c r="R25" i="21"/>
  <c r="T25" i="21" s="1"/>
  <c r="Z25" i="21" s="1"/>
  <c r="M26" i="21"/>
  <c r="S23" i="21"/>
  <c r="Q19" i="21"/>
  <c r="U19" i="21"/>
  <c r="E53" i="21"/>
  <c r="N53" i="21" s="1" a="1"/>
  <c r="N53" i="21" s="1"/>
  <c r="AM27" i="21"/>
  <c r="AO27" i="21" s="1"/>
  <c r="AM39" i="21"/>
  <c r="AO39" i="21" s="1"/>
  <c r="AN39" i="21"/>
  <c r="AP39" i="21" s="1"/>
  <c r="AQ39" i="21" s="1"/>
  <c r="AM40" i="21"/>
  <c r="AO40" i="21" s="1"/>
  <c r="AN40" i="21"/>
  <c r="AP40" i="21" s="1"/>
  <c r="AQ40" i="21" s="1"/>
  <c r="AN28" i="21"/>
  <c r="AP28" i="21" s="1"/>
  <c r="AQ28" i="21" s="1"/>
  <c r="AM28" i="21"/>
  <c r="AO28" i="21" s="1"/>
  <c r="AN37" i="21"/>
  <c r="AP37" i="21" s="1"/>
  <c r="AQ37" i="21" s="1"/>
  <c r="AM37" i="21"/>
  <c r="AO37" i="21" s="1"/>
  <c r="AM33" i="21"/>
  <c r="AO33" i="21" s="1"/>
  <c r="AN33" i="21"/>
  <c r="AP33" i="21" s="1"/>
  <c r="AQ33" i="21" s="1"/>
  <c r="AM22" i="21"/>
  <c r="AO22" i="21" s="1"/>
  <c r="AG33" i="21"/>
  <c r="AH33" i="21"/>
  <c r="AI33" i="21" s="1"/>
  <c r="AJ33" i="21" s="1"/>
  <c r="AG39" i="21"/>
  <c r="AH39" i="21"/>
  <c r="AI39" i="21" s="1"/>
  <c r="AJ39" i="21" s="1"/>
  <c r="AG31" i="21"/>
  <c r="AG40" i="21"/>
  <c r="AH40" i="21"/>
  <c r="AI40" i="21" s="1"/>
  <c r="AJ40" i="21" s="1"/>
  <c r="AG28" i="21"/>
  <c r="AH28" i="21"/>
  <c r="AI28" i="21" s="1"/>
  <c r="AJ28" i="21" s="1"/>
  <c r="AG37" i="21"/>
  <c r="AH37" i="21"/>
  <c r="AI37" i="21" s="1"/>
  <c r="AJ37" i="21" s="1"/>
  <c r="W22" i="21"/>
  <c r="W20" i="21"/>
  <c r="W40" i="21"/>
  <c r="W25" i="21"/>
  <c r="W37" i="21"/>
  <c r="W29" i="21"/>
  <c r="AF28" i="21"/>
  <c r="AC28" i="21"/>
  <c r="AD28" i="21"/>
  <c r="AF37" i="21"/>
  <c r="AC37" i="21"/>
  <c r="AD37" i="21"/>
  <c r="AD33" i="21"/>
  <c r="AF33" i="21"/>
  <c r="AC33" i="21"/>
  <c r="AC40" i="21"/>
  <c r="AF40" i="21"/>
  <c r="AD40" i="21"/>
  <c r="AC31" i="21"/>
  <c r="AD39" i="21"/>
  <c r="AF39" i="21"/>
  <c r="AC39" i="21"/>
  <c r="R18" i="21"/>
  <c r="T18" i="21" s="1"/>
  <c r="Z18" i="21" s="1"/>
  <c r="AF26" i="21"/>
  <c r="AN22" i="21"/>
  <c r="AP22" i="21" s="1"/>
  <c r="AQ22" i="21" s="1"/>
  <c r="AG22" i="21"/>
  <c r="AD22" i="21"/>
  <c r="U21" i="21"/>
  <c r="U20" i="21"/>
  <c r="R21" i="21"/>
  <c r="T21" i="21" s="1"/>
  <c r="Z21" i="21" s="1"/>
  <c r="U23" i="21"/>
  <c r="U17" i="21"/>
  <c r="R27" i="21"/>
  <c r="T27" i="21" s="1"/>
  <c r="Z27" i="21" s="1"/>
  <c r="R19" i="21"/>
  <c r="T19" i="21" s="1"/>
  <c r="Z19" i="21" s="1"/>
  <c r="U24" i="21"/>
  <c r="U22" i="21"/>
  <c r="R20" i="21"/>
  <c r="T20" i="21" s="1"/>
  <c r="Z20" i="21" s="1"/>
  <c r="O36" i="6"/>
  <c r="O34" i="6"/>
  <c r="X34" i="6" s="1"/>
  <c r="Q36" i="6"/>
  <c r="W36" i="6"/>
  <c r="F23" i="20"/>
  <c r="G23" i="20"/>
  <c r="H23" i="20"/>
  <c r="I23" i="20"/>
  <c r="J23" i="20"/>
  <c r="K23" i="20"/>
  <c r="L23" i="20"/>
  <c r="M23" i="20"/>
  <c r="N23" i="20"/>
  <c r="O23" i="20"/>
  <c r="P23" i="20"/>
  <c r="AG24" i="21"/>
  <c r="AD27" i="21"/>
  <c r="AN27" i="21"/>
  <c r="AP27" i="21" s="1"/>
  <c r="AQ27" i="21" s="1"/>
  <c r="AG27" i="21"/>
  <c r="AN20" i="21"/>
  <c r="AP20" i="21" s="1"/>
  <c r="AQ20" i="21" s="1"/>
  <c r="AC22" i="21"/>
  <c r="AF22" i="21"/>
  <c r="AH22" i="21"/>
  <c r="AI22" i="21" s="1"/>
  <c r="AJ22" i="21" s="1"/>
  <c r="N97" i="6"/>
  <c r="N96" i="6"/>
  <c r="L40" i="39"/>
  <c r="S36" i="6"/>
  <c r="AF27" i="21"/>
  <c r="AC27" i="21"/>
  <c r="AH24" i="21"/>
  <c r="AI24" i="21" s="1"/>
  <c r="AJ24" i="21" s="1"/>
  <c r="AH27" i="21"/>
  <c r="AI27" i="21" s="1"/>
  <c r="AJ27" i="21" s="1"/>
  <c r="E10" i="23"/>
  <c r="E9" i="23"/>
  <c r="E8" i="25"/>
  <c r="E7" i="28"/>
  <c r="U36" i="6"/>
  <c r="Q23" i="20"/>
  <c r="R23" i="20"/>
  <c r="S23" i="20"/>
  <c r="T23" i="20"/>
  <c r="U23" i="20"/>
  <c r="V23" i="20"/>
  <c r="W23" i="20"/>
  <c r="X23" i="20"/>
  <c r="Y23" i="20"/>
  <c r="Z23" i="20"/>
  <c r="AA23" i="20"/>
  <c r="AB23" i="20"/>
  <c r="AC23" i="20"/>
  <c r="AD23" i="20"/>
  <c r="AE23" i="20"/>
  <c r="AF23" i="20"/>
  <c r="AG23" i="20"/>
  <c r="AH23" i="20"/>
  <c r="AI23" i="20"/>
  <c r="AJ23" i="20"/>
  <c r="AK23" i="20"/>
  <c r="AL23" i="20"/>
  <c r="AM23" i="20"/>
  <c r="AN23" i="20"/>
  <c r="AO23" i="20"/>
  <c r="AP23" i="20"/>
  <c r="AQ23" i="20"/>
  <c r="AR23" i="20"/>
  <c r="AS23" i="20"/>
  <c r="AT23" i="20"/>
  <c r="AU23" i="20"/>
  <c r="AV23" i="20"/>
  <c r="AW23" i="20"/>
  <c r="AX23" i="20"/>
  <c r="AY23" i="20"/>
  <c r="AZ23" i="20"/>
  <c r="BA23" i="20"/>
  <c r="BB23" i="20"/>
  <c r="BC23" i="20"/>
  <c r="BD23" i="20"/>
  <c r="BE23" i="20"/>
  <c r="BF23" i="20"/>
  <c r="BG23" i="20"/>
  <c r="BH23" i="20"/>
  <c r="BI23" i="20"/>
  <c r="BJ23" i="20"/>
  <c r="BK23" i="20"/>
  <c r="BL23" i="20"/>
  <c r="BM23" i="20"/>
  <c r="BN23" i="20"/>
  <c r="BO23" i="20"/>
  <c r="BP23" i="20"/>
  <c r="BQ23" i="20"/>
  <c r="BR23" i="20"/>
  <c r="BS23" i="20"/>
  <c r="BT23" i="20"/>
  <c r="BU23" i="20"/>
  <c r="BV23" i="20"/>
  <c r="BW23" i="20"/>
  <c r="BX23" i="20"/>
  <c r="BY23" i="20"/>
  <c r="BZ23" i="20"/>
  <c r="CA23" i="20"/>
  <c r="CB23" i="20"/>
  <c r="CC23" i="20"/>
  <c r="CD23" i="20"/>
  <c r="CE23" i="20"/>
  <c r="CF23" i="20"/>
  <c r="CG23" i="20"/>
  <c r="CH23" i="20"/>
  <c r="CI23" i="20"/>
  <c r="CJ23" i="20"/>
  <c r="CK23" i="20"/>
  <c r="CL23" i="20"/>
  <c r="CM23" i="20"/>
  <c r="CN23" i="20"/>
  <c r="CO23" i="20"/>
  <c r="CP23" i="20"/>
  <c r="CQ23" i="20"/>
  <c r="CR23" i="20"/>
  <c r="CS23" i="20"/>
  <c r="CT23" i="20"/>
  <c r="CU23" i="20"/>
  <c r="CV23" i="20"/>
  <c r="CW23" i="20"/>
  <c r="CX23" i="20"/>
  <c r="CY23" i="20"/>
  <c r="CZ23" i="20"/>
  <c r="DA23" i="20"/>
  <c r="DB23" i="20"/>
  <c r="DC23" i="20"/>
  <c r="DD23" i="20"/>
  <c r="DE23" i="20"/>
  <c r="DF23" i="20"/>
  <c r="DG23" i="20"/>
  <c r="DH23" i="20"/>
  <c r="DI23" i="20"/>
  <c r="DJ23" i="20"/>
  <c r="DK23" i="20"/>
  <c r="DL23" i="20"/>
  <c r="DM23" i="20"/>
  <c r="DN23" i="20"/>
  <c r="DO23" i="20"/>
  <c r="DP23" i="20"/>
  <c r="DQ23" i="20"/>
  <c r="DR23" i="20"/>
  <c r="DS23" i="20"/>
  <c r="DT23" i="20"/>
  <c r="AH20" i="21"/>
  <c r="AI20" i="21" s="1"/>
  <c r="AJ20" i="21" s="1"/>
  <c r="H111" i="31"/>
  <c r="H101" i="31"/>
  <c r="I101" i="31" s="1"/>
  <c r="K101" i="31" s="1"/>
  <c r="EA110" i="31"/>
  <c r="DZ110" i="31"/>
  <c r="DY110" i="31"/>
  <c r="DX110" i="31"/>
  <c r="DW110" i="31"/>
  <c r="DV110" i="31"/>
  <c r="DU110" i="31"/>
  <c r="DT110" i="31"/>
  <c r="DS110" i="31"/>
  <c r="DR110" i="31"/>
  <c r="DQ110" i="31"/>
  <c r="DP110" i="31"/>
  <c r="DO110" i="31"/>
  <c r="DN110" i="31"/>
  <c r="DM110" i="31"/>
  <c r="DL110" i="31"/>
  <c r="DK110" i="31"/>
  <c r="DJ110" i="31"/>
  <c r="DI110" i="31"/>
  <c r="DH110" i="31"/>
  <c r="DG110" i="31"/>
  <c r="DF110" i="31"/>
  <c r="DE110" i="31"/>
  <c r="DD110" i="31"/>
  <c r="DC110" i="31"/>
  <c r="DB110" i="31"/>
  <c r="DA110" i="31"/>
  <c r="CZ110" i="31"/>
  <c r="CY110" i="31"/>
  <c r="CX110" i="31"/>
  <c r="CW110" i="31"/>
  <c r="CV110" i="31"/>
  <c r="CU110" i="31"/>
  <c r="CT110" i="31"/>
  <c r="CS110" i="31"/>
  <c r="CR110" i="31"/>
  <c r="CQ110" i="31"/>
  <c r="CP110" i="31"/>
  <c r="CO110" i="31"/>
  <c r="CN110" i="31"/>
  <c r="CM110" i="31"/>
  <c r="CL110" i="31"/>
  <c r="CK110" i="31"/>
  <c r="CJ110" i="31"/>
  <c r="CI110" i="31"/>
  <c r="CH110" i="31"/>
  <c r="CG110" i="31"/>
  <c r="CF110" i="31"/>
  <c r="CE110" i="31"/>
  <c r="CD110" i="31"/>
  <c r="CC110" i="31"/>
  <c r="CB110" i="31"/>
  <c r="CA110" i="31"/>
  <c r="BZ110" i="31"/>
  <c r="BY110" i="31"/>
  <c r="BX110" i="31"/>
  <c r="BW110" i="31"/>
  <c r="BV110" i="31"/>
  <c r="BU110" i="31"/>
  <c r="BT110" i="31"/>
  <c r="BS110" i="31"/>
  <c r="BR110" i="31"/>
  <c r="BQ110" i="31"/>
  <c r="BP110" i="31"/>
  <c r="BO110" i="31"/>
  <c r="BN110" i="31"/>
  <c r="BM110" i="31"/>
  <c r="BL110" i="31"/>
  <c r="BK110" i="31"/>
  <c r="BJ110" i="31"/>
  <c r="BI110" i="31"/>
  <c r="BH110" i="31"/>
  <c r="BG110" i="31"/>
  <c r="BF110" i="31"/>
  <c r="BE110" i="31"/>
  <c r="BD110" i="31"/>
  <c r="BC110" i="31"/>
  <c r="BB110" i="31"/>
  <c r="BA110" i="31"/>
  <c r="AZ110" i="31"/>
  <c r="AY110" i="31"/>
  <c r="AX110" i="31"/>
  <c r="AW110" i="31"/>
  <c r="AV110" i="31"/>
  <c r="AU110" i="31"/>
  <c r="AT110" i="31"/>
  <c r="AS110" i="31"/>
  <c r="AR110" i="31"/>
  <c r="AQ110" i="31"/>
  <c r="AP110" i="31"/>
  <c r="AO110" i="31"/>
  <c r="AN110" i="31"/>
  <c r="AM110" i="31"/>
  <c r="AL110" i="31"/>
  <c r="AK110" i="31"/>
  <c r="AJ110" i="31"/>
  <c r="AI110" i="31"/>
  <c r="AH110" i="31"/>
  <c r="AG110" i="31"/>
  <c r="AF110" i="31"/>
  <c r="AE110" i="31"/>
  <c r="AD110" i="31"/>
  <c r="AC110" i="31"/>
  <c r="AB110" i="31"/>
  <c r="AA110" i="31"/>
  <c r="Z110" i="31"/>
  <c r="Y110" i="31"/>
  <c r="X110" i="31"/>
  <c r="W110" i="31"/>
  <c r="V110" i="31"/>
  <c r="U110" i="31"/>
  <c r="T110" i="31"/>
  <c r="S110" i="31"/>
  <c r="R110" i="31"/>
  <c r="Q110" i="31"/>
  <c r="P110" i="31"/>
  <c r="O110" i="31"/>
  <c r="N110" i="31"/>
  <c r="M110" i="31"/>
  <c r="L110" i="31"/>
  <c r="K100" i="31"/>
  <c r="H93" i="31"/>
  <c r="H83" i="31"/>
  <c r="I83" i="31" s="1"/>
  <c r="K83" i="31" s="1"/>
  <c r="EA92" i="31"/>
  <c r="DZ92" i="31"/>
  <c r="DY92" i="31"/>
  <c r="DX92" i="31"/>
  <c r="DW92" i="31"/>
  <c r="DV92" i="31"/>
  <c r="DU92" i="31"/>
  <c r="DT92" i="31"/>
  <c r="DS92" i="31"/>
  <c r="DR92" i="31"/>
  <c r="DQ92" i="31"/>
  <c r="DP92" i="31"/>
  <c r="DO92" i="31"/>
  <c r="DN92" i="31"/>
  <c r="DM92" i="31"/>
  <c r="DL92" i="31"/>
  <c r="DK92" i="31"/>
  <c r="DJ92" i="31"/>
  <c r="DI92" i="31"/>
  <c r="DH92" i="31"/>
  <c r="DG92" i="31"/>
  <c r="DF92" i="31"/>
  <c r="DE92" i="31"/>
  <c r="DD92" i="31"/>
  <c r="DC92" i="31"/>
  <c r="DB92" i="31"/>
  <c r="DA92" i="31"/>
  <c r="CZ92" i="31"/>
  <c r="CY92" i="31"/>
  <c r="CX92" i="31"/>
  <c r="CW92" i="31"/>
  <c r="CV92" i="31"/>
  <c r="CU92" i="31"/>
  <c r="CT92" i="31"/>
  <c r="CS92" i="31"/>
  <c r="CR92" i="31"/>
  <c r="CQ92" i="31"/>
  <c r="CP92" i="31"/>
  <c r="CO92" i="31"/>
  <c r="CN92" i="31"/>
  <c r="CM92" i="31"/>
  <c r="CL92" i="31"/>
  <c r="CK92" i="31"/>
  <c r="CJ92" i="31"/>
  <c r="CI92" i="31"/>
  <c r="CH92" i="31"/>
  <c r="CG92" i="31"/>
  <c r="CF92" i="31"/>
  <c r="CE92" i="31"/>
  <c r="CD92" i="31"/>
  <c r="CC92" i="31"/>
  <c r="CB92" i="31"/>
  <c r="CA92" i="31"/>
  <c r="BZ92" i="31"/>
  <c r="BY92" i="31"/>
  <c r="BX92" i="31"/>
  <c r="BW92" i="31"/>
  <c r="BV92" i="31"/>
  <c r="BU92" i="31"/>
  <c r="BT92" i="31"/>
  <c r="BS92" i="31"/>
  <c r="BR92" i="31"/>
  <c r="BQ92" i="31"/>
  <c r="BP92" i="31"/>
  <c r="BO92" i="31"/>
  <c r="BN92" i="31"/>
  <c r="BM92" i="31"/>
  <c r="BL92" i="31"/>
  <c r="BK92" i="31"/>
  <c r="BJ92" i="31"/>
  <c r="BI92" i="31"/>
  <c r="BH92" i="31"/>
  <c r="BG92" i="31"/>
  <c r="BF92" i="31"/>
  <c r="BE92" i="31"/>
  <c r="BD92" i="31"/>
  <c r="BC92" i="31"/>
  <c r="BB92" i="31"/>
  <c r="BA92" i="31"/>
  <c r="AZ92" i="31"/>
  <c r="AY92" i="31"/>
  <c r="AX92" i="31"/>
  <c r="AW92" i="31"/>
  <c r="AV92" i="31"/>
  <c r="AU92" i="31"/>
  <c r="AT92" i="31"/>
  <c r="AS92" i="31"/>
  <c r="AR92" i="31"/>
  <c r="AQ92" i="31"/>
  <c r="AP92" i="31"/>
  <c r="AO92" i="31"/>
  <c r="AN92" i="31"/>
  <c r="AM92" i="31"/>
  <c r="AL92" i="31"/>
  <c r="AK92" i="31"/>
  <c r="AJ92" i="31"/>
  <c r="AI92" i="31"/>
  <c r="AH92" i="31"/>
  <c r="AG92" i="31"/>
  <c r="AF92" i="31"/>
  <c r="AE92" i="31"/>
  <c r="AD92" i="31"/>
  <c r="AC92" i="31"/>
  <c r="AB92" i="31"/>
  <c r="AA92" i="31"/>
  <c r="Z92" i="31"/>
  <c r="Y92" i="31"/>
  <c r="X92" i="31"/>
  <c r="W92" i="31"/>
  <c r="V92" i="31"/>
  <c r="U92" i="31"/>
  <c r="T92" i="31"/>
  <c r="S92" i="31"/>
  <c r="R92" i="31"/>
  <c r="Q92" i="31"/>
  <c r="P92" i="31"/>
  <c r="O92" i="31"/>
  <c r="N92" i="31"/>
  <c r="M92" i="31"/>
  <c r="L92" i="31"/>
  <c r="K82" i="31"/>
  <c r="D19" i="31"/>
  <c r="H104" i="31"/>
  <c r="D18" i="31"/>
  <c r="H86" i="31" s="1"/>
  <c r="A1" i="6"/>
  <c r="B1" i="9"/>
  <c r="B1" i="20"/>
  <c r="B35" i="27"/>
  <c r="B34" i="27"/>
  <c r="B33" i="27"/>
  <c r="B32" i="27"/>
  <c r="B31" i="27"/>
  <c r="B28" i="27"/>
  <c r="B27" i="27"/>
  <c r="B26" i="27"/>
  <c r="B25" i="27"/>
  <c r="B24" i="27"/>
  <c r="B23" i="27"/>
  <c r="B22" i="27"/>
  <c r="T38" i="8"/>
  <c r="T37" i="8"/>
  <c r="T36" i="8"/>
  <c r="T35" i="8"/>
  <c r="T34" i="8"/>
  <c r="T31" i="8"/>
  <c r="T30" i="8"/>
  <c r="T29" i="8"/>
  <c r="T28" i="8"/>
  <c r="T27" i="8"/>
  <c r="T26" i="8"/>
  <c r="T25" i="8"/>
  <c r="T20" i="8"/>
  <c r="T19" i="8"/>
  <c r="T18" i="8"/>
  <c r="T11" i="8"/>
  <c r="T12" i="8"/>
  <c r="M10" i="8"/>
  <c r="T14" i="8"/>
  <c r="F12" i="8"/>
  <c r="T9" i="8"/>
  <c r="E11" i="8"/>
  <c r="A10" i="8"/>
  <c r="L10" i="8"/>
  <c r="E10" i="8"/>
  <c r="B17" i="27"/>
  <c r="B16" i="27"/>
  <c r="B15" i="27"/>
  <c r="B8" i="27"/>
  <c r="B9" i="27"/>
  <c r="B10" i="27"/>
  <c r="B11" i="27"/>
  <c r="B92" i="20"/>
  <c r="B91" i="20"/>
  <c r="B90" i="20"/>
  <c r="B89" i="20"/>
  <c r="B88" i="20"/>
  <c r="B85" i="20"/>
  <c r="B84" i="20"/>
  <c r="B83" i="20"/>
  <c r="B82" i="20"/>
  <c r="B81" i="20"/>
  <c r="B80" i="20"/>
  <c r="B79" i="20"/>
  <c r="B73" i="20"/>
  <c r="B74" i="20"/>
  <c r="B72" i="20"/>
  <c r="B65" i="20"/>
  <c r="B66" i="20"/>
  <c r="B67" i="20"/>
  <c r="B68" i="20"/>
  <c r="C35" i="18"/>
  <c r="D67" i="18"/>
  <c r="D66" i="18"/>
  <c r="D65" i="18"/>
  <c r="D64" i="18"/>
  <c r="D63" i="18"/>
  <c r="D60" i="18"/>
  <c r="D59" i="18"/>
  <c r="D58" i="18"/>
  <c r="D57" i="18"/>
  <c r="D56" i="18"/>
  <c r="D55" i="18"/>
  <c r="D54" i="18"/>
  <c r="D48" i="18"/>
  <c r="D49" i="18"/>
  <c r="W47" i="18"/>
  <c r="D47" i="18"/>
  <c r="D40" i="18"/>
  <c r="D41" i="18"/>
  <c r="D42" i="18"/>
  <c r="D43" i="18"/>
  <c r="D39" i="18"/>
  <c r="H20" i="19"/>
  <c r="K4" i="31"/>
  <c r="G9" i="9"/>
  <c r="E14" i="9"/>
  <c r="G4" i="9"/>
  <c r="F4" i="9"/>
  <c r="E4" i="9"/>
  <c r="C7" i="31"/>
  <c r="C14" i="31" s="1"/>
  <c r="H119" i="31"/>
  <c r="H75" i="31"/>
  <c r="EA74" i="31"/>
  <c r="DZ74" i="31"/>
  <c r="DY74" i="31"/>
  <c r="DX74" i="31"/>
  <c r="DW74" i="31"/>
  <c r="DV74" i="31"/>
  <c r="DU74" i="31"/>
  <c r="DT74" i="31"/>
  <c r="DS74" i="31"/>
  <c r="DR74" i="31"/>
  <c r="DQ74" i="31"/>
  <c r="DP74" i="31"/>
  <c r="DO74" i="31"/>
  <c r="DN74" i="31"/>
  <c r="DM74" i="31"/>
  <c r="DL74" i="31"/>
  <c r="DK74" i="31"/>
  <c r="DJ74" i="31"/>
  <c r="DI74" i="31"/>
  <c r="DH74" i="31"/>
  <c r="DG74" i="31"/>
  <c r="DF74" i="31"/>
  <c r="DE74" i="31"/>
  <c r="DD74" i="31"/>
  <c r="DC74" i="31"/>
  <c r="DB74" i="31"/>
  <c r="DA74" i="31"/>
  <c r="CZ74" i="31"/>
  <c r="CY74" i="31"/>
  <c r="CX74" i="31"/>
  <c r="CW74" i="31"/>
  <c r="CV74" i="31"/>
  <c r="CU74" i="31"/>
  <c r="CT74" i="31"/>
  <c r="CS74" i="31"/>
  <c r="CR74" i="31"/>
  <c r="CQ74" i="31"/>
  <c r="CP74" i="31"/>
  <c r="CO74" i="31"/>
  <c r="CN74" i="31"/>
  <c r="CM74" i="31"/>
  <c r="CL74" i="31"/>
  <c r="CK74" i="31"/>
  <c r="CJ74" i="31"/>
  <c r="CI74" i="31"/>
  <c r="CH74" i="31"/>
  <c r="CG74" i="31"/>
  <c r="CF74" i="31"/>
  <c r="CE74" i="31"/>
  <c r="CD74" i="31"/>
  <c r="CC74" i="31"/>
  <c r="CB74" i="31"/>
  <c r="CA74" i="31"/>
  <c r="BZ74" i="31"/>
  <c r="BY74" i="31"/>
  <c r="BX74" i="31"/>
  <c r="BW74" i="31"/>
  <c r="BV74" i="31"/>
  <c r="BU74" i="31"/>
  <c r="BT74" i="31"/>
  <c r="BS74" i="31"/>
  <c r="BR74" i="31"/>
  <c r="BQ74" i="31"/>
  <c r="BP74" i="31"/>
  <c r="BO74" i="31"/>
  <c r="BN74" i="31"/>
  <c r="BM74" i="31"/>
  <c r="BL74" i="31"/>
  <c r="BK74" i="31"/>
  <c r="BJ74" i="31"/>
  <c r="BI74" i="31"/>
  <c r="BH74" i="31"/>
  <c r="BG74" i="31"/>
  <c r="BF74" i="31"/>
  <c r="BE74" i="31"/>
  <c r="BD74" i="31"/>
  <c r="BC74" i="31"/>
  <c r="BB74" i="31"/>
  <c r="BA74" i="31"/>
  <c r="AZ74" i="31"/>
  <c r="AY74" i="31"/>
  <c r="AX74" i="31"/>
  <c r="AW74" i="31"/>
  <c r="AV74" i="31"/>
  <c r="AU74" i="31"/>
  <c r="AT74" i="31"/>
  <c r="AS74" i="31"/>
  <c r="AR74" i="31"/>
  <c r="AQ74" i="31"/>
  <c r="AP74" i="31"/>
  <c r="AO74" i="31"/>
  <c r="AN74" i="31"/>
  <c r="AM74" i="31"/>
  <c r="AL74" i="31"/>
  <c r="AK74" i="31"/>
  <c r="AJ74" i="31"/>
  <c r="AI74" i="31"/>
  <c r="AH74" i="31"/>
  <c r="AG74" i="31"/>
  <c r="AF74" i="31"/>
  <c r="AE74" i="31"/>
  <c r="AD74" i="31"/>
  <c r="AC74" i="31"/>
  <c r="AB74" i="31"/>
  <c r="AA74" i="31"/>
  <c r="Z74" i="31"/>
  <c r="Y74" i="31"/>
  <c r="X74" i="31"/>
  <c r="W74" i="31"/>
  <c r="V74" i="31"/>
  <c r="U74" i="31"/>
  <c r="T74" i="31"/>
  <c r="S74" i="31"/>
  <c r="R74" i="31"/>
  <c r="Q74" i="31"/>
  <c r="P74" i="31"/>
  <c r="O74" i="31"/>
  <c r="N74" i="31"/>
  <c r="M74" i="31"/>
  <c r="L74" i="31"/>
  <c r="H65" i="31"/>
  <c r="I65" i="31" s="1"/>
  <c r="K65" i="31" s="1"/>
  <c r="K64" i="31"/>
  <c r="H57" i="31"/>
  <c r="EA56" i="31"/>
  <c r="DZ56" i="31"/>
  <c r="DY56" i="31"/>
  <c r="DX56" i="31"/>
  <c r="DW56" i="31"/>
  <c r="DV56" i="31"/>
  <c r="DU56" i="31"/>
  <c r="DT56" i="31"/>
  <c r="DS56" i="31"/>
  <c r="DR56" i="31"/>
  <c r="DQ56" i="31"/>
  <c r="DP56" i="31"/>
  <c r="DO56" i="31"/>
  <c r="DN56" i="31"/>
  <c r="DM56" i="31"/>
  <c r="DL56" i="31"/>
  <c r="DK56" i="31"/>
  <c r="DJ56" i="31"/>
  <c r="DI56" i="31"/>
  <c r="DH56" i="31"/>
  <c r="DG56" i="31"/>
  <c r="DF56" i="31"/>
  <c r="DE56" i="31"/>
  <c r="DD56" i="31"/>
  <c r="DC56" i="31"/>
  <c r="DB56" i="31"/>
  <c r="DA56" i="31"/>
  <c r="CZ56" i="31"/>
  <c r="CY56" i="31"/>
  <c r="CX56" i="31"/>
  <c r="CW56" i="31"/>
  <c r="CV56" i="31"/>
  <c r="CU56" i="31"/>
  <c r="CT56" i="31"/>
  <c r="CS56" i="31"/>
  <c r="CR56" i="31"/>
  <c r="CQ56" i="31"/>
  <c r="CP56" i="31"/>
  <c r="CO56" i="31"/>
  <c r="CN56" i="31"/>
  <c r="CM56" i="31"/>
  <c r="CL56" i="31"/>
  <c r="CK56" i="31"/>
  <c r="CJ56" i="31"/>
  <c r="CI56" i="31"/>
  <c r="CH56" i="31"/>
  <c r="CG56" i="31"/>
  <c r="CF56" i="31"/>
  <c r="CE56" i="31"/>
  <c r="CD56" i="31"/>
  <c r="CC56" i="31"/>
  <c r="CB56" i="31"/>
  <c r="CA56" i="31"/>
  <c r="BZ56" i="31"/>
  <c r="BY56" i="31"/>
  <c r="BX56" i="31"/>
  <c r="BW56" i="31"/>
  <c r="BV56" i="31"/>
  <c r="BU56" i="31"/>
  <c r="BT56" i="31"/>
  <c r="BS56" i="31"/>
  <c r="BR56" i="31"/>
  <c r="BQ56" i="31"/>
  <c r="BP56" i="31"/>
  <c r="BO56" i="31"/>
  <c r="BN56" i="31"/>
  <c r="BM56" i="31"/>
  <c r="BL56" i="31"/>
  <c r="BK56" i="31"/>
  <c r="BJ56" i="31"/>
  <c r="BI56" i="31"/>
  <c r="BH56" i="31"/>
  <c r="BG56" i="31"/>
  <c r="BF56" i="31"/>
  <c r="BE56" i="31"/>
  <c r="BD56" i="31"/>
  <c r="BC56" i="31"/>
  <c r="BB56" i="31"/>
  <c r="BA56" i="31"/>
  <c r="AZ56" i="31"/>
  <c r="AY56" i="31"/>
  <c r="AX56" i="31"/>
  <c r="AW56" i="31"/>
  <c r="AV56" i="31"/>
  <c r="AU56" i="31"/>
  <c r="AT56" i="31"/>
  <c r="AS56" i="31"/>
  <c r="AR56" i="31"/>
  <c r="AQ56" i="31"/>
  <c r="AP56" i="31"/>
  <c r="AO56" i="31"/>
  <c r="AN56" i="31"/>
  <c r="AM56" i="31"/>
  <c r="AL56" i="31"/>
  <c r="AK56" i="31"/>
  <c r="AJ56" i="31"/>
  <c r="AI56" i="31"/>
  <c r="AH56" i="31"/>
  <c r="AG56" i="31"/>
  <c r="AF56" i="31"/>
  <c r="AE56" i="31"/>
  <c r="AD56" i="31"/>
  <c r="AC56" i="31"/>
  <c r="AB56" i="31"/>
  <c r="AA56" i="31"/>
  <c r="Z56" i="31"/>
  <c r="Y56" i="31"/>
  <c r="X56" i="31"/>
  <c r="W56" i="31"/>
  <c r="V56" i="31"/>
  <c r="U56" i="31"/>
  <c r="T56" i="31"/>
  <c r="S56" i="31"/>
  <c r="R56" i="31"/>
  <c r="Q56" i="31"/>
  <c r="P56" i="31"/>
  <c r="O56" i="31"/>
  <c r="N56" i="31"/>
  <c r="M56" i="31"/>
  <c r="L56" i="31"/>
  <c r="H47" i="31"/>
  <c r="I47" i="31" s="1"/>
  <c r="K47" i="31" s="1"/>
  <c r="K46" i="31"/>
  <c r="H39" i="31"/>
  <c r="H29" i="31"/>
  <c r="I29" i="31" s="1"/>
  <c r="K29" i="31" s="1"/>
  <c r="K28" i="31"/>
  <c r="D20" i="31"/>
  <c r="H118" i="31" s="1"/>
  <c r="D17" i="31"/>
  <c r="H68" i="31" s="1"/>
  <c r="D16" i="31"/>
  <c r="H50" i="31"/>
  <c r="D15" i="31"/>
  <c r="H32" i="31"/>
  <c r="H10" i="31"/>
  <c r="I10" i="31" s="1"/>
  <c r="K10" i="31" s="1"/>
  <c r="K9" i="31"/>
  <c r="AX6" i="8" a="1"/>
  <c r="AX9" i="8"/>
  <c r="AX6" i="8"/>
  <c r="AX7" i="8"/>
  <c r="AX8" i="8"/>
  <c r="C41" i="27"/>
  <c r="B2" i="5"/>
  <c r="B32" i="5"/>
  <c r="M5" i="11"/>
  <c r="I23" i="11"/>
  <c r="I22" i="11"/>
  <c r="T7" i="9"/>
  <c r="AD47" i="21"/>
  <c r="B5" i="5"/>
  <c r="B4" i="5"/>
  <c r="F105" i="20"/>
  <c r="G105" i="20"/>
  <c r="H105" i="20"/>
  <c r="I105" i="20"/>
  <c r="J105" i="20"/>
  <c r="K105" i="20"/>
  <c r="L105" i="20"/>
  <c r="M105" i="20"/>
  <c r="N105" i="20"/>
  <c r="O105" i="20"/>
  <c r="P105" i="20"/>
  <c r="Q105" i="20"/>
  <c r="R105" i="20"/>
  <c r="S105" i="20"/>
  <c r="T105" i="20"/>
  <c r="U105" i="20"/>
  <c r="V105" i="20"/>
  <c r="W105" i="20"/>
  <c r="X105" i="20"/>
  <c r="Y105" i="20"/>
  <c r="Z105" i="20"/>
  <c r="AA105" i="20"/>
  <c r="AB105" i="20"/>
  <c r="AC105" i="20"/>
  <c r="AD105" i="20"/>
  <c r="AE105" i="20"/>
  <c r="AF105" i="20"/>
  <c r="AG105" i="20"/>
  <c r="AH105" i="20"/>
  <c r="AI105" i="20"/>
  <c r="AJ105" i="20"/>
  <c r="AK105" i="20"/>
  <c r="AL105" i="20"/>
  <c r="AM105" i="20"/>
  <c r="AN105" i="20"/>
  <c r="AO105" i="20"/>
  <c r="AP105" i="20"/>
  <c r="AQ105" i="20"/>
  <c r="AR105" i="20"/>
  <c r="AS105" i="20"/>
  <c r="AT105" i="20"/>
  <c r="AU105" i="20"/>
  <c r="AV105" i="20"/>
  <c r="AW105" i="20"/>
  <c r="AX105" i="20"/>
  <c r="AY105" i="20"/>
  <c r="AZ105" i="20"/>
  <c r="BA105" i="20"/>
  <c r="BB105" i="20"/>
  <c r="BC105" i="20"/>
  <c r="BD105" i="20"/>
  <c r="BE105" i="20"/>
  <c r="BF105" i="20"/>
  <c r="BG105" i="20"/>
  <c r="BH105" i="20"/>
  <c r="BI105" i="20"/>
  <c r="BJ105" i="20"/>
  <c r="BK105" i="20"/>
  <c r="BL105" i="20"/>
  <c r="BM105" i="20"/>
  <c r="BN105" i="20"/>
  <c r="BO105" i="20"/>
  <c r="BP105" i="20"/>
  <c r="BQ105" i="20"/>
  <c r="BR105" i="20"/>
  <c r="BS105" i="20"/>
  <c r="BT105" i="20"/>
  <c r="BU105" i="20"/>
  <c r="BV105" i="20"/>
  <c r="BW105" i="20"/>
  <c r="BX105" i="20"/>
  <c r="BY105" i="20"/>
  <c r="BZ105" i="20"/>
  <c r="CA105" i="20"/>
  <c r="CB105" i="20"/>
  <c r="CC105" i="20"/>
  <c r="CD105" i="20"/>
  <c r="CE105" i="20"/>
  <c r="CF105" i="20"/>
  <c r="CG105" i="20"/>
  <c r="CH105" i="20"/>
  <c r="CI105" i="20"/>
  <c r="CJ105" i="20"/>
  <c r="CK105" i="20"/>
  <c r="CL105" i="20"/>
  <c r="CM105" i="20"/>
  <c r="CN105" i="20"/>
  <c r="CO105" i="20"/>
  <c r="CP105" i="20"/>
  <c r="CQ105" i="20"/>
  <c r="CR105" i="20"/>
  <c r="CS105" i="20"/>
  <c r="CT105" i="20"/>
  <c r="CU105" i="20"/>
  <c r="CV105" i="20"/>
  <c r="CW105" i="20"/>
  <c r="CX105" i="20"/>
  <c r="CY105" i="20"/>
  <c r="CZ105" i="20"/>
  <c r="DA105" i="20"/>
  <c r="DB105" i="20"/>
  <c r="DC105" i="20"/>
  <c r="DD105" i="20"/>
  <c r="DE105" i="20"/>
  <c r="DF105" i="20"/>
  <c r="DG105" i="20"/>
  <c r="DH105" i="20"/>
  <c r="DI105" i="20"/>
  <c r="DJ105" i="20"/>
  <c r="DK105" i="20"/>
  <c r="DL105" i="20"/>
  <c r="DM105" i="20"/>
  <c r="DN105" i="20"/>
  <c r="DO105" i="20"/>
  <c r="DP105" i="20"/>
  <c r="DQ105" i="20"/>
  <c r="DR105" i="20"/>
  <c r="DS105" i="20"/>
  <c r="DT105" i="20"/>
  <c r="E105" i="20"/>
  <c r="D91" i="20"/>
  <c r="D89" i="20"/>
  <c r="B1" i="27"/>
  <c r="E6" i="28"/>
  <c r="E5" i="28"/>
  <c r="E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83" i="28"/>
  <c r="H84" i="28"/>
  <c r="H85" i="28"/>
  <c r="H86" i="28"/>
  <c r="H87" i="28"/>
  <c r="H88" i="28"/>
  <c r="H89" i="28"/>
  <c r="H90" i="28"/>
  <c r="H91" i="28"/>
  <c r="H92" i="28"/>
  <c r="H93" i="28"/>
  <c r="H94" i="28"/>
  <c r="H95" i="28"/>
  <c r="H96" i="28"/>
  <c r="H97" i="28"/>
  <c r="H98" i="28"/>
  <c r="H99" i="28"/>
  <c r="H100" i="28"/>
  <c r="H101" i="28"/>
  <c r="H102" i="28"/>
  <c r="H103" i="28"/>
  <c r="H104" i="28"/>
  <c r="H105" i="28"/>
  <c r="H106" i="28"/>
  <c r="H107" i="28"/>
  <c r="H108" i="28"/>
  <c r="H109" i="28"/>
  <c r="H110" i="28"/>
  <c r="H111" i="28"/>
  <c r="H112" i="28"/>
  <c r="H113" i="28"/>
  <c r="H114" i="28"/>
  <c r="H115" i="28"/>
  <c r="H116" i="28"/>
  <c r="H117" i="28"/>
  <c r="H118" i="28"/>
  <c r="H119" i="28"/>
  <c r="H120" i="28"/>
  <c r="H121" i="28"/>
  <c r="H122" i="28"/>
  <c r="H123" i="28"/>
  <c r="H124" i="28"/>
  <c r="H125" i="28"/>
  <c r="H126" i="28"/>
  <c r="H127" i="28"/>
  <c r="H128" i="28"/>
  <c r="H129" i="28"/>
  <c r="H130" i="28"/>
  <c r="H131" i="28"/>
  <c r="H132" i="28"/>
  <c r="H133" i="28"/>
  <c r="H134" i="28"/>
  <c r="H135" i="28"/>
  <c r="H136" i="28"/>
  <c r="H137" i="28"/>
  <c r="H138" i="28"/>
  <c r="H139" i="28"/>
  <c r="H140" i="28"/>
  <c r="H141" i="28"/>
  <c r="H142" i="28"/>
  <c r="H143" i="28"/>
  <c r="H144" i="28"/>
  <c r="H145" i="28"/>
  <c r="H146" i="28"/>
  <c r="H147" i="28"/>
  <c r="H148" i="28"/>
  <c r="H149" i="28"/>
  <c r="H150" i="28"/>
  <c r="H151" i="28"/>
  <c r="H152" i="28"/>
  <c r="H153" i="28"/>
  <c r="H154" i="28"/>
  <c r="H155" i="28"/>
  <c r="H156" i="28"/>
  <c r="H157" i="28"/>
  <c r="H158" i="28"/>
  <c r="H159" i="28"/>
  <c r="H160" i="28"/>
  <c r="H161" i="28"/>
  <c r="H162" i="28"/>
  <c r="H163" i="28"/>
  <c r="H164" i="28"/>
  <c r="H165" i="28"/>
  <c r="H166" i="28"/>
  <c r="H167" i="28"/>
  <c r="H168" i="28"/>
  <c r="H169" i="28"/>
  <c r="H170" i="28"/>
  <c r="H171" i="28"/>
  <c r="H172" i="28"/>
  <c r="H173" i="28"/>
  <c r="H174" i="28"/>
  <c r="H175" i="28"/>
  <c r="H176" i="28"/>
  <c r="H177" i="28"/>
  <c r="H178" i="28"/>
  <c r="H179" i="28"/>
  <c r="H180" i="28"/>
  <c r="H181" i="28"/>
  <c r="H182" i="28"/>
  <c r="H183" i="28"/>
  <c r="H184" i="28"/>
  <c r="H185" i="28"/>
  <c r="H186" i="28"/>
  <c r="H187" i="28"/>
  <c r="H188" i="28"/>
  <c r="H189" i="28"/>
  <c r="H190" i="28"/>
  <c r="H191" i="28"/>
  <c r="H192" i="28"/>
  <c r="H193" i="28"/>
  <c r="H194" i="28"/>
  <c r="H195" i="28"/>
  <c r="H196" i="28"/>
  <c r="H197" i="28"/>
  <c r="H198" i="28"/>
  <c r="H199" i="28"/>
  <c r="H200" i="28"/>
  <c r="H201" i="28"/>
  <c r="H202" i="28"/>
  <c r="H203" i="28"/>
  <c r="H204" i="28"/>
  <c r="H205" i="28"/>
  <c r="H206" i="28"/>
  <c r="H207" i="28"/>
  <c r="H208" i="28"/>
  <c r="H209" i="28"/>
  <c r="H210" i="28"/>
  <c r="H211" i="28"/>
  <c r="H212" i="28"/>
  <c r="H213" i="28"/>
  <c r="H214" i="28"/>
  <c r="H215" i="28"/>
  <c r="H216" i="28"/>
  <c r="H217" i="28"/>
  <c r="H218" i="28"/>
  <c r="H219" i="28"/>
  <c r="H220" i="28"/>
  <c r="H221" i="28"/>
  <c r="H222" i="28"/>
  <c r="H223" i="28"/>
  <c r="H224" i="28"/>
  <c r="H225" i="28"/>
  <c r="H226" i="28"/>
  <c r="H227" i="28"/>
  <c r="H228" i="28"/>
  <c r="H229" i="28"/>
  <c r="H230" i="28"/>
  <c r="H231" i="28"/>
  <c r="H232" i="28"/>
  <c r="H233" i="28"/>
  <c r="H234" i="28"/>
  <c r="H235" i="28"/>
  <c r="H236" i="28"/>
  <c r="H237" i="28"/>
  <c r="H238" i="28"/>
  <c r="H239" i="28"/>
  <c r="H240" i="28"/>
  <c r="H241" i="28"/>
  <c r="H242" i="28"/>
  <c r="H243" i="28"/>
  <c r="H244" i="28"/>
  <c r="H245" i="28"/>
  <c r="H246" i="28"/>
  <c r="H247" i="28"/>
  <c r="H248" i="28"/>
  <c r="H249" i="28"/>
  <c r="H250" i="28"/>
  <c r="H251" i="28"/>
  <c r="H252" i="28"/>
  <c r="H253" i="28"/>
  <c r="H254" i="28"/>
  <c r="H255" i="28"/>
  <c r="H256" i="28"/>
  <c r="H257" i="28"/>
  <c r="H258" i="28"/>
  <c r="H259" i="28"/>
  <c r="H260" i="28"/>
  <c r="H261" i="28"/>
  <c r="H262" i="28"/>
  <c r="H263" i="28"/>
  <c r="H264" i="28"/>
  <c r="H265" i="28"/>
  <c r="H266" i="28"/>
  <c r="H267" i="28"/>
  <c r="H268" i="28"/>
  <c r="H269" i="28"/>
  <c r="H270" i="28"/>
  <c r="H271" i="28"/>
  <c r="H272" i="28"/>
  <c r="H273" i="28"/>
  <c r="H274" i="28"/>
  <c r="H275" i="28"/>
  <c r="H276" i="28"/>
  <c r="H277" i="28"/>
  <c r="H278" i="28"/>
  <c r="H279" i="28"/>
  <c r="H280" i="28"/>
  <c r="H281" i="28"/>
  <c r="H282" i="28"/>
  <c r="H283" i="28"/>
  <c r="H284" i="28"/>
  <c r="H285" i="28"/>
  <c r="H286" i="28"/>
  <c r="H287" i="28"/>
  <c r="H288" i="28"/>
  <c r="H289" i="28"/>
  <c r="H290" i="28"/>
  <c r="H291" i="28"/>
  <c r="H292" i="28"/>
  <c r="H293" i="28"/>
  <c r="H294" i="28"/>
  <c r="H295" i="28"/>
  <c r="H296" i="28"/>
  <c r="H297" i="28"/>
  <c r="H298" i="28"/>
  <c r="H299" i="28"/>
  <c r="H300" i="28"/>
  <c r="H301" i="28"/>
  <c r="H302" i="28"/>
  <c r="H303" i="28"/>
  <c r="H304" i="28"/>
  <c r="H305" i="28"/>
  <c r="H306" i="28"/>
  <c r="H307" i="28"/>
  <c r="H308" i="28"/>
  <c r="H309" i="28"/>
  <c r="H310" i="28"/>
  <c r="H311" i="28"/>
  <c r="H312" i="28"/>
  <c r="H313" i="28"/>
  <c r="H314" i="28"/>
  <c r="H315" i="28"/>
  <c r="H316" i="28"/>
  <c r="H317" i="28"/>
  <c r="H318" i="28"/>
  <c r="H319" i="28"/>
  <c r="H320" i="28"/>
  <c r="H321" i="28"/>
  <c r="H322" i="28"/>
  <c r="H323" i="28"/>
  <c r="H324" i="28"/>
  <c r="H325" i="28"/>
  <c r="H326" i="28"/>
  <c r="H327" i="28"/>
  <c r="H328" i="28"/>
  <c r="H329" i="28"/>
  <c r="H330" i="28"/>
  <c r="H331" i="28"/>
  <c r="H332" i="28"/>
  <c r="H333" i="28"/>
  <c r="H334" i="28"/>
  <c r="H335" i="28"/>
  <c r="H336" i="28"/>
  <c r="H337" i="28"/>
  <c r="H338" i="28"/>
  <c r="H339" i="28"/>
  <c r="H340" i="28"/>
  <c r="H341" i="28"/>
  <c r="H342" i="28"/>
  <c r="H343" i="28"/>
  <c r="H344" i="28"/>
  <c r="H345" i="28"/>
  <c r="H346" i="28"/>
  <c r="H347" i="28"/>
  <c r="H348" i="28"/>
  <c r="H349" i="28"/>
  <c r="H350" i="28"/>
  <c r="H351" i="28"/>
  <c r="H352" i="28"/>
  <c r="H353" i="28"/>
  <c r="H354" i="28"/>
  <c r="H355" i="28"/>
  <c r="H356" i="28"/>
  <c r="H357" i="28"/>
  <c r="H358" i="28"/>
  <c r="H359" i="28"/>
  <c r="H360" i="28"/>
  <c r="H361" i="28"/>
  <c r="H362" i="28"/>
  <c r="H363" i="28"/>
  <c r="H364" i="28"/>
  <c r="H365" i="28"/>
  <c r="H366" i="28"/>
  <c r="H367" i="28"/>
  <c r="H368" i="28"/>
  <c r="H369" i="28"/>
  <c r="H370" i="28"/>
  <c r="H371" i="28"/>
  <c r="H372" i="28"/>
  <c r="H373" i="28"/>
  <c r="D126" i="20"/>
  <c r="E5" i="23"/>
  <c r="K41" i="23"/>
  <c r="K42" i="23"/>
  <c r="K43" i="23"/>
  <c r="K44" i="23"/>
  <c r="K45" i="23"/>
  <c r="K46" i="23"/>
  <c r="K47" i="23"/>
  <c r="K48" i="23"/>
  <c r="K49" i="23"/>
  <c r="K50" i="23"/>
  <c r="K51" i="23"/>
  <c r="K52" i="23"/>
  <c r="K53" i="23"/>
  <c r="K54" i="23"/>
  <c r="K55" i="23"/>
  <c r="K56" i="23"/>
  <c r="K57" i="23"/>
  <c r="K58" i="23"/>
  <c r="K59" i="23"/>
  <c r="K60" i="23"/>
  <c r="K61" i="23"/>
  <c r="K62" i="23"/>
  <c r="K63" i="23"/>
  <c r="K64" i="23"/>
  <c r="K65" i="23"/>
  <c r="K66" i="23"/>
  <c r="K67" i="23"/>
  <c r="K68" i="23"/>
  <c r="K69" i="23"/>
  <c r="K70" i="23"/>
  <c r="K71" i="23"/>
  <c r="K72" i="23"/>
  <c r="K73" i="23"/>
  <c r="K74" i="23"/>
  <c r="K75" i="23"/>
  <c r="K76" i="23"/>
  <c r="K77" i="23"/>
  <c r="K78" i="23"/>
  <c r="K79" i="23"/>
  <c r="K80" i="23"/>
  <c r="K81" i="23"/>
  <c r="K82" i="23"/>
  <c r="K83" i="23"/>
  <c r="K84" i="23"/>
  <c r="K85" i="23"/>
  <c r="K86" i="23"/>
  <c r="K87" i="23"/>
  <c r="K88" i="23"/>
  <c r="K89" i="23"/>
  <c r="K90" i="23"/>
  <c r="K91" i="23"/>
  <c r="K92" i="23"/>
  <c r="K93" i="23"/>
  <c r="K94" i="23"/>
  <c r="K95" i="23"/>
  <c r="K96" i="23"/>
  <c r="K97" i="23"/>
  <c r="K98" i="23"/>
  <c r="K99" i="23"/>
  <c r="K100" i="23"/>
  <c r="K101" i="23"/>
  <c r="K102" i="23"/>
  <c r="K103" i="23"/>
  <c r="K104" i="23"/>
  <c r="K105" i="23"/>
  <c r="K106" i="23"/>
  <c r="K107" i="23"/>
  <c r="K108" i="23"/>
  <c r="K109" i="23"/>
  <c r="K110" i="23"/>
  <c r="K111" i="23"/>
  <c r="K112" i="23"/>
  <c r="K113" i="23"/>
  <c r="K114" i="23"/>
  <c r="K115" i="23"/>
  <c r="K116" i="23"/>
  <c r="K117" i="23"/>
  <c r="K118" i="23"/>
  <c r="K119" i="23"/>
  <c r="K120" i="23"/>
  <c r="K121" i="23"/>
  <c r="K122" i="23"/>
  <c r="K123" i="23"/>
  <c r="K124" i="23"/>
  <c r="K125" i="23"/>
  <c r="K126" i="23"/>
  <c r="K127" i="23"/>
  <c r="K128" i="23"/>
  <c r="K129" i="23"/>
  <c r="K130" i="23"/>
  <c r="K131" i="23"/>
  <c r="K132" i="23"/>
  <c r="K133" i="23"/>
  <c r="K134" i="23"/>
  <c r="K135" i="23"/>
  <c r="K136" i="23"/>
  <c r="K137" i="23"/>
  <c r="K138" i="23"/>
  <c r="K139" i="23"/>
  <c r="K140" i="23"/>
  <c r="K141" i="23"/>
  <c r="K142" i="23"/>
  <c r="K143" i="23"/>
  <c r="K144" i="23"/>
  <c r="K145" i="23"/>
  <c r="K146" i="23"/>
  <c r="K147" i="23"/>
  <c r="K148" i="23"/>
  <c r="K149" i="23"/>
  <c r="K150" i="23"/>
  <c r="K151" i="23"/>
  <c r="K152" i="23"/>
  <c r="K153" i="23"/>
  <c r="K154" i="23"/>
  <c r="K155" i="23"/>
  <c r="K156" i="23"/>
  <c r="K157" i="23"/>
  <c r="K158" i="23"/>
  <c r="K159" i="23"/>
  <c r="K160" i="23"/>
  <c r="K161" i="23"/>
  <c r="K162" i="23"/>
  <c r="K163" i="23"/>
  <c r="K164" i="23"/>
  <c r="K165" i="23"/>
  <c r="K166" i="23"/>
  <c r="K167" i="23"/>
  <c r="K168" i="23"/>
  <c r="K169" i="23"/>
  <c r="K170" i="23"/>
  <c r="K171" i="23"/>
  <c r="K172" i="23"/>
  <c r="K173" i="23"/>
  <c r="K174" i="23"/>
  <c r="K175" i="23"/>
  <c r="K176" i="23"/>
  <c r="K177" i="23"/>
  <c r="K178" i="23"/>
  <c r="K179" i="23"/>
  <c r="K180" i="23"/>
  <c r="K181" i="23"/>
  <c r="K182" i="23"/>
  <c r="K183" i="23"/>
  <c r="K184" i="23"/>
  <c r="K185" i="23"/>
  <c r="K186" i="23"/>
  <c r="K187" i="23"/>
  <c r="K188" i="23"/>
  <c r="K189" i="23"/>
  <c r="K190" i="23"/>
  <c r="K191" i="23"/>
  <c r="K192" i="23"/>
  <c r="K193" i="23"/>
  <c r="K194" i="23"/>
  <c r="K195" i="23"/>
  <c r="K196" i="23"/>
  <c r="K197" i="23"/>
  <c r="K198" i="23"/>
  <c r="K199" i="23"/>
  <c r="K200" i="23"/>
  <c r="K201" i="23"/>
  <c r="K202" i="23"/>
  <c r="K203" i="23"/>
  <c r="K204" i="23"/>
  <c r="K205" i="23"/>
  <c r="K206" i="23"/>
  <c r="K207" i="23"/>
  <c r="K208" i="23"/>
  <c r="K209" i="23"/>
  <c r="K210" i="23"/>
  <c r="K211" i="23"/>
  <c r="K212" i="23"/>
  <c r="K213" i="23"/>
  <c r="K214" i="23"/>
  <c r="K215" i="23"/>
  <c r="K216" i="23"/>
  <c r="K217" i="23"/>
  <c r="K218" i="23"/>
  <c r="K219" i="23"/>
  <c r="K220" i="23"/>
  <c r="K221" i="23"/>
  <c r="K222" i="23"/>
  <c r="K223" i="23"/>
  <c r="K224" i="23"/>
  <c r="K225" i="23"/>
  <c r="K226" i="23"/>
  <c r="K227" i="23"/>
  <c r="K228" i="23"/>
  <c r="K229" i="23"/>
  <c r="K230" i="23"/>
  <c r="K231" i="23"/>
  <c r="K232" i="23"/>
  <c r="K233" i="23"/>
  <c r="K234" i="23"/>
  <c r="K235" i="23"/>
  <c r="K236" i="23"/>
  <c r="K237" i="23"/>
  <c r="K238" i="23"/>
  <c r="K239" i="23"/>
  <c r="K240" i="23"/>
  <c r="K241" i="23"/>
  <c r="K242" i="23"/>
  <c r="K243" i="23"/>
  <c r="K244" i="23"/>
  <c r="K245" i="23"/>
  <c r="K246" i="23"/>
  <c r="K247" i="23"/>
  <c r="K248" i="23"/>
  <c r="K249" i="23"/>
  <c r="K250" i="23"/>
  <c r="K251" i="23"/>
  <c r="K252" i="23"/>
  <c r="K253" i="23"/>
  <c r="K254" i="23"/>
  <c r="K255" i="23"/>
  <c r="K256" i="23"/>
  <c r="K257" i="23"/>
  <c r="K258" i="23"/>
  <c r="K259" i="23"/>
  <c r="K260" i="23"/>
  <c r="K261" i="23"/>
  <c r="K262" i="23"/>
  <c r="K263" i="23"/>
  <c r="K264" i="23"/>
  <c r="K265" i="23"/>
  <c r="K266" i="23"/>
  <c r="K267" i="23"/>
  <c r="K268" i="23"/>
  <c r="K269" i="23"/>
  <c r="K270" i="23"/>
  <c r="K271" i="23"/>
  <c r="K272" i="23"/>
  <c r="K273" i="23"/>
  <c r="K274" i="23"/>
  <c r="K275" i="23"/>
  <c r="K276" i="23"/>
  <c r="K277" i="23"/>
  <c r="K278" i="23"/>
  <c r="K279" i="23"/>
  <c r="K280" i="23"/>
  <c r="K281" i="23"/>
  <c r="K282" i="23"/>
  <c r="K283" i="23"/>
  <c r="K284" i="23"/>
  <c r="K285" i="23"/>
  <c r="K286" i="23"/>
  <c r="K287" i="23"/>
  <c r="K288" i="23"/>
  <c r="K289" i="23"/>
  <c r="K290" i="23"/>
  <c r="K291" i="23"/>
  <c r="K292" i="23"/>
  <c r="K293" i="23"/>
  <c r="K294" i="23"/>
  <c r="K295" i="23"/>
  <c r="K296" i="23"/>
  <c r="K297" i="23"/>
  <c r="K298" i="23"/>
  <c r="K299" i="23"/>
  <c r="K300" i="23"/>
  <c r="K301" i="23"/>
  <c r="K302" i="23"/>
  <c r="K303" i="23"/>
  <c r="K304" i="23"/>
  <c r="K305" i="23"/>
  <c r="K306" i="23"/>
  <c r="K307" i="23"/>
  <c r="K308" i="23"/>
  <c r="K309" i="23"/>
  <c r="K310" i="23"/>
  <c r="K311" i="23"/>
  <c r="K312" i="23"/>
  <c r="K313" i="23"/>
  <c r="K314" i="23"/>
  <c r="K315" i="23"/>
  <c r="K316" i="23"/>
  <c r="K317" i="23"/>
  <c r="K318" i="23"/>
  <c r="K319" i="23"/>
  <c r="K320" i="23"/>
  <c r="K321" i="23"/>
  <c r="K322" i="23"/>
  <c r="K323" i="23"/>
  <c r="K324" i="23"/>
  <c r="K325" i="23"/>
  <c r="K326" i="23"/>
  <c r="K327" i="23"/>
  <c r="K328" i="23"/>
  <c r="K329" i="23"/>
  <c r="K330" i="23"/>
  <c r="K331" i="23"/>
  <c r="K332" i="23"/>
  <c r="K333" i="23"/>
  <c r="K334" i="23"/>
  <c r="K335" i="23"/>
  <c r="K336" i="23"/>
  <c r="K337" i="23"/>
  <c r="K338" i="23"/>
  <c r="K339" i="23"/>
  <c r="K340" i="23"/>
  <c r="K341" i="23"/>
  <c r="K342" i="23"/>
  <c r="K343" i="23"/>
  <c r="K344" i="23"/>
  <c r="K345" i="23"/>
  <c r="K346" i="23"/>
  <c r="K347" i="23"/>
  <c r="K348" i="23"/>
  <c r="K349" i="23"/>
  <c r="K350" i="23"/>
  <c r="K351" i="23"/>
  <c r="K352" i="23"/>
  <c r="K353" i="23"/>
  <c r="K354" i="23"/>
  <c r="K355" i="23"/>
  <c r="K356" i="23"/>
  <c r="K357" i="23"/>
  <c r="K358" i="23"/>
  <c r="K359" i="23"/>
  <c r="K360" i="23"/>
  <c r="K361" i="23"/>
  <c r="K362" i="23"/>
  <c r="K363" i="23"/>
  <c r="K364" i="23"/>
  <c r="K365" i="23"/>
  <c r="K366" i="23"/>
  <c r="K367" i="23"/>
  <c r="K368" i="23"/>
  <c r="K369" i="23"/>
  <c r="K370" i="23"/>
  <c r="K371" i="23"/>
  <c r="K372" i="23"/>
  <c r="K373" i="23"/>
  <c r="K374" i="23"/>
  <c r="K375" i="23"/>
  <c r="K376" i="23"/>
  <c r="H32" i="27"/>
  <c r="H34" i="27"/>
  <c r="D41" i="27"/>
  <c r="B2" i="19"/>
  <c r="C3" i="38" s="1"/>
  <c r="E7" i="25"/>
  <c r="E6"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83" i="25"/>
  <c r="H84" i="25"/>
  <c r="H85" i="25"/>
  <c r="H86" i="25"/>
  <c r="H87" i="25"/>
  <c r="H88" i="25"/>
  <c r="H89" i="25"/>
  <c r="H90" i="25"/>
  <c r="H91" i="25"/>
  <c r="H92" i="25"/>
  <c r="H93" i="25"/>
  <c r="H94" i="25"/>
  <c r="H95" i="25"/>
  <c r="H96" i="25"/>
  <c r="H97" i="25"/>
  <c r="H98" i="25"/>
  <c r="H99" i="25"/>
  <c r="H100" i="25"/>
  <c r="H101" i="25"/>
  <c r="H102" i="25"/>
  <c r="H103" i="25"/>
  <c r="H104" i="25"/>
  <c r="H105" i="25"/>
  <c r="H106" i="25"/>
  <c r="H107" i="25"/>
  <c r="H108" i="25"/>
  <c r="H109" i="25"/>
  <c r="H110" i="25"/>
  <c r="H111" i="25"/>
  <c r="H112" i="25"/>
  <c r="H113" i="25"/>
  <c r="H114" i="25"/>
  <c r="H115" i="25"/>
  <c r="H116" i="25"/>
  <c r="H117" i="25"/>
  <c r="H118" i="25"/>
  <c r="H119" i="25"/>
  <c r="H120" i="25"/>
  <c r="H121" i="25"/>
  <c r="H122" i="25"/>
  <c r="H123" i="25"/>
  <c r="H124" i="25"/>
  <c r="H125" i="25"/>
  <c r="H126" i="25"/>
  <c r="H127" i="25"/>
  <c r="H128" i="25"/>
  <c r="H129" i="25"/>
  <c r="H130" i="25"/>
  <c r="H131" i="25"/>
  <c r="H132" i="25"/>
  <c r="H133" i="25"/>
  <c r="H134" i="25"/>
  <c r="H135" i="25"/>
  <c r="H136" i="25"/>
  <c r="H137" i="25"/>
  <c r="H138" i="25"/>
  <c r="H139" i="25"/>
  <c r="H140" i="25"/>
  <c r="H141" i="25"/>
  <c r="H142" i="25"/>
  <c r="H143" i="25"/>
  <c r="H144" i="25"/>
  <c r="H145" i="25"/>
  <c r="H146" i="25"/>
  <c r="H147" i="25"/>
  <c r="H148" i="25"/>
  <c r="H149" i="25"/>
  <c r="H150" i="25"/>
  <c r="H151" i="25"/>
  <c r="H152" i="25"/>
  <c r="H153" i="25"/>
  <c r="H154" i="25"/>
  <c r="H155" i="25"/>
  <c r="H156" i="25"/>
  <c r="H157" i="25"/>
  <c r="H158" i="25"/>
  <c r="H159" i="25"/>
  <c r="H160" i="25"/>
  <c r="H161" i="25"/>
  <c r="H162" i="25"/>
  <c r="H163" i="25"/>
  <c r="H164" i="25"/>
  <c r="H165" i="25"/>
  <c r="H166" i="25"/>
  <c r="H167" i="25"/>
  <c r="H168" i="25"/>
  <c r="H169" i="25"/>
  <c r="H170" i="25"/>
  <c r="H171" i="25"/>
  <c r="H172" i="25"/>
  <c r="H173" i="25"/>
  <c r="H174" i="25"/>
  <c r="H175" i="25"/>
  <c r="H176" i="25"/>
  <c r="H177" i="25"/>
  <c r="H178" i="25"/>
  <c r="H179" i="25"/>
  <c r="H180" i="25"/>
  <c r="H181" i="25"/>
  <c r="H182" i="25"/>
  <c r="H183" i="25"/>
  <c r="H184" i="25"/>
  <c r="H185" i="25"/>
  <c r="H186" i="25"/>
  <c r="H187" i="25"/>
  <c r="H188" i="25"/>
  <c r="H189" i="25"/>
  <c r="H190" i="25"/>
  <c r="H191" i="25"/>
  <c r="H192" i="25"/>
  <c r="H193" i="25"/>
  <c r="H194" i="25"/>
  <c r="H195" i="25"/>
  <c r="H196" i="25"/>
  <c r="H197" i="25"/>
  <c r="H198" i="25"/>
  <c r="H199" i="25"/>
  <c r="H200" i="25"/>
  <c r="H201" i="25"/>
  <c r="H202" i="25"/>
  <c r="H203" i="25"/>
  <c r="H204" i="25"/>
  <c r="H205" i="25"/>
  <c r="H206" i="25"/>
  <c r="H207" i="25"/>
  <c r="H208" i="25"/>
  <c r="H209" i="25"/>
  <c r="H210" i="25"/>
  <c r="H211" i="25"/>
  <c r="H212" i="25"/>
  <c r="H213" i="25"/>
  <c r="H214" i="25"/>
  <c r="H215" i="25"/>
  <c r="H216" i="25"/>
  <c r="H217" i="25"/>
  <c r="H218" i="25"/>
  <c r="H219" i="25"/>
  <c r="H220" i="25"/>
  <c r="H221" i="25"/>
  <c r="H222" i="25"/>
  <c r="H223" i="25"/>
  <c r="H224" i="25"/>
  <c r="H225" i="25"/>
  <c r="H226" i="25"/>
  <c r="H227" i="25"/>
  <c r="H228" i="25"/>
  <c r="H229" i="25"/>
  <c r="H230" i="25"/>
  <c r="H231" i="25"/>
  <c r="H232" i="25"/>
  <c r="H233" i="25"/>
  <c r="H234" i="25"/>
  <c r="H235" i="25"/>
  <c r="H236" i="25"/>
  <c r="H237" i="25"/>
  <c r="H238" i="25"/>
  <c r="H239" i="25"/>
  <c r="H240" i="25"/>
  <c r="H241" i="25"/>
  <c r="H242" i="25"/>
  <c r="H243" i="25"/>
  <c r="H244" i="25"/>
  <c r="H245" i="25"/>
  <c r="H246" i="25"/>
  <c r="H247" i="25"/>
  <c r="H248" i="25"/>
  <c r="H249" i="25"/>
  <c r="H250" i="25"/>
  <c r="H251" i="25"/>
  <c r="H252" i="25"/>
  <c r="H253" i="25"/>
  <c r="H254" i="25"/>
  <c r="H255" i="25"/>
  <c r="H256" i="25"/>
  <c r="H257" i="25"/>
  <c r="H258" i="25"/>
  <c r="H259" i="25"/>
  <c r="H260" i="25"/>
  <c r="H261" i="25"/>
  <c r="H262" i="25"/>
  <c r="H263" i="25"/>
  <c r="H264" i="25"/>
  <c r="H265" i="25"/>
  <c r="H266" i="25"/>
  <c r="H267" i="25"/>
  <c r="H268" i="25"/>
  <c r="H269" i="25"/>
  <c r="H270" i="25"/>
  <c r="H271" i="25"/>
  <c r="H272" i="25"/>
  <c r="H273" i="25"/>
  <c r="H274" i="25"/>
  <c r="H275" i="25"/>
  <c r="H276" i="25"/>
  <c r="H277" i="25"/>
  <c r="H278" i="25"/>
  <c r="H279" i="25"/>
  <c r="H280" i="25"/>
  <c r="H281" i="25"/>
  <c r="H282" i="25"/>
  <c r="H283" i="25"/>
  <c r="H284" i="25"/>
  <c r="H285" i="25"/>
  <c r="H286" i="25"/>
  <c r="H287" i="25"/>
  <c r="H288" i="25"/>
  <c r="H289" i="25"/>
  <c r="H290" i="25"/>
  <c r="H291" i="25"/>
  <c r="H292" i="25"/>
  <c r="H293" i="25"/>
  <c r="H294" i="25"/>
  <c r="H295" i="25"/>
  <c r="H296" i="25"/>
  <c r="H297" i="25"/>
  <c r="H298" i="25"/>
  <c r="H299" i="25"/>
  <c r="H300" i="25"/>
  <c r="H301" i="25"/>
  <c r="H302" i="25"/>
  <c r="H303" i="25"/>
  <c r="H304" i="25"/>
  <c r="H305" i="25"/>
  <c r="H306" i="25"/>
  <c r="H307" i="25"/>
  <c r="H308" i="25"/>
  <c r="H309" i="25"/>
  <c r="H310" i="25"/>
  <c r="H311" i="25"/>
  <c r="H312" i="25"/>
  <c r="H313" i="25"/>
  <c r="H314" i="25"/>
  <c r="H315" i="25"/>
  <c r="H316" i="25"/>
  <c r="H317" i="25"/>
  <c r="H318" i="25"/>
  <c r="H319" i="25"/>
  <c r="H320" i="25"/>
  <c r="H321" i="25"/>
  <c r="H322" i="25"/>
  <c r="H323" i="25"/>
  <c r="H324" i="25"/>
  <c r="H325" i="25"/>
  <c r="H326" i="25"/>
  <c r="H327" i="25"/>
  <c r="H328" i="25"/>
  <c r="H329" i="25"/>
  <c r="H330" i="25"/>
  <c r="H331" i="25"/>
  <c r="H332" i="25"/>
  <c r="H333" i="25"/>
  <c r="H334" i="25"/>
  <c r="H335" i="25"/>
  <c r="H336" i="25"/>
  <c r="H337" i="25"/>
  <c r="H338" i="25"/>
  <c r="H339" i="25"/>
  <c r="H340" i="25"/>
  <c r="H341" i="25"/>
  <c r="H342" i="25"/>
  <c r="H343" i="25"/>
  <c r="H344" i="25"/>
  <c r="H345" i="25"/>
  <c r="H346" i="25"/>
  <c r="H347" i="25"/>
  <c r="H348" i="25"/>
  <c r="H349" i="25"/>
  <c r="H350" i="25"/>
  <c r="H351" i="25"/>
  <c r="H352" i="25"/>
  <c r="H353" i="25"/>
  <c r="H354" i="25"/>
  <c r="H355" i="25"/>
  <c r="H356" i="25"/>
  <c r="H357" i="25"/>
  <c r="H358" i="25"/>
  <c r="H359" i="25"/>
  <c r="H360" i="25"/>
  <c r="H361" i="25"/>
  <c r="H362" i="25"/>
  <c r="H363" i="25"/>
  <c r="H364" i="25"/>
  <c r="H365" i="25"/>
  <c r="H366" i="25"/>
  <c r="H367" i="25"/>
  <c r="H368" i="25"/>
  <c r="H369" i="25"/>
  <c r="H370" i="25"/>
  <c r="H371" i="25"/>
  <c r="H372" i="25"/>
  <c r="H373" i="25"/>
  <c r="H374" i="25"/>
  <c r="E4" i="23"/>
  <c r="G17" i="21"/>
  <c r="G18" i="21"/>
  <c r="G19" i="21"/>
  <c r="G20" i="21"/>
  <c r="G21" i="21"/>
  <c r="G22" i="21"/>
  <c r="G23" i="21"/>
  <c r="G24" i="21"/>
  <c r="G25" i="21"/>
  <c r="G26" i="21"/>
  <c r="G27" i="21"/>
  <c r="G28" i="21"/>
  <c r="G29" i="21"/>
  <c r="G30" i="21"/>
  <c r="G31" i="21"/>
  <c r="G32" i="21"/>
  <c r="G33" i="21"/>
  <c r="G34" i="21"/>
  <c r="G35" i="21"/>
  <c r="G36" i="21"/>
  <c r="G37" i="21"/>
  <c r="G38" i="21"/>
  <c r="G39" i="21"/>
  <c r="G40" i="21"/>
  <c r="H49" i="21"/>
  <c r="B13" i="5"/>
  <c r="B12" i="5"/>
  <c r="H53" i="21"/>
  <c r="H48" i="21"/>
  <c r="B17" i="21"/>
  <c r="I17" i="21" s="1"/>
  <c r="B18" i="21"/>
  <c r="I18" i="21" s="1"/>
  <c r="B19" i="21"/>
  <c r="I19" i="21" s="1"/>
  <c r="B20" i="21"/>
  <c r="I20" i="21" s="1"/>
  <c r="B21" i="21"/>
  <c r="I21" i="21" s="1"/>
  <c r="B22" i="21"/>
  <c r="I22" i="21" s="1"/>
  <c r="B23" i="21"/>
  <c r="I23" i="21" s="1"/>
  <c r="B24" i="21"/>
  <c r="I24" i="21" s="1"/>
  <c r="B25" i="21"/>
  <c r="I25" i="21" s="1"/>
  <c r="B26" i="21"/>
  <c r="I26" i="21" s="1"/>
  <c r="B27" i="21"/>
  <c r="I27" i="21" s="1"/>
  <c r="B28" i="21"/>
  <c r="I28" i="21" s="1"/>
  <c r="B29" i="21"/>
  <c r="I29" i="21" s="1"/>
  <c r="B30" i="21"/>
  <c r="I30" i="21" s="1"/>
  <c r="B31" i="21"/>
  <c r="I31" i="21" s="1"/>
  <c r="B32" i="21"/>
  <c r="I32" i="21" s="1"/>
  <c r="B33" i="21"/>
  <c r="I33" i="21" s="1"/>
  <c r="B34" i="21"/>
  <c r="I34" i="21" s="1"/>
  <c r="B35" i="21"/>
  <c r="I35" i="21" s="1"/>
  <c r="B36" i="21"/>
  <c r="I36" i="21" s="1"/>
  <c r="B37" i="21"/>
  <c r="I37" i="21" s="1"/>
  <c r="B38" i="21"/>
  <c r="I38" i="21" s="1"/>
  <c r="B39" i="21"/>
  <c r="I39" i="21" s="1"/>
  <c r="B40" i="21"/>
  <c r="I40" i="21" s="1"/>
  <c r="D4" i="20"/>
  <c r="K3" i="31" s="1"/>
  <c r="E5" i="20"/>
  <c r="D3" i="20"/>
  <c r="E104" i="20"/>
  <c r="F104" i="20"/>
  <c r="F21" i="20"/>
  <c r="G104" i="20"/>
  <c r="G21" i="20"/>
  <c r="H21" i="20"/>
  <c r="H104" i="20"/>
  <c r="I104" i="20"/>
  <c r="I21" i="20"/>
  <c r="J104" i="20"/>
  <c r="J21" i="20"/>
  <c r="K21" i="20"/>
  <c r="K104" i="20"/>
  <c r="L104" i="20"/>
  <c r="L21" i="20"/>
  <c r="M21" i="20"/>
  <c r="M104" i="20"/>
  <c r="N21" i="20"/>
  <c r="N104" i="20"/>
  <c r="O104" i="20"/>
  <c r="O21" i="20"/>
  <c r="P104" i="20"/>
  <c r="P21" i="20"/>
  <c r="Q104" i="20"/>
  <c r="Q21" i="20"/>
  <c r="R104" i="20"/>
  <c r="R21" i="20"/>
  <c r="S104" i="20"/>
  <c r="S21" i="20"/>
  <c r="T21" i="20"/>
  <c r="T104" i="20"/>
  <c r="U104" i="20"/>
  <c r="U21" i="20"/>
  <c r="V104" i="20"/>
  <c r="V21" i="20"/>
  <c r="W21" i="20"/>
  <c r="W104" i="20"/>
  <c r="X21" i="20"/>
  <c r="X104" i="20"/>
  <c r="Y104" i="20"/>
  <c r="Y21" i="20"/>
  <c r="Z104" i="20"/>
  <c r="Z21" i="20"/>
  <c r="AA104" i="20"/>
  <c r="AA21" i="20"/>
  <c r="AB104" i="20"/>
  <c r="AB21" i="20"/>
  <c r="AC104" i="20"/>
  <c r="AC21" i="20"/>
  <c r="AD21" i="20"/>
  <c r="AD104" i="20"/>
  <c r="AC126" i="20"/>
  <c r="AD20" i="20"/>
  <c r="AE104" i="20"/>
  <c r="AD126" i="20"/>
  <c r="AE21" i="20"/>
  <c r="AF104" i="20"/>
  <c r="AE126" i="20"/>
  <c r="AF21" i="20"/>
  <c r="AG104" i="20"/>
  <c r="AG21" i="20"/>
  <c r="AH21" i="20"/>
  <c r="AH104" i="20"/>
  <c r="AI104" i="20"/>
  <c r="AH126" i="20"/>
  <c r="AI21" i="20"/>
  <c r="AJ104" i="20"/>
  <c r="AJ21" i="20"/>
  <c r="AK21" i="20"/>
  <c r="AK104" i="20"/>
  <c r="AL104" i="20"/>
  <c r="AL21" i="20"/>
  <c r="AM21" i="20"/>
  <c r="AN21" i="20"/>
  <c r="AP20" i="20"/>
  <c r="AO21" i="20"/>
  <c r="AP104" i="20"/>
  <c r="AP21" i="20"/>
  <c r="AQ21" i="20"/>
  <c r="AQ104" i="20"/>
  <c r="AR104" i="20"/>
  <c r="AR21" i="20"/>
  <c r="AS21" i="20"/>
  <c r="AS104" i="20"/>
  <c r="AT104" i="20"/>
  <c r="AS126" i="20"/>
  <c r="AT21" i="20"/>
  <c r="AU21" i="20"/>
  <c r="AU104" i="20"/>
  <c r="AT126" i="20"/>
  <c r="AV104" i="20"/>
  <c r="AV21" i="20"/>
  <c r="AW104" i="20"/>
  <c r="AW21" i="20"/>
  <c r="AX21" i="20"/>
  <c r="AX104" i="20"/>
  <c r="AY104" i="20"/>
  <c r="AX126" i="20"/>
  <c r="AY21" i="20"/>
  <c r="AZ104" i="20"/>
  <c r="AZ21" i="20"/>
  <c r="BA21" i="20"/>
  <c r="BA104" i="20"/>
  <c r="BB104" i="20"/>
  <c r="BB22" i="20"/>
  <c r="BB21" i="20"/>
  <c r="BC21" i="20"/>
  <c r="BC104" i="20"/>
  <c r="BB126" i="20"/>
  <c r="BD104" i="20"/>
  <c r="BC126" i="20"/>
  <c r="BD21" i="20"/>
  <c r="BE104" i="20"/>
  <c r="BE21" i="20"/>
  <c r="BF104" i="20"/>
  <c r="BF21" i="20"/>
  <c r="BG104" i="20"/>
  <c r="BG21" i="20"/>
  <c r="BH21" i="20"/>
  <c r="BH104" i="20"/>
  <c r="BI104" i="20"/>
  <c r="BI21" i="20"/>
  <c r="BJ104" i="20"/>
  <c r="BI126" i="20"/>
  <c r="BJ21" i="20"/>
  <c r="BK104" i="20"/>
  <c r="BJ126" i="20"/>
  <c r="BK20" i="20"/>
  <c r="BK21" i="20"/>
  <c r="BL21" i="20"/>
  <c r="BM104" i="20"/>
  <c r="BM126" i="20"/>
  <c r="BM21" i="20"/>
  <c r="BN21" i="20"/>
  <c r="BN104" i="20"/>
  <c r="BN126" i="20"/>
  <c r="BO21" i="20"/>
  <c r="BO104" i="20"/>
  <c r="E9" i="28"/>
  <c r="D14" i="28"/>
  <c r="E8" i="28"/>
  <c r="BP104" i="20"/>
  <c r="BO126" i="20"/>
  <c r="BP126" i="20"/>
  <c r="I312" i="28"/>
  <c r="I274" i="28"/>
  <c r="I251" i="28"/>
  <c r="I235" i="28"/>
  <c r="I226" i="28"/>
  <c r="I210" i="28"/>
  <c r="I194" i="28"/>
  <c r="I187" i="28"/>
  <c r="I171" i="28"/>
  <c r="I155" i="28"/>
  <c r="I146" i="28"/>
  <c r="I130" i="28"/>
  <c r="I123" i="28"/>
  <c r="I105" i="28"/>
  <c r="I97" i="28"/>
  <c r="I65" i="28"/>
  <c r="I41" i="28"/>
  <c r="I359" i="28"/>
  <c r="I352" i="28"/>
  <c r="I347" i="28"/>
  <c r="I340" i="28"/>
  <c r="I321" i="28"/>
  <c r="I314" i="28"/>
  <c r="I295" i="28"/>
  <c r="I288" i="28"/>
  <c r="I283" i="28"/>
  <c r="I276" i="28"/>
  <c r="I249" i="28"/>
  <c r="I233" i="28"/>
  <c r="I224" i="28"/>
  <c r="I208" i="28"/>
  <c r="I201" i="28"/>
  <c r="I192" i="28"/>
  <c r="I160" i="28"/>
  <c r="I153" i="28"/>
  <c r="I144" i="28"/>
  <c r="I137" i="28"/>
  <c r="I128" i="28"/>
  <c r="I121" i="28"/>
  <c r="I103" i="28"/>
  <c r="I95" i="28"/>
  <c r="I87" i="28"/>
  <c r="I79" i="28"/>
  <c r="I71" i="28"/>
  <c r="I63" i="28"/>
  <c r="I55" i="28"/>
  <c r="I47" i="28"/>
  <c r="I39" i="28"/>
  <c r="I371" i="28"/>
  <c r="I364" i="28"/>
  <c r="I345" i="28"/>
  <c r="I338" i="28"/>
  <c r="I319" i="28"/>
  <c r="I307" i="28"/>
  <c r="I300" i="28"/>
  <c r="I281" i="28"/>
  <c r="I258" i="28"/>
  <c r="I242" i="28"/>
  <c r="I219" i="28"/>
  <c r="I203" i="28"/>
  <c r="I178" i="28"/>
  <c r="I162" i="28"/>
  <c r="I139" i="28"/>
  <c r="I115" i="28"/>
  <c r="I111" i="28"/>
  <c r="I89" i="28"/>
  <c r="I81" i="28"/>
  <c r="I73" i="28"/>
  <c r="I57" i="28"/>
  <c r="I49" i="28"/>
  <c r="I256" i="28"/>
  <c r="I240" i="28"/>
  <c r="I217" i="28"/>
  <c r="I185" i="28"/>
  <c r="I176" i="28"/>
  <c r="I169" i="28"/>
  <c r="I373" i="28"/>
  <c r="I357" i="28"/>
  <c r="I341" i="28"/>
  <c r="I325" i="28"/>
  <c r="I309" i="28"/>
  <c r="I293" i="28"/>
  <c r="I277" i="28"/>
  <c r="I261" i="28"/>
  <c r="I355" i="28"/>
  <c r="I329" i="28"/>
  <c r="I316" i="28"/>
  <c r="I291" i="28"/>
  <c r="I265" i="28"/>
  <c r="I247" i="28"/>
  <c r="I231" i="28"/>
  <c r="I215" i="28"/>
  <c r="I199" i="28"/>
  <c r="I183" i="28"/>
  <c r="I167" i="28"/>
  <c r="I151" i="28"/>
  <c r="I135" i="28"/>
  <c r="I119" i="28"/>
  <c r="I112" i="28"/>
  <c r="I104" i="28"/>
  <c r="I96" i="28"/>
  <c r="I88" i="28"/>
  <c r="I80" i="28"/>
  <c r="I72" i="28"/>
  <c r="I64" i="28"/>
  <c r="I56" i="28"/>
  <c r="I48" i="28"/>
  <c r="I40" i="28"/>
  <c r="I363" i="28"/>
  <c r="I337" i="28"/>
  <c r="I324" i="28"/>
  <c r="I299" i="28"/>
  <c r="I273" i="28"/>
  <c r="I260" i="28"/>
  <c r="I244" i="28"/>
  <c r="I228" i="28"/>
  <c r="I212" i="28"/>
  <c r="I196" i="28"/>
  <c r="I180" i="28"/>
  <c r="I164" i="28"/>
  <c r="I148" i="28"/>
  <c r="I132" i="28"/>
  <c r="I67" i="28"/>
  <c r="I99" i="28"/>
  <c r="I136" i="28"/>
  <c r="I168" i="28"/>
  <c r="I200" i="28"/>
  <c r="I232" i="28"/>
  <c r="I263" i="28"/>
  <c r="I315" i="28"/>
  <c r="I353" i="28"/>
  <c r="I69" i="28"/>
  <c r="I101" i="28"/>
  <c r="I122" i="28"/>
  <c r="I154" i="28"/>
  <c r="I186" i="28"/>
  <c r="I218" i="28"/>
  <c r="I250" i="28"/>
  <c r="I280" i="28"/>
  <c r="I332" i="28"/>
  <c r="I370" i="28"/>
  <c r="I362" i="28"/>
  <c r="I311" i="28"/>
  <c r="I298" i="28"/>
  <c r="I272" i="28"/>
  <c r="I237" i="28"/>
  <c r="I221" i="28"/>
  <c r="I205" i="28"/>
  <c r="I189" i="28"/>
  <c r="I173" i="28"/>
  <c r="I141" i="28"/>
  <c r="I125" i="28"/>
  <c r="I43" i="28"/>
  <c r="I75" i="28"/>
  <c r="I145" i="28"/>
  <c r="I177" i="28"/>
  <c r="I209" i="28"/>
  <c r="I241" i="28"/>
  <c r="I282" i="28"/>
  <c r="I320" i="28"/>
  <c r="I45" i="28"/>
  <c r="I77" i="28"/>
  <c r="I109" i="28"/>
  <c r="I131" i="28"/>
  <c r="I195" i="28"/>
  <c r="I227" i="28"/>
  <c r="I259" i="28"/>
  <c r="I287" i="28"/>
  <c r="I339" i="28"/>
  <c r="I365" i="28"/>
  <c r="I333" i="28"/>
  <c r="I317" i="28"/>
  <c r="I301" i="28"/>
  <c r="I269" i="28"/>
  <c r="I361" i="28"/>
  <c r="I323" i="28"/>
  <c r="I297" i="28"/>
  <c r="I255" i="28"/>
  <c r="I239" i="28"/>
  <c r="I207" i="28"/>
  <c r="I191" i="28"/>
  <c r="I159" i="28"/>
  <c r="I143" i="28"/>
  <c r="I116" i="28"/>
  <c r="I108" i="28"/>
  <c r="I92" i="28"/>
  <c r="I76" i="28"/>
  <c r="I68" i="28"/>
  <c r="I52" i="28"/>
  <c r="I44" i="28"/>
  <c r="I356" i="28"/>
  <c r="I305" i="28"/>
  <c r="I267" i="28"/>
  <c r="I252" i="28"/>
  <c r="I220" i="28"/>
  <c r="I204" i="28"/>
  <c r="I172" i="28"/>
  <c r="I156" i="28"/>
  <c r="I124" i="28"/>
  <c r="I83" i="28"/>
  <c r="I120" i="28"/>
  <c r="I184" i="28"/>
  <c r="I248" i="28"/>
  <c r="I289" i="28"/>
  <c r="I85" i="28"/>
  <c r="I113" i="28"/>
  <c r="I170" i="28"/>
  <c r="I202" i="28"/>
  <c r="I268" i="28"/>
  <c r="I306" i="28"/>
  <c r="I358" i="28"/>
  <c r="I326" i="28"/>
  <c r="I310" i="28"/>
  <c r="I294" i="28"/>
  <c r="I262" i="28"/>
  <c r="I360" i="28"/>
  <c r="I322" i="28"/>
  <c r="I296" i="28"/>
  <c r="I254" i="28"/>
  <c r="I238" i="28"/>
  <c r="I206" i="28"/>
  <c r="I174" i="28"/>
  <c r="I158" i="28"/>
  <c r="I126" i="28"/>
  <c r="I114" i="28"/>
  <c r="I98" i="28"/>
  <c r="I90" i="28"/>
  <c r="I74" i="28"/>
  <c r="I58" i="28"/>
  <c r="I50" i="28"/>
  <c r="I368" i="28"/>
  <c r="I343" i="28"/>
  <c r="I304" i="28"/>
  <c r="I279" i="28"/>
  <c r="I245" i="28"/>
  <c r="I229" i="28"/>
  <c r="I197" i="28"/>
  <c r="I181" i="28"/>
  <c r="I149" i="28"/>
  <c r="I59" i="28"/>
  <c r="I129" i="28"/>
  <c r="I161" i="28"/>
  <c r="I225" i="28"/>
  <c r="I257" i="28"/>
  <c r="I346" i="28"/>
  <c r="I93" i="28"/>
  <c r="I117" i="28"/>
  <c r="I179" i="28"/>
  <c r="I243" i="28"/>
  <c r="I275" i="28"/>
  <c r="I351" i="28"/>
  <c r="I366" i="28"/>
  <c r="I350" i="28"/>
  <c r="I334" i="28"/>
  <c r="I318" i="28"/>
  <c r="I302" i="28"/>
  <c r="I286" i="28"/>
  <c r="I270" i="28"/>
  <c r="I367" i="28"/>
  <c r="I354" i="28"/>
  <c r="I328" i="28"/>
  <c r="I303" i="28"/>
  <c r="I290" i="28"/>
  <c r="I264" i="28"/>
  <c r="I246" i="28"/>
  <c r="I230" i="28"/>
  <c r="I214" i="28"/>
  <c r="I198" i="28"/>
  <c r="I182" i="28"/>
  <c r="I166" i="28"/>
  <c r="I150" i="28"/>
  <c r="I134" i="28"/>
  <c r="I118" i="28"/>
  <c r="I110" i="28"/>
  <c r="I102" i="28"/>
  <c r="I94" i="28"/>
  <c r="I86" i="28"/>
  <c r="I78" i="28"/>
  <c r="I70" i="28"/>
  <c r="I62" i="28"/>
  <c r="I54" i="28"/>
  <c r="I46" i="28"/>
  <c r="I38" i="28"/>
  <c r="I336" i="28"/>
  <c r="I253" i="28"/>
  <c r="I157" i="28"/>
  <c r="I107" i="28"/>
  <c r="I372" i="28"/>
  <c r="I163" i="28"/>
  <c r="I349" i="28"/>
  <c r="I285" i="28"/>
  <c r="I348" i="28"/>
  <c r="I284" i="28"/>
  <c r="I223" i="28"/>
  <c r="I175" i="28"/>
  <c r="I127" i="28"/>
  <c r="I100" i="28"/>
  <c r="I84" i="28"/>
  <c r="I60" i="28"/>
  <c r="I369" i="28"/>
  <c r="I331" i="28"/>
  <c r="I292" i="28"/>
  <c r="I236" i="28"/>
  <c r="I188" i="28"/>
  <c r="I140" i="28"/>
  <c r="I51" i="28"/>
  <c r="I152" i="28"/>
  <c r="I216" i="28"/>
  <c r="I327" i="28"/>
  <c r="I53" i="28"/>
  <c r="I138" i="28"/>
  <c r="I234" i="28"/>
  <c r="I344" i="28"/>
  <c r="I342" i="28"/>
  <c r="I278" i="28"/>
  <c r="I335" i="28"/>
  <c r="I271" i="28"/>
  <c r="I222" i="28"/>
  <c r="I190" i="28"/>
  <c r="I142" i="28"/>
  <c r="I106" i="28"/>
  <c r="I82" i="28"/>
  <c r="I66" i="28"/>
  <c r="I42" i="28"/>
  <c r="I330" i="28"/>
  <c r="I266" i="28"/>
  <c r="I213" i="28"/>
  <c r="I165" i="28"/>
  <c r="I133" i="28"/>
  <c r="I91" i="28"/>
  <c r="I193" i="28"/>
  <c r="I308" i="28"/>
  <c r="I61" i="28"/>
  <c r="I147" i="28"/>
  <c r="I211" i="28"/>
  <c r="I313" i="28"/>
  <c r="E14" i="28"/>
  <c r="I14" i="28"/>
  <c r="G14" i="28"/>
  <c r="J14" i="28"/>
  <c r="D15" i="28"/>
  <c r="BP21" i="20"/>
  <c r="BQ21" i="20"/>
  <c r="BQ104" i="20"/>
  <c r="BQ126" i="20"/>
  <c r="E15" i="28"/>
  <c r="I15" i="28"/>
  <c r="G15" i="28"/>
  <c r="J15" i="28"/>
  <c r="D16" i="28"/>
  <c r="BR21" i="20"/>
  <c r="BR104" i="20"/>
  <c r="BR126" i="20"/>
  <c r="E16" i="28"/>
  <c r="I16" i="28"/>
  <c r="G16" i="28"/>
  <c r="J16" i="28"/>
  <c r="D17" i="28"/>
  <c r="BS21" i="20"/>
  <c r="BS104" i="20"/>
  <c r="BS126" i="20"/>
  <c r="E17" i="28"/>
  <c r="I17" i="28"/>
  <c r="G17" i="28"/>
  <c r="J17" i="28"/>
  <c r="D18" i="28"/>
  <c r="BT104" i="20"/>
  <c r="BT126" i="20"/>
  <c r="E18" i="28"/>
  <c r="I18" i="28"/>
  <c r="G18" i="28"/>
  <c r="J18" i="28"/>
  <c r="D19" i="28"/>
  <c r="BT21" i="20"/>
  <c r="BT22" i="20"/>
  <c r="BU104" i="20"/>
  <c r="BU126" i="20"/>
  <c r="E19" i="28"/>
  <c r="I19" i="28"/>
  <c r="G19" i="28"/>
  <c r="J19" i="28"/>
  <c r="D20" i="28"/>
  <c r="BU21" i="20"/>
  <c r="BV104" i="20"/>
  <c r="BV126" i="20"/>
  <c r="E20" i="28"/>
  <c r="I20" i="28"/>
  <c r="G20" i="28"/>
  <c r="J20" i="28"/>
  <c r="D21" i="28"/>
  <c r="BV21" i="20"/>
  <c r="BW104" i="20"/>
  <c r="BW126" i="20"/>
  <c r="E21" i="28"/>
  <c r="I21" i="28"/>
  <c r="G21" i="28"/>
  <c r="J21" i="28"/>
  <c r="D22" i="28"/>
  <c r="BW20" i="20"/>
  <c r="BW21" i="20"/>
  <c r="BX104" i="20"/>
  <c r="BX126" i="20"/>
  <c r="E22" i="28"/>
  <c r="I22" i="28"/>
  <c r="G22" i="28"/>
  <c r="J22" i="28"/>
  <c r="D23" i="28"/>
  <c r="BX21" i="20"/>
  <c r="BY21" i="20"/>
  <c r="BY104" i="20"/>
  <c r="E23" i="28"/>
  <c r="I23" i="28"/>
  <c r="G23" i="28"/>
  <c r="J23" i="28"/>
  <c r="D24" i="28"/>
  <c r="BZ104" i="20"/>
  <c r="BY126" i="20"/>
  <c r="BZ126" i="20"/>
  <c r="E24" i="28"/>
  <c r="I24" i="28"/>
  <c r="G24" i="28"/>
  <c r="J24" i="28"/>
  <c r="D25" i="28"/>
  <c r="BZ21" i="20"/>
  <c r="CA104" i="20"/>
  <c r="CA126" i="20"/>
  <c r="E25" i="28"/>
  <c r="I25" i="28"/>
  <c r="G25" i="28"/>
  <c r="J25" i="28"/>
  <c r="D26" i="28"/>
  <c r="CA21" i="20"/>
  <c r="CB21" i="20"/>
  <c r="CB104" i="20"/>
  <c r="CB126" i="20"/>
  <c r="E26" i="28"/>
  <c r="I26" i="28"/>
  <c r="G26" i="28"/>
  <c r="J26" i="28"/>
  <c r="D27" i="28"/>
  <c r="CC104" i="20"/>
  <c r="CC126" i="20"/>
  <c r="E27" i="28"/>
  <c r="I27" i="28"/>
  <c r="G27" i="28"/>
  <c r="J27" i="28"/>
  <c r="D28" i="28"/>
  <c r="CC21" i="20"/>
  <c r="CD104" i="20"/>
  <c r="E28" i="28"/>
  <c r="I28" i="28"/>
  <c r="G28" i="28"/>
  <c r="J28" i="28"/>
  <c r="D29" i="28"/>
  <c r="CD21" i="20"/>
  <c r="CE104" i="20"/>
  <c r="CD126" i="20"/>
  <c r="CE126" i="20"/>
  <c r="E29" i="28"/>
  <c r="I29" i="28"/>
  <c r="G29" i="28"/>
  <c r="J29" i="28"/>
  <c r="D30" i="28"/>
  <c r="CE21" i="20"/>
  <c r="CF104" i="20"/>
  <c r="CF126" i="20"/>
  <c r="E30" i="28"/>
  <c r="I30" i="28"/>
  <c r="G30" i="28"/>
  <c r="J30" i="28"/>
  <c r="D31" i="28"/>
  <c r="CF21" i="20"/>
  <c r="CG104" i="20"/>
  <c r="CG126" i="20"/>
  <c r="E31" i="28"/>
  <c r="I31" i="28"/>
  <c r="G31" i="28"/>
  <c r="J31" i="28"/>
  <c r="D32" i="28"/>
  <c r="CH20" i="20"/>
  <c r="CG21" i="20"/>
  <c r="CH21" i="20"/>
  <c r="CH104" i="20"/>
  <c r="E32" i="28"/>
  <c r="I32" i="28"/>
  <c r="G32" i="28"/>
  <c r="J32" i="28"/>
  <c r="D33" i="28"/>
  <c r="CI104" i="20"/>
  <c r="CH126" i="20"/>
  <c r="CI126" i="20"/>
  <c r="E33" i="28"/>
  <c r="I33" i="28"/>
  <c r="G33" i="28"/>
  <c r="J33" i="28"/>
  <c r="D34" i="28"/>
  <c r="CI21" i="20"/>
  <c r="CJ104" i="20"/>
  <c r="CJ126" i="20"/>
  <c r="E34" i="28"/>
  <c r="I34" i="28"/>
  <c r="G34" i="28"/>
  <c r="J34" i="28"/>
  <c r="D35" i="28"/>
  <c r="CJ21" i="20"/>
  <c r="CK104" i="20"/>
  <c r="CK126" i="20"/>
  <c r="E35" i="28"/>
  <c r="I35" i="28"/>
  <c r="G35" i="28"/>
  <c r="J35" i="28"/>
  <c r="D36" i="28"/>
  <c r="CK21" i="20"/>
  <c r="CL21" i="20"/>
  <c r="CL104" i="20"/>
  <c r="CL126" i="20"/>
  <c r="E36" i="28"/>
  <c r="I36" i="28"/>
  <c r="G36" i="28"/>
  <c r="J36" i="28"/>
  <c r="D37" i="28"/>
  <c r="CM104" i="20"/>
  <c r="E37" i="28"/>
  <c r="I37" i="28"/>
  <c r="G37" i="28"/>
  <c r="J37" i="28"/>
  <c r="D38" i="28"/>
  <c r="CM21" i="20"/>
  <c r="CN21" i="20"/>
  <c r="CN104" i="20"/>
  <c r="CM126" i="20"/>
  <c r="CN126" i="20"/>
  <c r="E38" i="28"/>
  <c r="G38" i="28"/>
  <c r="J38" i="28"/>
  <c r="D39" i="28"/>
  <c r="CO104" i="20"/>
  <c r="E39" i="28"/>
  <c r="G39" i="28"/>
  <c r="J39" i="28"/>
  <c r="D40" i="28"/>
  <c r="CO21" i="20"/>
  <c r="CP104" i="20"/>
  <c r="CO126" i="20"/>
  <c r="CP126" i="20"/>
  <c r="E40" i="28"/>
  <c r="G40" i="28"/>
  <c r="J40" i="28"/>
  <c r="D41" i="28"/>
  <c r="CP21" i="20"/>
  <c r="CQ104" i="20"/>
  <c r="CQ126" i="20"/>
  <c r="E41" i="28"/>
  <c r="G41" i="28"/>
  <c r="J41" i="28"/>
  <c r="D42" i="28"/>
  <c r="CQ21" i="20"/>
  <c r="CR21" i="20"/>
  <c r="CR104" i="20"/>
  <c r="CR126" i="20"/>
  <c r="E42" i="28"/>
  <c r="G42" i="28"/>
  <c r="J42" i="28"/>
  <c r="D43" i="28"/>
  <c r="CS104" i="20"/>
  <c r="CS126" i="20"/>
  <c r="E43" i="28"/>
  <c r="G43" i="28"/>
  <c r="J43" i="28"/>
  <c r="D44" i="28"/>
  <c r="CS21" i="20"/>
  <c r="CT104" i="20"/>
  <c r="E44" i="28"/>
  <c r="G44" i="28"/>
  <c r="J44" i="28"/>
  <c r="D45" i="28"/>
  <c r="CT21" i="20"/>
  <c r="CU104" i="20"/>
  <c r="CT126" i="20"/>
  <c r="CU126" i="20"/>
  <c r="E45" i="28"/>
  <c r="G45" i="28"/>
  <c r="J45" i="28"/>
  <c r="D46" i="28"/>
  <c r="CU21" i="20"/>
  <c r="CV104" i="20"/>
  <c r="CV126" i="20"/>
  <c r="E46" i="28"/>
  <c r="G46" i="28"/>
  <c r="J46" i="28"/>
  <c r="D47" i="28"/>
  <c r="CV21" i="20"/>
  <c r="CW21" i="20"/>
  <c r="CW104" i="20"/>
  <c r="CW126" i="20"/>
  <c r="E47" i="28"/>
  <c r="G47" i="28"/>
  <c r="J47" i="28"/>
  <c r="D48" i="28"/>
  <c r="CX21" i="20"/>
  <c r="CX104" i="20"/>
  <c r="CX126" i="20"/>
  <c r="E48" i="28"/>
  <c r="G48" i="28"/>
  <c r="J48" i="28"/>
  <c r="D49" i="28"/>
  <c r="CY21" i="20"/>
  <c r="CY104" i="20"/>
  <c r="E49" i="28"/>
  <c r="G49" i="28"/>
  <c r="J49" i="28"/>
  <c r="D50" i="28"/>
  <c r="CZ104" i="20"/>
  <c r="CY126" i="20"/>
  <c r="CZ126" i="20"/>
  <c r="E50" i="28"/>
  <c r="G50" i="28"/>
  <c r="J50" i="28"/>
  <c r="D51" i="28"/>
  <c r="CZ21" i="20"/>
  <c r="DA104" i="20"/>
  <c r="DA126" i="20"/>
  <c r="E51" i="28"/>
  <c r="G51" i="28"/>
  <c r="J51" i="28"/>
  <c r="D52" i="28"/>
  <c r="DA21" i="20"/>
  <c r="DB104" i="20"/>
  <c r="DB126" i="20"/>
  <c r="E52" i="28"/>
  <c r="G52" i="28"/>
  <c r="J52" i="28"/>
  <c r="D53" i="28"/>
  <c r="DB21" i="20"/>
  <c r="DC21" i="20"/>
  <c r="DC104" i="20"/>
  <c r="DC126" i="20"/>
  <c r="E53" i="28"/>
  <c r="G53" i="28"/>
  <c r="J53" i="28"/>
  <c r="D54" i="28"/>
  <c r="DD104" i="20"/>
  <c r="DD126" i="20"/>
  <c r="E54" i="28"/>
  <c r="G54" i="28"/>
  <c r="J54" i="28"/>
  <c r="D55" i="28"/>
  <c r="DD21" i="20"/>
  <c r="DE104" i="20"/>
  <c r="E55" i="28"/>
  <c r="G55" i="28"/>
  <c r="J55" i="28"/>
  <c r="D56" i="28"/>
  <c r="DE21" i="20"/>
  <c r="DF104" i="20"/>
  <c r="DE126" i="20"/>
  <c r="DF126" i="20"/>
  <c r="E56" i="28"/>
  <c r="G56" i="28"/>
  <c r="J56" i="28"/>
  <c r="D57" i="28"/>
  <c r="DF21" i="20"/>
  <c r="DG21" i="20"/>
  <c r="DG104" i="20"/>
  <c r="DG126" i="20"/>
  <c r="E57" i="28"/>
  <c r="G57" i="28"/>
  <c r="J57" i="28"/>
  <c r="D58" i="28"/>
  <c r="DH104" i="20"/>
  <c r="DH126" i="20"/>
  <c r="E58" i="28"/>
  <c r="G58" i="28"/>
  <c r="J58" i="28"/>
  <c r="D59" i="28"/>
  <c r="DH21" i="20"/>
  <c r="DI104" i="20"/>
  <c r="DI126" i="20"/>
  <c r="E59" i="28"/>
  <c r="G59" i="28"/>
  <c r="J59" i="28"/>
  <c r="D60" i="28"/>
  <c r="DI21" i="20"/>
  <c r="DJ104" i="20"/>
  <c r="DJ126" i="20"/>
  <c r="E60" i="28"/>
  <c r="G60" i="28"/>
  <c r="J60" i="28"/>
  <c r="D61" i="28"/>
  <c r="DJ21" i="20"/>
  <c r="DK21" i="20"/>
  <c r="DK104" i="20"/>
  <c r="DK126" i="20"/>
  <c r="E61" i="28"/>
  <c r="G61" i="28"/>
  <c r="J61" i="28"/>
  <c r="D62" i="28"/>
  <c r="DL21" i="20"/>
  <c r="DL104" i="20"/>
  <c r="DL126" i="20"/>
  <c r="E62" i="28"/>
  <c r="G62" i="28"/>
  <c r="J62" i="28"/>
  <c r="D63" i="28"/>
  <c r="DM104" i="20"/>
  <c r="DM126" i="20"/>
  <c r="E63" i="28"/>
  <c r="G63" i="28"/>
  <c r="J63" i="28"/>
  <c r="D64" i="28"/>
  <c r="DM21" i="20"/>
  <c r="DM20" i="20"/>
  <c r="DN104" i="20"/>
  <c r="E64" i="28"/>
  <c r="G64" i="28"/>
  <c r="J64" i="28"/>
  <c r="D65" i="28"/>
  <c r="DN21" i="20"/>
  <c r="DO21" i="20"/>
  <c r="DO104" i="20"/>
  <c r="DN126" i="20"/>
  <c r="E65" i="28"/>
  <c r="G65" i="28"/>
  <c r="J65" i="28"/>
  <c r="D66" i="28"/>
  <c r="DP21" i="20"/>
  <c r="DP104" i="20"/>
  <c r="DO126" i="20"/>
  <c r="DP126" i="20"/>
  <c r="E66" i="28"/>
  <c r="G66" i="28"/>
  <c r="J66" i="28"/>
  <c r="D67" i="28"/>
  <c r="DQ104" i="20"/>
  <c r="DQ126" i="20"/>
  <c r="E67" i="28"/>
  <c r="G67" i="28"/>
  <c r="J67" i="28"/>
  <c r="D68" i="28"/>
  <c r="DQ21" i="20"/>
  <c r="DR104" i="20"/>
  <c r="E68" i="28"/>
  <c r="G68" i="28"/>
  <c r="J68" i="28"/>
  <c r="D69" i="28"/>
  <c r="N47" i="6"/>
  <c r="L47" i="6" s="1"/>
  <c r="G32" i="19"/>
  <c r="H11" i="11" s="1"/>
  <c r="G7" i="19"/>
  <c r="G8" i="19" s="1"/>
  <c r="D18" i="19"/>
  <c r="D19" i="19" s="1"/>
  <c r="AD46" i="21"/>
  <c r="DR21" i="20"/>
  <c r="DS21" i="20"/>
  <c r="DS104" i="20"/>
  <c r="DR126" i="20"/>
  <c r="DS126" i="20"/>
  <c r="E69" i="28"/>
  <c r="G69" i="28"/>
  <c r="J69" i="28"/>
  <c r="D70" i="28"/>
  <c r="W66" i="18"/>
  <c r="W63" i="18"/>
  <c r="W55" i="18"/>
  <c r="W56" i="18"/>
  <c r="W57" i="18"/>
  <c r="W58" i="18"/>
  <c r="W59" i="18"/>
  <c r="W60" i="18"/>
  <c r="W54" i="18"/>
  <c r="W49" i="18"/>
  <c r="W48" i="18"/>
  <c r="W41" i="18"/>
  <c r="W42" i="18"/>
  <c r="W43" i="18"/>
  <c r="W39" i="18"/>
  <c r="K36" i="18"/>
  <c r="G36" i="18"/>
  <c r="DT104" i="20"/>
  <c r="DT126" i="20"/>
  <c r="E70" i="28"/>
  <c r="G70" i="28"/>
  <c r="J70" i="28"/>
  <c r="D71" i="28"/>
  <c r="DT21" i="20"/>
  <c r="E71" i="28"/>
  <c r="G71" i="28"/>
  <c r="J71" i="28"/>
  <c r="D72" i="28"/>
  <c r="E72" i="28"/>
  <c r="G72" i="28"/>
  <c r="J72" i="28"/>
  <c r="D73" i="28"/>
  <c r="E73" i="28"/>
  <c r="G73" i="28"/>
  <c r="J73" i="28"/>
  <c r="D74" i="28"/>
  <c r="E74" i="28"/>
  <c r="G74" i="28"/>
  <c r="J74" i="28"/>
  <c r="D75" i="28"/>
  <c r="E75" i="28"/>
  <c r="G75" i="28"/>
  <c r="J75" i="28"/>
  <c r="D76" i="28"/>
  <c r="E76" i="28"/>
  <c r="G76" i="28"/>
  <c r="J76" i="28"/>
  <c r="D77" i="28"/>
  <c r="E77" i="28"/>
  <c r="G77" i="28"/>
  <c r="J77" i="28"/>
  <c r="D78" i="28"/>
  <c r="E78" i="28"/>
  <c r="G78" i="28"/>
  <c r="J78" i="28"/>
  <c r="D79" i="28"/>
  <c r="E79" i="28"/>
  <c r="G79" i="28"/>
  <c r="J79" i="28"/>
  <c r="D80" i="28"/>
  <c r="E80" i="28"/>
  <c r="G80" i="28"/>
  <c r="J80" i="28"/>
  <c r="D81" i="28"/>
  <c r="E81" i="28"/>
  <c r="G81" i="28"/>
  <c r="J81" i="28"/>
  <c r="D82" i="28"/>
  <c r="E82" i="28"/>
  <c r="G82" i="28"/>
  <c r="J82" i="28"/>
  <c r="D83" i="28"/>
  <c r="E83" i="28"/>
  <c r="G83" i="28"/>
  <c r="J83" i="28"/>
  <c r="D84" i="28"/>
  <c r="E84" i="28"/>
  <c r="G84" i="28"/>
  <c r="J84" i="28"/>
  <c r="D85" i="28"/>
  <c r="E85" i="28"/>
  <c r="G85" i="28"/>
  <c r="J85" i="28"/>
  <c r="D86" i="28"/>
  <c r="E86" i="28"/>
  <c r="G86" i="28"/>
  <c r="J86" i="28"/>
  <c r="D87" i="28"/>
  <c r="E87" i="28"/>
  <c r="G87" i="28"/>
  <c r="J87" i="28"/>
  <c r="D88" i="28"/>
  <c r="AQ17" i="8"/>
  <c r="E88" i="28"/>
  <c r="G88" i="28"/>
  <c r="J88" i="28"/>
  <c r="D89" i="28"/>
  <c r="E89" i="28"/>
  <c r="G89" i="28"/>
  <c r="J89" i="28"/>
  <c r="D90" i="28"/>
  <c r="B5" i="6"/>
  <c r="C3" i="22" s="1"/>
  <c r="E3" i="27"/>
  <c r="E90" i="28"/>
  <c r="G90" i="28"/>
  <c r="J90" i="28"/>
  <c r="D91" i="28"/>
  <c r="E91" i="28"/>
  <c r="G91" i="28"/>
  <c r="J91" i="28"/>
  <c r="D92" i="28"/>
  <c r="E92" i="28"/>
  <c r="G92" i="28"/>
  <c r="J92" i="28"/>
  <c r="D93" i="28"/>
  <c r="L6" i="8"/>
  <c r="AQ16" i="8" s="1"/>
  <c r="N103" i="6"/>
  <c r="M39" i="39"/>
  <c r="E93" i="28"/>
  <c r="G93" i="28"/>
  <c r="J93" i="28"/>
  <c r="D94" i="28"/>
  <c r="W65" i="18"/>
  <c r="E94" i="28"/>
  <c r="G94" i="28"/>
  <c r="J94" i="28"/>
  <c r="D95" i="28"/>
  <c r="E95" i="28"/>
  <c r="G95" i="28"/>
  <c r="J95" i="28"/>
  <c r="D96" i="28"/>
  <c r="E96" i="28"/>
  <c r="G96" i="28"/>
  <c r="J96" i="28"/>
  <c r="D97" i="28"/>
  <c r="E97" i="28"/>
  <c r="G97" i="28"/>
  <c r="J97" i="28"/>
  <c r="D98" i="28"/>
  <c r="E98" i="28"/>
  <c r="G98" i="28"/>
  <c r="J98" i="28"/>
  <c r="D99" i="28"/>
  <c r="E99" i="28"/>
  <c r="G99" i="28"/>
  <c r="J99" i="28"/>
  <c r="D100" i="28"/>
  <c r="E100" i="28"/>
  <c r="G100" i="28"/>
  <c r="J100" i="28"/>
  <c r="D101" i="28"/>
  <c r="E101" i="28"/>
  <c r="G101" i="28"/>
  <c r="J101" i="28"/>
  <c r="D102" i="28"/>
  <c r="E102" i="28"/>
  <c r="G102" i="28"/>
  <c r="J102" i="28"/>
  <c r="D103" i="28"/>
  <c r="E103" i="28"/>
  <c r="G103" i="28"/>
  <c r="J103" i="28"/>
  <c r="D104" i="28"/>
  <c r="E104" i="28"/>
  <c r="G104" i="28"/>
  <c r="J104" i="28"/>
  <c r="D105" i="28"/>
  <c r="E105" i="28"/>
  <c r="G105" i="28"/>
  <c r="J105" i="28"/>
  <c r="D106" i="28"/>
  <c r="E106" i="28"/>
  <c r="G106" i="28"/>
  <c r="J106" i="28"/>
  <c r="D107" i="28"/>
  <c r="E107" i="28"/>
  <c r="G107" i="28"/>
  <c r="J107" i="28"/>
  <c r="D108" i="28"/>
  <c r="E108" i="28"/>
  <c r="G108" i="28"/>
  <c r="J108" i="28"/>
  <c r="D109" i="28"/>
  <c r="E109" i="28"/>
  <c r="G109" i="28"/>
  <c r="J109" i="28"/>
  <c r="D110" i="28"/>
  <c r="E110" i="28"/>
  <c r="G110" i="28"/>
  <c r="J110" i="28"/>
  <c r="D111" i="28"/>
  <c r="E111" i="28"/>
  <c r="G111" i="28"/>
  <c r="J111" i="28"/>
  <c r="D112" i="28"/>
  <c r="E112" i="28"/>
  <c r="G112" i="28"/>
  <c r="J112" i="28"/>
  <c r="D113" i="28"/>
  <c r="E113" i="28"/>
  <c r="G113" i="28"/>
  <c r="J113" i="28"/>
  <c r="D114" i="28"/>
  <c r="E114" i="28"/>
  <c r="G114" i="28"/>
  <c r="J114" i="28"/>
  <c r="D115" i="28"/>
  <c r="E115" i="28"/>
  <c r="G115" i="28"/>
  <c r="J115" i="28"/>
  <c r="D116" i="28"/>
  <c r="E116" i="28"/>
  <c r="G116" i="28"/>
  <c r="J116" i="28"/>
  <c r="D117" i="28"/>
  <c r="E117" i="28"/>
  <c r="G117" i="28"/>
  <c r="J117" i="28"/>
  <c r="D118" i="28"/>
  <c r="E118" i="28"/>
  <c r="G118" i="28"/>
  <c r="J118" i="28"/>
  <c r="D119" i="28"/>
  <c r="E119" i="28"/>
  <c r="G119" i="28"/>
  <c r="J119" i="28"/>
  <c r="D120" i="28"/>
  <c r="E120" i="28"/>
  <c r="G120" i="28"/>
  <c r="J120" i="28"/>
  <c r="D121" i="28"/>
  <c r="E121" i="28"/>
  <c r="G121" i="28"/>
  <c r="J121" i="28"/>
  <c r="D122" i="28"/>
  <c r="E122" i="28"/>
  <c r="G122" i="28"/>
  <c r="J122" i="28"/>
  <c r="D123" i="28"/>
  <c r="E123" i="28"/>
  <c r="G123" i="28"/>
  <c r="J123" i="28"/>
  <c r="D124" i="28"/>
  <c r="E124" i="28"/>
  <c r="G124" i="28"/>
  <c r="J124" i="28"/>
  <c r="D125" i="28"/>
  <c r="E125" i="28"/>
  <c r="G125" i="28"/>
  <c r="J125" i="28"/>
  <c r="D126" i="28"/>
  <c r="E126" i="28"/>
  <c r="G126" i="28"/>
  <c r="J126" i="28"/>
  <c r="D127" i="28"/>
  <c r="E127" i="28"/>
  <c r="G127" i="28"/>
  <c r="J127" i="28"/>
  <c r="D128" i="28"/>
  <c r="E128" i="28"/>
  <c r="G128" i="28"/>
  <c r="J128" i="28"/>
  <c r="D129" i="28"/>
  <c r="E129" i="28"/>
  <c r="G129" i="28"/>
  <c r="J129" i="28"/>
  <c r="D130" i="28"/>
  <c r="E130" i="28"/>
  <c r="G130" i="28"/>
  <c r="J130" i="28"/>
  <c r="D131" i="28"/>
  <c r="E131" i="28"/>
  <c r="G131" i="28"/>
  <c r="J131" i="28"/>
  <c r="D132" i="28"/>
  <c r="E132" i="28"/>
  <c r="G132" i="28"/>
  <c r="J132" i="28"/>
  <c r="D133" i="28"/>
  <c r="E133" i="28"/>
  <c r="G133" i="28"/>
  <c r="J133" i="28"/>
  <c r="D134" i="28"/>
  <c r="E134" i="28"/>
  <c r="G134" i="28"/>
  <c r="J134" i="28"/>
  <c r="D135" i="28"/>
  <c r="E135" i="28"/>
  <c r="G135" i="28"/>
  <c r="J135" i="28"/>
  <c r="D136" i="28"/>
  <c r="E136" i="28"/>
  <c r="G136" i="28"/>
  <c r="J136" i="28"/>
  <c r="D137" i="28"/>
  <c r="E137" i="28"/>
  <c r="G137" i="28"/>
  <c r="J137" i="28"/>
  <c r="D138" i="28"/>
  <c r="E138" i="28"/>
  <c r="G138" i="28"/>
  <c r="J138" i="28"/>
  <c r="D139" i="28"/>
  <c r="E139" i="28"/>
  <c r="G139" i="28"/>
  <c r="J139" i="28"/>
  <c r="D140" i="28"/>
  <c r="E140" i="28"/>
  <c r="G140" i="28"/>
  <c r="J140" i="28"/>
  <c r="D141" i="28"/>
  <c r="E141" i="28"/>
  <c r="G141" i="28"/>
  <c r="J141" i="28"/>
  <c r="D142" i="28"/>
  <c r="E142" i="28"/>
  <c r="G142" i="28"/>
  <c r="J142" i="28"/>
  <c r="D143" i="28"/>
  <c r="E143" i="28"/>
  <c r="G143" i="28"/>
  <c r="J143" i="28"/>
  <c r="D144" i="28"/>
  <c r="E144" i="28"/>
  <c r="G144" i="28"/>
  <c r="J144" i="28"/>
  <c r="D145" i="28"/>
  <c r="E145" i="28"/>
  <c r="G145" i="28"/>
  <c r="J145" i="28"/>
  <c r="D146" i="28"/>
  <c r="E146" i="28"/>
  <c r="G146" i="28"/>
  <c r="J146" i="28"/>
  <c r="D147" i="28"/>
  <c r="E147" i="28"/>
  <c r="G147" i="28"/>
  <c r="J147" i="28"/>
  <c r="D148" i="28"/>
  <c r="E148" i="28"/>
  <c r="G148" i="28"/>
  <c r="J148" i="28"/>
  <c r="D149" i="28"/>
  <c r="E149" i="28"/>
  <c r="G149" i="28"/>
  <c r="J149" i="28"/>
  <c r="D150" i="28"/>
  <c r="E150" i="28"/>
  <c r="G150" i="28"/>
  <c r="J150" i="28"/>
  <c r="D151" i="28"/>
  <c r="E151" i="28"/>
  <c r="G151" i="28"/>
  <c r="J151" i="28"/>
  <c r="D152" i="28"/>
  <c r="E152" i="28"/>
  <c r="G152" i="28"/>
  <c r="J152" i="28"/>
  <c r="D153" i="28"/>
  <c r="E153" i="28"/>
  <c r="G153" i="28"/>
  <c r="J153" i="28"/>
  <c r="D154" i="28"/>
  <c r="E154" i="28"/>
  <c r="G154" i="28"/>
  <c r="J154" i="28"/>
  <c r="D155" i="28"/>
  <c r="E155" i="28"/>
  <c r="G155" i="28"/>
  <c r="J155" i="28"/>
  <c r="D156" i="28"/>
  <c r="E156" i="28"/>
  <c r="G156" i="28"/>
  <c r="J156" i="28"/>
  <c r="D157" i="28"/>
  <c r="E157" i="28"/>
  <c r="G157" i="28"/>
  <c r="J157" i="28"/>
  <c r="D158" i="28"/>
  <c r="E158" i="28"/>
  <c r="G158" i="28"/>
  <c r="J158" i="28"/>
  <c r="D159" i="28"/>
  <c r="E159" i="28"/>
  <c r="G159" i="28"/>
  <c r="J159" i="28"/>
  <c r="D160" i="28"/>
  <c r="E160" i="28"/>
  <c r="G160" i="28"/>
  <c r="J160" i="28"/>
  <c r="D161" i="28"/>
  <c r="E161" i="28"/>
  <c r="G161" i="28"/>
  <c r="J161" i="28"/>
  <c r="D162" i="28"/>
  <c r="E162" i="28"/>
  <c r="G162" i="28"/>
  <c r="J162" i="28"/>
  <c r="D163" i="28"/>
  <c r="E163" i="28"/>
  <c r="G163" i="28"/>
  <c r="J163" i="28"/>
  <c r="D164" i="28"/>
  <c r="E164" i="28"/>
  <c r="G164" i="28"/>
  <c r="J164" i="28"/>
  <c r="D165" i="28"/>
  <c r="E165" i="28"/>
  <c r="G165" i="28"/>
  <c r="J165" i="28"/>
  <c r="D166" i="28"/>
  <c r="E166" i="28"/>
  <c r="G166" i="28"/>
  <c r="J166" i="28"/>
  <c r="D167" i="28"/>
  <c r="E167" i="28"/>
  <c r="G167" i="28"/>
  <c r="J167" i="28"/>
  <c r="D168" i="28"/>
  <c r="E168" i="28"/>
  <c r="G168" i="28"/>
  <c r="J168" i="28"/>
  <c r="D169" i="28"/>
  <c r="E169" i="28"/>
  <c r="G169" i="28"/>
  <c r="J169" i="28"/>
  <c r="D170" i="28"/>
  <c r="E170" i="28"/>
  <c r="G170" i="28"/>
  <c r="J170" i="28"/>
  <c r="D171" i="28"/>
  <c r="E171" i="28"/>
  <c r="G171" i="28"/>
  <c r="J171" i="28"/>
  <c r="D172" i="28"/>
  <c r="E172" i="28"/>
  <c r="G172" i="28"/>
  <c r="J172" i="28"/>
  <c r="D173" i="28"/>
  <c r="E173" i="28"/>
  <c r="G173" i="28"/>
  <c r="J173" i="28"/>
  <c r="D174" i="28"/>
  <c r="E174" i="28"/>
  <c r="G174" i="28"/>
  <c r="J174" i="28"/>
  <c r="D175" i="28"/>
  <c r="E175" i="28"/>
  <c r="G175" i="28"/>
  <c r="J175" i="28"/>
  <c r="D176" i="28"/>
  <c r="E176" i="28"/>
  <c r="G176" i="28"/>
  <c r="J176" i="28"/>
  <c r="D177" i="28"/>
  <c r="E177" i="28"/>
  <c r="G177" i="28"/>
  <c r="J177" i="28"/>
  <c r="D178" i="28"/>
  <c r="E178" i="28"/>
  <c r="G178" i="28"/>
  <c r="J178" i="28"/>
  <c r="D179" i="28"/>
  <c r="E179" i="28"/>
  <c r="G179" i="28"/>
  <c r="J179" i="28"/>
  <c r="D180" i="28"/>
  <c r="E180" i="28"/>
  <c r="G180" i="28"/>
  <c r="J180" i="28"/>
  <c r="D181" i="28"/>
  <c r="E181" i="28"/>
  <c r="G181" i="28"/>
  <c r="J181" i="28"/>
  <c r="D182" i="28"/>
  <c r="E182" i="28"/>
  <c r="G182" i="28"/>
  <c r="J182" i="28"/>
  <c r="D183" i="28"/>
  <c r="E183" i="28"/>
  <c r="G183" i="28"/>
  <c r="J183" i="28"/>
  <c r="D184" i="28"/>
  <c r="E184" i="28"/>
  <c r="G184" i="28"/>
  <c r="J184" i="28"/>
  <c r="D185" i="28"/>
  <c r="E185" i="28"/>
  <c r="G185" i="28"/>
  <c r="J185" i="28"/>
  <c r="D186" i="28"/>
  <c r="E186" i="28"/>
  <c r="G186" i="28"/>
  <c r="J186" i="28"/>
  <c r="D187" i="28"/>
  <c r="E187" i="28"/>
  <c r="G187" i="28"/>
  <c r="J187" i="28"/>
  <c r="D188" i="28"/>
  <c r="E188" i="28"/>
  <c r="G188" i="28"/>
  <c r="J188" i="28"/>
  <c r="D189" i="28"/>
  <c r="E189" i="28"/>
  <c r="G189" i="28"/>
  <c r="J189" i="28"/>
  <c r="D190" i="28"/>
  <c r="E190" i="28"/>
  <c r="G190" i="28"/>
  <c r="J190" i="28"/>
  <c r="D191" i="28"/>
  <c r="E191" i="28"/>
  <c r="G191" i="28"/>
  <c r="J191" i="28"/>
  <c r="D192" i="28"/>
  <c r="E192" i="28"/>
  <c r="G192" i="28"/>
  <c r="J192" i="28"/>
  <c r="D193" i="28"/>
  <c r="E193" i="28"/>
  <c r="G193" i="28"/>
  <c r="J193" i="28"/>
  <c r="D194" i="28"/>
  <c r="E194" i="28"/>
  <c r="G194" i="28"/>
  <c r="J194" i="28"/>
  <c r="D195" i="28"/>
  <c r="E195" i="28"/>
  <c r="G195" i="28"/>
  <c r="J195" i="28"/>
  <c r="D196" i="28"/>
  <c r="E196" i="28"/>
  <c r="G196" i="28"/>
  <c r="J196" i="28"/>
  <c r="D197" i="28"/>
  <c r="E197" i="28"/>
  <c r="G197" i="28"/>
  <c r="J197" i="28"/>
  <c r="D198" i="28"/>
  <c r="E198" i="28"/>
  <c r="G198" i="28"/>
  <c r="J198" i="28"/>
  <c r="D199" i="28"/>
  <c r="E199" i="28"/>
  <c r="G199" i="28"/>
  <c r="J199" i="28"/>
  <c r="D200" i="28"/>
  <c r="E200" i="28"/>
  <c r="G200" i="28"/>
  <c r="J200" i="28"/>
  <c r="D201" i="28"/>
  <c r="E201" i="28"/>
  <c r="G201" i="28"/>
  <c r="J201" i="28"/>
  <c r="D202" i="28"/>
  <c r="E202" i="28"/>
  <c r="G202" i="28"/>
  <c r="J202" i="28"/>
  <c r="D203" i="28"/>
  <c r="E203" i="28"/>
  <c r="G203" i="28"/>
  <c r="J203" i="28"/>
  <c r="D204" i="28"/>
  <c r="E204" i="28"/>
  <c r="G204" i="28"/>
  <c r="J204" i="28"/>
  <c r="D205" i="28"/>
  <c r="E205" i="28"/>
  <c r="G205" i="28"/>
  <c r="J205" i="28"/>
  <c r="D206" i="28"/>
  <c r="E206" i="28"/>
  <c r="G206" i="28"/>
  <c r="J206" i="28"/>
  <c r="D207" i="28"/>
  <c r="E207" i="28"/>
  <c r="G207" i="28"/>
  <c r="J207" i="28"/>
  <c r="D208" i="28"/>
  <c r="E208" i="28"/>
  <c r="G208" i="28"/>
  <c r="J208" i="28"/>
  <c r="D209" i="28"/>
  <c r="E209" i="28"/>
  <c r="G209" i="28"/>
  <c r="J209" i="28"/>
  <c r="D210" i="28"/>
  <c r="E210" i="28"/>
  <c r="G210" i="28"/>
  <c r="J210" i="28"/>
  <c r="D211" i="28"/>
  <c r="E211" i="28"/>
  <c r="G211" i="28"/>
  <c r="J211" i="28"/>
  <c r="D212" i="28"/>
  <c r="E212" i="28"/>
  <c r="G212" i="28"/>
  <c r="J212" i="28"/>
  <c r="D213" i="28"/>
  <c r="E213" i="28"/>
  <c r="G213" i="28"/>
  <c r="J213" i="28"/>
  <c r="D214" i="28"/>
  <c r="E214" i="28"/>
  <c r="G214" i="28"/>
  <c r="J214" i="28"/>
  <c r="D215" i="28"/>
  <c r="E215" i="28"/>
  <c r="G215" i="28"/>
  <c r="J215" i="28"/>
  <c r="D216" i="28"/>
  <c r="E216" i="28"/>
  <c r="G216" i="28"/>
  <c r="J216" i="28"/>
  <c r="D217" i="28"/>
  <c r="E217" i="28"/>
  <c r="G217" i="28"/>
  <c r="J217" i="28"/>
  <c r="D218" i="28"/>
  <c r="E218" i="28"/>
  <c r="G218" i="28"/>
  <c r="J218" i="28"/>
  <c r="D219" i="28"/>
  <c r="E219" i="28"/>
  <c r="G219" i="28"/>
  <c r="J219" i="28"/>
  <c r="D220" i="28"/>
  <c r="E220" i="28"/>
  <c r="G220" i="28"/>
  <c r="J220" i="28"/>
  <c r="D221" i="28"/>
  <c r="E221" i="28"/>
  <c r="G221" i="28"/>
  <c r="J221" i="28"/>
  <c r="D222" i="28"/>
  <c r="E222" i="28"/>
  <c r="G222" i="28"/>
  <c r="J222" i="28"/>
  <c r="D223" i="28"/>
  <c r="E223" i="28"/>
  <c r="G223" i="28"/>
  <c r="J223" i="28"/>
  <c r="D224" i="28"/>
  <c r="E224" i="28"/>
  <c r="G224" i="28"/>
  <c r="J224" i="28"/>
  <c r="D225" i="28"/>
  <c r="E225" i="28"/>
  <c r="G225" i="28"/>
  <c r="J225" i="28"/>
  <c r="D226" i="28"/>
  <c r="E226" i="28"/>
  <c r="G226" i="28"/>
  <c r="J226" i="28"/>
  <c r="D227" i="28"/>
  <c r="E227" i="28"/>
  <c r="G227" i="28"/>
  <c r="J227" i="28"/>
  <c r="D228" i="28"/>
  <c r="E228" i="28"/>
  <c r="G228" i="28"/>
  <c r="J228" i="28"/>
  <c r="D229" i="28"/>
  <c r="E229" i="28"/>
  <c r="G229" i="28"/>
  <c r="J229" i="28"/>
  <c r="D230" i="28"/>
  <c r="E230" i="28"/>
  <c r="G230" i="28"/>
  <c r="J230" i="28"/>
  <c r="D231" i="28"/>
  <c r="E231" i="28"/>
  <c r="G231" i="28"/>
  <c r="J231" i="28"/>
  <c r="D232" i="28"/>
  <c r="E232" i="28"/>
  <c r="G232" i="28"/>
  <c r="J232" i="28"/>
  <c r="D233" i="28"/>
  <c r="E233" i="28"/>
  <c r="G233" i="28"/>
  <c r="J233" i="28"/>
  <c r="D234" i="28"/>
  <c r="E234" i="28"/>
  <c r="G234" i="28"/>
  <c r="J234" i="28"/>
  <c r="D235" i="28"/>
  <c r="E235" i="28"/>
  <c r="G235" i="28"/>
  <c r="J235" i="28"/>
  <c r="D236" i="28"/>
  <c r="E236" i="28"/>
  <c r="G236" i="28"/>
  <c r="J236" i="28"/>
  <c r="D237" i="28"/>
  <c r="E237" i="28"/>
  <c r="G237" i="28"/>
  <c r="J237" i="28"/>
  <c r="D238" i="28"/>
  <c r="E238" i="28"/>
  <c r="G238" i="28"/>
  <c r="J238" i="28"/>
  <c r="D239" i="28"/>
  <c r="E239" i="28"/>
  <c r="G239" i="28"/>
  <c r="J239" i="28"/>
  <c r="D240" i="28"/>
  <c r="E240" i="28"/>
  <c r="G240" i="28"/>
  <c r="J240" i="28"/>
  <c r="D241" i="28"/>
  <c r="E241" i="28"/>
  <c r="G241" i="28"/>
  <c r="J241" i="28"/>
  <c r="D242" i="28"/>
  <c r="E242" i="28"/>
  <c r="G242" i="28"/>
  <c r="J242" i="28"/>
  <c r="D243" i="28"/>
  <c r="E243" i="28"/>
  <c r="G243" i="28"/>
  <c r="J243" i="28"/>
  <c r="D244" i="28"/>
  <c r="E244" i="28"/>
  <c r="G244" i="28"/>
  <c r="J244" i="28"/>
  <c r="D245" i="28"/>
  <c r="E245" i="28"/>
  <c r="G245" i="28"/>
  <c r="J245" i="28"/>
  <c r="D246" i="28"/>
  <c r="E246" i="28"/>
  <c r="G246" i="28"/>
  <c r="J246" i="28"/>
  <c r="D247" i="28"/>
  <c r="E247" i="28"/>
  <c r="G247" i="28"/>
  <c r="J247" i="28"/>
  <c r="D248" i="28"/>
  <c r="E248" i="28"/>
  <c r="G248" i="28"/>
  <c r="J248" i="28"/>
  <c r="D249" i="28"/>
  <c r="E249" i="28"/>
  <c r="G249" i="28"/>
  <c r="J249" i="28"/>
  <c r="D250" i="28"/>
  <c r="E250" i="28"/>
  <c r="G250" i="28"/>
  <c r="J250" i="28"/>
  <c r="D251" i="28"/>
  <c r="E251" i="28"/>
  <c r="G251" i="28"/>
  <c r="J251" i="28"/>
  <c r="D252" i="28"/>
  <c r="E252" i="28"/>
  <c r="G252" i="28"/>
  <c r="J252" i="28"/>
  <c r="D253" i="28"/>
  <c r="E253" i="28"/>
  <c r="G253" i="28"/>
  <c r="J253" i="28"/>
  <c r="D254" i="28"/>
  <c r="E254" i="28"/>
  <c r="G254" i="28"/>
  <c r="J254" i="28"/>
  <c r="D255" i="28"/>
  <c r="E255" i="28"/>
  <c r="G255" i="28"/>
  <c r="J255" i="28"/>
  <c r="D256" i="28"/>
  <c r="E256" i="28"/>
  <c r="G256" i="28"/>
  <c r="J256" i="28"/>
  <c r="D257" i="28"/>
  <c r="E257" i="28"/>
  <c r="G257" i="28"/>
  <c r="J257" i="28"/>
  <c r="D258" i="28"/>
  <c r="E258" i="28"/>
  <c r="G258" i="28"/>
  <c r="J258" i="28"/>
  <c r="D259" i="28"/>
  <c r="E259" i="28"/>
  <c r="G259" i="28"/>
  <c r="J259" i="28"/>
  <c r="D260" i="28"/>
  <c r="E260" i="28"/>
  <c r="G260" i="28"/>
  <c r="J260" i="28"/>
  <c r="D261" i="28"/>
  <c r="E261" i="28"/>
  <c r="G261" i="28"/>
  <c r="J261" i="28"/>
  <c r="D262" i="28"/>
  <c r="E262" i="28"/>
  <c r="G262" i="28"/>
  <c r="J262" i="28"/>
  <c r="D263" i="28"/>
  <c r="E263" i="28"/>
  <c r="G263" i="28"/>
  <c r="J263" i="28"/>
  <c r="D264" i="28"/>
  <c r="E264" i="28"/>
  <c r="G264" i="28"/>
  <c r="J264" i="28"/>
  <c r="D265" i="28"/>
  <c r="E265" i="28"/>
  <c r="G265" i="28"/>
  <c r="J265" i="28"/>
  <c r="D266" i="28"/>
  <c r="E266" i="28"/>
  <c r="G266" i="28"/>
  <c r="J266" i="28"/>
  <c r="D267" i="28"/>
  <c r="E267" i="28"/>
  <c r="G267" i="28"/>
  <c r="J267" i="28"/>
  <c r="D268" i="28"/>
  <c r="E268" i="28"/>
  <c r="G268" i="28"/>
  <c r="J268" i="28"/>
  <c r="D269" i="28"/>
  <c r="E269" i="28"/>
  <c r="G269" i="28"/>
  <c r="J269" i="28"/>
  <c r="D270" i="28"/>
  <c r="E270" i="28"/>
  <c r="G270" i="28"/>
  <c r="J270" i="28"/>
  <c r="D271" i="28"/>
  <c r="E271" i="28"/>
  <c r="G271" i="28"/>
  <c r="J271" i="28"/>
  <c r="D272" i="28"/>
  <c r="E272" i="28"/>
  <c r="G272" i="28"/>
  <c r="J272" i="28"/>
  <c r="D273" i="28"/>
  <c r="E273" i="28"/>
  <c r="G273" i="28"/>
  <c r="J273" i="28"/>
  <c r="D274" i="28"/>
  <c r="E274" i="28"/>
  <c r="G274" i="28"/>
  <c r="J274" i="28"/>
  <c r="D275" i="28"/>
  <c r="E275" i="28"/>
  <c r="G275" i="28"/>
  <c r="J275" i="28"/>
  <c r="D276" i="28"/>
  <c r="E276" i="28"/>
  <c r="G276" i="28"/>
  <c r="J276" i="28"/>
  <c r="D277" i="28"/>
  <c r="E277" i="28"/>
  <c r="G277" i="28"/>
  <c r="J277" i="28"/>
  <c r="D278" i="28"/>
  <c r="E278" i="28"/>
  <c r="G278" i="28"/>
  <c r="J278" i="28"/>
  <c r="D279" i="28"/>
  <c r="E279" i="28"/>
  <c r="G279" i="28"/>
  <c r="J279" i="28"/>
  <c r="D280" i="28"/>
  <c r="E280" i="28"/>
  <c r="G280" i="28"/>
  <c r="J280" i="28"/>
  <c r="D281" i="28"/>
  <c r="E281" i="28"/>
  <c r="G281" i="28"/>
  <c r="J281" i="28"/>
  <c r="D282" i="28"/>
  <c r="E282" i="28"/>
  <c r="G282" i="28"/>
  <c r="J282" i="28"/>
  <c r="D283" i="28"/>
  <c r="E283" i="28"/>
  <c r="G283" i="28"/>
  <c r="J283" i="28"/>
  <c r="D284" i="28"/>
  <c r="E284" i="28"/>
  <c r="G284" i="28"/>
  <c r="J284" i="28"/>
  <c r="D285" i="28"/>
  <c r="E285" i="28"/>
  <c r="G285" i="28"/>
  <c r="J285" i="28"/>
  <c r="D286" i="28"/>
  <c r="E286" i="28"/>
  <c r="G286" i="28"/>
  <c r="J286" i="28"/>
  <c r="D287" i="28"/>
  <c r="E287" i="28"/>
  <c r="G287" i="28"/>
  <c r="J287" i="28"/>
  <c r="D288" i="28"/>
  <c r="E288" i="28"/>
  <c r="G288" i="28"/>
  <c r="J288" i="28"/>
  <c r="D289" i="28"/>
  <c r="E289" i="28"/>
  <c r="G289" i="28"/>
  <c r="J289" i="28"/>
  <c r="D290" i="28"/>
  <c r="E290" i="28"/>
  <c r="G290" i="28"/>
  <c r="J290" i="28"/>
  <c r="D291" i="28"/>
  <c r="E291" i="28"/>
  <c r="G291" i="28"/>
  <c r="J291" i="28"/>
  <c r="D292" i="28"/>
  <c r="E292" i="28"/>
  <c r="G292" i="28"/>
  <c r="J292" i="28"/>
  <c r="D293" i="28"/>
  <c r="E293" i="28"/>
  <c r="G293" i="28"/>
  <c r="J293" i="28"/>
  <c r="D294" i="28"/>
  <c r="E294" i="28"/>
  <c r="G294" i="28"/>
  <c r="J294" i="28"/>
  <c r="D295" i="28"/>
  <c r="E295" i="28"/>
  <c r="G295" i="28"/>
  <c r="J295" i="28"/>
  <c r="D296" i="28"/>
  <c r="E296" i="28"/>
  <c r="G296" i="28"/>
  <c r="J296" i="28"/>
  <c r="D297" i="28"/>
  <c r="E297" i="28"/>
  <c r="G297" i="28"/>
  <c r="J297" i="28"/>
  <c r="D298" i="28"/>
  <c r="E298" i="28"/>
  <c r="G298" i="28"/>
  <c r="J298" i="28"/>
  <c r="D299" i="28"/>
  <c r="E299" i="28"/>
  <c r="G299" i="28"/>
  <c r="J299" i="28"/>
  <c r="D300" i="28"/>
  <c r="E300" i="28"/>
  <c r="G300" i="28"/>
  <c r="J300" i="28"/>
  <c r="D301" i="28"/>
  <c r="E301" i="28"/>
  <c r="G301" i="28"/>
  <c r="J301" i="28"/>
  <c r="D302" i="28"/>
  <c r="E302" i="28"/>
  <c r="G302" i="28"/>
  <c r="J302" i="28"/>
  <c r="D303" i="28"/>
  <c r="E303" i="28"/>
  <c r="G303" i="28"/>
  <c r="J303" i="28"/>
  <c r="D304" i="28"/>
  <c r="E304" i="28"/>
  <c r="G304" i="28"/>
  <c r="J304" i="28"/>
  <c r="D305" i="28"/>
  <c r="E305" i="28"/>
  <c r="G305" i="28"/>
  <c r="J305" i="28"/>
  <c r="D306" i="28"/>
  <c r="E306" i="28"/>
  <c r="G306" i="28"/>
  <c r="J306" i="28"/>
  <c r="D307" i="28"/>
  <c r="E307" i="28"/>
  <c r="G307" i="28"/>
  <c r="J307" i="28"/>
  <c r="D308" i="28"/>
  <c r="E308" i="28"/>
  <c r="G308" i="28"/>
  <c r="J308" i="28"/>
  <c r="D309" i="28"/>
  <c r="E309" i="28"/>
  <c r="G309" i="28"/>
  <c r="J309" i="28"/>
  <c r="D310" i="28"/>
  <c r="E310" i="28"/>
  <c r="G310" i="28"/>
  <c r="J310" i="28"/>
  <c r="D311" i="28"/>
  <c r="E311" i="28"/>
  <c r="G311" i="28"/>
  <c r="J311" i="28"/>
  <c r="D312" i="28"/>
  <c r="E312" i="28"/>
  <c r="G312" i="28"/>
  <c r="J312" i="28"/>
  <c r="D313" i="28"/>
  <c r="E313" i="28"/>
  <c r="G313" i="28"/>
  <c r="J313" i="28"/>
  <c r="D314" i="28"/>
  <c r="E314" i="28"/>
  <c r="G314" i="28"/>
  <c r="J314" i="28"/>
  <c r="D315" i="28"/>
  <c r="E315" i="28"/>
  <c r="G315" i="28"/>
  <c r="J315" i="28"/>
  <c r="D316" i="28"/>
  <c r="E316" i="28"/>
  <c r="G316" i="28"/>
  <c r="J316" i="28"/>
  <c r="D317" i="28"/>
  <c r="E317" i="28"/>
  <c r="G317" i="28"/>
  <c r="J317" i="28"/>
  <c r="D318" i="28"/>
  <c r="E318" i="28"/>
  <c r="G318" i="28"/>
  <c r="J318" i="28"/>
  <c r="D319" i="28"/>
  <c r="E319" i="28"/>
  <c r="G319" i="28"/>
  <c r="J319" i="28"/>
  <c r="D320" i="28"/>
  <c r="E320" i="28"/>
  <c r="G320" i="28"/>
  <c r="J320" i="28"/>
  <c r="D321" i="28"/>
  <c r="E321" i="28"/>
  <c r="G321" i="28"/>
  <c r="J321" i="28"/>
  <c r="D322" i="28"/>
  <c r="E322" i="28"/>
  <c r="G322" i="28"/>
  <c r="J322" i="28"/>
  <c r="D323" i="28"/>
  <c r="E323" i="28"/>
  <c r="G323" i="28"/>
  <c r="J323" i="28"/>
  <c r="D324" i="28"/>
  <c r="E324" i="28"/>
  <c r="G324" i="28"/>
  <c r="J324" i="28"/>
  <c r="D325" i="28"/>
  <c r="E325" i="28"/>
  <c r="G325" i="28"/>
  <c r="J325" i="28"/>
  <c r="D326" i="28"/>
  <c r="E326" i="28"/>
  <c r="G326" i="28"/>
  <c r="J326" i="28"/>
  <c r="D327" i="28"/>
  <c r="E327" i="28"/>
  <c r="G327" i="28"/>
  <c r="J327" i="28"/>
  <c r="D328" i="28"/>
  <c r="E328" i="28"/>
  <c r="G328" i="28"/>
  <c r="J328" i="28"/>
  <c r="D329" i="28"/>
  <c r="E329" i="28"/>
  <c r="G329" i="28"/>
  <c r="J329" i="28"/>
  <c r="D330" i="28"/>
  <c r="E330" i="28"/>
  <c r="G330" i="28"/>
  <c r="J330" i="28"/>
  <c r="D331" i="28"/>
  <c r="E331" i="28"/>
  <c r="G331" i="28"/>
  <c r="J331" i="28"/>
  <c r="D332" i="28"/>
  <c r="E332" i="28"/>
  <c r="G332" i="28"/>
  <c r="J332" i="28"/>
  <c r="D333" i="28"/>
  <c r="E333" i="28"/>
  <c r="G333" i="28"/>
  <c r="J333" i="28"/>
  <c r="D334" i="28"/>
  <c r="E334" i="28"/>
  <c r="G334" i="28"/>
  <c r="J334" i="28"/>
  <c r="D335" i="28"/>
  <c r="E335" i="28"/>
  <c r="G335" i="28"/>
  <c r="J335" i="28"/>
  <c r="D336" i="28"/>
  <c r="E336" i="28"/>
  <c r="G336" i="28"/>
  <c r="J336" i="28"/>
  <c r="D337" i="28"/>
  <c r="E337" i="28"/>
  <c r="G337" i="28"/>
  <c r="J337" i="28"/>
  <c r="D338" i="28"/>
  <c r="E338" i="28"/>
  <c r="G338" i="28"/>
  <c r="J338" i="28"/>
  <c r="D339" i="28"/>
  <c r="E339" i="28"/>
  <c r="G339" i="28"/>
  <c r="J339" i="28"/>
  <c r="D340" i="28"/>
  <c r="E340" i="28"/>
  <c r="G340" i="28"/>
  <c r="J340" i="28"/>
  <c r="D341" i="28"/>
  <c r="E341" i="28"/>
  <c r="G341" i="28"/>
  <c r="J341" i="28"/>
  <c r="D342" i="28"/>
  <c r="E342" i="28"/>
  <c r="G342" i="28"/>
  <c r="J342" i="28"/>
  <c r="D343" i="28"/>
  <c r="E343" i="28"/>
  <c r="G343" i="28"/>
  <c r="J343" i="28"/>
  <c r="D344" i="28"/>
  <c r="E344" i="28"/>
  <c r="G344" i="28"/>
  <c r="J344" i="28"/>
  <c r="D345" i="28"/>
  <c r="E345" i="28"/>
  <c r="G345" i="28"/>
  <c r="J345" i="28"/>
  <c r="D346" i="28"/>
  <c r="E346" i="28"/>
  <c r="G346" i="28"/>
  <c r="J346" i="28"/>
  <c r="D347" i="28"/>
  <c r="E347" i="28"/>
  <c r="G347" i="28"/>
  <c r="J347" i="28"/>
  <c r="D348" i="28"/>
  <c r="E348" i="28"/>
  <c r="G348" i="28"/>
  <c r="J348" i="28"/>
  <c r="D349" i="28"/>
  <c r="E349" i="28"/>
  <c r="G349" i="28"/>
  <c r="J349" i="28"/>
  <c r="D350" i="28"/>
  <c r="E350" i="28"/>
  <c r="G350" i="28"/>
  <c r="J350" i="28"/>
  <c r="D351" i="28"/>
  <c r="E351" i="28"/>
  <c r="G351" i="28"/>
  <c r="J351" i="28"/>
  <c r="D352" i="28"/>
  <c r="E352" i="28"/>
  <c r="G352" i="28"/>
  <c r="J352" i="28"/>
  <c r="D353" i="28"/>
  <c r="E353" i="28"/>
  <c r="G353" i="28"/>
  <c r="J353" i="28"/>
  <c r="D354" i="28"/>
  <c r="E354" i="28"/>
  <c r="G354" i="28"/>
  <c r="J354" i="28"/>
  <c r="D355" i="28"/>
  <c r="E355" i="28"/>
  <c r="G355" i="28"/>
  <c r="J355" i="28"/>
  <c r="D356" i="28"/>
  <c r="E356" i="28"/>
  <c r="G356" i="28"/>
  <c r="J356" i="28"/>
  <c r="D357" i="28"/>
  <c r="E357" i="28"/>
  <c r="G357" i="28"/>
  <c r="J357" i="28"/>
  <c r="D358" i="28"/>
  <c r="E358" i="28"/>
  <c r="G358" i="28"/>
  <c r="J358" i="28"/>
  <c r="D359" i="28"/>
  <c r="E359" i="28"/>
  <c r="G359" i="28"/>
  <c r="J359" i="28"/>
  <c r="D360" i="28"/>
  <c r="E360" i="28"/>
  <c r="G360" i="28"/>
  <c r="J360" i="28"/>
  <c r="D361" i="28"/>
  <c r="E361" i="28"/>
  <c r="G361" i="28"/>
  <c r="J361" i="28"/>
  <c r="D362" i="28"/>
  <c r="E362" i="28"/>
  <c r="G362" i="28"/>
  <c r="J362" i="28"/>
  <c r="D363" i="28"/>
  <c r="E363" i="28"/>
  <c r="G363" i="28"/>
  <c r="J363" i="28"/>
  <c r="D364" i="28"/>
  <c r="E364" i="28"/>
  <c r="G364" i="28"/>
  <c r="J364" i="28"/>
  <c r="D365" i="28"/>
  <c r="E365" i="28"/>
  <c r="G365" i="28"/>
  <c r="J365" i="28"/>
  <c r="D366" i="28"/>
  <c r="E366" i="28"/>
  <c r="G366" i="28"/>
  <c r="J366" i="28"/>
  <c r="D367" i="28"/>
  <c r="E367" i="28"/>
  <c r="G367" i="28"/>
  <c r="J367" i="28"/>
  <c r="D368" i="28"/>
  <c r="E368" i="28"/>
  <c r="G368" i="28"/>
  <c r="J368" i="28"/>
  <c r="D369" i="28"/>
  <c r="E369" i="28"/>
  <c r="G369" i="28"/>
  <c r="J369" i="28"/>
  <c r="D370" i="28"/>
  <c r="E370" i="28"/>
  <c r="G370" i="28"/>
  <c r="J370" i="28"/>
  <c r="D371" i="28"/>
  <c r="E371" i="28"/>
  <c r="G371" i="28"/>
  <c r="J371" i="28"/>
  <c r="D372" i="28"/>
  <c r="E372" i="28"/>
  <c r="G372" i="28"/>
  <c r="J372" i="28"/>
  <c r="D373" i="28"/>
  <c r="E373" i="28"/>
  <c r="G373" i="28"/>
  <c r="J373" i="28"/>
  <c r="K36" i="23"/>
  <c r="K29" i="23"/>
  <c r="K37" i="23"/>
  <c r="K30" i="23"/>
  <c r="K38" i="23"/>
  <c r="K31" i="23"/>
  <c r="K39" i="23"/>
  <c r="K32" i="23"/>
  <c r="K40" i="23"/>
  <c r="K33" i="23"/>
  <c r="K34" i="23"/>
  <c r="K35" i="23"/>
  <c r="E6" i="23"/>
  <c r="K24" i="23"/>
  <c r="K25" i="23"/>
  <c r="K17" i="23"/>
  <c r="K18" i="23"/>
  <c r="K26" i="23"/>
  <c r="K19" i="23"/>
  <c r="K27" i="23"/>
  <c r="K20" i="23"/>
  <c r="K28" i="23"/>
  <c r="K21" i="23"/>
  <c r="K22" i="23"/>
  <c r="K23" i="23"/>
  <c r="BK126" i="20"/>
  <c r="BL126" i="20"/>
  <c r="BH126" i="20"/>
  <c r="AZ126" i="20"/>
  <c r="AR126" i="20"/>
  <c r="AJ126" i="20"/>
  <c r="BG126" i="20"/>
  <c r="AY126" i="20"/>
  <c r="AQ126" i="20"/>
  <c r="AI126" i="20"/>
  <c r="BF126" i="20"/>
  <c r="AP126" i="20"/>
  <c r="BE126" i="20"/>
  <c r="AW126" i="20"/>
  <c r="AO126" i="20"/>
  <c r="AG126" i="20"/>
  <c r="BD126" i="20"/>
  <c r="AV126" i="20"/>
  <c r="AN126" i="20"/>
  <c r="AF126" i="20"/>
  <c r="AU126" i="20"/>
  <c r="AM126" i="20"/>
  <c r="AL126" i="20"/>
  <c r="BA126" i="20"/>
  <c r="AK126" i="20"/>
  <c r="H126" i="20"/>
  <c r="F126" i="20"/>
  <c r="Q126" i="20"/>
  <c r="T126" i="20"/>
  <c r="E126" i="20"/>
  <c r="AA126" i="20"/>
  <c r="K126" i="20"/>
  <c r="R126" i="20"/>
  <c r="M126" i="20"/>
  <c r="V126" i="20"/>
  <c r="P126" i="20"/>
  <c r="G126" i="20"/>
  <c r="N126" i="20"/>
  <c r="X126" i="20"/>
  <c r="O126" i="20"/>
  <c r="I126" i="20"/>
  <c r="Y126" i="20"/>
  <c r="W126" i="20"/>
  <c r="AB126" i="20"/>
  <c r="L126" i="20"/>
  <c r="U126" i="20"/>
  <c r="S126" i="20"/>
  <c r="Z126" i="20"/>
  <c r="J126" i="20"/>
  <c r="L7" i="19"/>
  <c r="L9" i="19"/>
  <c r="K9" i="19" s="1"/>
  <c r="L12" i="19"/>
  <c r="L13" i="19"/>
  <c r="E5" i="25" s="1"/>
  <c r="L14" i="19"/>
  <c r="L20" i="19"/>
  <c r="L21" i="19"/>
  <c r="BL104" i="20"/>
  <c r="AM104" i="20"/>
  <c r="AN104" i="20"/>
  <c r="AO104" i="20"/>
  <c r="L22" i="19" a="1"/>
  <c r="L22" i="19" s="1"/>
  <c r="L19" i="19"/>
  <c r="L18" i="19"/>
  <c r="M8" i="11"/>
  <c r="H16" i="19"/>
  <c r="AQ35" i="6"/>
  <c r="AK40" i="20"/>
  <c r="AI40" i="20"/>
  <c r="F30" i="20"/>
  <c r="DR30" i="20"/>
  <c r="Z30" i="20"/>
  <c r="BZ30" i="20"/>
  <c r="AT30" i="20"/>
  <c r="U30" i="20"/>
  <c r="Q30" i="20"/>
  <c r="AY30" i="20"/>
  <c r="S30" i="20"/>
  <c r="BI30" i="20"/>
  <c r="CP30" i="20"/>
  <c r="CE40" i="20"/>
  <c r="O35" i="20"/>
  <c r="BT40" i="20"/>
  <c r="K40" i="20"/>
  <c r="AV40" i="20"/>
  <c r="BQ40" i="20"/>
  <c r="O40" i="20"/>
  <c r="DM33" i="20"/>
  <c r="DO33" i="20"/>
  <c r="BO33" i="20"/>
  <c r="AM33" i="20"/>
  <c r="CI33" i="20"/>
  <c r="DL33" i="20"/>
  <c r="R33" i="20"/>
  <c r="F33" i="20"/>
  <c r="J33" i="20"/>
  <c r="BB33" i="20"/>
  <c r="Y33" i="20"/>
  <c r="CM33" i="20"/>
  <c r="BX33" i="20"/>
  <c r="DT33" i="20"/>
  <c r="AI33" i="20"/>
  <c r="BA33" i="20"/>
  <c r="X33" i="20"/>
  <c r="BK33" i="20"/>
  <c r="AZ33" i="20"/>
  <c r="DQ33" i="20"/>
  <c r="BR33" i="20"/>
  <c r="AP33" i="20"/>
  <c r="BJ33" i="20"/>
  <c r="AG33" i="20"/>
  <c r="BY33" i="20"/>
  <c r="BC33" i="20"/>
  <c r="CV33" i="20"/>
  <c r="BF33" i="20"/>
  <c r="AB33" i="20"/>
  <c r="K33" i="20"/>
  <c r="BV33" i="20"/>
  <c r="CZ33" i="20"/>
  <c r="L33" i="20"/>
  <c r="BZ33" i="20"/>
  <c r="BD33" i="20"/>
  <c r="DK33" i="20"/>
  <c r="DJ33" i="20"/>
  <c r="DC33" i="20"/>
  <c r="CY33" i="20"/>
  <c r="DI33" i="20"/>
  <c r="DG33" i="20"/>
  <c r="AJ33" i="20"/>
  <c r="CX33" i="20"/>
  <c r="CQ33" i="20"/>
  <c r="BT33" i="20"/>
  <c r="DH33" i="20"/>
  <c r="CA33" i="20"/>
  <c r="AH33" i="20"/>
  <c r="CW33" i="20"/>
  <c r="CN33" i="20"/>
  <c r="AY33" i="20"/>
  <c r="V33" i="20"/>
  <c r="AQ33" i="20"/>
  <c r="N33" i="20"/>
  <c r="U33" i="20"/>
  <c r="G33" i="20"/>
  <c r="BS33" i="20"/>
  <c r="AL33" i="20"/>
  <c r="I33" i="20"/>
  <c r="DR33" i="20"/>
  <c r="T33" i="20"/>
  <c r="CH33" i="20"/>
  <c r="BP33" i="20"/>
  <c r="DS33" i="20"/>
  <c r="H33" i="20"/>
  <c r="AK33" i="20"/>
  <c r="CL33" i="20"/>
  <c r="AC33" i="20"/>
  <c r="AN33" i="20"/>
  <c r="AV33" i="20"/>
  <c r="DF33" i="20"/>
  <c r="DB33" i="20"/>
  <c r="BI33" i="20"/>
  <c r="AF33" i="20"/>
  <c r="BN26" i="20"/>
  <c r="CH26" i="20"/>
  <c r="AY26" i="20"/>
  <c r="M26" i="20"/>
  <c r="X26" i="20"/>
  <c r="CK26" i="20"/>
  <c r="CV26" i="20"/>
  <c r="BK26" i="20"/>
  <c r="BU26" i="20"/>
  <c r="CF26" i="20"/>
  <c r="AU26" i="20"/>
  <c r="DQ26" i="20"/>
  <c r="BR26" i="20"/>
  <c r="AN26" i="20"/>
  <c r="DJ26" i="20"/>
  <c r="BZ26" i="20"/>
  <c r="DN26" i="20"/>
  <c r="DA26" i="20"/>
  <c r="DL26" i="20"/>
  <c r="CA26" i="20"/>
  <c r="Y26" i="20"/>
  <c r="AJ26" i="20"/>
  <c r="DM26" i="20"/>
  <c r="I26" i="20"/>
  <c r="T26" i="20"/>
  <c r="CW26" i="20"/>
  <c r="BE26" i="20"/>
  <c r="F26" i="20"/>
  <c r="CQ26" i="20"/>
  <c r="CX26" i="20"/>
  <c r="CT26" i="20"/>
  <c r="AD26" i="20"/>
  <c r="AO26" i="20"/>
  <c r="AZ26" i="20"/>
  <c r="O26" i="20"/>
  <c r="CB26" i="20"/>
  <c r="CM26" i="20"/>
  <c r="BA26" i="20"/>
  <c r="BL26" i="20"/>
  <c r="BW26" i="20"/>
  <c r="AK26" i="20"/>
  <c r="DH26" i="20"/>
  <c r="BP26" i="20"/>
  <c r="AE26" i="20"/>
  <c r="DF26" i="20"/>
  <c r="BF26" i="20"/>
  <c r="N26" i="20"/>
  <c r="CR26" i="20"/>
  <c r="DC26" i="20"/>
  <c r="BQ26" i="20"/>
  <c r="P26" i="20"/>
  <c r="AA26" i="20"/>
  <c r="AP26" i="20"/>
  <c r="DO26" i="20"/>
  <c r="K26" i="20"/>
  <c r="DB26" i="20"/>
  <c r="AV26" i="20"/>
  <c r="DS26" i="20"/>
  <c r="CG26" i="20"/>
  <c r="DR26" i="20"/>
  <c r="AT26" i="20"/>
  <c r="BJ26" i="20"/>
  <c r="AF26" i="20"/>
  <c r="AQ26" i="20"/>
  <c r="DD26" i="20"/>
  <c r="BS26" i="20"/>
  <c r="CC26" i="20"/>
  <c r="CN26" i="20"/>
  <c r="BC26" i="20"/>
  <c r="BM26" i="20"/>
  <c r="AL26" i="20"/>
  <c r="CY26" i="20"/>
  <c r="BG26" i="20"/>
  <c r="U26" i="20"/>
  <c r="CP26" i="20"/>
  <c r="Z26" i="20"/>
  <c r="DT26" i="20"/>
  <c r="CI26" i="20"/>
  <c r="CS26" i="20"/>
  <c r="AR26" i="20"/>
  <c r="G26" i="20"/>
  <c r="Q26" i="20"/>
  <c r="AB26" i="20"/>
  <c r="DE26" i="20"/>
  <c r="DP26" i="20"/>
  <c r="BX26" i="20"/>
  <c r="AM26" i="20"/>
  <c r="DI26" i="20"/>
  <c r="R26" i="20"/>
  <c r="P19" i="33"/>
  <c r="L19" i="33" a="1"/>
  <c r="L19" i="33" s="1"/>
  <c r="M19" i="33"/>
  <c r="V20" i="21" s="1"/>
  <c r="S19" i="33"/>
  <c r="R19" i="33"/>
  <c r="Q19" i="33"/>
  <c r="DE40" i="20"/>
  <c r="CA40" i="20"/>
  <c r="L51" i="21" a="1"/>
  <c r="L51" i="21" s="1"/>
  <c r="S27" i="33"/>
  <c r="P20" i="33"/>
  <c r="F14" i="21"/>
  <c r="B16" i="20"/>
  <c r="N14" i="21"/>
  <c r="AM14" i="21" s="1"/>
  <c r="AO14" i="21" s="1"/>
  <c r="H14" i="21"/>
  <c r="X9" i="21"/>
  <c r="L9" i="21"/>
  <c r="H9" i="21"/>
  <c r="N9" i="21"/>
  <c r="AM9" i="21" s="1"/>
  <c r="AO9" i="21" s="1"/>
  <c r="K8" i="33"/>
  <c r="P8" i="33" s="1"/>
  <c r="L58" i="21" a="1"/>
  <c r="L58" i="21" s="1"/>
  <c r="L66" i="6"/>
  <c r="D10" i="8"/>
  <c r="P53" i="6"/>
  <c r="C9" i="8"/>
  <c r="H6" i="11"/>
  <c r="K10" i="8"/>
  <c r="C10" i="8"/>
  <c r="T67" i="6"/>
  <c r="T66" i="6"/>
  <c r="T3" i="8"/>
  <c r="F9" i="8"/>
  <c r="T5" i="8"/>
  <c r="M9" i="8"/>
  <c r="J10" i="8"/>
  <c r="L9" i="8"/>
  <c r="I10" i="8"/>
  <c r="D9" i="8"/>
  <c r="H10" i="8"/>
  <c r="K9" i="8"/>
  <c r="G10" i="8"/>
  <c r="J9" i="8"/>
  <c r="B10" i="8"/>
  <c r="I9" i="8"/>
  <c r="F10" i="8"/>
  <c r="A12" i="8"/>
  <c r="AQ82" i="6"/>
  <c r="D12" i="8"/>
  <c r="D11" i="37"/>
  <c r="H9" i="8"/>
  <c r="G9" i="8"/>
  <c r="Z105" i="6"/>
  <c r="B9" i="8"/>
  <c r="E9" i="8"/>
  <c r="G11" i="8"/>
  <c r="U37" i="6"/>
  <c r="Z66" i="6"/>
  <c r="Z98" i="6"/>
  <c r="B11" i="8"/>
  <c r="M12" i="8"/>
  <c r="T4" i="8"/>
  <c r="F11" i="8"/>
  <c r="E12" i="8"/>
  <c r="M11" i="8"/>
  <c r="L12" i="8"/>
  <c r="AQ67" i="6"/>
  <c r="L11" i="8"/>
  <c r="K12" i="8"/>
  <c r="AQ53" i="6"/>
  <c r="D11" i="8"/>
  <c r="C12" i="8"/>
  <c r="Z53" i="6"/>
  <c r="K11" i="8"/>
  <c r="R53" i="6"/>
  <c r="C11" i="8"/>
  <c r="T53" i="6"/>
  <c r="J11" i="8"/>
  <c r="I11" i="8"/>
  <c r="J12" i="8"/>
  <c r="A11" i="8"/>
  <c r="I12" i="8"/>
  <c r="H11" i="8"/>
  <c r="H12" i="8"/>
  <c r="G12" i="8"/>
  <c r="B12" i="8"/>
  <c r="O14" i="21"/>
  <c r="L8" i="33" a="1"/>
  <c r="L8" i="33" s="1"/>
  <c r="AQ98" i="6"/>
  <c r="AQ66" i="6"/>
  <c r="B10" i="20"/>
  <c r="K15" i="33"/>
  <c r="P15" i="33" s="1"/>
  <c r="W6" i="21"/>
  <c r="P5" i="33"/>
  <c r="G14" i="21"/>
  <c r="O6" i="21"/>
  <c r="K14" i="33"/>
  <c r="P14" i="33" s="1"/>
  <c r="E13" i="21"/>
  <c r="K13" i="21" s="1"/>
  <c r="S13" i="21"/>
  <c r="B15" i="20"/>
  <c r="Q14" i="21"/>
  <c r="R14" i="21"/>
  <c r="T14" i="21" s="1"/>
  <c r="Z14" i="21" s="1"/>
  <c r="M14" i="21"/>
  <c r="X48" i="21" a="1"/>
  <c r="X48" i="21" s="1"/>
  <c r="H13" i="21"/>
  <c r="C38" i="19"/>
  <c r="AS30" i="20"/>
  <c r="BV30" i="20"/>
  <c r="DB30" i="20"/>
  <c r="CS30" i="20"/>
  <c r="I30" i="20"/>
  <c r="CV30" i="20"/>
  <c r="N30" i="20"/>
  <c r="CB30" i="20"/>
  <c r="BF30" i="20"/>
  <c r="BK30" i="20"/>
  <c r="AG30" i="20"/>
  <c r="CT30" i="20"/>
  <c r="DK20" i="20"/>
  <c r="DB20" i="20"/>
  <c r="CT20" i="20"/>
  <c r="CL20" i="20"/>
  <c r="CG20" i="20"/>
  <c r="BT20" i="20"/>
  <c r="BS20" i="20"/>
  <c r="BQ20" i="20"/>
  <c r="BH20" i="20"/>
  <c r="AO20" i="20"/>
  <c r="AA20" i="20"/>
  <c r="R20" i="20"/>
  <c r="J20" i="20"/>
  <c r="AC26" i="21"/>
  <c r="BK39" i="20"/>
  <c r="BR39" i="20"/>
  <c r="O39" i="20"/>
  <c r="P39" i="20"/>
  <c r="AX39" i="20"/>
  <c r="CJ39" i="20"/>
  <c r="DR39" i="20"/>
  <c r="AO39" i="20"/>
  <c r="BX39" i="20"/>
  <c r="DI39" i="20"/>
  <c r="AC39" i="20"/>
  <c r="CY39" i="20"/>
  <c r="CW39" i="20"/>
  <c r="BW39" i="20"/>
  <c r="F39" i="20"/>
  <c r="AP30" i="20"/>
  <c r="DG30" i="20"/>
  <c r="CK30" i="20"/>
  <c r="AJ30" i="20"/>
  <c r="BP30" i="20"/>
  <c r="P30" i="20"/>
  <c r="DH30" i="20"/>
  <c r="DN30" i="20"/>
  <c r="CQ30" i="20"/>
  <c r="AH30" i="20"/>
  <c r="T30" i="20"/>
  <c r="CO30" i="20"/>
  <c r="DN20" i="20"/>
  <c r="DJ20" i="20"/>
  <c r="DI20" i="20"/>
  <c r="DH20" i="20"/>
  <c r="DF20" i="20"/>
  <c r="DA20" i="20"/>
  <c r="CU20" i="20"/>
  <c r="CS20" i="20"/>
  <c r="CI20" i="20"/>
  <c r="BV20" i="20"/>
  <c r="BG20" i="20"/>
  <c r="AX20" i="20"/>
  <c r="AL20" i="20"/>
  <c r="Z20" i="20"/>
  <c r="H20" i="20"/>
  <c r="F20" i="20"/>
  <c r="AH26" i="21"/>
  <c r="AI26" i="21" s="1"/>
  <c r="AJ26" i="21" s="1"/>
  <c r="DC39" i="20"/>
  <c r="H39" i="20"/>
  <c r="AP39" i="20"/>
  <c r="CB39" i="20"/>
  <c r="DJ39" i="20"/>
  <c r="AG39" i="20"/>
  <c r="BP39" i="20"/>
  <c r="DA39" i="20"/>
  <c r="U39" i="20"/>
  <c r="CI39" i="20"/>
  <c r="CO39" i="20"/>
  <c r="DS39" i="20"/>
  <c r="BB39" i="20"/>
  <c r="Z39" i="20"/>
  <c r="BL39" i="20"/>
  <c r="Q20" i="33"/>
  <c r="CA30" i="20"/>
  <c r="CM30" i="20"/>
  <c r="DS30" i="20"/>
  <c r="AW30" i="20"/>
  <c r="AV30" i="20"/>
  <c r="BB30" i="20"/>
  <c r="AE30" i="20"/>
  <c r="CJ30" i="20"/>
  <c r="BW30" i="20"/>
  <c r="BS30" i="20"/>
  <c r="DM30" i="20"/>
  <c r="DT20" i="20"/>
  <c r="DQ20" i="20"/>
  <c r="DE20" i="20"/>
  <c r="CR20" i="20"/>
  <c r="CD20" i="20"/>
  <c r="CA20" i="20"/>
  <c r="BR20" i="20"/>
  <c r="BL20" i="20"/>
  <c r="BF20" i="20"/>
  <c r="BE20" i="20"/>
  <c r="BB20" i="20"/>
  <c r="AW20" i="20"/>
  <c r="AI20" i="20"/>
  <c r="AG20" i="20"/>
  <c r="AF20" i="20"/>
  <c r="AC20" i="20"/>
  <c r="X20" i="20"/>
  <c r="P20" i="20"/>
  <c r="AH39" i="20"/>
  <c r="BT39" i="20"/>
  <c r="DB39" i="20"/>
  <c r="Y39" i="20"/>
  <c r="BH39" i="20"/>
  <c r="CS39" i="20"/>
  <c r="M39" i="20"/>
  <c r="BC39" i="20"/>
  <c r="CG39" i="20"/>
  <c r="CM39" i="20"/>
  <c r="AT39" i="20"/>
  <c r="AQ39" i="20"/>
  <c r="DN39" i="20"/>
  <c r="CL39" i="20"/>
  <c r="I39" i="20"/>
  <c r="S23" i="33"/>
  <c r="DC30" i="20"/>
  <c r="BG30" i="20"/>
  <c r="AK30" i="20"/>
  <c r="BA30" i="20"/>
  <c r="DD30" i="20"/>
  <c r="CH30" i="20"/>
  <c r="X30" i="20"/>
  <c r="K30" i="20"/>
  <c r="G30" i="20"/>
  <c r="DA30" i="20"/>
  <c r="DI30" i="20"/>
  <c r="AL30" i="20"/>
  <c r="DL20" i="20"/>
  <c r="DG20" i="20"/>
  <c r="DD20" i="20"/>
  <c r="CY20" i="20"/>
  <c r="CQ20" i="20"/>
  <c r="CO20" i="20"/>
  <c r="CN20" i="20"/>
  <c r="CC20" i="20"/>
  <c r="BJ20" i="20"/>
  <c r="BI20" i="20"/>
  <c r="BD20" i="20"/>
  <c r="AN20" i="20"/>
  <c r="AH20" i="20"/>
  <c r="AE20" i="20"/>
  <c r="W20" i="20"/>
  <c r="O20" i="20"/>
  <c r="L20" i="20"/>
  <c r="G20" i="20"/>
  <c r="AD26" i="21"/>
  <c r="AM26" i="21"/>
  <c r="AO26" i="21" s="1"/>
  <c r="CT39" i="20"/>
  <c r="Q39" i="20"/>
  <c r="AZ39" i="20"/>
  <c r="CK39" i="20"/>
  <c r="DT39" i="20"/>
  <c r="AM39" i="20"/>
  <c r="BY39" i="20"/>
  <c r="BG39" i="20"/>
  <c r="AL39" i="20"/>
  <c r="K39" i="20"/>
  <c r="DF39" i="20"/>
  <c r="R39" i="20"/>
  <c r="BD39" i="20"/>
  <c r="AJ39" i="20"/>
  <c r="BU39" i="20"/>
  <c r="AA30" i="20"/>
  <c r="AO30" i="20"/>
  <c r="AR30" i="20"/>
  <c r="V30" i="20"/>
  <c r="CC30" i="20"/>
  <c r="BN30" i="20"/>
  <c r="BJ30" i="20"/>
  <c r="BM30" i="20"/>
  <c r="CW30" i="20"/>
  <c r="CN30" i="20"/>
  <c r="DT30" i="20"/>
  <c r="R30" i="20"/>
  <c r="CZ20" i="20"/>
  <c r="CV20" i="20"/>
  <c r="CM20" i="20"/>
  <c r="CK20" i="20"/>
  <c r="BX20" i="20"/>
  <c r="BU20" i="20"/>
  <c r="BN20" i="20"/>
  <c r="AY20" i="20"/>
  <c r="AQ20" i="20"/>
  <c r="T20" i="20"/>
  <c r="N20" i="20"/>
  <c r="K20" i="20"/>
  <c r="I20" i="20"/>
  <c r="AN26" i="21"/>
  <c r="AP26" i="21" s="1"/>
  <c r="AQ26" i="21" s="1"/>
  <c r="AR39" i="20"/>
  <c r="CC39" i="20"/>
  <c r="DL39" i="20"/>
  <c r="W39" i="20"/>
  <c r="BQ39" i="20"/>
  <c r="AA39" i="20"/>
  <c r="AD39" i="20"/>
  <c r="CU39" i="20"/>
  <c r="CX39" i="20"/>
  <c r="J39" i="20"/>
  <c r="AV39" i="20"/>
  <c r="CD39" i="20"/>
  <c r="DP39" i="20"/>
  <c r="CV39" i="20"/>
  <c r="AX30" i="20"/>
  <c r="CG30" i="20"/>
  <c r="BX30" i="20"/>
  <c r="BQ30" i="20"/>
  <c r="DP30" i="20"/>
  <c r="DL30" i="20"/>
  <c r="CY30" i="20"/>
  <c r="BE30" i="20"/>
  <c r="AB30" i="20"/>
  <c r="BH30" i="20"/>
  <c r="BT30" i="20"/>
  <c r="CZ30" i="20"/>
  <c r="BC30" i="20"/>
  <c r="DS20" i="20"/>
  <c r="DP20" i="20"/>
  <c r="DC20" i="20"/>
  <c r="CX20" i="20"/>
  <c r="CF20" i="20"/>
  <c r="BZ20" i="20"/>
  <c r="BP20" i="20"/>
  <c r="BM20" i="20"/>
  <c r="BA20" i="20"/>
  <c r="AV20" i="20"/>
  <c r="AU20" i="20"/>
  <c r="AB20" i="20"/>
  <c r="Y20" i="20"/>
  <c r="S20" i="20"/>
  <c r="M20" i="20"/>
  <c r="BS39" i="20"/>
  <c r="DD39" i="20"/>
  <c r="DO39" i="20"/>
  <c r="BI39" i="20"/>
  <c r="DK39" i="20"/>
  <c r="V39" i="20"/>
  <c r="BO39" i="20"/>
  <c r="CP39" i="20"/>
  <c r="DG39" i="20"/>
  <c r="AN39" i="20"/>
  <c r="BV39" i="20"/>
  <c r="DH39" i="20"/>
  <c r="AB39" i="20"/>
  <c r="BM39" i="20"/>
  <c r="AS39" i="20"/>
  <c r="AD30" i="20"/>
  <c r="O30" i="20"/>
  <c r="BD30" i="20"/>
  <c r="AZ30" i="20"/>
  <c r="AM30" i="20"/>
  <c r="AC30" i="20"/>
  <c r="CE30" i="20"/>
  <c r="DK30" i="20"/>
  <c r="H30" i="20"/>
  <c r="AN30" i="20"/>
  <c r="DF30" i="20"/>
  <c r="W30" i="20"/>
  <c r="CL30" i="20"/>
  <c r="DR20" i="20"/>
  <c r="DO20" i="20"/>
  <c r="CW20" i="20"/>
  <c r="CP20" i="20"/>
  <c r="CJ20" i="20"/>
  <c r="CE20" i="20"/>
  <c r="CB20" i="20"/>
  <c r="BY20" i="20"/>
  <c r="BO20" i="20"/>
  <c r="BC20" i="20"/>
  <c r="AZ20" i="20"/>
  <c r="AT20" i="20"/>
  <c r="AS20" i="20"/>
  <c r="AR20" i="20"/>
  <c r="AM20" i="20"/>
  <c r="AK20" i="20"/>
  <c r="AJ20" i="20"/>
  <c r="V20" i="20"/>
  <c r="U20" i="20"/>
  <c r="G39" i="20"/>
  <c r="BA39" i="20"/>
  <c r="CE39" i="20"/>
  <c r="N39" i="20"/>
  <c r="AI39" i="20"/>
  <c r="CH39" i="20"/>
  <c r="CA39" i="20"/>
  <c r="AF39" i="20"/>
  <c r="BN39" i="20"/>
  <c r="CZ39" i="20"/>
  <c r="T39" i="20"/>
  <c r="BE39" i="20"/>
  <c r="CN39" i="20"/>
  <c r="S39" i="20"/>
  <c r="M23" i="33"/>
  <c r="N23" i="33" s="1"/>
  <c r="O23" i="33" s="1"/>
  <c r="AT34" i="20"/>
  <c r="BH34" i="20"/>
  <c r="BF34" i="20"/>
  <c r="M34" i="20"/>
  <c r="BR34" i="20"/>
  <c r="CG34" i="20"/>
  <c r="DJ34" i="20"/>
  <c r="AM34" i="20"/>
  <c r="AO34" i="20"/>
  <c r="DG34" i="20"/>
  <c r="DI34" i="20"/>
  <c r="BL34" i="20"/>
  <c r="CE34" i="20"/>
  <c r="J34" i="20"/>
  <c r="DL34" i="20"/>
  <c r="Z34" i="20"/>
  <c r="DT34" i="20"/>
  <c r="AL34" i="20"/>
  <c r="BY34" i="20"/>
  <c r="CD34" i="20"/>
  <c r="AE34" i="20"/>
  <c r="AG34" i="20"/>
  <c r="CY34" i="20"/>
  <c r="DA34" i="20"/>
  <c r="BD34" i="20"/>
  <c r="BW34" i="20"/>
  <c r="F34" i="20"/>
  <c r="AR34" i="20"/>
  <c r="CT34" i="20"/>
  <c r="BI34" i="20"/>
  <c r="N34" i="20"/>
  <c r="BQ34" i="20"/>
  <c r="AX34" i="20"/>
  <c r="W34" i="20"/>
  <c r="Y34" i="20"/>
  <c r="CQ34" i="20"/>
  <c r="CS34" i="20"/>
  <c r="AV34" i="20"/>
  <c r="BO34" i="20"/>
  <c r="DP34" i="20"/>
  <c r="AJ34" i="20"/>
  <c r="BZ34" i="20"/>
  <c r="DD34" i="20"/>
  <c r="DB34" i="20"/>
  <c r="G34" i="20"/>
  <c r="T34" i="20"/>
  <c r="O34" i="20"/>
  <c r="Q34" i="20"/>
  <c r="CI34" i="20"/>
  <c r="CK34" i="20"/>
  <c r="AN34" i="20"/>
  <c r="BG34" i="20"/>
  <c r="DH34" i="20"/>
  <c r="AB34" i="20"/>
  <c r="BJ34" i="20"/>
  <c r="CV34" i="20"/>
  <c r="BN34" i="20"/>
  <c r="BA34" i="20"/>
  <c r="CH34" i="20"/>
  <c r="BS34" i="20"/>
  <c r="DN34" i="20"/>
  <c r="CA34" i="20"/>
  <c r="CC34" i="20"/>
  <c r="AF34" i="20"/>
  <c r="AY34" i="20"/>
  <c r="CZ34" i="20"/>
  <c r="DS34" i="20"/>
  <c r="AD34" i="20"/>
  <c r="CN34" i="20"/>
  <c r="AH34" i="20"/>
  <c r="AS34" i="20"/>
  <c r="BV34" i="20"/>
  <c r="DM34" i="20"/>
  <c r="BM34" i="20"/>
  <c r="P34" i="20"/>
  <c r="R23" i="33"/>
  <c r="BU34" i="20"/>
  <c r="X34" i="20"/>
  <c r="AQ34" i="20"/>
  <c r="CR34" i="20"/>
  <c r="DK34" i="20"/>
  <c r="S34" i="20"/>
  <c r="CF34" i="20"/>
  <c r="L34" i="20"/>
  <c r="AK34" i="20"/>
  <c r="AP34" i="20"/>
  <c r="DE34" i="20"/>
  <c r="BB34" i="20"/>
  <c r="BK34" i="20"/>
  <c r="AA34" i="20"/>
  <c r="CB34" i="20"/>
  <c r="AI34" i="20"/>
  <c r="CJ34" i="20"/>
  <c r="DC34" i="20"/>
  <c r="K34" i="20"/>
  <c r="BX34" i="20"/>
  <c r="DR34" i="20"/>
  <c r="AC34" i="20"/>
  <c r="R34" i="20"/>
  <c r="CW34" i="20"/>
  <c r="V34" i="20"/>
  <c r="BC34" i="20"/>
  <c r="BE34" i="20"/>
  <c r="H34" i="20"/>
  <c r="CM34" i="20"/>
  <c r="M45" i="33"/>
  <c r="N45" i="33" s="1"/>
  <c r="O45" i="33" s="1"/>
  <c r="R45" i="33"/>
  <c r="S44" i="33"/>
  <c r="Q45" i="33"/>
  <c r="R44" i="33"/>
  <c r="S45" i="33"/>
  <c r="M44" i="33"/>
  <c r="N44" i="33" s="1"/>
  <c r="O44" i="33" s="1"/>
  <c r="P44" i="33"/>
  <c r="P45" i="33"/>
  <c r="M16" i="21"/>
  <c r="M8" i="33"/>
  <c r="V9" i="21" s="1"/>
  <c r="D18" i="20"/>
  <c r="E18" i="20" s="1"/>
  <c r="S14" i="21"/>
  <c r="L16" i="21"/>
  <c r="J16" i="21"/>
  <c r="L11" i="21"/>
  <c r="W9" i="21"/>
  <c r="Q15" i="33"/>
  <c r="K14" i="21"/>
  <c r="O16" i="21"/>
  <c r="L5" i="33" a="1"/>
  <c r="L5" i="33" s="1"/>
  <c r="R16" i="21"/>
  <c r="T16" i="21" s="1"/>
  <c r="Z16" i="21" s="1"/>
  <c r="N16" i="21"/>
  <c r="AM16" i="21" s="1"/>
  <c r="AO16" i="21" s="1"/>
  <c r="B18" i="20"/>
  <c r="H18" i="20" s="1"/>
  <c r="Q16" i="21"/>
  <c r="F16" i="21"/>
  <c r="D16" i="20"/>
  <c r="E16" i="20" s="1"/>
  <c r="S16" i="21"/>
  <c r="N48" i="21" a="1"/>
  <c r="N48" i="21" s="1"/>
  <c r="B6" i="21"/>
  <c r="X6" i="21"/>
  <c r="B12" i="20"/>
  <c r="G16" i="21"/>
  <c r="G6" i="21"/>
  <c r="H16" i="21"/>
  <c r="L6" i="21"/>
  <c r="M6" i="21" s="1"/>
  <c r="S15" i="33"/>
  <c r="H15" i="21"/>
  <c r="J15" i="21"/>
  <c r="E15" i="21"/>
  <c r="K15" i="21" s="1"/>
  <c r="X8" i="21"/>
  <c r="M14" i="33"/>
  <c r="V15" i="21" s="1"/>
  <c r="L12" i="21"/>
  <c r="E8" i="21"/>
  <c r="F15" i="21"/>
  <c r="G15" i="21"/>
  <c r="F12" i="21"/>
  <c r="K7" i="33"/>
  <c r="K11" i="33"/>
  <c r="N15" i="21"/>
  <c r="L13" i="21"/>
  <c r="M13" i="21"/>
  <c r="F13" i="21"/>
  <c r="H8" i="21"/>
  <c r="F8" i="21"/>
  <c r="J13" i="21"/>
  <c r="W15" i="21"/>
  <c r="L15" i="21"/>
  <c r="E12" i="21"/>
  <c r="B14" i="20"/>
  <c r="H12" i="21"/>
  <c r="N12" i="21"/>
  <c r="AG12" i="21" s="1"/>
  <c r="N8" i="21"/>
  <c r="AM8" i="21" s="1"/>
  <c r="AO8" i="21" s="1"/>
  <c r="N13" i="21"/>
  <c r="D15" i="20"/>
  <c r="E15" i="20" s="1"/>
  <c r="R15" i="33"/>
  <c r="A1004" i="33"/>
  <c r="U10" i="6" s="1"/>
  <c r="R35" i="6"/>
  <c r="U16" i="21"/>
  <c r="L42" i="20"/>
  <c r="BK42" i="20"/>
  <c r="AC38" i="20"/>
  <c r="CE38" i="20"/>
  <c r="AW38" i="20"/>
  <c r="AB38" i="20"/>
  <c r="CK38" i="20"/>
  <c r="CV38" i="20"/>
  <c r="CW38" i="20"/>
  <c r="BB38" i="20"/>
  <c r="CR38" i="20"/>
  <c r="G38" i="20"/>
  <c r="AX38" i="20"/>
  <c r="CA38" i="20"/>
  <c r="DR38" i="20"/>
  <c r="Q38" i="20"/>
  <c r="BW38" i="20"/>
  <c r="BY42" i="20"/>
  <c r="AQ42" i="20"/>
  <c r="U38" i="20"/>
  <c r="T38" i="20"/>
  <c r="BE38" i="20"/>
  <c r="CN38" i="20"/>
  <c r="BQ38" i="20"/>
  <c r="AT38" i="20"/>
  <c r="CJ38" i="20"/>
  <c r="DN38" i="20"/>
  <c r="AP38" i="20"/>
  <c r="BS38" i="20"/>
  <c r="DJ38" i="20"/>
  <c r="DE38" i="20"/>
  <c r="BO38" i="20"/>
  <c r="DA38" i="20"/>
  <c r="L38" i="20"/>
  <c r="M20" i="33"/>
  <c r="AS42" i="20"/>
  <c r="AI42" i="20"/>
  <c r="Y38" i="20"/>
  <c r="CF38" i="20"/>
  <c r="AK38" i="20"/>
  <c r="AL38" i="20"/>
  <c r="CB38" i="20"/>
  <c r="DF38" i="20"/>
  <c r="AH38" i="20"/>
  <c r="BK38" i="20"/>
  <c r="DB38" i="20"/>
  <c r="BI38" i="20"/>
  <c r="BG38" i="20"/>
  <c r="BU38" i="20"/>
  <c r="F38" i="20"/>
  <c r="DM38" i="20"/>
  <c r="BX38" i="20"/>
  <c r="BL38" i="20"/>
  <c r="CP38" i="20"/>
  <c r="R38" i="20"/>
  <c r="AU38" i="20"/>
  <c r="CL38" i="20"/>
  <c r="DO38" i="20"/>
  <c r="AQ38" i="20"/>
  <c r="P38" i="20"/>
  <c r="DK38" i="20"/>
  <c r="BA38" i="20"/>
  <c r="BH38" i="20"/>
  <c r="BM38" i="20"/>
  <c r="N38" i="20"/>
  <c r="BD38" i="20"/>
  <c r="AF20" i="21"/>
  <c r="AG20" i="21"/>
  <c r="BF42" i="20"/>
  <c r="DD42" i="20"/>
  <c r="J38" i="20"/>
  <c r="AM38" i="20"/>
  <c r="CD38" i="20"/>
  <c r="DG38" i="20"/>
  <c r="AI38" i="20"/>
  <c r="CO38" i="20"/>
  <c r="DC38" i="20"/>
  <c r="X38" i="20"/>
  <c r="AZ38" i="20"/>
  <c r="AG38" i="20"/>
  <c r="DT38" i="20"/>
  <c r="AV38" i="20"/>
  <c r="BZ38" i="20"/>
  <c r="DP38" i="20"/>
  <c r="AE38" i="20"/>
  <c r="BV38" i="20"/>
  <c r="CY38" i="20"/>
  <c r="AA38" i="20"/>
  <c r="BY38" i="20"/>
  <c r="CU38" i="20"/>
  <c r="DI38" i="20"/>
  <c r="AR38" i="20"/>
  <c r="I38" i="20"/>
  <c r="DL38" i="20"/>
  <c r="AN38" i="20"/>
  <c r="BR38" i="20"/>
  <c r="DH38" i="20"/>
  <c r="W38" i="20"/>
  <c r="BN38" i="20"/>
  <c r="R38" i="33"/>
  <c r="R27" i="33"/>
  <c r="L23" i="33" a="1"/>
  <c r="L23" i="33" s="1"/>
  <c r="E3" i="20"/>
  <c r="L2" i="31" s="1"/>
  <c r="K2" i="31"/>
  <c r="S35" i="20"/>
  <c r="BM35" i="20"/>
  <c r="CD35" i="20"/>
  <c r="DT35" i="20"/>
  <c r="CK35" i="20"/>
  <c r="CI35" i="20"/>
  <c r="DA35" i="20"/>
  <c r="I35" i="20"/>
  <c r="DQ35" i="20"/>
  <c r="Z35" i="20"/>
  <c r="BU35" i="20"/>
  <c r="AR35" i="20"/>
  <c r="BT35" i="20"/>
  <c r="BB35" i="20"/>
  <c r="U14" i="21"/>
  <c r="CP33" i="20"/>
  <c r="DA33" i="20"/>
  <c r="CO33" i="20"/>
  <c r="CR33" i="20"/>
  <c r="AT33" i="20"/>
  <c r="BE33" i="20"/>
  <c r="BW33" i="20"/>
  <c r="P33" i="20"/>
  <c r="BU33" i="20"/>
  <c r="BN33" i="20"/>
  <c r="BQ33" i="20"/>
  <c r="BL33" i="20"/>
  <c r="AR33" i="20"/>
  <c r="AE33" i="20"/>
  <c r="DD33" i="20"/>
  <c r="W33" i="20"/>
  <c r="M33" i="20"/>
  <c r="S33" i="20"/>
  <c r="CC33" i="20"/>
  <c r="BG33" i="20"/>
  <c r="CB33" i="20"/>
  <c r="DN33" i="20"/>
  <c r="Q33" i="20"/>
  <c r="CS33" i="20"/>
  <c r="DE33" i="20"/>
  <c r="Z33" i="20"/>
  <c r="AU33" i="20"/>
  <c r="CD33" i="20"/>
  <c r="CF33" i="20"/>
  <c r="AS33" i="20"/>
  <c r="AD33" i="20"/>
  <c r="CG33" i="20"/>
  <c r="DP33" i="20"/>
  <c r="CE33" i="20"/>
  <c r="AA33" i="20"/>
  <c r="CT33" i="20"/>
  <c r="O33" i="20"/>
  <c r="BH33" i="20"/>
  <c r="CK33" i="20"/>
  <c r="CJ33" i="20"/>
  <c r="L52" i="21" a="1"/>
  <c r="L52" i="21" s="1"/>
  <c r="AF31" i="21"/>
  <c r="AM31" i="21"/>
  <c r="AO31" i="21" s="1"/>
  <c r="AH31" i="21"/>
  <c r="AI31" i="21" s="1"/>
  <c r="AJ31" i="21" s="1"/>
  <c r="AD31" i="21"/>
  <c r="AN31" i="21"/>
  <c r="AP31" i="21" s="1"/>
  <c r="AQ31" i="21" s="1"/>
  <c r="AQ30" i="20"/>
  <c r="AU30" i="20"/>
  <c r="BO30" i="20"/>
  <c r="BY30" i="20"/>
  <c r="Y30" i="20"/>
  <c r="CX30" i="20"/>
  <c r="DQ30" i="20"/>
  <c r="M30" i="20"/>
  <c r="J30" i="20"/>
  <c r="CI30" i="20"/>
  <c r="CU30" i="20"/>
  <c r="BL30" i="20"/>
  <c r="DJ30" i="20"/>
  <c r="DE30" i="20"/>
  <c r="CF30" i="20"/>
  <c r="BR30" i="20"/>
  <c r="DO30" i="20"/>
  <c r="BU30" i="20"/>
  <c r="CR30" i="20"/>
  <c r="CD30" i="20"/>
  <c r="L30" i="20"/>
  <c r="AF30" i="20"/>
  <c r="AB22" i="20"/>
  <c r="CZ26" i="20"/>
  <c r="BV26" i="20"/>
  <c r="AI26" i="20"/>
  <c r="BB26" i="20"/>
  <c r="L27" i="33" a="1"/>
  <c r="L27" i="33" s="1"/>
  <c r="S35" i="33"/>
  <c r="AW26" i="20"/>
  <c r="AS26" i="20"/>
  <c r="CU26" i="20"/>
  <c r="V26" i="20"/>
  <c r="AC26" i="20"/>
  <c r="S26" i="20"/>
  <c r="CJ26" i="20"/>
  <c r="CL26" i="20"/>
  <c r="P27" i="33"/>
  <c r="P23" i="33"/>
  <c r="L26" i="20"/>
  <c r="BT26" i="20"/>
  <c r="W26" i="20"/>
  <c r="Q35" i="33"/>
  <c r="L30" i="33" a="1"/>
  <c r="L30" i="33" s="1"/>
  <c r="L35" i="33" a="1"/>
  <c r="L35" i="33" s="1"/>
  <c r="AX26" i="20"/>
  <c r="DG26" i="20"/>
  <c r="J26" i="20"/>
  <c r="DK26" i="20"/>
  <c r="CD26" i="20"/>
  <c r="BD26" i="20"/>
  <c r="BI26" i="20"/>
  <c r="G26" i="19"/>
  <c r="H12" i="19" s="1"/>
  <c r="D20" i="19" s="1"/>
  <c r="E17" i="23"/>
  <c r="L14" i="33" a="1"/>
  <c r="L14" i="33" s="1"/>
  <c r="G13" i="21"/>
  <c r="Q13" i="21"/>
  <c r="M15" i="21"/>
  <c r="M12" i="21"/>
  <c r="AD14" i="21"/>
  <c r="AN14" i="21"/>
  <c r="AP14" i="21" s="1"/>
  <c r="AQ14" i="21" s="1"/>
  <c r="AG14" i="21"/>
  <c r="K12" i="21"/>
  <c r="G12" i="21"/>
  <c r="Q12" i="21"/>
  <c r="D14" i="20"/>
  <c r="E14" i="20" s="1"/>
  <c r="AM15" i="21"/>
  <c r="AO15" i="21" s="1"/>
  <c r="O15" i="21"/>
  <c r="D17" i="20"/>
  <c r="E17" i="20" s="1"/>
  <c r="S15" i="21"/>
  <c r="Q15" i="21"/>
  <c r="O12" i="21"/>
  <c r="O13" i="21"/>
  <c r="S12" i="21"/>
  <c r="L11" i="33" a="1"/>
  <c r="L11" i="33" s="1"/>
  <c r="M11" i="33"/>
  <c r="N11" i="33" s="1"/>
  <c r="T35" i="6"/>
  <c r="V35" i="6"/>
  <c r="N35" i="6"/>
  <c r="Q65" i="18" s="1"/>
  <c r="L35" i="6"/>
  <c r="Z35" i="6"/>
  <c r="K39" i="39"/>
  <c r="AD16" i="21"/>
  <c r="F18" i="20"/>
  <c r="R13" i="21"/>
  <c r="T13" i="21" s="1"/>
  <c r="Z13" i="21" s="1"/>
  <c r="U13" i="21"/>
  <c r="AH14" i="21"/>
  <c r="AI14" i="21" s="1"/>
  <c r="AJ14" i="21" s="1"/>
  <c r="R15" i="21"/>
  <c r="T15" i="21" s="1"/>
  <c r="Z15" i="21" s="1"/>
  <c r="AN15" i="21"/>
  <c r="AP15" i="21" s="1"/>
  <c r="AQ15" i="21" s="1"/>
  <c r="U15" i="21"/>
  <c r="R12" i="21"/>
  <c r="T12" i="21" s="1"/>
  <c r="Z12" i="21" s="1"/>
  <c r="U12" i="21"/>
  <c r="AC14" i="21"/>
  <c r="D90" i="20"/>
  <c r="E90" i="20" s="1"/>
  <c r="Q17" i="22"/>
  <c r="R17" i="22" s="1"/>
  <c r="S17" i="22" s="1"/>
  <c r="T17" i="22" s="1"/>
  <c r="U17" i="22" s="1"/>
  <c r="V17" i="22" s="1"/>
  <c r="W17" i="22" s="1"/>
  <c r="X17" i="22" s="1"/>
  <c r="Y17" i="22" s="1"/>
  <c r="Z17" i="22" s="1"/>
  <c r="AF14" i="21"/>
  <c r="AD15" i="21"/>
  <c r="AG15" i="21"/>
  <c r="J18" i="6"/>
  <c r="AE19" i="8"/>
  <c r="D73" i="20"/>
  <c r="E73" i="20" s="1"/>
  <c r="E77" i="20" s="1"/>
  <c r="AH12" i="21"/>
  <c r="AI12" i="21" s="1"/>
  <c r="AJ12" i="21" s="1"/>
  <c r="AC15" i="21"/>
  <c r="AF15" i="21"/>
  <c r="AH15" i="21"/>
  <c r="AI15" i="21" s="1"/>
  <c r="AJ15" i="21" s="1"/>
  <c r="B12" i="21"/>
  <c r="I12" i="21" s="1"/>
  <c r="B13" i="21"/>
  <c r="I13" i="21" s="1"/>
  <c r="B16" i="21"/>
  <c r="I16" i="21" s="1"/>
  <c r="B14" i="21"/>
  <c r="I14" i="21" s="1"/>
  <c r="B15" i="21"/>
  <c r="I15" i="21" s="1"/>
  <c r="W18" i="20"/>
  <c r="AE18" i="20"/>
  <c r="AM18" i="20"/>
  <c r="AU18" i="20"/>
  <c r="BC18" i="20"/>
  <c r="BK18" i="20"/>
  <c r="BS18" i="20"/>
  <c r="CA18" i="20"/>
  <c r="CI18" i="20"/>
  <c r="CQ18" i="20"/>
  <c r="CY18" i="20"/>
  <c r="DG18" i="20"/>
  <c r="DO18" i="20"/>
  <c r="V22" i="21" l="1"/>
  <c r="V21" i="21"/>
  <c r="L20" i="33" a="1"/>
  <c r="L20" i="33" s="1"/>
  <c r="W21" i="21"/>
  <c r="G13" i="9"/>
  <c r="S61" i="33"/>
  <c r="P69" i="33"/>
  <c r="L55" i="21" a="1"/>
  <c r="L55" i="21" s="1"/>
  <c r="S53" i="33"/>
  <c r="P61" i="33"/>
  <c r="M69" i="33"/>
  <c r="N69" i="33" s="1"/>
  <c r="O69" i="33" s="1"/>
  <c r="S58" i="33"/>
  <c r="R69" i="33"/>
  <c r="P53" i="33"/>
  <c r="P59" i="33"/>
  <c r="M61" i="33"/>
  <c r="N61" i="33" s="1"/>
  <c r="O61" i="33" s="1"/>
  <c r="P50" i="33"/>
  <c r="Y71" i="21" a="1"/>
  <c r="Y71" i="21" s="1"/>
  <c r="R61" i="33"/>
  <c r="P51" i="33"/>
  <c r="M53" i="33"/>
  <c r="N53" i="33" s="1"/>
  <c r="O53" i="33" s="1"/>
  <c r="R50" i="33"/>
  <c r="N71" i="21" a="1"/>
  <c r="N71" i="21" s="1"/>
  <c r="Q69" i="33"/>
  <c r="R53" i="33"/>
  <c r="L59" i="21" a="1"/>
  <c r="L59" i="21" s="1"/>
  <c r="Q61" i="33"/>
  <c r="S50" i="33"/>
  <c r="Q53" i="33"/>
  <c r="M50" i="33"/>
  <c r="N50" i="33" s="1"/>
  <c r="O50" i="33" s="1"/>
  <c r="Y51" i="21" a="1"/>
  <c r="Y51" i="21" s="1"/>
  <c r="S55" i="33"/>
  <c r="Y62" i="21" a="1"/>
  <c r="Y62" i="21" s="1"/>
  <c r="X54" i="21" a="1"/>
  <c r="X54" i="21" s="1"/>
  <c r="N62" i="21" a="1"/>
  <c r="N62" i="21" s="1"/>
  <c r="X62" i="21" a="1"/>
  <c r="X62" i="21" s="1"/>
  <c r="P55" i="33"/>
  <c r="R51" i="33"/>
  <c r="Q55" i="33"/>
  <c r="Q62" i="33"/>
  <c r="L54" i="21" a="1"/>
  <c r="L54" i="21" s="1"/>
  <c r="K54" i="21" s="1"/>
  <c r="X58" i="21" a="1"/>
  <c r="X58" i="21" s="1"/>
  <c r="M55" i="33"/>
  <c r="N55" i="33" s="1"/>
  <c r="O55" i="33" s="1"/>
  <c r="N51" i="21" a="1"/>
  <c r="N51" i="21" s="1"/>
  <c r="N58" i="21" a="1"/>
  <c r="N58" i="21" s="1"/>
  <c r="K58" i="21" s="1"/>
  <c r="S51" i="33"/>
  <c r="M66" i="33"/>
  <c r="N66" i="33" s="1"/>
  <c r="O66" i="33" s="1"/>
  <c r="M62" i="33"/>
  <c r="N62" i="33" s="1"/>
  <c r="O62" i="33" s="1"/>
  <c r="DK18" i="20"/>
  <c r="CM18" i="20"/>
  <c r="BG18" i="20"/>
  <c r="S18" i="20"/>
  <c r="CJ22" i="20"/>
  <c r="DQ18" i="20"/>
  <c r="DA18" i="20"/>
  <c r="CK18" i="20"/>
  <c r="BU18" i="20"/>
  <c r="BE18" i="20"/>
  <c r="AO18" i="20"/>
  <c r="Y18" i="20"/>
  <c r="M18" i="20"/>
  <c r="DP18" i="20"/>
  <c r="DH18" i="20"/>
  <c r="CZ18" i="20"/>
  <c r="CR18" i="20"/>
  <c r="CJ18" i="20"/>
  <c r="CB18" i="20"/>
  <c r="BT18" i="20"/>
  <c r="BL18" i="20"/>
  <c r="BD18" i="20"/>
  <c r="AV18" i="20"/>
  <c r="AN18" i="20"/>
  <c r="AF18" i="20"/>
  <c r="X18" i="20"/>
  <c r="P18" i="20"/>
  <c r="L18" i="20"/>
  <c r="J18" i="20"/>
  <c r="G18" i="20"/>
  <c r="K22" i="20"/>
  <c r="DT22" i="20"/>
  <c r="AD20" i="21"/>
  <c r="AN25" i="21"/>
  <c r="AP25" i="21" s="1"/>
  <c r="AQ25" i="21" s="1"/>
  <c r="BR41" i="20"/>
  <c r="BN41" i="20"/>
  <c r="DI28" i="20"/>
  <c r="CH28" i="20"/>
  <c r="Q28" i="20"/>
  <c r="BH28" i="20"/>
  <c r="DF28" i="20"/>
  <c r="AG28" i="20"/>
  <c r="CB28" i="20"/>
  <c r="M28" i="20"/>
  <c r="AW28" i="20"/>
  <c r="CY28" i="20"/>
  <c r="AC28" i="20"/>
  <c r="BS28" i="20"/>
  <c r="CR28" i="20"/>
  <c r="R28" i="20"/>
  <c r="AT28" i="20"/>
  <c r="DF18" i="20"/>
  <c r="CH18" i="20"/>
  <c r="BB18" i="20"/>
  <c r="K18" i="20"/>
  <c r="AM22" i="20"/>
  <c r="DM22" i="20"/>
  <c r="DD22" i="20"/>
  <c r="DC22" i="20"/>
  <c r="BH22" i="20"/>
  <c r="AH25" i="21"/>
  <c r="AI25" i="21" s="1"/>
  <c r="AJ25" i="21" s="1"/>
  <c r="AM25" i="21"/>
  <c r="AO25" i="21" s="1"/>
  <c r="BS41" i="20"/>
  <c r="X41" i="20"/>
  <c r="BP28" i="20"/>
  <c r="O28" i="20"/>
  <c r="BA28" i="20"/>
  <c r="CT28" i="20"/>
  <c r="AE28" i="20"/>
  <c r="BU28" i="20"/>
  <c r="DJ28" i="20"/>
  <c r="AU28" i="20"/>
  <c r="CQ28" i="20"/>
  <c r="AY28" i="20"/>
  <c r="BQ28" i="20"/>
  <c r="DQ28" i="20"/>
  <c r="BO28" i="20"/>
  <c r="CF28" i="20"/>
  <c r="CW28" i="20"/>
  <c r="CU33" i="20"/>
  <c r="CP18" i="20"/>
  <c r="BR18" i="20"/>
  <c r="AT18" i="20"/>
  <c r="V18" i="20"/>
  <c r="I18" i="20"/>
  <c r="CW18" i="20"/>
  <c r="CG18" i="20"/>
  <c r="BI18" i="20"/>
  <c r="U18" i="20"/>
  <c r="AD25" i="21"/>
  <c r="AG25" i="21"/>
  <c r="J41" i="20"/>
  <c r="BA41" i="20"/>
  <c r="AD28" i="20"/>
  <c r="CK28" i="20"/>
  <c r="T28" i="20"/>
  <c r="CE28" i="20"/>
  <c r="DL28" i="20"/>
  <c r="AJ28" i="20"/>
  <c r="CU28" i="20"/>
  <c r="P28" i="20"/>
  <c r="BB28" i="20"/>
  <c r="DK28" i="20"/>
  <c r="AF28" i="20"/>
  <c r="BX28" i="20"/>
  <c r="F28" i="20"/>
  <c r="DO28" i="20"/>
  <c r="BM33" i="20"/>
  <c r="DN18" i="20"/>
  <c r="CX18" i="20"/>
  <c r="BZ18" i="20"/>
  <c r="BJ18" i="20"/>
  <c r="AL18" i="20"/>
  <c r="AD18" i="20"/>
  <c r="O18" i="20"/>
  <c r="DM18" i="20"/>
  <c r="DE18" i="20"/>
  <c r="CO18" i="20"/>
  <c r="BY18" i="20"/>
  <c r="BQ18" i="20"/>
  <c r="BA18" i="20"/>
  <c r="AS18" i="20"/>
  <c r="AK18" i="20"/>
  <c r="AC18" i="20"/>
  <c r="DT18" i="20"/>
  <c r="DL18" i="20"/>
  <c r="DD18" i="20"/>
  <c r="CV18" i="20"/>
  <c r="CN18" i="20"/>
  <c r="CF18" i="20"/>
  <c r="BX18" i="20"/>
  <c r="BP18" i="20"/>
  <c r="BH18" i="20"/>
  <c r="AZ18" i="20"/>
  <c r="AR18" i="20"/>
  <c r="AJ18" i="20"/>
  <c r="AB18" i="20"/>
  <c r="T18" i="20"/>
  <c r="N18" i="20"/>
  <c r="CV22" i="20"/>
  <c r="BM22" i="20"/>
  <c r="DK41" i="20"/>
  <c r="CR41" i="20"/>
  <c r="BZ28" i="20"/>
  <c r="I28" i="20"/>
  <c r="AV28" i="20"/>
  <c r="CS28" i="20"/>
  <c r="Y28" i="20"/>
  <c r="BR28" i="20"/>
  <c r="DT28" i="20"/>
  <c r="AO28" i="20"/>
  <c r="CN28" i="20"/>
  <c r="U28" i="20"/>
  <c r="BI28" i="20"/>
  <c r="DM28" i="20"/>
  <c r="AK28" i="20"/>
  <c r="BD28" i="20"/>
  <c r="AP28" i="20"/>
  <c r="AW33" i="20"/>
  <c r="Y54" i="21" a="1"/>
  <c r="Y54" i="21" s="1"/>
  <c r="DC18" i="20"/>
  <c r="BW18" i="20"/>
  <c r="AY18" i="20"/>
  <c r="AQ18" i="20"/>
  <c r="AM34" i="21"/>
  <c r="AO34" i="21" s="1"/>
  <c r="CD41" i="20"/>
  <c r="G41" i="20"/>
  <c r="AL28" i="20"/>
  <c r="CC28" i="20"/>
  <c r="CZ28" i="20"/>
  <c r="BC28" i="20"/>
  <c r="DA28" i="20"/>
  <c r="DP28" i="20"/>
  <c r="BY28" i="20"/>
  <c r="K28" i="20"/>
  <c r="BF28" i="20"/>
  <c r="CV28" i="20"/>
  <c r="AA28" i="20"/>
  <c r="BV28" i="20"/>
  <c r="G28" i="20"/>
  <c r="CP28" i="20"/>
  <c r="J28" i="20"/>
  <c r="DS18" i="20"/>
  <c r="CE18" i="20"/>
  <c r="AA18" i="20"/>
  <c r="DR18" i="20"/>
  <c r="DJ18" i="20"/>
  <c r="DB18" i="20"/>
  <c r="CT18" i="20"/>
  <c r="CL18" i="20"/>
  <c r="CD18" i="20"/>
  <c r="BV18" i="20"/>
  <c r="BN18" i="20"/>
  <c r="BF18" i="20"/>
  <c r="AX18" i="20"/>
  <c r="AP18" i="20"/>
  <c r="AH18" i="20"/>
  <c r="Z18" i="20"/>
  <c r="R18" i="20"/>
  <c r="DJ22" i="20"/>
  <c r="AC20" i="21"/>
  <c r="AG32" i="21"/>
  <c r="BO41" i="20"/>
  <c r="DI41" i="20"/>
  <c r="DD28" i="20"/>
  <c r="AQ28" i="20"/>
  <c r="CL28" i="20"/>
  <c r="W28" i="20"/>
  <c r="BK28" i="20"/>
  <c r="DB28" i="20"/>
  <c r="AM28" i="20"/>
  <c r="CG28" i="20"/>
  <c r="DR28" i="20"/>
  <c r="BE28" i="20"/>
  <c r="DE28" i="20"/>
  <c r="BG28" i="20"/>
  <c r="CA28" i="20"/>
  <c r="V28" i="20"/>
  <c r="AH28" i="20"/>
  <c r="CU18" i="20"/>
  <c r="BO18" i="20"/>
  <c r="AI18" i="20"/>
  <c r="CI22" i="20"/>
  <c r="DI18" i="20"/>
  <c r="CS18" i="20"/>
  <c r="CC18" i="20"/>
  <c r="BM18" i="20"/>
  <c r="AW18" i="20"/>
  <c r="AG18" i="20"/>
  <c r="Q18" i="20"/>
  <c r="AI22" i="20"/>
  <c r="CB22" i="20"/>
  <c r="AJ41" i="20"/>
  <c r="AY41" i="20"/>
  <c r="BJ28" i="20"/>
  <c r="L28" i="20"/>
  <c r="BW28" i="20"/>
  <c r="CX28" i="20"/>
  <c r="AB28" i="20"/>
  <c r="CM28" i="20"/>
  <c r="H28" i="20"/>
  <c r="AR28" i="20"/>
  <c r="DC28" i="20"/>
  <c r="X28" i="20"/>
  <c r="BL28" i="20"/>
  <c r="DS28" i="20"/>
  <c r="AN28" i="20"/>
  <c r="AZ28" i="20"/>
  <c r="M7" i="33"/>
  <c r="V8" i="21" s="1"/>
  <c r="W8" i="21"/>
  <c r="P7" i="33"/>
  <c r="L7" i="33" a="1"/>
  <c r="L7" i="33" s="1"/>
  <c r="AF13" i="21"/>
  <c r="AD13" i="21"/>
  <c r="AN13" i="21"/>
  <c r="AP13" i="21" s="1"/>
  <c r="AQ13" i="21" s="1"/>
  <c r="AH13" i="21"/>
  <c r="AI13" i="21" s="1"/>
  <c r="AJ13" i="21" s="1"/>
  <c r="AM13" i="21"/>
  <c r="AO13" i="21" s="1"/>
  <c r="AG13" i="21"/>
  <c r="AC13" i="21"/>
  <c r="AC32" i="21"/>
  <c r="DE39" i="20"/>
  <c r="L39" i="20"/>
  <c r="AY39" i="20"/>
  <c r="AE39" i="20"/>
  <c r="X39" i="20"/>
  <c r="AK39" i="20"/>
  <c r="AU39" i="20"/>
  <c r="CF39" i="20"/>
  <c r="CQ39" i="20"/>
  <c r="AF32" i="21"/>
  <c r="DT27" i="20"/>
  <c r="AX27" i="20"/>
  <c r="AW27" i="20"/>
  <c r="DG27" i="20"/>
  <c r="BC27" i="20"/>
  <c r="DF27" i="20"/>
  <c r="CM27" i="20"/>
  <c r="Z27" i="20"/>
  <c r="O27" i="20"/>
  <c r="N27" i="20"/>
  <c r="DB27" i="20"/>
  <c r="DS27" i="20"/>
  <c r="AL27" i="20"/>
  <c r="DQ39" i="20"/>
  <c r="E17" i="21"/>
  <c r="K17" i="21" s="1"/>
  <c r="L17" i="21"/>
  <c r="BP25" i="20"/>
  <c r="CB25" i="20"/>
  <c r="CT25" i="20"/>
  <c r="BA25" i="20"/>
  <c r="G25" i="20"/>
  <c r="BU25" i="20"/>
  <c r="AA25" i="20"/>
  <c r="CO25" i="20"/>
  <c r="AU25" i="20"/>
  <c r="BF25" i="20"/>
  <c r="M25" i="20"/>
  <c r="CH25" i="20"/>
  <c r="CI25" i="20"/>
  <c r="CR25" i="20"/>
  <c r="AF25" i="20"/>
  <c r="T25" i="20"/>
  <c r="BD25" i="20"/>
  <c r="Y25" i="20"/>
  <c r="CL25" i="20"/>
  <c r="AS25" i="20"/>
  <c r="DN25" i="20"/>
  <c r="BM25" i="20"/>
  <c r="S25" i="20"/>
  <c r="CG25" i="20"/>
  <c r="CY25" i="20"/>
  <c r="AX25" i="20"/>
  <c r="DS25" i="20"/>
  <c r="N25" i="20"/>
  <c r="BH25" i="20"/>
  <c r="CZ25" i="20"/>
  <c r="AZ25" i="20"/>
  <c r="DJ25" i="20"/>
  <c r="CA25" i="20"/>
  <c r="Z25" i="20"/>
  <c r="CU25" i="20"/>
  <c r="BB25" i="20"/>
  <c r="DO25" i="20"/>
  <c r="BN25" i="20"/>
  <c r="U25" i="20"/>
  <c r="AM25" i="20"/>
  <c r="DA25" i="20"/>
  <c r="BG25" i="20"/>
  <c r="BI25" i="20"/>
  <c r="CV25" i="20"/>
  <c r="H25" i="20"/>
  <c r="DP25" i="20"/>
  <c r="F25" i="20"/>
  <c r="CJ25" i="20"/>
  <c r="BR25" i="20"/>
  <c r="Q25" i="20"/>
  <c r="CD25" i="20"/>
  <c r="AK25" i="20"/>
  <c r="DF25" i="20"/>
  <c r="BE25" i="20"/>
  <c r="K25" i="20"/>
  <c r="AD25" i="20"/>
  <c r="CQ25" i="20"/>
  <c r="CS25" i="20"/>
  <c r="AY25" i="20"/>
  <c r="P25" i="20"/>
  <c r="AG29" i="20"/>
  <c r="BA29" i="20"/>
  <c r="BC29" i="20"/>
  <c r="AJ29" i="20"/>
  <c r="CM29" i="20"/>
  <c r="R29" i="20"/>
  <c r="CO29" i="20"/>
  <c r="BR29" i="20"/>
  <c r="L29" i="20"/>
  <c r="AE29" i="20"/>
  <c r="AW29" i="20"/>
  <c r="DT29" i="20"/>
  <c r="AY29" i="20"/>
  <c r="DB29" i="20"/>
  <c r="CI29" i="20"/>
  <c r="CU29" i="20"/>
  <c r="CT29" i="20"/>
  <c r="BK29" i="20"/>
  <c r="CC29" i="20"/>
  <c r="CW29" i="20"/>
  <c r="BZ29" i="20"/>
  <c r="T29" i="20"/>
  <c r="AT29" i="20"/>
  <c r="BE29" i="20"/>
  <c r="M29" i="20"/>
  <c r="BT29" i="20"/>
  <c r="AX29" i="20"/>
  <c r="BD29" i="20"/>
  <c r="DP29" i="20"/>
  <c r="AV29" i="20"/>
  <c r="V29" i="20"/>
  <c r="AH29" i="20"/>
  <c r="Y29" i="20"/>
  <c r="CZ29" i="20"/>
  <c r="AK29" i="20"/>
  <c r="X29" i="20"/>
  <c r="BV29" i="20"/>
  <c r="P29" i="20"/>
  <c r="CB29" i="20"/>
  <c r="BP29" i="20"/>
  <c r="AF29" i="20"/>
  <c r="DA29" i="20"/>
  <c r="F29" i="20"/>
  <c r="CX29" i="20"/>
  <c r="AN29" i="20"/>
  <c r="CE29" i="20"/>
  <c r="DH29" i="20"/>
  <c r="AS29" i="20"/>
  <c r="AL29" i="20"/>
  <c r="AB29" i="20"/>
  <c r="BL29" i="20"/>
  <c r="BM29" i="20"/>
  <c r="U29" i="20"/>
  <c r="CY29" i="20"/>
  <c r="BF29" i="20"/>
  <c r="CA29" i="20"/>
  <c r="DF29" i="20"/>
  <c r="DL29" i="20"/>
  <c r="AI29" i="20"/>
  <c r="H29" i="20"/>
  <c r="Y35" i="21"/>
  <c r="M35" i="21"/>
  <c r="K34" i="33"/>
  <c r="D37" i="20"/>
  <c r="E37" i="20" s="1"/>
  <c r="Q35" i="21"/>
  <c r="H35" i="21"/>
  <c r="N35" i="21"/>
  <c r="B37" i="20"/>
  <c r="U35" i="21"/>
  <c r="S35" i="21"/>
  <c r="Y27" i="21"/>
  <c r="E27" i="21"/>
  <c r="K27" i="21" s="1"/>
  <c r="K26" i="33"/>
  <c r="M26" i="33" s="1"/>
  <c r="D29" i="20"/>
  <c r="E29" i="20" s="1"/>
  <c r="L56" i="33" a="1"/>
  <c r="L56" i="33" s="1"/>
  <c r="P56" i="33"/>
  <c r="M56" i="33"/>
  <c r="N56" i="33" s="1"/>
  <c r="O56" i="33" s="1"/>
  <c r="AH32" i="21"/>
  <c r="AI32" i="21" s="1"/>
  <c r="AJ32" i="21" s="1"/>
  <c r="BJ39" i="20"/>
  <c r="BL27" i="20"/>
  <c r="L27" i="20"/>
  <c r="CG27" i="20"/>
  <c r="H27" i="20"/>
  <c r="AR27" i="20"/>
  <c r="DD27" i="20"/>
  <c r="CV27" i="20"/>
  <c r="BX27" i="20"/>
  <c r="BY27" i="20"/>
  <c r="AJ27" i="20"/>
  <c r="CJ27" i="20"/>
  <c r="Y13" i="21"/>
  <c r="K12" i="33"/>
  <c r="L49" i="33" a="1"/>
  <c r="L49" i="33" s="1"/>
  <c r="S49" i="33"/>
  <c r="P49" i="33"/>
  <c r="R49" i="33"/>
  <c r="Q49" i="33"/>
  <c r="L92" i="33" a="1"/>
  <c r="L92" i="33" s="1"/>
  <c r="S92" i="33"/>
  <c r="Q92" i="33"/>
  <c r="R92" i="33"/>
  <c r="L98" i="33" a="1"/>
  <c r="L98" i="33" s="1"/>
  <c r="P98" i="33"/>
  <c r="M98" i="33"/>
  <c r="N98" i="33" s="1"/>
  <c r="O98" i="33" s="1"/>
  <c r="S98" i="33"/>
  <c r="Q98" i="33"/>
  <c r="P86" i="33"/>
  <c r="M86" i="33"/>
  <c r="N86" i="33" s="1"/>
  <c r="O86" i="33" s="1"/>
  <c r="AC25" i="21"/>
  <c r="AN23" i="21"/>
  <c r="AP23" i="21" s="1"/>
  <c r="AQ23" i="21" s="1"/>
  <c r="I27" i="20"/>
  <c r="CB27" i="20"/>
  <c r="CU27" i="20"/>
  <c r="CK27" i="20"/>
  <c r="W27" i="20"/>
  <c r="AT27" i="20"/>
  <c r="CH27" i="20"/>
  <c r="CZ27" i="20"/>
  <c r="DM39" i="20"/>
  <c r="Y18" i="21"/>
  <c r="K17" i="33"/>
  <c r="J18" i="21"/>
  <c r="N18" i="21"/>
  <c r="L44" i="33" a="1"/>
  <c r="L44" i="33" s="1"/>
  <c r="Q44" i="33"/>
  <c r="AN32" i="21"/>
  <c r="AP32" i="21" s="1"/>
  <c r="AQ32" i="21" s="1"/>
  <c r="BZ39" i="20"/>
  <c r="K16" i="33"/>
  <c r="R16" i="33" s="1"/>
  <c r="Y17" i="21"/>
  <c r="H17" i="21"/>
  <c r="D19" i="20"/>
  <c r="E19" i="20" s="1"/>
  <c r="B19" i="20"/>
  <c r="F17" i="21"/>
  <c r="K9" i="33"/>
  <c r="H10" i="21"/>
  <c r="L10" i="21"/>
  <c r="M10" i="21" s="1"/>
  <c r="F10" i="21"/>
  <c r="G10" i="21" s="1"/>
  <c r="L80" i="33" a="1"/>
  <c r="L80" i="33" s="1"/>
  <c r="P80" i="33"/>
  <c r="R80" i="33"/>
  <c r="Q80" i="33"/>
  <c r="S80" i="33"/>
  <c r="AD32" i="21"/>
  <c r="AM32" i="21"/>
  <c r="AO32" i="21" s="1"/>
  <c r="BF39" i="20"/>
  <c r="Y38" i="21"/>
  <c r="K37" i="33"/>
  <c r="L37" i="33" s="1" a="1"/>
  <c r="L37" i="33" s="1"/>
  <c r="Q38" i="21"/>
  <c r="O38" i="21"/>
  <c r="U38" i="21"/>
  <c r="R38" i="21"/>
  <c r="T38" i="21" s="1"/>
  <c r="Z38" i="21" s="1"/>
  <c r="L38" i="21"/>
  <c r="H38" i="21"/>
  <c r="N38" i="21"/>
  <c r="Y30" i="21"/>
  <c r="K29" i="33"/>
  <c r="J30" i="21"/>
  <c r="D32" i="20"/>
  <c r="E32" i="20" s="1"/>
  <c r="B32" i="20"/>
  <c r="N30" i="21"/>
  <c r="E30" i="21"/>
  <c r="K30" i="21" s="1"/>
  <c r="S30" i="21"/>
  <c r="Q30" i="21"/>
  <c r="M30" i="21"/>
  <c r="F30" i="21"/>
  <c r="Y22" i="21"/>
  <c r="K21" i="33"/>
  <c r="D24" i="20"/>
  <c r="E24" i="20" s="1"/>
  <c r="B24" i="20"/>
  <c r="L22" i="21"/>
  <c r="H22" i="21"/>
  <c r="M80" i="33"/>
  <c r="N80" i="33" s="1"/>
  <c r="O80" i="33" s="1"/>
  <c r="CR39" i="20"/>
  <c r="J10" i="21"/>
  <c r="N17" i="21"/>
  <c r="Y37" i="21"/>
  <c r="K36" i="33"/>
  <c r="Q37" i="21"/>
  <c r="H37" i="21"/>
  <c r="F37" i="21"/>
  <c r="S37" i="21"/>
  <c r="U37" i="21"/>
  <c r="M37" i="21"/>
  <c r="R37" i="21"/>
  <c r="T37" i="21" s="1"/>
  <c r="Z37" i="21" s="1"/>
  <c r="J37" i="21"/>
  <c r="L37" i="21"/>
  <c r="Y29" i="21"/>
  <c r="Q29" i="21"/>
  <c r="H29" i="21"/>
  <c r="N29" i="21"/>
  <c r="K28" i="33"/>
  <c r="D31" i="20"/>
  <c r="E31" i="20" s="1"/>
  <c r="O29" i="21"/>
  <c r="J29" i="21"/>
  <c r="F29" i="21"/>
  <c r="Q38" i="33"/>
  <c r="S38" i="33"/>
  <c r="P38" i="33"/>
  <c r="L38" i="33" a="1"/>
  <c r="L38" i="33" s="1"/>
  <c r="M72" i="33"/>
  <c r="N72" i="33" s="1"/>
  <c r="O72" i="33" s="1"/>
  <c r="S96" i="33"/>
  <c r="Q96" i="33"/>
  <c r="R96" i="33"/>
  <c r="P96" i="33"/>
  <c r="P66" i="33"/>
  <c r="K24" i="33"/>
  <c r="M24" i="33" s="1"/>
  <c r="V26" i="21" s="1"/>
  <c r="K31" i="33"/>
  <c r="K39" i="33"/>
  <c r="S57" i="33"/>
  <c r="S81" i="33"/>
  <c r="L43" i="33" a="1"/>
  <c r="L43" i="33" s="1"/>
  <c r="K18" i="33"/>
  <c r="Q18" i="33" s="1"/>
  <c r="K13" i="33"/>
  <c r="Q85" i="33"/>
  <c r="P60" i="33"/>
  <c r="Q65" i="33"/>
  <c r="R65" i="33"/>
  <c r="P65" i="33"/>
  <c r="M85" i="33"/>
  <c r="N85" i="33" s="1"/>
  <c r="O85" i="33" s="1"/>
  <c r="R66" i="33"/>
  <c r="K25" i="33"/>
  <c r="K32" i="33"/>
  <c r="R84" i="33"/>
  <c r="Q66" i="33"/>
  <c r="K33" i="33"/>
  <c r="M73" i="33"/>
  <c r="N73" i="33" s="1"/>
  <c r="O73" i="33" s="1"/>
  <c r="S85" i="33"/>
  <c r="S43" i="33"/>
  <c r="Q43" i="33"/>
  <c r="R43" i="33"/>
  <c r="P43" i="33"/>
  <c r="M48" i="33"/>
  <c r="N48" i="33" s="1"/>
  <c r="O48" i="33" s="1"/>
  <c r="S72" i="33"/>
  <c r="Q72" i="33"/>
  <c r="R72" i="33"/>
  <c r="P72" i="33"/>
  <c r="S66" i="33"/>
  <c r="S65" i="33"/>
  <c r="P46" i="33"/>
  <c r="M54" i="33"/>
  <c r="N54" i="33" s="1"/>
  <c r="O54" i="33" s="1"/>
  <c r="S60" i="33"/>
  <c r="M78" i="33"/>
  <c r="N78" i="33" s="1"/>
  <c r="O78" i="33" s="1"/>
  <c r="R54" i="33"/>
  <c r="E16" i="21"/>
  <c r="K16" i="21" s="1"/>
  <c r="Y16" i="21"/>
  <c r="S48" i="33"/>
  <c r="Q48" i="33"/>
  <c r="R48" i="33"/>
  <c r="P48" i="33"/>
  <c r="K22" i="33"/>
  <c r="S70" i="33"/>
  <c r="Q24" i="33"/>
  <c r="CE41" i="20"/>
  <c r="BV41" i="20"/>
  <c r="AI41" i="20"/>
  <c r="AB41" i="20"/>
  <c r="BJ41" i="20"/>
  <c r="CV41" i="20"/>
  <c r="P41" i="20"/>
  <c r="AS41" i="20"/>
  <c r="CJ41" i="20"/>
  <c r="DM41" i="20"/>
  <c r="AO41" i="20"/>
  <c r="S41" i="20"/>
  <c r="BF41" i="20"/>
  <c r="BK41" i="20"/>
  <c r="L41" i="20"/>
  <c r="P84" i="33"/>
  <c r="M95" i="33"/>
  <c r="N95" i="33" s="1"/>
  <c r="O95" i="33" s="1"/>
  <c r="R79" i="33"/>
  <c r="P90" i="33"/>
  <c r="M58" i="33"/>
  <c r="N58" i="33" s="1"/>
  <c r="O58" i="33" s="1"/>
  <c r="M59" i="33"/>
  <c r="N59" i="33" s="1"/>
  <c r="O59" i="33" s="1"/>
  <c r="M75" i="33"/>
  <c r="N75" i="33" s="1"/>
  <c r="O75" i="33" s="1"/>
  <c r="M91" i="33"/>
  <c r="N91" i="33" s="1"/>
  <c r="O91" i="33" s="1"/>
  <c r="M41" i="33"/>
  <c r="N41" i="33" s="1"/>
  <c r="O41" i="33" s="1"/>
  <c r="M76" i="33"/>
  <c r="N76" i="33" s="1"/>
  <c r="O76" i="33" s="1"/>
  <c r="P54" i="33"/>
  <c r="R62" i="33"/>
  <c r="Q70" i="33"/>
  <c r="S78" i="33"/>
  <c r="L46" i="33" a="1"/>
  <c r="L46" i="33" s="1"/>
  <c r="L54" i="33" a="1"/>
  <c r="L54" i="33" s="1"/>
  <c r="L62" i="33" a="1"/>
  <c r="L62" i="33" s="1"/>
  <c r="L70" i="33" a="1"/>
  <c r="L70" i="33" s="1"/>
  <c r="L78" i="33" a="1"/>
  <c r="L78" i="33" s="1"/>
  <c r="L86" i="33" a="1"/>
  <c r="L86" i="33" s="1"/>
  <c r="L94" i="33" a="1"/>
  <c r="L94" i="33" s="1"/>
  <c r="W26" i="21"/>
  <c r="CQ41" i="20"/>
  <c r="T41" i="20"/>
  <c r="BB41" i="20"/>
  <c r="CN41" i="20"/>
  <c r="H41" i="20"/>
  <c r="AK41" i="20"/>
  <c r="CB41" i="20"/>
  <c r="DE41" i="20"/>
  <c r="AG41" i="20"/>
  <c r="DS41" i="20"/>
  <c r="DA41" i="20"/>
  <c r="AE41" i="20"/>
  <c r="DR41" i="20"/>
  <c r="AL41" i="20"/>
  <c r="BX41" i="20"/>
  <c r="Q52" i="33"/>
  <c r="R68" i="33"/>
  <c r="S79" i="33"/>
  <c r="Q79" i="33"/>
  <c r="P63" i="33"/>
  <c r="R90" i="33"/>
  <c r="M49" i="33"/>
  <c r="N49" i="33" s="1"/>
  <c r="O49" i="33" s="1"/>
  <c r="M81" i="33"/>
  <c r="N81" i="33" s="1"/>
  <c r="O81" i="33" s="1"/>
  <c r="P62" i="33"/>
  <c r="R70" i="33"/>
  <c r="Q78" i="33"/>
  <c r="S86" i="33"/>
  <c r="L47" i="33" a="1"/>
  <c r="L47" i="33" s="1"/>
  <c r="L63" i="33" a="1"/>
  <c r="L63" i="33" s="1"/>
  <c r="L79" i="33" a="1"/>
  <c r="L79" i="33" s="1"/>
  <c r="L95" i="33" a="1"/>
  <c r="L95" i="33" s="1"/>
  <c r="AT41" i="20"/>
  <c r="CF41" i="20"/>
  <c r="DN41" i="20"/>
  <c r="AC41" i="20"/>
  <c r="BT41" i="20"/>
  <c r="CW41" i="20"/>
  <c r="Y41" i="20"/>
  <c r="DC41" i="20"/>
  <c r="CS41" i="20"/>
  <c r="DG41" i="20"/>
  <c r="AX41" i="20"/>
  <c r="AD41" i="20"/>
  <c r="BP41" i="20"/>
  <c r="CX41" i="20"/>
  <c r="M41" i="20"/>
  <c r="P68" i="33"/>
  <c r="R63" i="33"/>
  <c r="Q90" i="33"/>
  <c r="P74" i="33"/>
  <c r="M52" i="33"/>
  <c r="N52" i="33" s="1"/>
  <c r="O52" i="33" s="1"/>
  <c r="M84" i="33"/>
  <c r="N84" i="33" s="1"/>
  <c r="O84" i="33" s="1"/>
  <c r="R78" i="33"/>
  <c r="Q86" i="33"/>
  <c r="S94" i="33"/>
  <c r="S24" i="33"/>
  <c r="L24" i="33" a="1"/>
  <c r="L24" i="33" s="1"/>
  <c r="W32" i="21"/>
  <c r="DF41" i="20"/>
  <c r="U41" i="20"/>
  <c r="BL41" i="20"/>
  <c r="CO41" i="20"/>
  <c r="Q41" i="20"/>
  <c r="BW41" i="20"/>
  <c r="CK41" i="20"/>
  <c r="CA41" i="20"/>
  <c r="AP41" i="20"/>
  <c r="DO41" i="20"/>
  <c r="DJ41" i="20"/>
  <c r="CP41" i="20"/>
  <c r="F41" i="20"/>
  <c r="AV41" i="20"/>
  <c r="BY41" i="20"/>
  <c r="Q100" i="33"/>
  <c r="R52" i="33"/>
  <c r="S63" i="33"/>
  <c r="Q63" i="33"/>
  <c r="P47" i="33"/>
  <c r="S90" i="33"/>
  <c r="R74" i="33"/>
  <c r="M57" i="33"/>
  <c r="N57" i="33" s="1"/>
  <c r="O57" i="33" s="1"/>
  <c r="M89" i="33"/>
  <c r="N89" i="33" s="1"/>
  <c r="O89" i="33" s="1"/>
  <c r="R86" i="33"/>
  <c r="Q94" i="33"/>
  <c r="L65" i="33" a="1"/>
  <c r="L65" i="33" s="1"/>
  <c r="L97" i="33" a="1"/>
  <c r="L97" i="33" s="1"/>
  <c r="BD41" i="20"/>
  <c r="CG41" i="20"/>
  <c r="I41" i="20"/>
  <c r="BG41" i="20"/>
  <c r="CC41" i="20"/>
  <c r="AU41" i="20"/>
  <c r="AH41" i="20"/>
  <c r="CI41" i="20"/>
  <c r="DB41" i="20"/>
  <c r="V41" i="20"/>
  <c r="BH41" i="20"/>
  <c r="AN41" i="20"/>
  <c r="BQ41" i="20"/>
  <c r="DH41" i="20"/>
  <c r="P52" i="33"/>
  <c r="R47" i="33"/>
  <c r="M90" i="33"/>
  <c r="N90" i="33" s="1"/>
  <c r="O90" i="33" s="1"/>
  <c r="Q74" i="33"/>
  <c r="P58" i="33"/>
  <c r="Q30" i="33"/>
  <c r="S41" i="33"/>
  <c r="M51" i="33"/>
  <c r="N51" i="33" s="1"/>
  <c r="O51" i="33" s="1"/>
  <c r="M67" i="33"/>
  <c r="N67" i="33" s="1"/>
  <c r="O67" i="33" s="1"/>
  <c r="M83" i="33"/>
  <c r="N83" i="33" s="1"/>
  <c r="O83" i="33" s="1"/>
  <c r="M99" i="33"/>
  <c r="N99" i="33" s="1"/>
  <c r="O99" i="33" s="1"/>
  <c r="M60" i="33"/>
  <c r="N60" i="33" s="1"/>
  <c r="O60" i="33" s="1"/>
  <c r="M92" i="33"/>
  <c r="N92" i="33" s="1"/>
  <c r="O92" i="33" s="1"/>
  <c r="R94" i="33"/>
  <c r="S46" i="33"/>
  <c r="L58" i="33" a="1"/>
  <c r="L58" i="33" s="1"/>
  <c r="L74" i="33" a="1"/>
  <c r="L74" i="33" s="1"/>
  <c r="P24" i="33"/>
  <c r="R24" i="33"/>
  <c r="P30" i="33"/>
  <c r="S37" i="33"/>
  <c r="CM41" i="20"/>
  <c r="DP41" i="20"/>
  <c r="AQ41" i="20"/>
  <c r="BU41" i="20"/>
  <c r="O41" i="20"/>
  <c r="Z41" i="20"/>
  <c r="BC41" i="20"/>
  <c r="CT41" i="20"/>
  <c r="N41" i="20"/>
  <c r="AZ41" i="20"/>
  <c r="CH41" i="20"/>
  <c r="DT41" i="20"/>
  <c r="CZ41" i="20"/>
  <c r="AA41" i="20"/>
  <c r="BE41" i="20"/>
  <c r="M30" i="33"/>
  <c r="N30" i="33" s="1"/>
  <c r="O30" i="33" s="1"/>
  <c r="R20" i="33"/>
  <c r="Q84" i="33"/>
  <c r="R100" i="33"/>
  <c r="S47" i="33"/>
  <c r="Q47" i="33"/>
  <c r="P95" i="33"/>
  <c r="S74" i="33"/>
  <c r="R58" i="33"/>
  <c r="Q46" i="33"/>
  <c r="S54" i="33"/>
  <c r="W39" i="21"/>
  <c r="K41" i="20"/>
  <c r="BM41" i="20"/>
  <c r="CY41" i="20"/>
  <c r="R41" i="20"/>
  <c r="W41" i="20"/>
  <c r="CL41" i="20"/>
  <c r="CU41" i="20"/>
  <c r="AR41" i="20"/>
  <c r="BZ41" i="20"/>
  <c r="DL41" i="20"/>
  <c r="AF41" i="20"/>
  <c r="BI41" i="20"/>
  <c r="AW41" i="20"/>
  <c r="AM41" i="20"/>
  <c r="P100" i="33"/>
  <c r="R30" i="33"/>
  <c r="S52" i="33"/>
  <c r="S68" i="33"/>
  <c r="S84" i="33"/>
  <c r="S100" i="33"/>
  <c r="M68" i="33"/>
  <c r="N68" i="33" s="1"/>
  <c r="O68" i="33" s="1"/>
  <c r="M100" i="33"/>
  <c r="N100" i="33" s="1"/>
  <c r="O100" i="33" s="1"/>
  <c r="AF12" i="21"/>
  <c r="AD12" i="21"/>
  <c r="AM12" i="21"/>
  <c r="AO12" i="21" s="1"/>
  <c r="X57" i="21" a="1"/>
  <c r="X57" i="21" s="1"/>
  <c r="AA22" i="20"/>
  <c r="F22" i="20"/>
  <c r="X22" i="20"/>
  <c r="P22" i="20"/>
  <c r="AD35" i="20"/>
  <c r="AU35" i="20"/>
  <c r="DO35" i="20"/>
  <c r="AW35" i="20"/>
  <c r="BW35" i="20"/>
  <c r="AT35" i="20"/>
  <c r="BP35" i="20"/>
  <c r="U35" i="20"/>
  <c r="BX35" i="20"/>
  <c r="AG35" i="20"/>
  <c r="T35" i="20"/>
  <c r="AQ35" i="20"/>
  <c r="BJ35" i="20"/>
  <c r="J35" i="20"/>
  <c r="AO42" i="20"/>
  <c r="DO42" i="20"/>
  <c r="AM21" i="21"/>
  <c r="AO21" i="21" s="1"/>
  <c r="F42" i="20"/>
  <c r="BX42" i="20"/>
  <c r="Z42" i="20"/>
  <c r="DI42" i="20"/>
  <c r="AN21" i="21"/>
  <c r="AP21" i="21" s="1"/>
  <c r="AQ21" i="21" s="1"/>
  <c r="AF19" i="21"/>
  <c r="Z40" i="20"/>
  <c r="AT40" i="20"/>
  <c r="CB40" i="20"/>
  <c r="DQ40" i="20"/>
  <c r="DS40" i="20"/>
  <c r="CN40" i="20"/>
  <c r="CY40" i="20"/>
  <c r="BN40" i="20"/>
  <c r="AM40" i="20"/>
  <c r="DP40" i="20"/>
  <c r="Q37" i="33"/>
  <c r="DL40" i="20"/>
  <c r="DK22" i="20"/>
  <c r="CF22" i="20"/>
  <c r="BW22" i="20"/>
  <c r="BP22" i="20"/>
  <c r="BG22" i="20"/>
  <c r="AX22" i="20"/>
  <c r="AF38" i="21"/>
  <c r="DH42" i="20"/>
  <c r="BN42" i="20"/>
  <c r="S42" i="20"/>
  <c r="CM42" i="20"/>
  <c r="AR42" i="20"/>
  <c r="DL42" i="20"/>
  <c r="BR42" i="20"/>
  <c r="W42" i="20"/>
  <c r="AG40" i="20"/>
  <c r="M40" i="20"/>
  <c r="CL40" i="20"/>
  <c r="AN40" i="20"/>
  <c r="AN12" i="21"/>
  <c r="AP12" i="21" s="1"/>
  <c r="AQ12" i="21" s="1"/>
  <c r="AD22" i="20"/>
  <c r="U22" i="20"/>
  <c r="N22" i="20"/>
  <c r="DD35" i="20"/>
  <c r="AB35" i="20"/>
  <c r="CR35" i="20"/>
  <c r="CM35" i="20"/>
  <c r="CW35" i="20"/>
  <c r="CV35" i="20"/>
  <c r="AS35" i="20"/>
  <c r="AI35" i="20"/>
  <c r="CG35" i="20"/>
  <c r="BO35" i="20"/>
  <c r="BL35" i="20"/>
  <c r="AF35" i="20"/>
  <c r="DC35" i="20"/>
  <c r="BS35" i="20"/>
  <c r="AJ42" i="20"/>
  <c r="N42" i="20"/>
  <c r="CD42" i="20"/>
  <c r="CL42" i="20"/>
  <c r="AG42" i="20"/>
  <c r="DF42" i="20"/>
  <c r="AM18" i="21"/>
  <c r="AO18" i="21" s="1"/>
  <c r="AF21" i="21"/>
  <c r="AC18" i="21"/>
  <c r="BD35" i="20"/>
  <c r="AG19" i="21"/>
  <c r="AA40" i="20"/>
  <c r="CD40" i="20"/>
  <c r="CH40" i="20"/>
  <c r="DO40" i="20"/>
  <c r="BG40" i="20"/>
  <c r="AB40" i="20"/>
  <c r="DJ40" i="20"/>
  <c r="H40" i="20"/>
  <c r="R37" i="33"/>
  <c r="BO40" i="20"/>
  <c r="BV40" i="20"/>
  <c r="DS22" i="20"/>
  <c r="DQ22" i="20"/>
  <c r="DA22" i="20"/>
  <c r="CS22" i="20"/>
  <c r="CR22" i="20"/>
  <c r="CE22" i="20"/>
  <c r="BK22" i="20"/>
  <c r="BD22" i="20"/>
  <c r="AH22" i="20"/>
  <c r="AD38" i="21"/>
  <c r="AM19" i="21"/>
  <c r="AO19" i="21" s="1"/>
  <c r="DR42" i="20"/>
  <c r="BW42" i="20"/>
  <c r="AB42" i="20"/>
  <c r="CV42" i="20"/>
  <c r="BB42" i="20"/>
  <c r="G42" i="20"/>
  <c r="CA42" i="20"/>
  <c r="BY40" i="20"/>
  <c r="DD40" i="20"/>
  <c r="CU40" i="20"/>
  <c r="AX40" i="20"/>
  <c r="S18" i="33"/>
  <c r="Z22" i="20"/>
  <c r="Q22" i="20"/>
  <c r="AC22" i="20"/>
  <c r="S22" i="20"/>
  <c r="AP22" i="20"/>
  <c r="CB35" i="20"/>
  <c r="CQ35" i="20"/>
  <c r="M35" i="20"/>
  <c r="BN35" i="20"/>
  <c r="DR35" i="20"/>
  <c r="AL35" i="20"/>
  <c r="CE35" i="20"/>
  <c r="H35" i="20"/>
  <c r="L35" i="20"/>
  <c r="DG35" i="20"/>
  <c r="AM35" i="20"/>
  <c r="BG35" i="20"/>
  <c r="BI35" i="20"/>
  <c r="DM35" i="20"/>
  <c r="AX42" i="20"/>
  <c r="CK42" i="20"/>
  <c r="M42" i="20"/>
  <c r="AU42" i="20"/>
  <c r="BC42" i="20"/>
  <c r="DS42" i="20"/>
  <c r="BT42" i="20"/>
  <c r="AN18" i="21"/>
  <c r="AP18" i="21" s="1"/>
  <c r="AQ18" i="21" s="1"/>
  <c r="BE35" i="20"/>
  <c r="AH19" i="21"/>
  <c r="AI19" i="21" s="1"/>
  <c r="AJ19" i="21" s="1"/>
  <c r="BL40" i="20"/>
  <c r="DH40" i="20"/>
  <c r="BW40" i="20"/>
  <c r="DB40" i="20"/>
  <c r="BU40" i="20"/>
  <c r="V40" i="20"/>
  <c r="CV40" i="20"/>
  <c r="BX40" i="20"/>
  <c r="BE40" i="20"/>
  <c r="M37" i="33"/>
  <c r="V39" i="21" s="1"/>
  <c r="AD40" i="20"/>
  <c r="DG40" i="20"/>
  <c r="DR22" i="20"/>
  <c r="DP22" i="20"/>
  <c r="DI22" i="20"/>
  <c r="DH22" i="20"/>
  <c r="DB22" i="20"/>
  <c r="CZ22" i="20"/>
  <c r="CU22" i="20"/>
  <c r="CM22" i="20"/>
  <c r="CL22" i="20"/>
  <c r="CK22" i="20"/>
  <c r="CA22" i="20"/>
  <c r="BS22" i="20"/>
  <c r="BO22" i="20"/>
  <c r="BJ22" i="20"/>
  <c r="BC22" i="20"/>
  <c r="BA22" i="20"/>
  <c r="AR22" i="20"/>
  <c r="AN22" i="20"/>
  <c r="AD21" i="21"/>
  <c r="BO42" i="20"/>
  <c r="T42" i="20"/>
  <c r="CN42" i="20"/>
  <c r="AT42" i="20"/>
  <c r="DN42" i="20"/>
  <c r="BS42" i="20"/>
  <c r="CW42" i="20"/>
  <c r="AJ40" i="20"/>
  <c r="AU40" i="20"/>
  <c r="X40" i="20"/>
  <c r="CF40" i="20"/>
  <c r="M18" i="33"/>
  <c r="V19" i="21" s="1"/>
  <c r="Q26" i="33"/>
  <c r="AJ22" i="20"/>
  <c r="L22" i="20"/>
  <c r="Y22" i="20"/>
  <c r="G22" i="20"/>
  <c r="O22" i="20"/>
  <c r="AZ35" i="20"/>
  <c r="X35" i="20"/>
  <c r="AX35" i="20"/>
  <c r="BY35" i="20"/>
  <c r="AP35" i="20"/>
  <c r="BQ35" i="20"/>
  <c r="BV35" i="20"/>
  <c r="AC35" i="20"/>
  <c r="BH35" i="20"/>
  <c r="P35" i="20"/>
  <c r="F35" i="20"/>
  <c r="DI35" i="20"/>
  <c r="CH35" i="20"/>
  <c r="N35" i="20"/>
  <c r="O42" i="20"/>
  <c r="CE42" i="20"/>
  <c r="BH42" i="20"/>
  <c r="J42" i="20"/>
  <c r="BP42" i="20"/>
  <c r="R42" i="20"/>
  <c r="CC42" i="20"/>
  <c r="AL42" i="20"/>
  <c r="AG21" i="21"/>
  <c r="T40" i="20"/>
  <c r="CX40" i="20"/>
  <c r="CG40" i="20"/>
  <c r="AL40" i="20"/>
  <c r="DC40" i="20"/>
  <c r="AR40" i="20"/>
  <c r="AP40" i="20"/>
  <c r="DI40" i="20"/>
  <c r="CR40" i="20"/>
  <c r="BC40" i="20"/>
  <c r="P37" i="33"/>
  <c r="CZ40" i="20"/>
  <c r="CK40" i="20"/>
  <c r="DG22" i="20"/>
  <c r="CT22" i="20"/>
  <c r="CH22" i="20"/>
  <c r="BZ22" i="20"/>
  <c r="BV22" i="20"/>
  <c r="BL22" i="20"/>
  <c r="BE22" i="20"/>
  <c r="AV22" i="20"/>
  <c r="AT22" i="20"/>
  <c r="AL22" i="20"/>
  <c r="CH42" i="20"/>
  <c r="AM42" i="20"/>
  <c r="DG42" i="20"/>
  <c r="DM42" i="20"/>
  <c r="AC42" i="20"/>
  <c r="DA42" i="20"/>
  <c r="AN42" i="20"/>
  <c r="BM40" i="20"/>
  <c r="BD40" i="20"/>
  <c r="AH40" i="20"/>
  <c r="CP40" i="20"/>
  <c r="AC12" i="21"/>
  <c r="W22" i="20"/>
  <c r="AK22" i="20"/>
  <c r="V22" i="20"/>
  <c r="AS22" i="20"/>
  <c r="M22" i="20"/>
  <c r="AH35" i="20"/>
  <c r="DS35" i="20"/>
  <c r="CA35" i="20"/>
  <c r="DK35" i="20"/>
  <c r="V35" i="20"/>
  <c r="AN35" i="20"/>
  <c r="Q35" i="20"/>
  <c r="DN35" i="20"/>
  <c r="CO35" i="20"/>
  <c r="CJ35" i="20"/>
  <c r="CU35" i="20"/>
  <c r="AJ35" i="20"/>
  <c r="BF35" i="20"/>
  <c r="AO35" i="20"/>
  <c r="CR42" i="20"/>
  <c r="BQ42" i="20"/>
  <c r="BI42" i="20"/>
  <c r="CP42" i="20"/>
  <c r="CO42" i="20"/>
  <c r="CX42" i="20"/>
  <c r="AY42" i="20"/>
  <c r="DE42" i="20"/>
  <c r="AH21" i="21"/>
  <c r="AI21" i="21" s="1"/>
  <c r="AJ21" i="21" s="1"/>
  <c r="P18" i="33"/>
  <c r="CQ40" i="20"/>
  <c r="BI40" i="20"/>
  <c r="AE40" i="20"/>
  <c r="Q40" i="20"/>
  <c r="BR40" i="20"/>
  <c r="AW40" i="20"/>
  <c r="AQ40" i="20"/>
  <c r="U40" i="20"/>
  <c r="CT40" i="20"/>
  <c r="CW40" i="20"/>
  <c r="BA40" i="20"/>
  <c r="AC40" i="20"/>
  <c r="DO22" i="20"/>
  <c r="CY22" i="20"/>
  <c r="CX22" i="20"/>
  <c r="CG22" i="20"/>
  <c r="CC22" i="20"/>
  <c r="BY22" i="20"/>
  <c r="BR22" i="20"/>
  <c r="BI22" i="20"/>
  <c r="BF22" i="20"/>
  <c r="AY22" i="20"/>
  <c r="AU22" i="20"/>
  <c r="AM38" i="21"/>
  <c r="AO38" i="21" s="1"/>
  <c r="AE42" i="20"/>
  <c r="CY42" i="20"/>
  <c r="CG42" i="20"/>
  <c r="DQ42" i="20"/>
  <c r="BU42" i="20"/>
  <c r="AF42" i="20"/>
  <c r="CZ42" i="20"/>
  <c r="I40" i="20"/>
  <c r="J40" i="20"/>
  <c r="W40" i="20"/>
  <c r="DR40" i="20"/>
  <c r="CZ35" i="20"/>
  <c r="L26" i="33" a="1"/>
  <c r="L26" i="33" s="1"/>
  <c r="R22" i="20"/>
  <c r="AG22" i="20"/>
  <c r="T22" i="20"/>
  <c r="AQ22" i="20"/>
  <c r="J22" i="20"/>
  <c r="CS35" i="20"/>
  <c r="DH35" i="20"/>
  <c r="DP35" i="20"/>
  <c r="DB35" i="20"/>
  <c r="CY35" i="20"/>
  <c r="K35" i="20"/>
  <c r="BR35" i="20"/>
  <c r="CC35" i="20"/>
  <c r="BK35" i="20"/>
  <c r="DF35" i="20"/>
  <c r="CN35" i="20"/>
  <c r="AV35" i="20"/>
  <c r="AA35" i="20"/>
  <c r="DL35" i="20"/>
  <c r="R26" i="33"/>
  <c r="BJ42" i="20"/>
  <c r="K42" i="20"/>
  <c r="DC42" i="20"/>
  <c r="BD42" i="20"/>
  <c r="DK42" i="20"/>
  <c r="BL42" i="20"/>
  <c r="AK42" i="20"/>
  <c r="CF42" i="20"/>
  <c r="AF18" i="21"/>
  <c r="CP35" i="20"/>
  <c r="AN19" i="21"/>
  <c r="AP19" i="21" s="1"/>
  <c r="AQ19" i="21" s="1"/>
  <c r="R18" i="33"/>
  <c r="L18" i="33" a="1"/>
  <c r="L18" i="33" s="1"/>
  <c r="DK40" i="20"/>
  <c r="BP40" i="20"/>
  <c r="AY40" i="20"/>
  <c r="Y40" i="20"/>
  <c r="P40" i="20"/>
  <c r="AS40" i="20"/>
  <c r="DT40" i="20"/>
  <c r="BB40" i="20"/>
  <c r="BH40" i="20"/>
  <c r="F40" i="20"/>
  <c r="CI40" i="20"/>
  <c r="DM40" i="20"/>
  <c r="CW22" i="20"/>
  <c r="CQ22" i="20"/>
  <c r="CP22" i="20"/>
  <c r="CN22" i="20"/>
  <c r="CD22" i="20"/>
  <c r="BX22" i="20"/>
  <c r="BU22" i="20"/>
  <c r="BQ22" i="20"/>
  <c r="AZ22" i="20"/>
  <c r="AE22" i="20"/>
  <c r="AD18" i="21"/>
  <c r="AH38" i="21"/>
  <c r="AI38" i="21" s="1"/>
  <c r="AJ38" i="21" s="1"/>
  <c r="AN38" i="21"/>
  <c r="AP38" i="21" s="1"/>
  <c r="AQ38" i="21" s="1"/>
  <c r="BA42" i="20"/>
  <c r="BE42" i="20"/>
  <c r="I42" i="20"/>
  <c r="P42" i="20"/>
  <c r="CJ42" i="20"/>
  <c r="AP42" i="20"/>
  <c r="DJ42" i="20"/>
  <c r="AZ40" i="20"/>
  <c r="S40" i="20"/>
  <c r="AF40" i="20"/>
  <c r="X61" i="21" a="1"/>
  <c r="X61" i="21" s="1"/>
  <c r="I22" i="20"/>
  <c r="AF22" i="20"/>
  <c r="H22" i="20"/>
  <c r="AO22" i="20"/>
  <c r="AY35" i="20"/>
  <c r="G35" i="20"/>
  <c r="CX35" i="20"/>
  <c r="AE35" i="20"/>
  <c r="CF35" i="20"/>
  <c r="BA35" i="20"/>
  <c r="CT35" i="20"/>
  <c r="BZ35" i="20"/>
  <c r="Y35" i="20"/>
  <c r="CL35" i="20"/>
  <c r="R35" i="20"/>
  <c r="BC35" i="20"/>
  <c r="DE35" i="20"/>
  <c r="AK35" i="20"/>
  <c r="X42" i="20"/>
  <c r="CQ42" i="20"/>
  <c r="Q42" i="20"/>
  <c r="V42" i="20"/>
  <c r="AW42" i="20"/>
  <c r="AD42" i="20"/>
  <c r="CT42" i="20"/>
  <c r="BM42" i="20"/>
  <c r="DJ35" i="20"/>
  <c r="AC19" i="21"/>
  <c r="BZ40" i="20"/>
  <c r="CS40" i="20"/>
  <c r="N40" i="20"/>
  <c r="DN40" i="20"/>
  <c r="R40" i="20"/>
  <c r="BS40" i="20"/>
  <c r="CO40" i="20"/>
  <c r="G40" i="20"/>
  <c r="CC40" i="20"/>
  <c r="CJ40" i="20"/>
  <c r="DF40" i="20"/>
  <c r="DN22" i="20"/>
  <c r="DL22" i="20"/>
  <c r="DF22" i="20"/>
  <c r="DE22" i="20"/>
  <c r="CO22" i="20"/>
  <c r="BN22" i="20"/>
  <c r="W19" i="21"/>
  <c r="U42" i="20"/>
  <c r="Y42" i="20"/>
  <c r="CS42" i="20"/>
  <c r="H42" i="20"/>
  <c r="CB42" i="20"/>
  <c r="AH42" i="20"/>
  <c r="DB42" i="20"/>
  <c r="BG42" i="20"/>
  <c r="BK40" i="20"/>
  <c r="CM40" i="20"/>
  <c r="AO40" i="20"/>
  <c r="Q34" i="6"/>
  <c r="Y52" i="21" a="1"/>
  <c r="Y52" i="21" s="1"/>
  <c r="L71" i="21" a="1"/>
  <c r="L71" i="21" s="1"/>
  <c r="K71" i="21" s="1"/>
  <c r="N52" i="21" a="1"/>
  <c r="N52" i="21" s="1"/>
  <c r="K52" i="21" s="1"/>
  <c r="X55" i="21" a="1"/>
  <c r="X55" i="21" s="1"/>
  <c r="X59" i="21" a="1"/>
  <c r="X59" i="21" s="1"/>
  <c r="Y55" i="21" a="1"/>
  <c r="Y55" i="21" s="1"/>
  <c r="N59" i="21" a="1"/>
  <c r="N59" i="21" s="1"/>
  <c r="K59" i="21" s="1"/>
  <c r="Q10" i="21"/>
  <c r="R10" i="21" s="1"/>
  <c r="T10" i="21" s="1"/>
  <c r="K10" i="21"/>
  <c r="X10" i="21"/>
  <c r="Y10" i="21" s="1"/>
  <c r="L68" i="21" a="1"/>
  <c r="L68" i="21" s="1"/>
  <c r="K68" i="21" s="1"/>
  <c r="C11" i="37"/>
  <c r="E7" i="23"/>
  <c r="F3" i="20"/>
  <c r="N91" i="6"/>
  <c r="H4" i="9"/>
  <c r="T6" i="9"/>
  <c r="D14" i="34"/>
  <c r="K6" i="8"/>
  <c r="P16" i="33"/>
  <c r="O10" i="21"/>
  <c r="AM10" i="21"/>
  <c r="AO10" i="21" s="1"/>
  <c r="D12" i="20"/>
  <c r="E12" i="20" s="1"/>
  <c r="X68" i="21" a="1"/>
  <c r="X68" i="21" s="1"/>
  <c r="N64" i="21" a="1"/>
  <c r="N64" i="21" s="1"/>
  <c r="X64" i="21" a="1"/>
  <c r="X64" i="21" s="1"/>
  <c r="L64" i="21" a="1"/>
  <c r="L64" i="21" s="1"/>
  <c r="N38" i="33"/>
  <c r="O38" i="33" s="1"/>
  <c r="V32" i="21"/>
  <c r="F13" i="9"/>
  <c r="F14" i="9" s="1"/>
  <c r="H14" i="9"/>
  <c r="D31" i="19"/>
  <c r="H11" i="9"/>
  <c r="O11" i="9" s="1"/>
  <c r="I18" i="34"/>
  <c r="I19" i="34"/>
  <c r="H19" i="31"/>
  <c r="H18" i="31"/>
  <c r="D7" i="31"/>
  <c r="E7" i="31" s="1"/>
  <c r="E20" i="34"/>
  <c r="I11" i="34"/>
  <c r="E17" i="34"/>
  <c r="E18" i="34"/>
  <c r="E15" i="34"/>
  <c r="E14" i="34"/>
  <c r="F7" i="34"/>
  <c r="E16" i="34"/>
  <c r="I12" i="34"/>
  <c r="E19" i="34"/>
  <c r="G33" i="27"/>
  <c r="W34" i="6"/>
  <c r="N105" i="6"/>
  <c r="AG16" i="21"/>
  <c r="AC16" i="21"/>
  <c r="AF16" i="21"/>
  <c r="AN16" i="21"/>
  <c r="AP16" i="21" s="1"/>
  <c r="AQ16" i="21" s="1"/>
  <c r="AH16" i="21"/>
  <c r="AI16" i="21" s="1"/>
  <c r="AJ16" i="21" s="1"/>
  <c r="F9" i="21"/>
  <c r="G9" i="21" s="1"/>
  <c r="S10" i="6"/>
  <c r="N24" i="33"/>
  <c r="O24" i="33" s="1"/>
  <c r="N20" i="33"/>
  <c r="O20" i="33" s="1"/>
  <c r="N67" i="6"/>
  <c r="N66" i="6" s="1"/>
  <c r="K55" i="21"/>
  <c r="N65" i="21" a="1"/>
  <c r="N65" i="21" s="1"/>
  <c r="K65" i="21" s="1"/>
  <c r="L61" i="21" a="1"/>
  <c r="L61" i="21" s="1"/>
  <c r="K61" i="21" s="1"/>
  <c r="X65" i="21" a="1"/>
  <c r="X65" i="21" s="1"/>
  <c r="X69" i="21" a="1"/>
  <c r="X69" i="21" s="1"/>
  <c r="Y65" i="21" a="1"/>
  <c r="Y65" i="21" s="1"/>
  <c r="L57" i="21" a="1"/>
  <c r="L57" i="21" s="1"/>
  <c r="K57" i="21" s="1"/>
  <c r="N69" i="21" a="1"/>
  <c r="N69" i="21" s="1"/>
  <c r="K69" i="21" s="1"/>
  <c r="Y61" i="21" a="1"/>
  <c r="Y61" i="21" s="1"/>
  <c r="N49" i="21" a="1"/>
  <c r="N49" i="21" s="1"/>
  <c r="Y69" i="21" a="1"/>
  <c r="Y69" i="21" s="1"/>
  <c r="Y57" i="21" a="1"/>
  <c r="Y57" i="21" s="1"/>
  <c r="N63" i="21" a="1"/>
  <c r="N63" i="21" s="1"/>
  <c r="K51" i="21"/>
  <c r="Y68" i="21" a="1"/>
  <c r="Y68" i="21" s="1"/>
  <c r="Y8" i="21"/>
  <c r="G8" i="21"/>
  <c r="H72" i="21"/>
  <c r="J58" i="21" s="1"/>
  <c r="N60" i="21" a="1"/>
  <c r="N60" i="21" s="1"/>
  <c r="K60" i="21" s="1"/>
  <c r="N66" i="21" a="1"/>
  <c r="N66" i="21" s="1"/>
  <c r="Y63" i="21" a="1"/>
  <c r="Y63" i="21" s="1"/>
  <c r="L66" i="21" a="1"/>
  <c r="L66" i="21" s="1"/>
  <c r="X66" i="21" a="1"/>
  <c r="X66" i="21" s="1"/>
  <c r="L63" i="21" a="1"/>
  <c r="L63" i="21" s="1"/>
  <c r="D8" i="20"/>
  <c r="E8" i="20" s="1"/>
  <c r="X56" i="21" a="1"/>
  <c r="X56" i="21" s="1"/>
  <c r="K8" i="21"/>
  <c r="K6" i="21"/>
  <c r="N67" i="21" a="1"/>
  <c r="N67" i="21" s="1"/>
  <c r="K67" i="21" s="1"/>
  <c r="Y60" i="21" a="1"/>
  <c r="Y60" i="21" s="1"/>
  <c r="I6" i="21"/>
  <c r="Y67" i="21" a="1"/>
  <c r="Y67" i="21" s="1"/>
  <c r="Y70" i="21" a="1"/>
  <c r="Y70" i="21" s="1"/>
  <c r="L53" i="21" a="1"/>
  <c r="L53" i="21" s="1"/>
  <c r="K53" i="21" s="1"/>
  <c r="M8" i="21"/>
  <c r="Y53" i="21" a="1"/>
  <c r="Y53" i="21" s="1"/>
  <c r="Q8" i="33"/>
  <c r="L56" i="21" a="1"/>
  <c r="L56" i="21" s="1"/>
  <c r="K56" i="21" s="1"/>
  <c r="Y56" i="21" a="1"/>
  <c r="Y56" i="21" s="1"/>
  <c r="X67" i="21" a="1"/>
  <c r="X67" i="21" s="1"/>
  <c r="L48" i="21" a="1"/>
  <c r="L48" i="21" s="1"/>
  <c r="K48" i="21" s="1"/>
  <c r="Y6" i="21"/>
  <c r="M9" i="21"/>
  <c r="O8" i="21"/>
  <c r="D10" i="20"/>
  <c r="E10" i="20" s="1"/>
  <c r="L49" i="21" a="1"/>
  <c r="L49" i="21" s="1"/>
  <c r="N70" i="21" a="1"/>
  <c r="N70" i="21" s="1"/>
  <c r="K70" i="21" s="1"/>
  <c r="X70" i="21" a="1"/>
  <c r="X70" i="21" s="1"/>
  <c r="Y49" i="21" a="1"/>
  <c r="Y49" i="21" s="1"/>
  <c r="X60" i="21" a="1"/>
  <c r="X60" i="21" s="1"/>
  <c r="X53" i="21" a="1"/>
  <c r="X53" i="21" s="1"/>
  <c r="M10" i="6"/>
  <c r="X10" i="6"/>
  <c r="W40" i="18" s="1"/>
  <c r="N18" i="33"/>
  <c r="O18" i="33" s="1"/>
  <c r="Z8" i="6"/>
  <c r="N8" i="6"/>
  <c r="W9" i="6" s="1"/>
  <c r="T8" i="6"/>
  <c r="T10" i="6" s="1"/>
  <c r="P8" i="6"/>
  <c r="V8" i="6"/>
  <c r="K12" i="39"/>
  <c r="R8" i="6"/>
  <c r="W10" i="6"/>
  <c r="AA10" i="6"/>
  <c r="Q10" i="6"/>
  <c r="O10" i="6"/>
  <c r="H8" i="27" s="1"/>
  <c r="L13" i="39"/>
  <c r="V25" i="21"/>
  <c r="AK58" i="8" a="1"/>
  <c r="AK58" i="8" s="1"/>
  <c r="AM41" i="8" a="1"/>
  <c r="AM41" i="8" s="1"/>
  <c r="AL57" i="8" a="1"/>
  <c r="AL57" i="8" s="1"/>
  <c r="U10" i="8" a="1"/>
  <c r="U10" i="8" s="1"/>
  <c r="N9" i="6" s="1" a="1"/>
  <c r="N9" i="6" s="1"/>
  <c r="AA31" i="8" a="1"/>
  <c r="AA31" i="8" s="1"/>
  <c r="AE30" i="6" s="1"/>
  <c r="AL56" i="8" a="1"/>
  <c r="AL56" i="8" s="1"/>
  <c r="Y9" i="8" a="1"/>
  <c r="Y9" i="8" s="1"/>
  <c r="F8" i="6" s="1"/>
  <c r="G7" i="22" s="1"/>
  <c r="AA10" i="8" a="1"/>
  <c r="AA10" i="8" s="1"/>
  <c r="AE9" i="6" s="1"/>
  <c r="Y38" i="8" a="1"/>
  <c r="Y38" i="8" s="1"/>
  <c r="F37" i="6" s="1"/>
  <c r="G36" i="22" s="1"/>
  <c r="AL52" i="8" a="1"/>
  <c r="AL52" i="8" s="1"/>
  <c r="AL43" i="8" a="1"/>
  <c r="AL43" i="8" s="1"/>
  <c r="AA25" i="8" a="1"/>
  <c r="AA25" i="8" s="1"/>
  <c r="AE24" i="6" s="1"/>
  <c r="AL59" i="8" a="1"/>
  <c r="AL59" i="8" s="1"/>
  <c r="AL31" i="8" a="1"/>
  <c r="AL31" i="8" s="1"/>
  <c r="W30" i="8" a="1"/>
  <c r="W30" i="8" s="1"/>
  <c r="E33" i="39" s="1"/>
  <c r="W14" i="8" a="1"/>
  <c r="W14" i="8" s="1"/>
  <c r="E16" i="39" s="1"/>
  <c r="AL48" i="8" a="1"/>
  <c r="AL48" i="8" s="1"/>
  <c r="AL55" i="8" a="1"/>
  <c r="AL55" i="8" s="1"/>
  <c r="AL60" i="8" a="1"/>
  <c r="AL60" i="8" s="1"/>
  <c r="AK53" i="8" a="1"/>
  <c r="AK53" i="8" s="1"/>
  <c r="Y37" i="8" a="1"/>
  <c r="Y37" i="8" s="1"/>
  <c r="G40" i="39" s="1"/>
  <c r="AL39" i="8" a="1"/>
  <c r="AL39" i="8" s="1"/>
  <c r="AL64" i="8" a="1"/>
  <c r="AL64" i="8" s="1"/>
  <c r="AK51" i="8" a="1"/>
  <c r="AK51" i="8" s="1"/>
  <c r="W12" i="8" a="1"/>
  <c r="W12" i="8" s="1"/>
  <c r="AL23" i="8" a="1"/>
  <c r="AL23" i="8" s="1"/>
  <c r="AA20" i="8" a="1"/>
  <c r="AA20" i="8" s="1"/>
  <c r="AE19" i="6" s="1"/>
  <c r="U36" i="8" a="1"/>
  <c r="U36" i="8" s="1"/>
  <c r="C39" i="39" s="1"/>
  <c r="W11" i="8" a="1"/>
  <c r="W11" i="8" s="1"/>
  <c r="D10" i="6" s="1"/>
  <c r="E9" i="22" s="1"/>
  <c r="Y35" i="8" a="1"/>
  <c r="Y35" i="8" s="1"/>
  <c r="G38" i="39" s="1"/>
  <c r="Y36" i="8" a="1"/>
  <c r="Y36" i="8" s="1"/>
  <c r="G39" i="39" s="1"/>
  <c r="AL33" i="8" a="1"/>
  <c r="AL33" i="8" s="1"/>
  <c r="AL61" i="8" a="1"/>
  <c r="AL61" i="8" s="1"/>
  <c r="AL58" i="8" a="1"/>
  <c r="AL58" i="8" s="1"/>
  <c r="AK59" i="8" a="1"/>
  <c r="AK59" i="8" s="1"/>
  <c r="W35" i="8" a="1"/>
  <c r="W35" i="8" s="1"/>
  <c r="U20" i="8" a="1"/>
  <c r="U20" i="8" s="1"/>
  <c r="N19" i="6" s="1" a="1"/>
  <c r="N19" i="6" s="1"/>
  <c r="G17" i="27" s="1"/>
  <c r="AK45" i="8" a="1"/>
  <c r="AK45" i="8" s="1"/>
  <c r="AA14" i="8" a="1"/>
  <c r="AA14" i="8" s="1"/>
  <c r="AE13" i="6" s="1"/>
  <c r="AL17" i="8" a="1"/>
  <c r="AL17" i="8" s="1"/>
  <c r="AL24" i="8" a="1"/>
  <c r="AL24" i="8" s="1"/>
  <c r="AK70" i="8" a="1"/>
  <c r="AK70" i="8" s="1"/>
  <c r="W34" i="8" a="1"/>
  <c r="W34" i="8" s="1"/>
  <c r="AJ58" i="8" a="1"/>
  <c r="AJ58" i="8" s="1"/>
  <c r="AJ52" i="8" a="1"/>
  <c r="AJ52" i="8" s="1"/>
  <c r="AA12" i="8" a="1"/>
  <c r="AA12" i="8" s="1"/>
  <c r="AE11" i="6" s="1"/>
  <c r="AL38" i="8" a="1"/>
  <c r="AL38" i="8" s="1"/>
  <c r="AL29" i="8" a="1"/>
  <c r="AL29" i="8" s="1"/>
  <c r="AJ65" i="8" a="1"/>
  <c r="AJ65" i="8" s="1"/>
  <c r="U12" i="8" a="1"/>
  <c r="U12" i="8" s="1"/>
  <c r="P11" i="6" s="1" a="1"/>
  <c r="P11" i="6" s="1"/>
  <c r="AK44" i="8" a="1"/>
  <c r="AK44" i="8" s="1"/>
  <c r="W37" i="8" a="1"/>
  <c r="W37" i="8" s="1"/>
  <c r="Y25" i="8" a="1"/>
  <c r="Y25" i="8" s="1"/>
  <c r="AM11" i="8" a="1"/>
  <c r="AM11" i="8" s="1"/>
  <c r="AL51" i="8" a="1"/>
  <c r="AL51" i="8" s="1"/>
  <c r="AL45" i="8" a="1"/>
  <c r="AL45" i="8" s="1"/>
  <c r="AL34" i="8" a="1"/>
  <c r="AL34" i="8" s="1"/>
  <c r="AJ16" i="8" a="1"/>
  <c r="AJ16" i="8" s="1"/>
  <c r="AJ64" i="8" a="1"/>
  <c r="AJ64" i="8" s="1"/>
  <c r="AK22" i="8" a="1"/>
  <c r="AK22" i="8" s="1"/>
  <c r="AK64" i="8" a="1"/>
  <c r="AK64" i="8" s="1"/>
  <c r="AL50" i="8" a="1"/>
  <c r="AL50" i="8" s="1"/>
  <c r="AC27" i="8" a="1"/>
  <c r="AC27" i="8" s="1"/>
  <c r="I30" i="39" s="1"/>
  <c r="AJ70" i="8" a="1"/>
  <c r="AJ70" i="8" s="1"/>
  <c r="AJ21" i="8" a="1"/>
  <c r="AJ21" i="8" s="1"/>
  <c r="AK38" i="8" a="1"/>
  <c r="AK38" i="8" s="1"/>
  <c r="AJ40" i="8" a="1"/>
  <c r="AJ40" i="8" s="1"/>
  <c r="AA30" i="8" a="1"/>
  <c r="AA30" i="8" s="1"/>
  <c r="AE29" i="6" s="1"/>
  <c r="AJ59" i="8" a="1"/>
  <c r="AJ59" i="8" s="1"/>
  <c r="Y13" i="8" a="1"/>
  <c r="Y13" i="8" s="1"/>
  <c r="G15" i="39" s="1"/>
  <c r="AL71" i="8" a="1"/>
  <c r="AL71" i="8" s="1"/>
  <c r="AK23" i="8" a="1"/>
  <c r="AK23" i="8" s="1"/>
  <c r="AJ32" i="8" a="1"/>
  <c r="AJ32" i="8" s="1"/>
  <c r="AK16" i="8" a="1"/>
  <c r="AK16" i="8" s="1"/>
  <c r="AJ17" i="8" a="1"/>
  <c r="AJ17" i="8" s="1"/>
  <c r="AJ34" i="8" a="1"/>
  <c r="AJ34" i="8" s="1"/>
  <c r="AL49" i="8" a="1"/>
  <c r="AL49" i="8" s="1"/>
  <c r="AK20" i="8" a="1"/>
  <c r="AK20" i="8" s="1"/>
  <c r="W38" i="8" a="1"/>
  <c r="W38" i="8" s="1"/>
  <c r="D37" i="6" s="1"/>
  <c r="W20" i="8" a="1"/>
  <c r="W20" i="8" s="1"/>
  <c r="U29" i="8" a="1"/>
  <c r="U29" i="8" s="1"/>
  <c r="C32" i="39" s="1"/>
  <c r="AM50" i="8" a="1"/>
  <c r="AM50" i="8" s="1"/>
  <c r="AM17" i="21"/>
  <c r="AO17" i="21" s="1"/>
  <c r="AD17" i="21"/>
  <c r="AD24" i="21"/>
  <c r="S20" i="33"/>
  <c r="AC24" i="21"/>
  <c r="AH23" i="21"/>
  <c r="AI23" i="21" s="1"/>
  <c r="AJ23" i="21" s="1"/>
  <c r="AC34" i="21"/>
  <c r="AF36" i="21"/>
  <c r="AN36" i="21"/>
  <c r="AP36" i="21" s="1"/>
  <c r="AQ36" i="21" s="1"/>
  <c r="AH17" i="21"/>
  <c r="AI17" i="21" s="1"/>
  <c r="AJ17" i="21" s="1"/>
  <c r="AF23" i="21"/>
  <c r="AD23" i="21"/>
  <c r="AF34" i="21"/>
  <c r="AH34" i="21"/>
  <c r="AI34" i="21" s="1"/>
  <c r="AJ34" i="21" s="1"/>
  <c r="AM24" i="21"/>
  <c r="AO24" i="21" s="1"/>
  <c r="AC17" i="21"/>
  <c r="AN24" i="21"/>
  <c r="AP24" i="21" s="1"/>
  <c r="AQ24" i="21" s="1"/>
  <c r="AG23" i="21"/>
  <c r="AD34" i="21"/>
  <c r="AG34" i="21"/>
  <c r="AN17" i="21"/>
  <c r="AP17" i="21" s="1"/>
  <c r="AQ17" i="21" s="1"/>
  <c r="K62" i="21"/>
  <c r="AG17" i="21"/>
  <c r="AC36" i="21"/>
  <c r="AH36" i="21"/>
  <c r="AI36" i="21" s="1"/>
  <c r="AJ36" i="21" s="1"/>
  <c r="V37" i="21"/>
  <c r="AF24" i="21"/>
  <c r="AC23" i="21"/>
  <c r="AD36" i="21"/>
  <c r="AG36" i="21"/>
  <c r="J35" i="6"/>
  <c r="W64" i="18"/>
  <c r="M38" i="39"/>
  <c r="AM31" i="8" a="1"/>
  <c r="AM31" i="8" s="1"/>
  <c r="AJ29" i="8" a="1"/>
  <c r="AJ29" i="8" s="1"/>
  <c r="E4" i="25"/>
  <c r="L28" i="19"/>
  <c r="D40" i="19"/>
  <c r="G33" i="19" s="1"/>
  <c r="H12" i="11" s="1"/>
  <c r="H5" i="11"/>
  <c r="L26" i="19"/>
  <c r="P105" i="6"/>
  <c r="R82" i="6"/>
  <c r="I21" i="11"/>
  <c r="AF50" i="6"/>
  <c r="P82" i="6"/>
  <c r="Z82" i="6"/>
  <c r="T82" i="6"/>
  <c r="E8" i="23"/>
  <c r="D307" i="23" s="1"/>
  <c r="J307" i="23" s="1"/>
  <c r="C7" i="11"/>
  <c r="C13" i="11" s="1"/>
  <c r="D24" i="19"/>
  <c r="I17" i="11"/>
  <c r="P11" i="33"/>
  <c r="W12" i="21"/>
  <c r="W10" i="21"/>
  <c r="M9" i="33"/>
  <c r="L9" i="33" a="1"/>
  <c r="L9" i="33" s="1"/>
  <c r="P9" i="33"/>
  <c r="D11" i="20"/>
  <c r="E11" i="20" s="1"/>
  <c r="K9" i="21"/>
  <c r="Y9" i="21"/>
  <c r="O9" i="21"/>
  <c r="E7" i="21"/>
  <c r="L7" i="21"/>
  <c r="H7" i="21"/>
  <c r="X7" i="21"/>
  <c r="F7" i="21"/>
  <c r="B7" i="21"/>
  <c r="K6" i="33"/>
  <c r="B9" i="20"/>
  <c r="N7" i="21"/>
  <c r="F11" i="21"/>
  <c r="N11" i="21"/>
  <c r="H11" i="21"/>
  <c r="Y11" i="21" s="1"/>
  <c r="E11" i="21"/>
  <c r="K10" i="33"/>
  <c r="B13" i="20"/>
  <c r="J11" i="21"/>
  <c r="X11" i="21" s="1"/>
  <c r="X50" i="21" a="1"/>
  <c r="X50" i="21" s="1"/>
  <c r="E72" i="21"/>
  <c r="F50" i="21" s="1"/>
  <c r="L50" i="21" a="1"/>
  <c r="L50" i="21" s="1"/>
  <c r="N50" i="21" a="1"/>
  <c r="N50" i="21" s="1"/>
  <c r="Y50" i="21" a="1"/>
  <c r="Y50" i="21" s="1"/>
  <c r="W16" i="21"/>
  <c r="L15" i="33" a="1"/>
  <c r="L15" i="33" s="1"/>
  <c r="M15" i="33"/>
  <c r="V16" i="21" s="1"/>
  <c r="N7" i="33"/>
  <c r="L8" i="6"/>
  <c r="V12" i="21"/>
  <c r="Q11" i="33"/>
  <c r="Q7" i="33"/>
  <c r="N19" i="33"/>
  <c r="O19" i="33" s="1"/>
  <c r="N8" i="33"/>
  <c r="AK34" i="8" a="1"/>
  <c r="AK34" i="8" s="1"/>
  <c r="AK32" i="8" a="1"/>
  <c r="AK32" i="8" s="1"/>
  <c r="AK39" i="8" a="1"/>
  <c r="AK39" i="8" s="1"/>
  <c r="AK24" i="8" a="1"/>
  <c r="AK24" i="8" s="1"/>
  <c r="AK61" i="8" a="1"/>
  <c r="AK61" i="8" s="1"/>
  <c r="AK43" i="8" a="1"/>
  <c r="AK43" i="8" s="1"/>
  <c r="W26" i="8" a="1"/>
  <c r="W26" i="8" s="1"/>
  <c r="AK29" i="8" a="1"/>
  <c r="AK29" i="8" s="1"/>
  <c r="AK69" i="8" a="1"/>
  <c r="AK69" i="8" s="1"/>
  <c r="AK12" i="8" a="1"/>
  <c r="AK12" i="8" s="1"/>
  <c r="W36" i="8" a="1"/>
  <c r="W36" i="8" s="1"/>
  <c r="AK33" i="8" a="1"/>
  <c r="AK33" i="8" s="1"/>
  <c r="AK21" i="8" a="1"/>
  <c r="AK21" i="8" s="1"/>
  <c r="AK52" i="8" a="1"/>
  <c r="AK52" i="8" s="1"/>
  <c r="AK46" i="8" a="1"/>
  <c r="AK46" i="8" s="1"/>
  <c r="AK41" i="8" a="1"/>
  <c r="AK41" i="8" s="1"/>
  <c r="W28" i="8" a="1"/>
  <c r="W28" i="8" s="1"/>
  <c r="W31" i="8" a="1"/>
  <c r="W31" i="8" s="1"/>
  <c r="AK60" i="8" a="1"/>
  <c r="AK60" i="8" s="1"/>
  <c r="W19" i="8" a="1"/>
  <c r="W19" i="8" s="1"/>
  <c r="AK31" i="8" a="1"/>
  <c r="AK31" i="8" s="1"/>
  <c r="W13" i="8" a="1"/>
  <c r="W13" i="8" s="1"/>
  <c r="W9" i="8" a="1"/>
  <c r="W9" i="8" s="1"/>
  <c r="AK55" i="8" a="1"/>
  <c r="AK55" i="8" s="1"/>
  <c r="AK48" i="8" a="1"/>
  <c r="AK48" i="8" s="1"/>
  <c r="AK65" i="8" a="1"/>
  <c r="AK65" i="8" s="1"/>
  <c r="AK57" i="8" a="1"/>
  <c r="AK57" i="8" s="1"/>
  <c r="W25" i="8" a="1"/>
  <c r="W25" i="8" s="1"/>
  <c r="AK42" i="8" a="1"/>
  <c r="AK42" i="8" s="1"/>
  <c r="AK62" i="8" a="1"/>
  <c r="AK62" i="8" s="1"/>
  <c r="AK49" i="8" a="1"/>
  <c r="AK49" i="8" s="1"/>
  <c r="AK11" i="8" a="1"/>
  <c r="AK11" i="8" s="1"/>
  <c r="AK17" i="8" a="1"/>
  <c r="AK17" i="8" s="1"/>
  <c r="AK40" i="8" a="1"/>
  <c r="AK40" i="8" s="1"/>
  <c r="AK71" i="8" a="1"/>
  <c r="AK71" i="8" s="1"/>
  <c r="AJ25" i="8" a="1"/>
  <c r="AJ25" i="8" s="1"/>
  <c r="AJ69" i="8" a="1"/>
  <c r="AJ69" i="8" s="1"/>
  <c r="AJ51" i="8" a="1"/>
  <c r="AJ51" i="8" s="1"/>
  <c r="U27" i="8" a="1"/>
  <c r="U27" i="8" s="1"/>
  <c r="AJ48" i="8" a="1"/>
  <c r="AJ48" i="8" s="1"/>
  <c r="U35" i="8" a="1"/>
  <c r="U35" i="8" s="1"/>
  <c r="AJ44" i="8" a="1"/>
  <c r="AJ44" i="8" s="1"/>
  <c r="U25" i="8" a="1"/>
  <c r="U25" i="8" s="1"/>
  <c r="B24" i="6" s="1"/>
  <c r="AJ57" i="8" a="1"/>
  <c r="AJ57" i="8" s="1"/>
  <c r="AJ50" i="8" a="1"/>
  <c r="AJ50" i="8" s="1"/>
  <c r="AJ61" i="8" a="1"/>
  <c r="AJ61" i="8" s="1"/>
  <c r="AJ55" i="8" a="1"/>
  <c r="AJ55" i="8" s="1"/>
  <c r="U13" i="8" a="1"/>
  <c r="U13" i="8" s="1"/>
  <c r="AJ43" i="8" a="1"/>
  <c r="AJ43" i="8" s="1"/>
  <c r="U37" i="8" a="1"/>
  <c r="U37" i="8" s="1"/>
  <c r="U26" i="8" a="1"/>
  <c r="U26" i="8" s="1"/>
  <c r="AJ24" i="8" a="1"/>
  <c r="AJ24" i="8" s="1"/>
  <c r="AJ11" i="8" a="1"/>
  <c r="AJ11" i="8" s="1"/>
  <c r="AJ31" i="8" a="1"/>
  <c r="AJ31" i="8" s="1"/>
  <c r="U11" i="8" a="1"/>
  <c r="U11" i="8" s="1"/>
  <c r="B10" i="6" s="1"/>
  <c r="AJ12" i="8" a="1"/>
  <c r="AJ12" i="8" s="1"/>
  <c r="U18" i="8" a="1"/>
  <c r="U18" i="8" s="1"/>
  <c r="AJ71" i="8" a="1"/>
  <c r="AJ71" i="8" s="1"/>
  <c r="AJ53" i="8" a="1"/>
  <c r="AJ53" i="8" s="1"/>
  <c r="AJ39" i="8" a="1"/>
  <c r="AJ39" i="8" s="1"/>
  <c r="AJ56" i="8" a="1"/>
  <c r="AJ56" i="8" s="1"/>
  <c r="U34" i="8" a="1"/>
  <c r="U34" i="8" s="1"/>
  <c r="AJ62" i="8" a="1"/>
  <c r="AJ62" i="8" s="1"/>
  <c r="U9" i="8" a="1"/>
  <c r="U9" i="8" s="1"/>
  <c r="AJ60" i="8" a="1"/>
  <c r="AJ60" i="8" s="1"/>
  <c r="AJ9" i="8" a="1"/>
  <c r="AJ9" i="8" s="1"/>
  <c r="AJ38" i="8" a="1"/>
  <c r="AJ38" i="8" s="1"/>
  <c r="AJ42" i="8" a="1"/>
  <c r="AJ42" i="8" s="1"/>
  <c r="AC14" i="8" a="1"/>
  <c r="AC14" i="8" s="1"/>
  <c r="AM30" i="8" a="1"/>
  <c r="AM30" i="8" s="1"/>
  <c r="AM64" i="8" a="1"/>
  <c r="AM64" i="8" s="1"/>
  <c r="AC34" i="8" a="1"/>
  <c r="AC34" i="8" s="1"/>
  <c r="AM22" i="8" a="1"/>
  <c r="AM22" i="8" s="1"/>
  <c r="AM23" i="8" a="1"/>
  <c r="AM23" i="8" s="1"/>
  <c r="AA13" i="8" a="1"/>
  <c r="AA13" i="8" s="1"/>
  <c r="AE12" i="6" s="1"/>
  <c r="AL10" i="8" a="1"/>
  <c r="AL10" i="8" s="1"/>
  <c r="AM33" i="8" a="1"/>
  <c r="AM33" i="8" s="1"/>
  <c r="AC13" i="8" a="1"/>
  <c r="AC13" i="8" s="1"/>
  <c r="AM57" i="8" a="1"/>
  <c r="AM57" i="8" s="1"/>
  <c r="AM20" i="8" a="1"/>
  <c r="AM20" i="8" s="1"/>
  <c r="Y12" i="8" a="1"/>
  <c r="Y12" i="8" s="1"/>
  <c r="AC19" i="8" a="1"/>
  <c r="AC19" i="8" s="1"/>
  <c r="AM60" i="8" a="1"/>
  <c r="AM60" i="8" s="1"/>
  <c r="AA38" i="8" a="1"/>
  <c r="AA38" i="8" s="1"/>
  <c r="Y14" i="8" a="1"/>
  <c r="Y14" i="8" s="1"/>
  <c r="AA18" i="8" a="1"/>
  <c r="AA18" i="8" s="1"/>
  <c r="AE17" i="6" s="1"/>
  <c r="AC18" i="8" a="1"/>
  <c r="AC18" i="8" s="1"/>
  <c r="AG17" i="6" s="1"/>
  <c r="AC9" i="8" a="1"/>
  <c r="AC9" i="8" s="1"/>
  <c r="AC20" i="8" a="1"/>
  <c r="AC20" i="8" s="1"/>
  <c r="AM21" i="8" a="1"/>
  <c r="AM21" i="8" s="1"/>
  <c r="AM52" i="8" a="1"/>
  <c r="AM52" i="8" s="1"/>
  <c r="AM53" i="8" a="1"/>
  <c r="AM53" i="8" s="1"/>
  <c r="Y20" i="8" a="1"/>
  <c r="Y20" i="8" s="1"/>
  <c r="Y30" i="8" a="1"/>
  <c r="Y30" i="8" s="1"/>
  <c r="AL65" i="8" a="1"/>
  <c r="AL65" i="8" s="1"/>
  <c r="AM69" i="8" a="1"/>
  <c r="AM69" i="8" s="1"/>
  <c r="AM40" i="8" a="1"/>
  <c r="AM40" i="8" s="1"/>
  <c r="AM10" i="8" a="1"/>
  <c r="AM10" i="8" s="1"/>
  <c r="Y34" i="8" a="1"/>
  <c r="Y34" i="8" s="1"/>
  <c r="AC28" i="8" a="1"/>
  <c r="AC28" i="8" s="1"/>
  <c r="AA27" i="8" a="1"/>
  <c r="AA27" i="8" s="1"/>
  <c r="AC11" i="8" a="1"/>
  <c r="AC11" i="8" s="1"/>
  <c r="AG10" i="6" s="1"/>
  <c r="AA19" i="8" a="1"/>
  <c r="AA19" i="8" s="1"/>
  <c r="AM71" i="8" a="1"/>
  <c r="AM71" i="8" s="1"/>
  <c r="AL69" i="8" a="1"/>
  <c r="AL69" i="8" s="1"/>
  <c r="AL41" i="8" a="1"/>
  <c r="AL41" i="8" s="1"/>
  <c r="Y31" i="8" a="1"/>
  <c r="Y31" i="8" s="1"/>
  <c r="AC12" i="8" a="1"/>
  <c r="AC12" i="8" s="1"/>
  <c r="AL21" i="8" a="1"/>
  <c r="AL21" i="8" s="1"/>
  <c r="AL70" i="8" a="1"/>
  <c r="AL70" i="8" s="1"/>
  <c r="AL16" i="8" a="1"/>
  <c r="AL16" i="8" s="1"/>
  <c r="AL22" i="8" a="1"/>
  <c r="AL22" i="8" s="1"/>
  <c r="AM70" i="8" a="1"/>
  <c r="AM70" i="8" s="1"/>
  <c r="AC25" i="8" a="1"/>
  <c r="AC25" i="8" s="1"/>
  <c r="AM45" i="8" a="1"/>
  <c r="AM45" i="8" s="1"/>
  <c r="AM12" i="8" a="1"/>
  <c r="AM12" i="8" s="1"/>
  <c r="AC36" i="8" a="1"/>
  <c r="AC36" i="8" s="1"/>
  <c r="AM13" i="8" a="1"/>
  <c r="AM13" i="8" s="1"/>
  <c r="AM62" i="8" a="1"/>
  <c r="AM62" i="8" s="1"/>
  <c r="Y27" i="8" a="1"/>
  <c r="Y27" i="8" s="1"/>
  <c r="AL9" i="8" a="1"/>
  <c r="AL9" i="8" s="1"/>
  <c r="AL32" i="8" a="1"/>
  <c r="AL32" i="8" s="1"/>
  <c r="AM49" i="8" a="1"/>
  <c r="AM49" i="8" s="1"/>
  <c r="AM38" i="8" a="1"/>
  <c r="AM38" i="8" s="1"/>
  <c r="AM42" i="8" a="1"/>
  <c r="AM42" i="8" s="1"/>
  <c r="AM17" i="8" a="1"/>
  <c r="AM17" i="8" s="1"/>
  <c r="AC38" i="8" a="1"/>
  <c r="AC38" i="8" s="1"/>
  <c r="Y26" i="8" a="1"/>
  <c r="Y26" i="8" s="1"/>
  <c r="AA26" i="8" a="1"/>
  <c r="AA26" i="8" s="1"/>
  <c r="AA34" i="8" a="1"/>
  <c r="AA34" i="8" s="1"/>
  <c r="Y11" i="8" a="1"/>
  <c r="Y11" i="8" s="1"/>
  <c r="AM9" i="8" a="1"/>
  <c r="AM9" i="8" s="1"/>
  <c r="AL53" i="8" a="1"/>
  <c r="AL53" i="8" s="1"/>
  <c r="AC37" i="8" a="1"/>
  <c r="AC37" i="8" s="1"/>
  <c r="AM43" i="8" a="1"/>
  <c r="AM43" i="8" s="1"/>
  <c r="AM44" i="8" a="1"/>
  <c r="AM44" i="8" s="1"/>
  <c r="W29" i="8" a="1"/>
  <c r="W29" i="8" s="1"/>
  <c r="AK13" i="8" a="1"/>
  <c r="AK13" i="8" s="1"/>
  <c r="AK30" i="8" a="1"/>
  <c r="AK30" i="8" s="1"/>
  <c r="AK56" i="8" a="1"/>
  <c r="AK56" i="8" s="1"/>
  <c r="AK9" i="8" a="1"/>
  <c r="AK9" i="8" s="1"/>
  <c r="W18" i="8" a="1"/>
  <c r="W18" i="8" s="1"/>
  <c r="AK25" i="8" a="1"/>
  <c r="AK25" i="8" s="1"/>
  <c r="AK50" i="8" a="1"/>
  <c r="AK50" i="8" s="1"/>
  <c r="W27" i="8" a="1"/>
  <c r="W27" i="8" s="1"/>
  <c r="AK10" i="8" a="1"/>
  <c r="AK10" i="8" s="1"/>
  <c r="W10" i="8" a="1"/>
  <c r="W10" i="8" s="1"/>
  <c r="AM51" i="8" a="1"/>
  <c r="AM51" i="8" s="1"/>
  <c r="AC10" i="8" a="1"/>
  <c r="AC10" i="8" s="1"/>
  <c r="AM61" i="8" a="1"/>
  <c r="AM61" i="8" s="1"/>
  <c r="AC31" i="8" a="1"/>
  <c r="AC31" i="8" s="1"/>
  <c r="AC30" i="8" a="1"/>
  <c r="AC30" i="8" s="1"/>
  <c r="AC35" i="8" a="1"/>
  <c r="AC35" i="8" s="1"/>
  <c r="Y18" i="8" a="1"/>
  <c r="Y18" i="8" s="1"/>
  <c r="AL62" i="8" a="1"/>
  <c r="AL62" i="8" s="1"/>
  <c r="AL12" i="8" a="1"/>
  <c r="AL12" i="8" s="1"/>
  <c r="Y28" i="8" a="1"/>
  <c r="Y28" i="8" s="1"/>
  <c r="AL11" i="8" a="1"/>
  <c r="AL11" i="8" s="1"/>
  <c r="AA37" i="8" a="1"/>
  <c r="AA37" i="8" s="1"/>
  <c r="Y19" i="8" a="1"/>
  <c r="Y19" i="8" s="1"/>
  <c r="Y10" i="8" a="1"/>
  <c r="Y10" i="8" s="1"/>
  <c r="Y29" i="8" a="1"/>
  <c r="Y29" i="8" s="1"/>
  <c r="AA9" i="8" a="1"/>
  <c r="AA9" i="8" s="1"/>
  <c r="AC26" i="8" a="1"/>
  <c r="AC26" i="8" s="1"/>
  <c r="AL44" i="8" a="1"/>
  <c r="AL44" i="8" s="1"/>
  <c r="AM25" i="8" a="1"/>
  <c r="AM25" i="8" s="1"/>
  <c r="AM59" i="8" a="1"/>
  <c r="AM59" i="8" s="1"/>
  <c r="AM48" i="8" a="1"/>
  <c r="AM48" i="8" s="1"/>
  <c r="AM55" i="8" a="1"/>
  <c r="AM55" i="8" s="1"/>
  <c r="AM24" i="8" a="1"/>
  <c r="AM24" i="8" s="1"/>
  <c r="AA11" i="8" a="1"/>
  <c r="AA11" i="8" s="1"/>
  <c r="AL42" i="8" a="1"/>
  <c r="AL42" i="8" s="1"/>
  <c r="AL20" i="8" a="1"/>
  <c r="AL20" i="8" s="1"/>
  <c r="AA29" i="8" a="1"/>
  <c r="AA29" i="8" s="1"/>
  <c r="AA35" i="8" a="1"/>
  <c r="AA35" i="8" s="1"/>
  <c r="AA36" i="8" a="1"/>
  <c r="AA36" i="8" s="1"/>
  <c r="AM46" i="8" a="1"/>
  <c r="AM46" i="8" s="1"/>
  <c r="AM58" i="8" a="1"/>
  <c r="AM58" i="8" s="1"/>
  <c r="AM34" i="8" a="1"/>
  <c r="AM34" i="8" s="1"/>
  <c r="AM65" i="8" a="1"/>
  <c r="AM65" i="8" s="1"/>
  <c r="AM32" i="8" a="1"/>
  <c r="AM32" i="8" s="1"/>
  <c r="AM56" i="8" a="1"/>
  <c r="AM56" i="8" s="1"/>
  <c r="AC29" i="8" a="1"/>
  <c r="AC29" i="8" s="1"/>
  <c r="AM39" i="8" a="1"/>
  <c r="AM39" i="8" s="1"/>
  <c r="AM29" i="8" a="1"/>
  <c r="AM29" i="8" s="1"/>
  <c r="AM16" i="8" a="1"/>
  <c r="AM16" i="8" s="1"/>
  <c r="AL46" i="8" a="1"/>
  <c r="AL46" i="8" s="1"/>
  <c r="AL13" i="8" a="1"/>
  <c r="AL13" i="8" s="1"/>
  <c r="AL40" i="8" a="1"/>
  <c r="AL40" i="8" s="1"/>
  <c r="AA28" i="8" a="1"/>
  <c r="AA28" i="8" s="1"/>
  <c r="AL25" i="8" a="1"/>
  <c r="AL25" i="8" s="1"/>
  <c r="AL30" i="8" a="1"/>
  <c r="AL30" i="8" s="1"/>
  <c r="U31" i="8" a="1"/>
  <c r="U31" i="8" s="1"/>
  <c r="AJ41" i="8" a="1"/>
  <c r="AJ41" i="8" s="1"/>
  <c r="AJ33" i="8" a="1"/>
  <c r="AJ33" i="8" s="1"/>
  <c r="U14" i="8" a="1"/>
  <c r="U14" i="8" s="1"/>
  <c r="U19" i="8" a="1"/>
  <c r="U19" i="8" s="1"/>
  <c r="AJ23" i="8" a="1"/>
  <c r="AJ23" i="8" s="1"/>
  <c r="AJ45" i="8" a="1"/>
  <c r="AJ45" i="8" s="1"/>
  <c r="U28" i="8" a="1"/>
  <c r="U28" i="8" s="1"/>
  <c r="U38" i="8" a="1"/>
  <c r="U38" i="8" s="1"/>
  <c r="AJ46" i="8" a="1"/>
  <c r="AJ46" i="8" s="1"/>
  <c r="U30" i="8" a="1"/>
  <c r="U30" i="8" s="1"/>
  <c r="AJ20" i="8" a="1"/>
  <c r="AJ20" i="8" s="1"/>
  <c r="AJ22" i="8" a="1"/>
  <c r="AJ22" i="8" s="1"/>
  <c r="AJ13" i="8" a="1"/>
  <c r="AJ13" i="8" s="1"/>
  <c r="AJ10" i="8" a="1"/>
  <c r="AJ10" i="8" s="1"/>
  <c r="AJ49" i="8" a="1"/>
  <c r="AJ49" i="8" s="1"/>
  <c r="AJ30" i="8" a="1"/>
  <c r="AJ30" i="8" s="1"/>
  <c r="E9" i="25"/>
  <c r="E10" i="25"/>
  <c r="D15" i="25"/>
  <c r="E4" i="20"/>
  <c r="E46" i="20"/>
  <c r="E120" i="20"/>
  <c r="F5" i="20"/>
  <c r="E111" i="20"/>
  <c r="E103" i="20"/>
  <c r="L4" i="31"/>
  <c r="C126" i="20"/>
  <c r="E107" i="20"/>
  <c r="L59" i="6"/>
  <c r="L104" i="6"/>
  <c r="L91" i="6"/>
  <c r="N104" i="6"/>
  <c r="N59" i="6"/>
  <c r="V47" i="6"/>
  <c r="B47" i="6"/>
  <c r="J47" i="6"/>
  <c r="P47" i="6"/>
  <c r="R11" i="33"/>
  <c r="O11" i="33"/>
  <c r="S11" i="33" s="1"/>
  <c r="Q14" i="33"/>
  <c r="Q5" i="33"/>
  <c r="Q13" i="33"/>
  <c r="N14" i="33"/>
  <c r="V29" i="21"/>
  <c r="N5" i="33"/>
  <c r="L16" i="33" l="1" a="1"/>
  <c r="L16" i="33" s="1"/>
  <c r="M16" i="33"/>
  <c r="N16" i="33" s="1"/>
  <c r="O16" i="33" s="1"/>
  <c r="S16" i="33"/>
  <c r="Q16" i="33"/>
  <c r="W17" i="21"/>
  <c r="Z24" i="20"/>
  <c r="CX24" i="20"/>
  <c r="L24" i="20"/>
  <c r="J24" i="20"/>
  <c r="DB24" i="20"/>
  <c r="AQ24" i="20"/>
  <c r="BT24" i="20"/>
  <c r="AM24" i="20"/>
  <c r="DE24" i="20"/>
  <c r="DP24" i="20"/>
  <c r="AH24" i="20"/>
  <c r="DQ24" i="20"/>
  <c r="CG24" i="20"/>
  <c r="AF24" i="20"/>
  <c r="BS24" i="20"/>
  <c r="CD24" i="20"/>
  <c r="CT24" i="20"/>
  <c r="DF24" i="20"/>
  <c r="BV24" i="20"/>
  <c r="CH24" i="20"/>
  <c r="AP24" i="20"/>
  <c r="DM24" i="20"/>
  <c r="X24" i="20"/>
  <c r="DC24" i="20"/>
  <c r="AU24" i="20"/>
  <c r="W24" i="20"/>
  <c r="CP24" i="20"/>
  <c r="DI24" i="20"/>
  <c r="CS24" i="20"/>
  <c r="DL24" i="20"/>
  <c r="CC24" i="20"/>
  <c r="AZ24" i="20"/>
  <c r="K24" i="20"/>
  <c r="BZ24" i="20"/>
  <c r="DJ24" i="20"/>
  <c r="BU24" i="20"/>
  <c r="BA24" i="20"/>
  <c r="F24" i="20"/>
  <c r="T24" i="20"/>
  <c r="CW24" i="20"/>
  <c r="DT24" i="20"/>
  <c r="CZ24" i="20"/>
  <c r="BG24" i="20"/>
  <c r="CJ24" i="20"/>
  <c r="DS24" i="20"/>
  <c r="AG24" i="20"/>
  <c r="BO24" i="20"/>
  <c r="AR24" i="20"/>
  <c r="AI24" i="20"/>
  <c r="AD24" i="20"/>
  <c r="CL24" i="20"/>
  <c r="DK24" i="20"/>
  <c r="DO24" i="20"/>
  <c r="M24" i="20"/>
  <c r="CN24" i="20"/>
  <c r="CY24" i="20"/>
  <c r="CQ24" i="20"/>
  <c r="CA24" i="20"/>
  <c r="CB24" i="20"/>
  <c r="AY24" i="20"/>
  <c r="V24" i="20"/>
  <c r="AA24" i="20"/>
  <c r="BK24" i="20"/>
  <c r="CV24" i="20"/>
  <c r="AT24" i="20"/>
  <c r="BX24" i="20"/>
  <c r="BI24" i="20"/>
  <c r="AX24" i="20"/>
  <c r="AL24" i="20"/>
  <c r="R24" i="20"/>
  <c r="DD24" i="20"/>
  <c r="AV24" i="20"/>
  <c r="DH24" i="20"/>
  <c r="BP24" i="20"/>
  <c r="CK24" i="20"/>
  <c r="BJ24" i="20"/>
  <c r="AW24" i="20"/>
  <c r="Q24" i="20"/>
  <c r="I24" i="20"/>
  <c r="BQ24" i="20"/>
  <c r="AC24" i="20"/>
  <c r="CR24" i="20"/>
  <c r="AO24" i="20"/>
  <c r="AJ24" i="20"/>
  <c r="AB24" i="20"/>
  <c r="CF24" i="20"/>
  <c r="BD24" i="20"/>
  <c r="BW24" i="20"/>
  <c r="CI24" i="20"/>
  <c r="BF24" i="20"/>
  <c r="BN24" i="20"/>
  <c r="BE24" i="20"/>
  <c r="DA24" i="20"/>
  <c r="DG24" i="20"/>
  <c r="O24" i="20"/>
  <c r="BY24" i="20"/>
  <c r="CM24" i="20"/>
  <c r="N24" i="20"/>
  <c r="BB24" i="20"/>
  <c r="BL24" i="20"/>
  <c r="AK24" i="20"/>
  <c r="AN24" i="20"/>
  <c r="BH24" i="20"/>
  <c r="DN24" i="20"/>
  <c r="CE24" i="20"/>
  <c r="BM24" i="20"/>
  <c r="BR24" i="20"/>
  <c r="BC24" i="20"/>
  <c r="CU24" i="20"/>
  <c r="AE24" i="20"/>
  <c r="P24" i="20"/>
  <c r="Y24" i="20"/>
  <c r="S24" i="20"/>
  <c r="DR24" i="20"/>
  <c r="H24" i="20"/>
  <c r="AS24" i="20"/>
  <c r="CO24" i="20"/>
  <c r="U24" i="20"/>
  <c r="G24" i="20"/>
  <c r="P17" i="33"/>
  <c r="Q17" i="33"/>
  <c r="M17" i="33"/>
  <c r="W18" i="21"/>
  <c r="L17" i="33" a="1"/>
  <c r="L17" i="33" s="1"/>
  <c r="R17" i="33"/>
  <c r="S17" i="33"/>
  <c r="DB37" i="20"/>
  <c r="DD37" i="20"/>
  <c r="BZ37" i="20"/>
  <c r="AV37" i="20"/>
  <c r="CY37" i="20"/>
  <c r="BU37" i="20"/>
  <c r="L37" i="20"/>
  <c r="BV37" i="20"/>
  <c r="BX37" i="20"/>
  <c r="BQ37" i="20"/>
  <c r="BO37" i="20"/>
  <c r="BE37" i="20"/>
  <c r="CK37" i="20"/>
  <c r="R37" i="20"/>
  <c r="AF37" i="20"/>
  <c r="BB37" i="20"/>
  <c r="CW37" i="20"/>
  <c r="CX37" i="20"/>
  <c r="BF37" i="20"/>
  <c r="X37" i="20"/>
  <c r="AI37" i="20"/>
  <c r="AN37" i="20"/>
  <c r="M37" i="20"/>
  <c r="G37" i="20"/>
  <c r="CP37" i="20"/>
  <c r="DR37" i="20"/>
  <c r="BC37" i="20"/>
  <c r="CT37" i="20"/>
  <c r="S37" i="20"/>
  <c r="Q37" i="20"/>
  <c r="DO37" i="20"/>
  <c r="CF37" i="20"/>
  <c r="BT37" i="20"/>
  <c r="BY37" i="20"/>
  <c r="AS37" i="20"/>
  <c r="AB37" i="20"/>
  <c r="AD37" i="20"/>
  <c r="AJ37" i="20"/>
  <c r="DP37" i="20"/>
  <c r="T37" i="20"/>
  <c r="AP37" i="20"/>
  <c r="CS37" i="20"/>
  <c r="AG37" i="20"/>
  <c r="DT37" i="20"/>
  <c r="Z37" i="20"/>
  <c r="CD37" i="20"/>
  <c r="DE37" i="20"/>
  <c r="BS37" i="20"/>
  <c r="BD37" i="20"/>
  <c r="AQ37" i="20"/>
  <c r="CE37" i="20"/>
  <c r="U37" i="20"/>
  <c r="O37" i="20"/>
  <c r="DF37" i="20"/>
  <c r="CR37" i="20"/>
  <c r="CA37" i="20"/>
  <c r="BI37" i="20"/>
  <c r="AO37" i="20"/>
  <c r="CL37" i="20"/>
  <c r="AH37" i="20"/>
  <c r="Y37" i="20"/>
  <c r="DJ37" i="20"/>
  <c r="K37" i="20"/>
  <c r="CN37" i="20"/>
  <c r="DK37" i="20"/>
  <c r="CI37" i="20"/>
  <c r="P37" i="20"/>
  <c r="AY37" i="20"/>
  <c r="W37" i="20"/>
  <c r="AC37" i="20"/>
  <c r="DH37" i="20"/>
  <c r="N37" i="20"/>
  <c r="BR37" i="20"/>
  <c r="CQ37" i="20"/>
  <c r="CU37" i="20"/>
  <c r="CC37" i="20"/>
  <c r="AW37" i="20"/>
  <c r="DM37" i="20"/>
  <c r="J37" i="20"/>
  <c r="BJ37" i="20"/>
  <c r="CO37" i="20"/>
  <c r="AT37" i="20"/>
  <c r="BH37" i="20"/>
  <c r="BM37" i="20"/>
  <c r="H37" i="20"/>
  <c r="BN37" i="20"/>
  <c r="DC37" i="20"/>
  <c r="BP37" i="20"/>
  <c r="BL37" i="20"/>
  <c r="CB37" i="20"/>
  <c r="BK37" i="20"/>
  <c r="AM37" i="20"/>
  <c r="CZ37" i="20"/>
  <c r="CV37" i="20"/>
  <c r="AE37" i="20"/>
  <c r="BG37" i="20"/>
  <c r="I37" i="20"/>
  <c r="AK37" i="20"/>
  <c r="CH37" i="20"/>
  <c r="V37" i="20"/>
  <c r="AX37" i="20"/>
  <c r="DG37" i="20"/>
  <c r="AA37" i="20"/>
  <c r="DA37" i="20"/>
  <c r="DI37" i="20"/>
  <c r="AU37" i="20"/>
  <c r="BW37" i="20"/>
  <c r="CG37" i="20"/>
  <c r="BA37" i="20"/>
  <c r="CM37" i="20"/>
  <c r="F37" i="20"/>
  <c r="DL37" i="20"/>
  <c r="DQ37" i="20"/>
  <c r="DN37" i="20"/>
  <c r="AL37" i="20"/>
  <c r="AZ37" i="20"/>
  <c r="AR37" i="20"/>
  <c r="DS37" i="20"/>
  <c r="CJ37" i="20"/>
  <c r="V17" i="21"/>
  <c r="P39" i="33"/>
  <c r="S39" i="33"/>
  <c r="M39" i="33"/>
  <c r="N39" i="33" s="1"/>
  <c r="O39" i="33" s="1"/>
  <c r="Q39" i="33"/>
  <c r="L39" i="33" a="1"/>
  <c r="L39" i="33" s="1"/>
  <c r="R39" i="33"/>
  <c r="AN30" i="21"/>
  <c r="AP30" i="21" s="1"/>
  <c r="AQ30" i="21" s="1"/>
  <c r="AM30" i="21"/>
  <c r="AO30" i="21" s="1"/>
  <c r="AF30" i="21"/>
  <c r="AG30" i="21"/>
  <c r="AC30" i="21"/>
  <c r="AD30" i="21"/>
  <c r="AH30" i="21"/>
  <c r="AI30" i="21" s="1"/>
  <c r="AJ30" i="21" s="1"/>
  <c r="AF35" i="21"/>
  <c r="AG35" i="21"/>
  <c r="AH35" i="21"/>
  <c r="AI35" i="21" s="1"/>
  <c r="AJ35" i="21" s="1"/>
  <c r="AC35" i="21"/>
  <c r="AM35" i="21"/>
  <c r="AO35" i="21" s="1"/>
  <c r="AN35" i="21"/>
  <c r="AP35" i="21" s="1"/>
  <c r="AQ35" i="21" s="1"/>
  <c r="AD35" i="21"/>
  <c r="R31" i="33"/>
  <c r="M31" i="33"/>
  <c r="W33" i="21"/>
  <c r="S31" i="33"/>
  <c r="Q31" i="33"/>
  <c r="L31" i="33" a="1"/>
  <c r="L31" i="33" s="1"/>
  <c r="P31" i="33"/>
  <c r="S28" i="33"/>
  <c r="R28" i="33"/>
  <c r="P28" i="33"/>
  <c r="Q28" i="33"/>
  <c r="M28" i="33"/>
  <c r="L28" i="33" a="1"/>
  <c r="L28" i="33" s="1"/>
  <c r="W30" i="21"/>
  <c r="AF17" i="21"/>
  <c r="P21" i="33"/>
  <c r="S21" i="33"/>
  <c r="R21" i="33"/>
  <c r="W23" i="21"/>
  <c r="L21" i="33" a="1"/>
  <c r="L21" i="33" s="1"/>
  <c r="Q21" i="33"/>
  <c r="M21" i="33"/>
  <c r="Q32" i="20"/>
  <c r="DG32" i="20"/>
  <c r="AC32" i="20"/>
  <c r="P32" i="20"/>
  <c r="Y32" i="20"/>
  <c r="BH32" i="20"/>
  <c r="DP32" i="20"/>
  <c r="DT32" i="20"/>
  <c r="BN32" i="20"/>
  <c r="BR32" i="20"/>
  <c r="K32" i="20"/>
  <c r="O32" i="20"/>
  <c r="BW32" i="20"/>
  <c r="CA32" i="20"/>
  <c r="AW32" i="20"/>
  <c r="CW32" i="20"/>
  <c r="AP32" i="20"/>
  <c r="M32" i="20"/>
  <c r="BS32" i="20"/>
  <c r="BU32" i="20"/>
  <c r="BD32" i="20"/>
  <c r="CT32" i="20"/>
  <c r="DI32" i="20"/>
  <c r="AQ32" i="20"/>
  <c r="BM32" i="20"/>
  <c r="DC32" i="20"/>
  <c r="BA32" i="20"/>
  <c r="BI32" i="20"/>
  <c r="J32" i="20"/>
  <c r="V32" i="20"/>
  <c r="AM32" i="20"/>
  <c r="CM32" i="20"/>
  <c r="AH32" i="20"/>
  <c r="CC32" i="20"/>
  <c r="BZ32" i="20"/>
  <c r="W32" i="20"/>
  <c r="CI32" i="20"/>
  <c r="AS32" i="20"/>
  <c r="AF32" i="20"/>
  <c r="BE32" i="20"/>
  <c r="CR32" i="20"/>
  <c r="DD32" i="20"/>
  <c r="BG32" i="20"/>
  <c r="DS32" i="20"/>
  <c r="BB32" i="20"/>
  <c r="N32" i="20"/>
  <c r="AT32" i="20"/>
  <c r="DK32" i="20"/>
  <c r="DF32" i="20"/>
  <c r="CG32" i="20"/>
  <c r="BC32" i="20"/>
  <c r="CO32" i="20"/>
  <c r="DO32" i="20"/>
  <c r="L32" i="20"/>
  <c r="BL32" i="20"/>
  <c r="BX32" i="20"/>
  <c r="AA32" i="20"/>
  <c r="CP32" i="20"/>
  <c r="CH32" i="20"/>
  <c r="BV32" i="20"/>
  <c r="DB32" i="20"/>
  <c r="AJ32" i="20"/>
  <c r="S32" i="20"/>
  <c r="AE32" i="20"/>
  <c r="BK32" i="20"/>
  <c r="DM32" i="20"/>
  <c r="H32" i="20"/>
  <c r="AK32" i="20"/>
  <c r="BT32" i="20"/>
  <c r="T32" i="20"/>
  <c r="R32" i="20"/>
  <c r="CF32" i="20"/>
  <c r="CD32" i="20"/>
  <c r="AD32" i="20"/>
  <c r="U32" i="20"/>
  <c r="AU32" i="20"/>
  <c r="BP32" i="20"/>
  <c r="DN32" i="20"/>
  <c r="CS32" i="20"/>
  <c r="DQ32" i="20"/>
  <c r="AV32" i="20"/>
  <c r="AO32" i="20"/>
  <c r="DH32" i="20"/>
  <c r="AZ32" i="20"/>
  <c r="BF32" i="20"/>
  <c r="DL32" i="20"/>
  <c r="DR32" i="20"/>
  <c r="BJ32" i="20"/>
  <c r="BO32" i="20"/>
  <c r="X32" i="20"/>
  <c r="AG32" i="20"/>
  <c r="CJ32" i="20"/>
  <c r="DE32" i="20"/>
  <c r="CY32" i="20"/>
  <c r="CB32" i="20"/>
  <c r="BQ32" i="20"/>
  <c r="Z32" i="20"/>
  <c r="AB32" i="20"/>
  <c r="CL32" i="20"/>
  <c r="CN32" i="20"/>
  <c r="AI32" i="20"/>
  <c r="AL32" i="20"/>
  <c r="CU32" i="20"/>
  <c r="CX32" i="20"/>
  <c r="DA32" i="20"/>
  <c r="AN32" i="20"/>
  <c r="CV32" i="20"/>
  <c r="AR32" i="20"/>
  <c r="AY32" i="20"/>
  <c r="CK32" i="20"/>
  <c r="DJ32" i="20"/>
  <c r="CZ32" i="20"/>
  <c r="G32" i="20"/>
  <c r="CE32" i="20"/>
  <c r="F32" i="20"/>
  <c r="BY32" i="20"/>
  <c r="CQ32" i="20"/>
  <c r="I32" i="20"/>
  <c r="AX32" i="20"/>
  <c r="S32" i="33"/>
  <c r="M32" i="33"/>
  <c r="L32" i="33" a="1"/>
  <c r="L32" i="33" s="1"/>
  <c r="Q32" i="33"/>
  <c r="R32" i="33"/>
  <c r="P32" i="33"/>
  <c r="W34" i="21"/>
  <c r="AC29" i="21"/>
  <c r="AN29" i="21"/>
  <c r="AP29" i="21" s="1"/>
  <c r="AQ29" i="21" s="1"/>
  <c r="AF29" i="21"/>
  <c r="AM29" i="21"/>
  <c r="AO29" i="21" s="1"/>
  <c r="AH29" i="21"/>
  <c r="AI29" i="21" s="1"/>
  <c r="AJ29" i="21" s="1"/>
  <c r="AD29" i="21"/>
  <c r="AG29" i="21"/>
  <c r="P26" i="33"/>
  <c r="W28" i="21"/>
  <c r="S26" i="33"/>
  <c r="L33" i="33" a="1"/>
  <c r="L33" i="33" s="1"/>
  <c r="S33" i="33"/>
  <c r="R33" i="33"/>
  <c r="P33" i="33"/>
  <c r="M33" i="33"/>
  <c r="Q33" i="33"/>
  <c r="W35" i="21"/>
  <c r="S36" i="33"/>
  <c r="L36" i="33" a="1"/>
  <c r="L36" i="33" s="1"/>
  <c r="P36" i="33"/>
  <c r="R36" i="33"/>
  <c r="M36" i="33"/>
  <c r="Q36" i="33"/>
  <c r="W38" i="21"/>
  <c r="R25" i="33"/>
  <c r="P25" i="33"/>
  <c r="L25" i="33" a="1"/>
  <c r="L25" i="33" s="1"/>
  <c r="W27" i="21"/>
  <c r="M25" i="33"/>
  <c r="Q25" i="33"/>
  <c r="S25" i="33"/>
  <c r="P13" i="33"/>
  <c r="L13" i="33" a="1"/>
  <c r="L13" i="33" s="1"/>
  <c r="M13" i="33"/>
  <c r="W14" i="21"/>
  <c r="P29" i="33"/>
  <c r="R29" i="33"/>
  <c r="L29" i="33" a="1"/>
  <c r="L29" i="33" s="1"/>
  <c r="Q29" i="33"/>
  <c r="M29" i="33"/>
  <c r="W31" i="21"/>
  <c r="S29" i="33"/>
  <c r="H19" i="20"/>
  <c r="M19" i="20"/>
  <c r="S19" i="20"/>
  <c r="AA19" i="20"/>
  <c r="AM19" i="20"/>
  <c r="BC19" i="20"/>
  <c r="BG19" i="20"/>
  <c r="BR19" i="20"/>
  <c r="BS19" i="20"/>
  <c r="BT19" i="20"/>
  <c r="BZ19" i="20"/>
  <c r="CF19" i="20"/>
  <c r="CM19" i="20"/>
  <c r="CT19" i="20"/>
  <c r="DN19" i="20"/>
  <c r="DO19" i="20"/>
  <c r="DP19" i="20"/>
  <c r="DR19" i="20"/>
  <c r="BP19" i="20"/>
  <c r="I19" i="20"/>
  <c r="AB19" i="20"/>
  <c r="AW19" i="20"/>
  <c r="AZ19" i="20"/>
  <c r="BD19" i="20"/>
  <c r="BI19" i="20"/>
  <c r="BK19" i="20"/>
  <c r="CG19" i="20"/>
  <c r="CL19" i="20"/>
  <c r="CP19" i="20"/>
  <c r="CQ19" i="20"/>
  <c r="CU19" i="20"/>
  <c r="F19" i="20"/>
  <c r="N19" i="20"/>
  <c r="Q19" i="20"/>
  <c r="W19" i="20"/>
  <c r="Y19" i="20"/>
  <c r="AH19" i="20"/>
  <c r="AJ19" i="20"/>
  <c r="AP19" i="20"/>
  <c r="BA19" i="20"/>
  <c r="BL19" i="20"/>
  <c r="CH19" i="20"/>
  <c r="CN19" i="20"/>
  <c r="CR19" i="20"/>
  <c r="CV19" i="20"/>
  <c r="CZ19" i="20"/>
  <c r="G19" i="20"/>
  <c r="AF19" i="20"/>
  <c r="AO19" i="20"/>
  <c r="BJ19" i="20"/>
  <c r="CB19" i="20"/>
  <c r="L19" i="20"/>
  <c r="O19" i="20"/>
  <c r="R19" i="20"/>
  <c r="AK19" i="20"/>
  <c r="AN19" i="20"/>
  <c r="AQ19" i="20"/>
  <c r="AX19" i="20"/>
  <c r="BE19" i="20"/>
  <c r="BO19" i="20"/>
  <c r="BU19" i="20"/>
  <c r="BV19" i="20"/>
  <c r="CA19" i="20"/>
  <c r="CI19" i="20"/>
  <c r="CO19" i="20"/>
  <c r="CS19" i="20"/>
  <c r="CW19" i="20"/>
  <c r="DA19" i="20"/>
  <c r="DC19" i="20"/>
  <c r="DE19" i="20"/>
  <c r="CD19" i="20"/>
  <c r="J19" i="20"/>
  <c r="AE19" i="20"/>
  <c r="AG19" i="20"/>
  <c r="AR19" i="20"/>
  <c r="AT19" i="20"/>
  <c r="BN19" i="20"/>
  <c r="CC19" i="20"/>
  <c r="CY19" i="20"/>
  <c r="DD19" i="20"/>
  <c r="DG19" i="20"/>
  <c r="DH19" i="20"/>
  <c r="DT19" i="20"/>
  <c r="K19" i="20"/>
  <c r="P19" i="20"/>
  <c r="U19" i="20"/>
  <c r="Z19" i="20"/>
  <c r="AC19" i="20"/>
  <c r="AI19" i="20"/>
  <c r="AU19" i="20"/>
  <c r="BB19" i="20"/>
  <c r="BH19" i="20"/>
  <c r="BW19" i="20"/>
  <c r="BX19" i="20"/>
  <c r="CE19" i="20"/>
  <c r="DF19" i="20"/>
  <c r="DI19" i="20"/>
  <c r="DJ19" i="20"/>
  <c r="DK19" i="20"/>
  <c r="DM19" i="20"/>
  <c r="DS19" i="20"/>
  <c r="AV19" i="20"/>
  <c r="V19" i="20"/>
  <c r="X19" i="20"/>
  <c r="AD19" i="20"/>
  <c r="AL19" i="20"/>
  <c r="AS19" i="20"/>
  <c r="AY19" i="20"/>
  <c r="BF19" i="20"/>
  <c r="BM19" i="20"/>
  <c r="BQ19" i="20"/>
  <c r="BY19" i="20"/>
  <c r="CJ19" i="20"/>
  <c r="CK19" i="20"/>
  <c r="DL19" i="20"/>
  <c r="DQ19" i="20"/>
  <c r="T19" i="20"/>
  <c r="DB19" i="20"/>
  <c r="CX19" i="20"/>
  <c r="L34" i="33" a="1"/>
  <c r="L34" i="33" s="1"/>
  <c r="M34" i="33"/>
  <c r="P34" i="33"/>
  <c r="R34" i="33"/>
  <c r="Q34" i="33"/>
  <c r="S34" i="33"/>
  <c r="W36" i="21"/>
  <c r="AH18" i="21"/>
  <c r="AI18" i="21" s="1"/>
  <c r="AJ18" i="21" s="1"/>
  <c r="AG18" i="21"/>
  <c r="M12" i="33"/>
  <c r="L12" i="33" a="1"/>
  <c r="L12" i="33" s="1"/>
  <c r="P12" i="33"/>
  <c r="W13" i="21"/>
  <c r="Q12" i="33"/>
  <c r="S22" i="33"/>
  <c r="L22" i="33" a="1"/>
  <c r="L22" i="33" s="1"/>
  <c r="Q22" i="33"/>
  <c r="W24" i="21"/>
  <c r="R22" i="33"/>
  <c r="P22" i="33"/>
  <c r="M22" i="33"/>
  <c r="AG38" i="21"/>
  <c r="AC38" i="21"/>
  <c r="V28" i="21"/>
  <c r="N26" i="33"/>
  <c r="O26" i="33" s="1"/>
  <c r="N37" i="33"/>
  <c r="O37" i="33" s="1"/>
  <c r="Z10" i="21"/>
  <c r="AG10" i="21" s="1"/>
  <c r="U10" i="21"/>
  <c r="L38" i="39"/>
  <c r="S34" i="6"/>
  <c r="U34" i="6" s="1"/>
  <c r="G3" i="20"/>
  <c r="M2" i="31"/>
  <c r="N48" i="6"/>
  <c r="AF13" i="6"/>
  <c r="AQ15" i="8"/>
  <c r="J6" i="8"/>
  <c r="K64" i="21"/>
  <c r="H11" i="31"/>
  <c r="H12" i="31"/>
  <c r="D14" i="31"/>
  <c r="I50" i="34"/>
  <c r="D16" i="34"/>
  <c r="I57" i="34" s="1"/>
  <c r="D15" i="34"/>
  <c r="I39" i="34" s="1"/>
  <c r="I32" i="34"/>
  <c r="I86" i="34"/>
  <c r="D18" i="34"/>
  <c r="I93" i="34" s="1"/>
  <c r="I68" i="34"/>
  <c r="D17" i="34"/>
  <c r="I75" i="34" s="1"/>
  <c r="I104" i="34"/>
  <c r="D19" i="34"/>
  <c r="I111" i="34" s="1"/>
  <c r="D20" i="34"/>
  <c r="I118" i="34" s="1"/>
  <c r="I117" i="34"/>
  <c r="R10" i="6"/>
  <c r="O9" i="6"/>
  <c r="H7" i="27" s="1"/>
  <c r="M13" i="39"/>
  <c r="N10" i="6"/>
  <c r="C21" i="11"/>
  <c r="C15" i="11"/>
  <c r="E123" i="20"/>
  <c r="E124" i="20" s="1"/>
  <c r="M7" i="21"/>
  <c r="U9" i="21"/>
  <c r="N15" i="33"/>
  <c r="O15" i="33" s="1"/>
  <c r="K63" i="21"/>
  <c r="J56" i="21"/>
  <c r="J70" i="21"/>
  <c r="K49" i="21"/>
  <c r="J62" i="21"/>
  <c r="J63" i="21"/>
  <c r="J64" i="21"/>
  <c r="J69" i="21"/>
  <c r="J51" i="21"/>
  <c r="J67" i="21"/>
  <c r="J61" i="21"/>
  <c r="J57" i="21"/>
  <c r="J52" i="21"/>
  <c r="J68" i="21"/>
  <c r="J71" i="21"/>
  <c r="J55" i="21"/>
  <c r="J50" i="21"/>
  <c r="J66" i="21"/>
  <c r="J60" i="21"/>
  <c r="J49" i="21"/>
  <c r="J48" i="21"/>
  <c r="J72" i="21" s="1"/>
  <c r="J59" i="21"/>
  <c r="J54" i="21"/>
  <c r="J65" i="21"/>
  <c r="J53" i="21"/>
  <c r="K66" i="21"/>
  <c r="U6" i="21"/>
  <c r="U7" i="21"/>
  <c r="R6" i="21"/>
  <c r="T6" i="21" s="1"/>
  <c r="Z6" i="21" s="1"/>
  <c r="AN6" i="21" s="1"/>
  <c r="AP6" i="21" s="1"/>
  <c r="AQ6" i="21" s="1"/>
  <c r="O7" i="21"/>
  <c r="Y7" i="21"/>
  <c r="Y41" i="21" s="1"/>
  <c r="D9" i="20"/>
  <c r="E9" i="20" s="1"/>
  <c r="K13" i="39"/>
  <c r="AQ8" i="6"/>
  <c r="P10" i="6"/>
  <c r="AQ10" i="6" s="1"/>
  <c r="Q39" i="18"/>
  <c r="S39" i="18" s="1"/>
  <c r="G6" i="27"/>
  <c r="Z10" i="6"/>
  <c r="AA9" i="6"/>
  <c r="AA14" i="6" s="1"/>
  <c r="V10" i="6"/>
  <c r="Y4" i="8"/>
  <c r="D29" i="6"/>
  <c r="E28" i="22" s="1"/>
  <c r="K39" i="18"/>
  <c r="G12" i="39"/>
  <c r="H15" i="39" s="1"/>
  <c r="AF12" i="6"/>
  <c r="AF11" i="6"/>
  <c r="V19" i="6" a="1"/>
  <c r="V19" i="6" s="1"/>
  <c r="F34" i="6"/>
  <c r="G33" i="22" s="1"/>
  <c r="H17" i="6"/>
  <c r="F35" i="6"/>
  <c r="G34" i="22" s="1"/>
  <c r="P9" i="6" a="1"/>
  <c r="P9" i="6" s="1"/>
  <c r="R9" i="6" s="1"/>
  <c r="T9" i="6" s="1"/>
  <c r="G7" i="27"/>
  <c r="L9" i="6" a="1"/>
  <c r="L9" i="6" s="1"/>
  <c r="M9" i="6" s="1"/>
  <c r="B9" i="6"/>
  <c r="C8" i="22" s="1"/>
  <c r="H9" i="6"/>
  <c r="D13" i="6"/>
  <c r="E12" i="22" s="1"/>
  <c r="AL18" i="8"/>
  <c r="AL19" i="8" s="1"/>
  <c r="W3" i="8"/>
  <c r="AG9" i="8"/>
  <c r="E41" i="39"/>
  <c r="T11" i="6" a="1"/>
  <c r="T11" i="6" s="1"/>
  <c r="U11" i="6" s="1"/>
  <c r="U32" i="8"/>
  <c r="L11" i="6" a="1"/>
  <c r="L11" i="6" s="1"/>
  <c r="M11" i="6" s="1"/>
  <c r="N11" i="6" a="1"/>
  <c r="N11" i="6" s="1"/>
  <c r="G9" i="27" s="1"/>
  <c r="F36" i="6"/>
  <c r="G35" i="22" s="1"/>
  <c r="K42" i="18"/>
  <c r="B28" i="6"/>
  <c r="G58" i="18" s="1"/>
  <c r="G41" i="39"/>
  <c r="B11" i="6"/>
  <c r="C10" i="22" s="1"/>
  <c r="F12" i="6"/>
  <c r="G12" i="6" s="1"/>
  <c r="U2" i="8"/>
  <c r="AG11" i="8"/>
  <c r="E13" i="39"/>
  <c r="E14" i="39"/>
  <c r="D11" i="6"/>
  <c r="E10" i="22" s="1"/>
  <c r="AL54" i="8"/>
  <c r="AK35" i="8"/>
  <c r="AK36" i="8" s="1"/>
  <c r="AL47" i="8"/>
  <c r="B35" i="6"/>
  <c r="E33" i="27" s="1"/>
  <c r="J13" i="9"/>
  <c r="I20" i="39"/>
  <c r="AL63" i="8"/>
  <c r="E38" i="39"/>
  <c r="D34" i="6"/>
  <c r="E33" i="22" s="1"/>
  <c r="AJ18" i="8"/>
  <c r="AJ19" i="8" s="1"/>
  <c r="Z11" i="6" a="1"/>
  <c r="Z11" i="6" s="1"/>
  <c r="AA11" i="6" s="1"/>
  <c r="R11" i="6" a="1"/>
  <c r="R11" i="6" s="1"/>
  <c r="S11" i="6" s="1"/>
  <c r="V11" i="6"/>
  <c r="W11" i="6" s="1"/>
  <c r="C14" i="39"/>
  <c r="K14" i="39" a="1"/>
  <c r="K14" i="39" s="1"/>
  <c r="L14" i="39" s="1"/>
  <c r="D33" i="6"/>
  <c r="E32" i="22" s="1"/>
  <c r="E37" i="39"/>
  <c r="D19" i="6"/>
  <c r="E18" i="22" s="1"/>
  <c r="E22" i="39"/>
  <c r="C13" i="39"/>
  <c r="H26" i="6"/>
  <c r="AG26" i="6"/>
  <c r="AJ35" i="8"/>
  <c r="AJ36" i="8" s="1"/>
  <c r="AM18" i="8"/>
  <c r="AM19" i="8" s="1"/>
  <c r="AL35" i="8"/>
  <c r="AL36" i="8" s="1"/>
  <c r="F24" i="6"/>
  <c r="G23" i="22" s="1"/>
  <c r="G28" i="39"/>
  <c r="AK18" i="8"/>
  <c r="AK19" i="8" s="1"/>
  <c r="D36" i="6"/>
  <c r="E35" i="22" s="1"/>
  <c r="E40" i="39"/>
  <c r="Z19" i="6" a="1"/>
  <c r="Z19" i="6" s="1"/>
  <c r="P19" i="6" a="1"/>
  <c r="P19" i="6" s="1"/>
  <c r="AQ19" i="6" s="1"/>
  <c r="T19" i="6" a="1"/>
  <c r="T19" i="6" s="1"/>
  <c r="K22" i="39" a="1"/>
  <c r="K22" i="39" s="1"/>
  <c r="R19" i="6" a="1"/>
  <c r="R19" i="6" s="1"/>
  <c r="B19" i="6"/>
  <c r="L19" i="6" a="1"/>
  <c r="L19" i="6" s="1"/>
  <c r="C22" i="39"/>
  <c r="AK54" i="8"/>
  <c r="Q49" i="18"/>
  <c r="C14" i="11"/>
  <c r="V48" i="6"/>
  <c r="L48" i="6"/>
  <c r="L79" i="6" s="1"/>
  <c r="P48" i="6"/>
  <c r="N78" i="6"/>
  <c r="N79" i="6" s="1"/>
  <c r="D187" i="23"/>
  <c r="J187" i="23" s="1"/>
  <c r="D154" i="23"/>
  <c r="J154" i="23" s="1"/>
  <c r="D225" i="23"/>
  <c r="J225" i="23" s="1"/>
  <c r="D275" i="23"/>
  <c r="J275" i="23" s="1"/>
  <c r="D217" i="23"/>
  <c r="J217" i="23" s="1"/>
  <c r="D347" i="23"/>
  <c r="J347" i="23" s="1"/>
  <c r="D250" i="23"/>
  <c r="J250" i="23" s="1"/>
  <c r="D173" i="23"/>
  <c r="J173" i="23" s="1"/>
  <c r="D193" i="23"/>
  <c r="J193" i="23" s="1"/>
  <c r="D48" i="23"/>
  <c r="D296" i="23"/>
  <c r="J296" i="23" s="1"/>
  <c r="D214" i="23"/>
  <c r="J214" i="23" s="1"/>
  <c r="D244" i="23"/>
  <c r="J244" i="23" s="1"/>
  <c r="D286" i="23"/>
  <c r="J286" i="23" s="1"/>
  <c r="D348" i="23"/>
  <c r="J348" i="23" s="1"/>
  <c r="D351" i="23"/>
  <c r="J351" i="23" s="1"/>
  <c r="D227" i="23"/>
  <c r="J227" i="23" s="1"/>
  <c r="D90" i="23"/>
  <c r="J90" i="23" s="1"/>
  <c r="D301" i="23"/>
  <c r="J301" i="23" s="1"/>
  <c r="D106" i="23"/>
  <c r="J106" i="23" s="1"/>
  <c r="D178" i="23"/>
  <c r="J178" i="23" s="1"/>
  <c r="D78" i="23"/>
  <c r="J78" i="23" s="1"/>
  <c r="D26" i="23"/>
  <c r="D151" i="23"/>
  <c r="J151" i="23" s="1"/>
  <c r="D161" i="23"/>
  <c r="J161" i="23" s="1"/>
  <c r="D30" i="23"/>
  <c r="D53" i="23"/>
  <c r="D204" i="23"/>
  <c r="J204" i="23" s="1"/>
  <c r="D254" i="23"/>
  <c r="J254" i="23" s="1"/>
  <c r="D197" i="23"/>
  <c r="J197" i="23" s="1"/>
  <c r="D266" i="23"/>
  <c r="J266" i="23" s="1"/>
  <c r="D164" i="23"/>
  <c r="J164" i="23" s="1"/>
  <c r="D144" i="23"/>
  <c r="J144" i="23" s="1"/>
  <c r="D100" i="23"/>
  <c r="J100" i="23" s="1"/>
  <c r="D226" i="23"/>
  <c r="J226" i="23" s="1"/>
  <c r="D109" i="23"/>
  <c r="J109" i="23" s="1"/>
  <c r="D143" i="23"/>
  <c r="J143" i="23" s="1"/>
  <c r="D299" i="23"/>
  <c r="J299" i="23" s="1"/>
  <c r="D263" i="23"/>
  <c r="J263" i="23" s="1"/>
  <c r="D175" i="23"/>
  <c r="J175" i="23" s="1"/>
  <c r="D338" i="23"/>
  <c r="J338" i="23" s="1"/>
  <c r="D236" i="23"/>
  <c r="J236" i="23" s="1"/>
  <c r="D179" i="23"/>
  <c r="J179" i="23" s="1"/>
  <c r="D274" i="23"/>
  <c r="J274" i="23" s="1"/>
  <c r="D125" i="23"/>
  <c r="J125" i="23" s="1"/>
  <c r="D190" i="23"/>
  <c r="J190" i="23" s="1"/>
  <c r="D289" i="23"/>
  <c r="J289" i="23" s="1"/>
  <c r="D66" i="23"/>
  <c r="D224" i="23"/>
  <c r="J224" i="23" s="1"/>
  <c r="D166" i="23"/>
  <c r="J166" i="23" s="1"/>
  <c r="D40" i="23"/>
  <c r="D28" i="23"/>
  <c r="D205" i="23"/>
  <c r="J205" i="23" s="1"/>
  <c r="D326" i="23"/>
  <c r="J326" i="23" s="1"/>
  <c r="D29" i="23"/>
  <c r="D25" i="23"/>
  <c r="D320" i="23"/>
  <c r="J320" i="23" s="1"/>
  <c r="D38" i="23"/>
  <c r="D328" i="23"/>
  <c r="J328" i="23" s="1"/>
  <c r="D241" i="23"/>
  <c r="J241" i="23" s="1"/>
  <c r="D117" i="23"/>
  <c r="J117" i="23" s="1"/>
  <c r="D54" i="23"/>
  <c r="D44" i="23"/>
  <c r="D221" i="23"/>
  <c r="J221" i="23" s="1"/>
  <c r="D220" i="23"/>
  <c r="J220" i="23" s="1"/>
  <c r="D119" i="23"/>
  <c r="J119" i="23" s="1"/>
  <c r="D103" i="23"/>
  <c r="J103" i="23" s="1"/>
  <c r="D363" i="23"/>
  <c r="J363" i="23" s="1"/>
  <c r="D124" i="23"/>
  <c r="J124" i="23" s="1"/>
  <c r="D349" i="23"/>
  <c r="J349" i="23" s="1"/>
  <c r="D302" i="23"/>
  <c r="J302" i="23" s="1"/>
  <c r="D327" i="23"/>
  <c r="J327" i="23" s="1"/>
  <c r="D248" i="23"/>
  <c r="J248" i="23" s="1"/>
  <c r="D360" i="23"/>
  <c r="J360" i="23" s="1"/>
  <c r="D367" i="23"/>
  <c r="J367" i="23" s="1"/>
  <c r="D270" i="23"/>
  <c r="J270" i="23" s="1"/>
  <c r="D258" i="23"/>
  <c r="J258" i="23" s="1"/>
  <c r="D203" i="23"/>
  <c r="J203" i="23" s="1"/>
  <c r="D160" i="23"/>
  <c r="J160" i="23" s="1"/>
  <c r="D323" i="23"/>
  <c r="J323" i="23" s="1"/>
  <c r="D342" i="23"/>
  <c r="J342" i="23" s="1"/>
  <c r="D278" i="23"/>
  <c r="J278" i="23" s="1"/>
  <c r="D373" i="23"/>
  <c r="J373" i="23" s="1"/>
  <c r="D140" i="23"/>
  <c r="J140" i="23" s="1"/>
  <c r="D118" i="23"/>
  <c r="J118" i="23" s="1"/>
  <c r="D31" i="23"/>
  <c r="D315" i="23"/>
  <c r="J315" i="23" s="1"/>
  <c r="D171" i="23"/>
  <c r="J171" i="23" s="1"/>
  <c r="D111" i="23"/>
  <c r="J111" i="23" s="1"/>
  <c r="D35" i="23"/>
  <c r="D49" i="23"/>
  <c r="D240" i="23"/>
  <c r="J240" i="23" s="1"/>
  <c r="D41" i="23"/>
  <c r="D211" i="23"/>
  <c r="J211" i="23" s="1"/>
  <c r="D97" i="23"/>
  <c r="J97" i="23" s="1"/>
  <c r="D246" i="23"/>
  <c r="J246" i="23" s="1"/>
  <c r="D370" i="23"/>
  <c r="J370" i="23" s="1"/>
  <c r="D55" i="23"/>
  <c r="D202" i="23"/>
  <c r="J202" i="23" s="1"/>
  <c r="D181" i="23"/>
  <c r="J181" i="23" s="1"/>
  <c r="D310" i="23"/>
  <c r="J310" i="23" s="1"/>
  <c r="D85" i="23"/>
  <c r="J85" i="23" s="1"/>
  <c r="D163" i="23"/>
  <c r="J163" i="23" s="1"/>
  <c r="D297" i="23"/>
  <c r="J297" i="23" s="1"/>
  <c r="D357" i="23"/>
  <c r="J357" i="23" s="1"/>
  <c r="D184" i="23"/>
  <c r="J184" i="23" s="1"/>
  <c r="D47" i="23"/>
  <c r="D135" i="23"/>
  <c r="J135" i="23" s="1"/>
  <c r="D265" i="23"/>
  <c r="J265" i="23" s="1"/>
  <c r="D256" i="23"/>
  <c r="J256" i="23" s="1"/>
  <c r="D235" i="23"/>
  <c r="J235" i="23" s="1"/>
  <c r="D177" i="23"/>
  <c r="J177" i="23" s="1"/>
  <c r="D228" i="23"/>
  <c r="J228" i="23" s="1"/>
  <c r="D335" i="23"/>
  <c r="J335" i="23" s="1"/>
  <c r="D294" i="23"/>
  <c r="J294" i="23" s="1"/>
  <c r="D356" i="23"/>
  <c r="J356" i="23" s="1"/>
  <c r="D319" i="23"/>
  <c r="J319" i="23" s="1"/>
  <c r="D33" i="23"/>
  <c r="D42" i="23"/>
  <c r="D313" i="23"/>
  <c r="J313" i="23" s="1"/>
  <c r="D84" i="23"/>
  <c r="J84" i="23" s="1"/>
  <c r="D128" i="23"/>
  <c r="J128" i="23" s="1"/>
  <c r="D269" i="23"/>
  <c r="J269" i="23" s="1"/>
  <c r="D369" i="23"/>
  <c r="J369" i="23" s="1"/>
  <c r="D58" i="23"/>
  <c r="D87" i="23"/>
  <c r="J87" i="23" s="1"/>
  <c r="D157" i="23"/>
  <c r="J157" i="23" s="1"/>
  <c r="D61" i="23"/>
  <c r="D375" i="23"/>
  <c r="J375" i="23" s="1"/>
  <c r="D196" i="23"/>
  <c r="J196" i="23" s="1"/>
  <c r="D145" i="23"/>
  <c r="J145" i="23" s="1"/>
  <c r="D112" i="23"/>
  <c r="J112" i="23" s="1"/>
  <c r="D137" i="23"/>
  <c r="J137" i="23" s="1"/>
  <c r="D304" i="23"/>
  <c r="J304" i="23" s="1"/>
  <c r="D344" i="23"/>
  <c r="J344" i="23" s="1"/>
  <c r="D285" i="23"/>
  <c r="J285" i="23" s="1"/>
  <c r="D337" i="23"/>
  <c r="J337" i="23" s="1"/>
  <c r="D309" i="23"/>
  <c r="J309" i="23" s="1"/>
  <c r="D185" i="23"/>
  <c r="J185" i="23" s="1"/>
  <c r="D82" i="23"/>
  <c r="J82" i="23" s="1"/>
  <c r="D149" i="23"/>
  <c r="J149" i="23" s="1"/>
  <c r="D101" i="23"/>
  <c r="J101" i="23" s="1"/>
  <c r="D24" i="23"/>
  <c r="D237" i="23"/>
  <c r="J237" i="23" s="1"/>
  <c r="D273" i="23"/>
  <c r="J273" i="23" s="1"/>
  <c r="D311" i="23"/>
  <c r="J311" i="23" s="1"/>
  <c r="D105" i="23"/>
  <c r="J105" i="23" s="1"/>
  <c r="D92" i="23"/>
  <c r="J92" i="23" s="1"/>
  <c r="D93" i="23"/>
  <c r="J93" i="23" s="1"/>
  <c r="D282" i="23"/>
  <c r="J282" i="23" s="1"/>
  <c r="D142" i="23"/>
  <c r="J142" i="23" s="1"/>
  <c r="D153" i="23"/>
  <c r="J153" i="23" s="1"/>
  <c r="D339" i="23"/>
  <c r="J339" i="23" s="1"/>
  <c r="D346" i="23"/>
  <c r="J346" i="23" s="1"/>
  <c r="D372" i="23"/>
  <c r="J372" i="23" s="1"/>
  <c r="D159" i="23"/>
  <c r="J159" i="23" s="1"/>
  <c r="D358" i="23"/>
  <c r="J358" i="23" s="1"/>
  <c r="D230" i="23"/>
  <c r="J230" i="23" s="1"/>
  <c r="D131" i="23"/>
  <c r="J131" i="23" s="1"/>
  <c r="D186" i="23"/>
  <c r="J186" i="23" s="1"/>
  <c r="D180" i="23"/>
  <c r="J180" i="23" s="1"/>
  <c r="D280" i="23"/>
  <c r="J280" i="23" s="1"/>
  <c r="D113" i="23"/>
  <c r="J113" i="23" s="1"/>
  <c r="D21" i="23"/>
  <c r="D114" i="23"/>
  <c r="J114" i="23" s="1"/>
  <c r="D300" i="23"/>
  <c r="J300" i="23" s="1"/>
  <c r="D206" i="23"/>
  <c r="J206" i="23" s="1"/>
  <c r="D260" i="23"/>
  <c r="J260" i="23" s="1"/>
  <c r="D192" i="23"/>
  <c r="J192" i="23" s="1"/>
  <c r="D195" i="23"/>
  <c r="J195" i="23" s="1"/>
  <c r="D70" i="23"/>
  <c r="D88" i="23"/>
  <c r="J88" i="23" s="1"/>
  <c r="D355" i="23"/>
  <c r="J355" i="23" s="1"/>
  <c r="D209" i="23"/>
  <c r="J209" i="23" s="1"/>
  <c r="D272" i="23"/>
  <c r="J272" i="23" s="1"/>
  <c r="D81" i="23"/>
  <c r="J81" i="23" s="1"/>
  <c r="D174" i="23"/>
  <c r="J174" i="23" s="1"/>
  <c r="D249" i="23"/>
  <c r="J249" i="23" s="1"/>
  <c r="D271" i="23"/>
  <c r="J271" i="23" s="1"/>
  <c r="D18" i="23"/>
  <c r="D298" i="23"/>
  <c r="J298" i="23" s="1"/>
  <c r="D229" i="23"/>
  <c r="J229" i="23" s="1"/>
  <c r="D371" i="23"/>
  <c r="J371" i="23" s="1"/>
  <c r="D52" i="23"/>
  <c r="D219" i="23"/>
  <c r="J219" i="23" s="1"/>
  <c r="D99" i="23"/>
  <c r="J99" i="23" s="1"/>
  <c r="D361" i="23"/>
  <c r="J361" i="23" s="1"/>
  <c r="D34" i="23"/>
  <c r="D330" i="23"/>
  <c r="J330" i="23" s="1"/>
  <c r="D51" i="23"/>
  <c r="D264" i="23"/>
  <c r="J264" i="23" s="1"/>
  <c r="D365" i="23"/>
  <c r="J365" i="23" s="1"/>
  <c r="D343" i="23"/>
  <c r="J343" i="23" s="1"/>
  <c r="D158" i="23"/>
  <c r="J158" i="23" s="1"/>
  <c r="D362" i="23"/>
  <c r="J362" i="23" s="1"/>
  <c r="D127" i="23"/>
  <c r="J127" i="23" s="1"/>
  <c r="E11" i="23"/>
  <c r="D89" i="23"/>
  <c r="J89" i="23" s="1"/>
  <c r="D267" i="23"/>
  <c r="J267" i="23" s="1"/>
  <c r="D345" i="23"/>
  <c r="J345" i="23" s="1"/>
  <c r="D210" i="23"/>
  <c r="J210" i="23" s="1"/>
  <c r="D257" i="23"/>
  <c r="J257" i="23" s="1"/>
  <c r="D91" i="23"/>
  <c r="J91" i="23" s="1"/>
  <c r="D201" i="23"/>
  <c r="J201" i="23" s="1"/>
  <c r="D312" i="23"/>
  <c r="J312" i="23" s="1"/>
  <c r="D139" i="23"/>
  <c r="J139" i="23" s="1"/>
  <c r="D172" i="23"/>
  <c r="J172" i="23" s="1"/>
  <c r="D213" i="23"/>
  <c r="J213" i="23" s="1"/>
  <c r="D279" i="23"/>
  <c r="J279" i="23" s="1"/>
  <c r="D56" i="23"/>
  <c r="D32" i="23"/>
  <c r="D36" i="23"/>
  <c r="D253" i="23"/>
  <c r="J253" i="23" s="1"/>
  <c r="D108" i="23"/>
  <c r="J108" i="23" s="1"/>
  <c r="D121" i="23"/>
  <c r="J121" i="23" s="1"/>
  <c r="D288" i="23"/>
  <c r="J288" i="23" s="1"/>
  <c r="D334" i="23"/>
  <c r="J334" i="23" s="1"/>
  <c r="D162" i="23"/>
  <c r="J162" i="23" s="1"/>
  <c r="D182" i="23"/>
  <c r="J182" i="23" s="1"/>
  <c r="D293" i="23"/>
  <c r="J293" i="23" s="1"/>
  <c r="D79" i="23"/>
  <c r="J79" i="23" s="1"/>
  <c r="D116" i="23"/>
  <c r="J116" i="23" s="1"/>
  <c r="D86" i="23"/>
  <c r="J86" i="23" s="1"/>
  <c r="D107" i="23"/>
  <c r="J107" i="23" s="1"/>
  <c r="D73" i="23"/>
  <c r="D141" i="23"/>
  <c r="J141" i="23" s="1"/>
  <c r="D77" i="23"/>
  <c r="J77" i="23" s="1"/>
  <c r="D198" i="23"/>
  <c r="J198" i="23" s="1"/>
  <c r="D62" i="23"/>
  <c r="D239" i="23"/>
  <c r="J239" i="23" s="1"/>
  <c r="D123" i="23"/>
  <c r="J123" i="23" s="1"/>
  <c r="D350" i="23"/>
  <c r="J350" i="23" s="1"/>
  <c r="D305" i="23"/>
  <c r="J305" i="23" s="1"/>
  <c r="D341" i="23"/>
  <c r="J341" i="23" s="1"/>
  <c r="D94" i="23"/>
  <c r="J94" i="23" s="1"/>
  <c r="D63" i="23"/>
  <c r="D262" i="23"/>
  <c r="J262" i="23" s="1"/>
  <c r="D332" i="23"/>
  <c r="J332" i="23" s="1"/>
  <c r="D23" i="23"/>
  <c r="D132" i="23"/>
  <c r="J132" i="23" s="1"/>
  <c r="D74" i="23"/>
  <c r="D333" i="23"/>
  <c r="J333" i="23" s="1"/>
  <c r="D366" i="23"/>
  <c r="J366" i="23" s="1"/>
  <c r="D59" i="23"/>
  <c r="D329" i="23"/>
  <c r="J329" i="23" s="1"/>
  <c r="D194" i="23"/>
  <c r="J194" i="23" s="1"/>
  <c r="D291" i="23"/>
  <c r="J291" i="23" s="1"/>
  <c r="D72" i="23"/>
  <c r="D292" i="23"/>
  <c r="J292" i="23" s="1"/>
  <c r="D245" i="23"/>
  <c r="J245" i="23" s="1"/>
  <c r="D295" i="23"/>
  <c r="J295" i="23" s="1"/>
  <c r="D57" i="23"/>
  <c r="D134" i="23"/>
  <c r="J134" i="23" s="1"/>
  <c r="D95" i="23"/>
  <c r="J95" i="23" s="1"/>
  <c r="D281" i="23"/>
  <c r="J281" i="23" s="1"/>
  <c r="D115" i="23"/>
  <c r="J115" i="23" s="1"/>
  <c r="D122" i="23"/>
  <c r="J122" i="23" s="1"/>
  <c r="D148" i="23"/>
  <c r="J148" i="23" s="1"/>
  <c r="D238" i="23"/>
  <c r="J238" i="23" s="1"/>
  <c r="D368" i="23"/>
  <c r="J368" i="23" s="1"/>
  <c r="D283" i="23"/>
  <c r="J283" i="23" s="1"/>
  <c r="D199" i="23"/>
  <c r="J199" i="23" s="1"/>
  <c r="D176" i="23"/>
  <c r="J176" i="23" s="1"/>
  <c r="D64" i="23"/>
  <c r="D138" i="23"/>
  <c r="J138" i="23" s="1"/>
  <c r="D322" i="23"/>
  <c r="J322" i="23" s="1"/>
  <c r="D45" i="23"/>
  <c r="D37" i="23"/>
  <c r="D150" i="23"/>
  <c r="J150" i="23" s="1"/>
  <c r="D306" i="23"/>
  <c r="J306" i="23" s="1"/>
  <c r="D98" i="23"/>
  <c r="J98" i="23" s="1"/>
  <c r="D67" i="23"/>
  <c r="D276" i="23"/>
  <c r="J276" i="23" s="1"/>
  <c r="D354" i="23"/>
  <c r="J354" i="23" s="1"/>
  <c r="D129" i="23"/>
  <c r="J129" i="23" s="1"/>
  <c r="D321" i="23"/>
  <c r="J321" i="23" s="1"/>
  <c r="D183" i="23"/>
  <c r="J183" i="23" s="1"/>
  <c r="D17" i="23"/>
  <c r="F17" i="23" s="1"/>
  <c r="J17" i="23" s="1"/>
  <c r="D39" i="23"/>
  <c r="D222" i="23"/>
  <c r="J222" i="23" s="1"/>
  <c r="D167" i="23"/>
  <c r="J167" i="23" s="1"/>
  <c r="D261" i="23"/>
  <c r="J261" i="23" s="1"/>
  <c r="D251" i="23"/>
  <c r="J251" i="23" s="1"/>
  <c r="D252" i="23"/>
  <c r="J252" i="23" s="1"/>
  <c r="D155" i="23"/>
  <c r="J155" i="23" s="1"/>
  <c r="D374" i="23"/>
  <c r="J374" i="23" s="1"/>
  <c r="D353" i="23"/>
  <c r="J353" i="23" s="1"/>
  <c r="D290" i="23"/>
  <c r="J290" i="23" s="1"/>
  <c r="D207" i="23"/>
  <c r="J207" i="23" s="1"/>
  <c r="D165" i="23"/>
  <c r="J165" i="23" s="1"/>
  <c r="D231" i="23"/>
  <c r="J231" i="23" s="1"/>
  <c r="D71" i="23"/>
  <c r="E12" i="23"/>
  <c r="D340" i="23"/>
  <c r="J340" i="23" s="1"/>
  <c r="D60" i="23"/>
  <c r="D22" i="23"/>
  <c r="D200" i="23"/>
  <c r="J200" i="23" s="1"/>
  <c r="D27" i="23"/>
  <c r="D50" i="23"/>
  <c r="D120" i="23"/>
  <c r="J120" i="23" s="1"/>
  <c r="D189" i="23"/>
  <c r="J189" i="23" s="1"/>
  <c r="D216" i="23"/>
  <c r="J216" i="23" s="1"/>
  <c r="D268" i="23"/>
  <c r="J268" i="23" s="1"/>
  <c r="D75" i="23"/>
  <c r="D83" i="23"/>
  <c r="J83" i="23" s="1"/>
  <c r="D46" i="23"/>
  <c r="D156" i="23"/>
  <c r="J156" i="23" s="1"/>
  <c r="D96" i="23"/>
  <c r="J96" i="23" s="1"/>
  <c r="D110" i="23"/>
  <c r="J110" i="23" s="1"/>
  <c r="D152" i="23"/>
  <c r="J152" i="23" s="1"/>
  <c r="D191" i="23"/>
  <c r="J191" i="23" s="1"/>
  <c r="D376" i="23"/>
  <c r="J376" i="23" s="1"/>
  <c r="D331" i="23"/>
  <c r="J331" i="23" s="1"/>
  <c r="D19" i="23"/>
  <c r="D287" i="23"/>
  <c r="J287" i="23" s="1"/>
  <c r="D68" i="23"/>
  <c r="D284" i="23"/>
  <c r="J284" i="23" s="1"/>
  <c r="D247" i="23"/>
  <c r="J247" i="23" s="1"/>
  <c r="D104" i="23"/>
  <c r="J104" i="23" s="1"/>
  <c r="D218" i="23"/>
  <c r="J218" i="23" s="1"/>
  <c r="D102" i="23"/>
  <c r="J102" i="23" s="1"/>
  <c r="D170" i="23"/>
  <c r="J170" i="23" s="1"/>
  <c r="D308" i="23"/>
  <c r="J308" i="23" s="1"/>
  <c r="D314" i="23"/>
  <c r="J314" i="23" s="1"/>
  <c r="D317" i="23"/>
  <c r="J317" i="23" s="1"/>
  <c r="D65" i="23"/>
  <c r="D277" i="23"/>
  <c r="J277" i="23" s="1"/>
  <c r="D243" i="23"/>
  <c r="J243" i="23" s="1"/>
  <c r="D215" i="23"/>
  <c r="J215" i="23" s="1"/>
  <c r="D233" i="23"/>
  <c r="J233" i="23" s="1"/>
  <c r="D69" i="23"/>
  <c r="D234" i="23"/>
  <c r="J234" i="23" s="1"/>
  <c r="D133" i="23"/>
  <c r="J133" i="23" s="1"/>
  <c r="D359" i="23"/>
  <c r="J359" i="23" s="1"/>
  <c r="D43" i="23"/>
  <c r="D147" i="23"/>
  <c r="J147" i="23" s="1"/>
  <c r="D126" i="23"/>
  <c r="J126" i="23" s="1"/>
  <c r="D212" i="23"/>
  <c r="J212" i="23" s="1"/>
  <c r="D364" i="23"/>
  <c r="J364" i="23" s="1"/>
  <c r="D318" i="23"/>
  <c r="J318" i="23" s="1"/>
  <c r="D168" i="23"/>
  <c r="J168" i="23" s="1"/>
  <c r="D232" i="23"/>
  <c r="J232" i="23" s="1"/>
  <c r="D242" i="23"/>
  <c r="J242" i="23" s="1"/>
  <c r="D352" i="23"/>
  <c r="J352" i="23" s="1"/>
  <c r="D80" i="23"/>
  <c r="J80" i="23" s="1"/>
  <c r="D316" i="23"/>
  <c r="J316" i="23" s="1"/>
  <c r="D223" i="23"/>
  <c r="J223" i="23" s="1"/>
  <c r="D324" i="23"/>
  <c r="J324" i="23" s="1"/>
  <c r="D325" i="23"/>
  <c r="J325" i="23" s="1"/>
  <c r="D146" i="23"/>
  <c r="J146" i="23" s="1"/>
  <c r="D136" i="23"/>
  <c r="J136" i="23" s="1"/>
  <c r="D130" i="23"/>
  <c r="J130" i="23" s="1"/>
  <c r="D20" i="23"/>
  <c r="D336" i="23"/>
  <c r="J336" i="23" s="1"/>
  <c r="D303" i="23"/>
  <c r="J303" i="23" s="1"/>
  <c r="D208" i="23"/>
  <c r="J208" i="23" s="1"/>
  <c r="AF51" i="6"/>
  <c r="AF52" i="6" s="1"/>
  <c r="AF53" i="6" s="1"/>
  <c r="AF54" i="6" s="1"/>
  <c r="AF49" i="6"/>
  <c r="AF48" i="6" s="1"/>
  <c r="AF47" i="6" s="1"/>
  <c r="D259" i="23"/>
  <c r="J259" i="23" s="1"/>
  <c r="D255" i="23"/>
  <c r="J255" i="23" s="1"/>
  <c r="D76" i="23"/>
  <c r="D169" i="23"/>
  <c r="J169" i="23" s="1"/>
  <c r="D188" i="23"/>
  <c r="J188" i="23" s="1"/>
  <c r="K11" i="21"/>
  <c r="M11" i="21"/>
  <c r="F41" i="21"/>
  <c r="K50" i="21"/>
  <c r="S11" i="21"/>
  <c r="S41" i="21" s="1"/>
  <c r="P6" i="33"/>
  <c r="M6" i="33"/>
  <c r="L6" i="33" a="1"/>
  <c r="L6" i="33" s="1"/>
  <c r="W7" i="21"/>
  <c r="R9" i="21"/>
  <c r="T9" i="21" s="1"/>
  <c r="Z9" i="21" s="1"/>
  <c r="AN9" i="21" s="1"/>
  <c r="AP9" i="21" s="1"/>
  <c r="AQ9" i="21" s="1"/>
  <c r="N9" i="33"/>
  <c r="V10" i="21"/>
  <c r="Q9" i="33"/>
  <c r="D13" i="20"/>
  <c r="E13" i="20" s="1"/>
  <c r="AM11" i="21"/>
  <c r="AO11" i="21" s="1"/>
  <c r="R8" i="21"/>
  <c r="T8" i="21" s="1"/>
  <c r="Z8" i="21" s="1"/>
  <c r="AN8" i="21" s="1"/>
  <c r="AP8" i="21" s="1"/>
  <c r="AQ8" i="21" s="1"/>
  <c r="U8" i="21"/>
  <c r="Q11" i="21"/>
  <c r="G7" i="21"/>
  <c r="I7" i="21"/>
  <c r="B8" i="21"/>
  <c r="O11" i="21"/>
  <c r="K7" i="21"/>
  <c r="E41" i="21"/>
  <c r="E45" i="20" s="1"/>
  <c r="F52" i="21"/>
  <c r="F57" i="21"/>
  <c r="F58" i="21"/>
  <c r="F64" i="21"/>
  <c r="F54" i="21"/>
  <c r="X72" i="21"/>
  <c r="F48" i="21"/>
  <c r="F72" i="21" s="1"/>
  <c r="F66" i="21"/>
  <c r="F62" i="21"/>
  <c r="F61" i="21"/>
  <c r="Y72" i="21"/>
  <c r="F53" i="21"/>
  <c r="F56" i="21"/>
  <c r="F71" i="21"/>
  <c r="F59" i="21"/>
  <c r="F70" i="21"/>
  <c r="F49" i="21"/>
  <c r="F65" i="21"/>
  <c r="F67" i="21"/>
  <c r="F51" i="21"/>
  <c r="F55" i="21"/>
  <c r="F60" i="21"/>
  <c r="F63" i="21"/>
  <c r="F69" i="21"/>
  <c r="F68" i="21"/>
  <c r="L72" i="21"/>
  <c r="N72" i="21"/>
  <c r="O7" i="33"/>
  <c r="S7" i="33" s="1"/>
  <c r="R7" i="33"/>
  <c r="L10" i="33" a="1"/>
  <c r="L10" i="33" s="1"/>
  <c r="M10" i="33"/>
  <c r="P10" i="33"/>
  <c r="W11" i="21"/>
  <c r="G11" i="21"/>
  <c r="AD10" i="21"/>
  <c r="AM7" i="21"/>
  <c r="AO7" i="21" s="1"/>
  <c r="R8" i="33"/>
  <c r="O8" i="33"/>
  <c r="S8" i="33" s="1"/>
  <c r="L10" i="6"/>
  <c r="R13" i="33"/>
  <c r="AJ14" i="8"/>
  <c r="AJ15" i="8" s="1"/>
  <c r="AK47" i="8"/>
  <c r="K40" i="18"/>
  <c r="F10" i="6"/>
  <c r="G13" i="39"/>
  <c r="Y2" i="8"/>
  <c r="G37" i="39"/>
  <c r="F33" i="6"/>
  <c r="Y39" i="8"/>
  <c r="AE33" i="6"/>
  <c r="H24" i="6"/>
  <c r="I28" i="39"/>
  <c r="AG24" i="6"/>
  <c r="AC21" i="8"/>
  <c r="AG18" i="6"/>
  <c r="H18" i="6"/>
  <c r="I21" i="39"/>
  <c r="B36" i="6"/>
  <c r="C40" i="39"/>
  <c r="D30" i="6"/>
  <c r="E34" i="39"/>
  <c r="C28" i="39"/>
  <c r="AL14" i="8"/>
  <c r="AM54" i="8"/>
  <c r="AK63" i="8"/>
  <c r="AE25" i="6"/>
  <c r="H19" i="6"/>
  <c r="AG19" i="6"/>
  <c r="AG20" i="8"/>
  <c r="I22" i="39"/>
  <c r="F11" i="6"/>
  <c r="Y3" i="8"/>
  <c r="K41" i="18"/>
  <c r="M41" i="18" s="1"/>
  <c r="G14" i="39"/>
  <c r="B17" i="6"/>
  <c r="V17" i="6" a="1"/>
  <c r="V17" i="6" s="1"/>
  <c r="L17" i="6" a="1"/>
  <c r="L17" i="6" s="1"/>
  <c r="Z17" i="6" a="1"/>
  <c r="Z17" i="6" s="1"/>
  <c r="T17" i="6" a="1"/>
  <c r="T17" i="6" s="1"/>
  <c r="N17" i="6" a="1"/>
  <c r="N17" i="6" s="1"/>
  <c r="C20" i="39"/>
  <c r="K20" i="39" a="1"/>
  <c r="K20" i="39" s="1"/>
  <c r="P17" i="6" a="1"/>
  <c r="P17" i="6" s="1"/>
  <c r="R17" i="6" a="1"/>
  <c r="R17" i="6" s="1"/>
  <c r="B34" i="6"/>
  <c r="C38" i="39"/>
  <c r="D27" i="6"/>
  <c r="E31" i="39"/>
  <c r="B25" i="6"/>
  <c r="C29" i="39"/>
  <c r="D35" i="6"/>
  <c r="E39" i="39"/>
  <c r="W39" i="8"/>
  <c r="F25" i="6"/>
  <c r="G29" i="39"/>
  <c r="F26" i="6"/>
  <c r="G30" i="39"/>
  <c r="H8" i="6"/>
  <c r="I12" i="39"/>
  <c r="AG8" i="6"/>
  <c r="I37" i="39"/>
  <c r="H33" i="6"/>
  <c r="AG33" i="6"/>
  <c r="C12" i="39"/>
  <c r="B8" i="6"/>
  <c r="C10" i="6" s="1"/>
  <c r="F8" i="27" s="1"/>
  <c r="U4" i="8"/>
  <c r="C15" i="39"/>
  <c r="R12" i="6" a="1"/>
  <c r="R12" i="6" s="1"/>
  <c r="S12" i="6" s="1"/>
  <c r="P12" i="6" a="1"/>
  <c r="P12" i="6" s="1"/>
  <c r="B12" i="6"/>
  <c r="T12" i="6" a="1"/>
  <c r="T12" i="6" s="1"/>
  <c r="U12" i="6" s="1"/>
  <c r="N12" i="6" a="1"/>
  <c r="N12" i="6" s="1"/>
  <c r="Z12" i="6" a="1"/>
  <c r="Z12" i="6" s="1"/>
  <c r="AA12" i="6" s="1"/>
  <c r="L12" i="6" a="1"/>
  <c r="L12" i="6" s="1"/>
  <c r="M12" i="6" s="1"/>
  <c r="V12" i="6"/>
  <c r="W12" i="6" s="1"/>
  <c r="K15" i="39" a="1"/>
  <c r="K15" i="39" s="1"/>
  <c r="L15" i="39" s="1"/>
  <c r="G34" i="39"/>
  <c r="F30" i="6"/>
  <c r="AG37" i="6"/>
  <c r="H37" i="6"/>
  <c r="I41" i="39"/>
  <c r="AE18" i="6"/>
  <c r="AA21" i="8"/>
  <c r="AJ63" i="8"/>
  <c r="B26" i="6"/>
  <c r="C30" i="39"/>
  <c r="E12" i="39"/>
  <c r="W5" i="8"/>
  <c r="D8" i="6"/>
  <c r="W2" i="8"/>
  <c r="D25" i="6"/>
  <c r="E29" i="39"/>
  <c r="E36" i="22"/>
  <c r="I40" i="39"/>
  <c r="H36" i="6"/>
  <c r="AG36" i="6"/>
  <c r="AC2" i="8"/>
  <c r="I13" i="39"/>
  <c r="H10" i="6"/>
  <c r="G33" i="39"/>
  <c r="F29" i="6"/>
  <c r="AG12" i="6"/>
  <c r="AH12" i="6" s="1"/>
  <c r="H12" i="6"/>
  <c r="I12" i="6" s="1"/>
  <c r="AG13" i="8"/>
  <c r="AC4" i="8"/>
  <c r="I15" i="39"/>
  <c r="B33" i="6"/>
  <c r="C37" i="39"/>
  <c r="E15" i="39"/>
  <c r="W4" i="8"/>
  <c r="D12" i="6"/>
  <c r="U3" i="8"/>
  <c r="AJ54" i="8"/>
  <c r="Q11" i="6"/>
  <c r="AQ11" i="6"/>
  <c r="AR11" i="6" s="1"/>
  <c r="AG35" i="6"/>
  <c r="I39" i="39"/>
  <c r="H35" i="6"/>
  <c r="AE26" i="6"/>
  <c r="F19" i="6"/>
  <c r="G22" i="39"/>
  <c r="K43" i="18"/>
  <c r="G16" i="39"/>
  <c r="F13" i="6"/>
  <c r="Y5" i="8"/>
  <c r="I16" i="39"/>
  <c r="H13" i="6"/>
  <c r="I13" i="6" s="1"/>
  <c r="AC5" i="8"/>
  <c r="AG13" i="6"/>
  <c r="AH13" i="6" s="1"/>
  <c r="AM14" i="8"/>
  <c r="AM15" i="8" s="1"/>
  <c r="AC3" i="8"/>
  <c r="AG12" i="8"/>
  <c r="I14" i="39"/>
  <c r="H11" i="6"/>
  <c r="I11" i="6" s="1"/>
  <c r="AG11" i="6"/>
  <c r="AH11" i="6" s="1"/>
  <c r="H27" i="6"/>
  <c r="AG27" i="6"/>
  <c r="I31" i="39"/>
  <c r="AE37" i="6"/>
  <c r="D24" i="6"/>
  <c r="E28" i="39"/>
  <c r="E21" i="39"/>
  <c r="D18" i="6"/>
  <c r="W21" i="8"/>
  <c r="AA32" i="8"/>
  <c r="AE27" i="6"/>
  <c r="AE28" i="6"/>
  <c r="D17" i="6"/>
  <c r="E20" i="39"/>
  <c r="E22" i="27"/>
  <c r="C23" i="22"/>
  <c r="G54" i="18"/>
  <c r="L18" i="6" a="1"/>
  <c r="L18" i="6" s="1"/>
  <c r="K21" i="39" a="1"/>
  <c r="K21" i="39" s="1"/>
  <c r="T18" i="6" a="1"/>
  <c r="T18" i="6" s="1"/>
  <c r="AG19" i="8"/>
  <c r="P18" i="6" a="1"/>
  <c r="P18" i="6" s="1"/>
  <c r="B18" i="6"/>
  <c r="R18" i="6" a="1"/>
  <c r="R18" i="6" s="1"/>
  <c r="Z18" i="6" a="1"/>
  <c r="Z18" i="6" s="1"/>
  <c r="V18" i="6" a="1"/>
  <c r="V18" i="6" s="1"/>
  <c r="U21" i="8"/>
  <c r="C21" i="39"/>
  <c r="N18" i="6" a="1"/>
  <c r="N18" i="6" s="1"/>
  <c r="AM35" i="8"/>
  <c r="AM36" i="8" s="1"/>
  <c r="G31" i="39"/>
  <c r="F27" i="6"/>
  <c r="Y32" i="8"/>
  <c r="AG9" i="6"/>
  <c r="AG10" i="8"/>
  <c r="AC15" i="8"/>
  <c r="AK14" i="8"/>
  <c r="M39" i="18"/>
  <c r="B13" i="6"/>
  <c r="P13" i="6"/>
  <c r="K16" i="39"/>
  <c r="U5" i="8"/>
  <c r="V13" i="6"/>
  <c r="AG14" i="8"/>
  <c r="Z13" i="6"/>
  <c r="N13" i="6" a="1"/>
  <c r="N13" i="6" s="1"/>
  <c r="X15" i="6"/>
  <c r="L13" i="6" a="1"/>
  <c r="L13" i="6" s="1"/>
  <c r="R13" i="6"/>
  <c r="S13" i="6" s="1"/>
  <c r="T13" i="6"/>
  <c r="U13" i="6" s="1"/>
  <c r="C16" i="39"/>
  <c r="B29" i="6"/>
  <c r="C33" i="39"/>
  <c r="AA2" i="8"/>
  <c r="AE10" i="6"/>
  <c r="AE8" i="6"/>
  <c r="AA4" i="8"/>
  <c r="AA15" i="8"/>
  <c r="AA5" i="8"/>
  <c r="AA3" i="8"/>
  <c r="D9" i="6"/>
  <c r="W15" i="8"/>
  <c r="G40" i="18"/>
  <c r="C9" i="22"/>
  <c r="E8" i="27"/>
  <c r="AJ47" i="8"/>
  <c r="F28" i="6"/>
  <c r="G32" i="39"/>
  <c r="F17" i="6"/>
  <c r="G20" i="39"/>
  <c r="C41" i="39"/>
  <c r="U39" i="8"/>
  <c r="B37" i="6"/>
  <c r="B30" i="6"/>
  <c r="C34" i="39"/>
  <c r="AM63" i="8"/>
  <c r="F9" i="6"/>
  <c r="Y15" i="8"/>
  <c r="AG34" i="6"/>
  <c r="H34" i="6"/>
  <c r="I38" i="39"/>
  <c r="AC39" i="8"/>
  <c r="D26" i="6"/>
  <c r="W32" i="8"/>
  <c r="E30" i="39"/>
  <c r="E32" i="39"/>
  <c r="D28" i="6"/>
  <c r="I29" i="39"/>
  <c r="AG25" i="6"/>
  <c r="H25" i="6"/>
  <c r="AC32" i="8"/>
  <c r="C31" i="39"/>
  <c r="B27" i="6"/>
  <c r="AM47" i="8"/>
  <c r="AE35" i="6"/>
  <c r="F18" i="6"/>
  <c r="Y21" i="8"/>
  <c r="G21" i="39"/>
  <c r="AG29" i="6"/>
  <c r="H29" i="6"/>
  <c r="I33" i="39"/>
  <c r="H28" i="6"/>
  <c r="AG28" i="6"/>
  <c r="I32" i="39"/>
  <c r="AE34" i="6"/>
  <c r="AA39" i="8"/>
  <c r="AE36" i="6"/>
  <c r="H30" i="6"/>
  <c r="I34" i="39"/>
  <c r="AG30" i="6"/>
  <c r="U15" i="8"/>
  <c r="M4" i="31"/>
  <c r="F107" i="20"/>
  <c r="G5" i="20"/>
  <c r="F103" i="20"/>
  <c r="F120" i="20"/>
  <c r="F123" i="20"/>
  <c r="F124" i="20" s="1"/>
  <c r="F4" i="20"/>
  <c r="E53" i="20"/>
  <c r="L3" i="31"/>
  <c r="E15" i="25"/>
  <c r="I287" i="25"/>
  <c r="I19" i="25"/>
  <c r="I317" i="25"/>
  <c r="I300" i="25"/>
  <c r="I208" i="25"/>
  <c r="I281" i="25"/>
  <c r="I27" i="25"/>
  <c r="I185" i="25"/>
  <c r="I347" i="25"/>
  <c r="I100" i="25"/>
  <c r="I117" i="25"/>
  <c r="I303" i="25"/>
  <c r="I57" i="25"/>
  <c r="I251" i="25"/>
  <c r="I296" i="25"/>
  <c r="I109" i="25"/>
  <c r="I260" i="25"/>
  <c r="I94" i="25"/>
  <c r="I354" i="25"/>
  <c r="I167" i="25"/>
  <c r="I344" i="25"/>
  <c r="I356" i="25"/>
  <c r="I285" i="25"/>
  <c r="I24" i="25"/>
  <c r="I221" i="25"/>
  <c r="I21" i="25"/>
  <c r="I101" i="25"/>
  <c r="I171" i="25"/>
  <c r="I118" i="25"/>
  <c r="I319" i="25"/>
  <c r="I294" i="25"/>
  <c r="I140" i="25"/>
  <c r="I291" i="25"/>
  <c r="I370" i="25"/>
  <c r="I172" i="25"/>
  <c r="I112" i="25"/>
  <c r="I314" i="25"/>
  <c r="I29" i="25"/>
  <c r="I374" i="25"/>
  <c r="I318" i="25"/>
  <c r="I258" i="25"/>
  <c r="I305" i="25"/>
  <c r="I283" i="25"/>
  <c r="I43" i="25"/>
  <c r="I106" i="25"/>
  <c r="I60" i="25"/>
  <c r="I259" i="25"/>
  <c r="I346" i="25"/>
  <c r="I141" i="25"/>
  <c r="I166" i="25"/>
  <c r="I169" i="25"/>
  <c r="I265" i="25"/>
  <c r="I358" i="25"/>
  <c r="I240" i="25"/>
  <c r="I227" i="25"/>
  <c r="I155" i="25"/>
  <c r="I86" i="25"/>
  <c r="I92" i="25"/>
  <c r="I124" i="25"/>
  <c r="I61" i="25"/>
  <c r="I242" i="25"/>
  <c r="I131" i="25"/>
  <c r="I336" i="25"/>
  <c r="I279" i="25"/>
  <c r="I45" i="25"/>
  <c r="I278" i="25"/>
  <c r="I149" i="25"/>
  <c r="I133" i="25"/>
  <c r="I32" i="25"/>
  <c r="I58" i="25"/>
  <c r="I316" i="25"/>
  <c r="I180" i="25"/>
  <c r="I351" i="25"/>
  <c r="I338" i="25"/>
  <c r="I82" i="25"/>
  <c r="I107" i="25"/>
  <c r="I324" i="25"/>
  <c r="I31" i="25"/>
  <c r="I111" i="25"/>
  <c r="I243" i="25"/>
  <c r="I214" i="25"/>
  <c r="I65" i="25"/>
  <c r="I35" i="25"/>
  <c r="I40" i="25"/>
  <c r="I220" i="25"/>
  <c r="I301" i="25"/>
  <c r="I67" i="25"/>
  <c r="I284" i="25"/>
  <c r="I18" i="25"/>
  <c r="I127" i="25"/>
  <c r="I154" i="25"/>
  <c r="I190" i="25"/>
  <c r="I236" i="25"/>
  <c r="I181" i="25"/>
  <c r="I235" i="25"/>
  <c r="I198" i="25"/>
  <c r="I139" i="25"/>
  <c r="I211" i="25"/>
  <c r="I192" i="25"/>
  <c r="I322" i="25"/>
  <c r="I122" i="25"/>
  <c r="I335" i="25"/>
  <c r="I159" i="25"/>
  <c r="I339" i="25"/>
  <c r="I290" i="25"/>
  <c r="I176" i="25"/>
  <c r="I266" i="25"/>
  <c r="I230" i="25"/>
  <c r="I130" i="25"/>
  <c r="I293" i="25"/>
  <c r="I295" i="25"/>
  <c r="I307" i="25"/>
  <c r="I254" i="25"/>
  <c r="I48" i="25"/>
  <c r="I33" i="25"/>
  <c r="I340" i="25"/>
  <c r="I297" i="25"/>
  <c r="I121" i="25"/>
  <c r="I321" i="25"/>
  <c r="I368" i="25"/>
  <c r="I323" i="25"/>
  <c r="I343" i="25"/>
  <c r="I253" i="25"/>
  <c r="I237" i="25"/>
  <c r="I88" i="25"/>
  <c r="I199" i="25"/>
  <c r="I312" i="25"/>
  <c r="I219" i="25"/>
  <c r="I280" i="25"/>
  <c r="I152" i="25"/>
  <c r="I47" i="25"/>
  <c r="I269" i="25"/>
  <c r="I173" i="25"/>
  <c r="I292" i="25"/>
  <c r="I261" i="25"/>
  <c r="I46" i="25"/>
  <c r="I44" i="25"/>
  <c r="I93" i="25"/>
  <c r="I102" i="25"/>
  <c r="I151" i="25"/>
  <c r="I373" i="25"/>
  <c r="I49" i="25"/>
  <c r="I326" i="25"/>
  <c r="I160" i="25"/>
  <c r="I136" i="25"/>
  <c r="I38" i="25"/>
  <c r="I275" i="25"/>
  <c r="I309" i="25"/>
  <c r="I201" i="25"/>
  <c r="I129" i="25"/>
  <c r="I144" i="25"/>
  <c r="I267" i="25"/>
  <c r="I148" i="25"/>
  <c r="I193" i="25"/>
  <c r="I357" i="25"/>
  <c r="I158" i="25"/>
  <c r="I369" i="25"/>
  <c r="I325" i="25"/>
  <c r="I331" i="25"/>
  <c r="I156" i="25"/>
  <c r="I232" i="25"/>
  <c r="I213" i="25"/>
  <c r="I80" i="25"/>
  <c r="I246" i="25"/>
  <c r="I59" i="25"/>
  <c r="I366" i="25"/>
  <c r="I72" i="25"/>
  <c r="I191" i="25"/>
  <c r="I274" i="25"/>
  <c r="I30" i="25"/>
  <c r="I341" i="25"/>
  <c r="I113" i="25"/>
  <c r="I225" i="25"/>
  <c r="I332" i="25"/>
  <c r="I42" i="25"/>
  <c r="I178" i="25"/>
  <c r="I162" i="25"/>
  <c r="I54" i="25"/>
  <c r="I286" i="25"/>
  <c r="I71" i="25"/>
  <c r="I222" i="25"/>
  <c r="I179" i="25"/>
  <c r="I327" i="25"/>
  <c r="I209" i="25"/>
  <c r="I73" i="25"/>
  <c r="I187" i="25"/>
  <c r="I68" i="25"/>
  <c r="I329" i="25"/>
  <c r="I63" i="25"/>
  <c r="I135" i="25"/>
  <c r="I210" i="25"/>
  <c r="I218" i="25"/>
  <c r="I216" i="25"/>
  <c r="I145" i="25"/>
  <c r="I247" i="25"/>
  <c r="I248" i="25"/>
  <c r="I200" i="25"/>
  <c r="I362" i="25"/>
  <c r="I328" i="25"/>
  <c r="I119" i="25"/>
  <c r="I188" i="25"/>
  <c r="I367" i="25"/>
  <c r="I175" i="25"/>
  <c r="I217" i="25"/>
  <c r="I353" i="25"/>
  <c r="I348" i="25"/>
  <c r="I276" i="25"/>
  <c r="I226" i="25"/>
  <c r="I26" i="25"/>
  <c r="I273" i="25"/>
  <c r="I75" i="25"/>
  <c r="I182" i="25"/>
  <c r="I16" i="25"/>
  <c r="I372" i="25"/>
  <c r="I138" i="25"/>
  <c r="I52" i="25"/>
  <c r="I268" i="25"/>
  <c r="I371" i="25"/>
  <c r="I264" i="25"/>
  <c r="I262" i="25"/>
  <c r="I272" i="25"/>
  <c r="I233" i="25"/>
  <c r="I212" i="25"/>
  <c r="I114" i="25"/>
  <c r="I66" i="25"/>
  <c r="I345" i="25"/>
  <c r="I177" i="25"/>
  <c r="I76" i="25"/>
  <c r="I134" i="25"/>
  <c r="I238" i="25"/>
  <c r="I163" i="25"/>
  <c r="I244" i="25"/>
  <c r="I349" i="25"/>
  <c r="I271" i="25"/>
  <c r="I89" i="25"/>
  <c r="I241" i="25"/>
  <c r="I39" i="25"/>
  <c r="I257" i="25"/>
  <c r="I315" i="25"/>
  <c r="I183" i="25"/>
  <c r="I64" i="25"/>
  <c r="I50" i="25"/>
  <c r="I70" i="25"/>
  <c r="I78" i="25"/>
  <c r="I69" i="25"/>
  <c r="I17" i="25"/>
  <c r="I98" i="25"/>
  <c r="I157" i="25"/>
  <c r="I320" i="25"/>
  <c r="I288" i="25"/>
  <c r="I298" i="25"/>
  <c r="I87" i="25"/>
  <c r="I239" i="25"/>
  <c r="I165" i="25"/>
  <c r="I215" i="25"/>
  <c r="I203" i="25"/>
  <c r="I186" i="25"/>
  <c r="I128" i="25"/>
  <c r="I229" i="25"/>
  <c r="I308" i="25"/>
  <c r="I153" i="25"/>
  <c r="I77" i="25"/>
  <c r="I81" i="25"/>
  <c r="I302" i="25"/>
  <c r="I142" i="25"/>
  <c r="I174" i="25"/>
  <c r="I74" i="25"/>
  <c r="I96" i="25"/>
  <c r="I161" i="25"/>
  <c r="I123" i="25"/>
  <c r="I204" i="25"/>
  <c r="I252" i="25"/>
  <c r="I310" i="25"/>
  <c r="I104" i="25"/>
  <c r="I263" i="25"/>
  <c r="I299" i="25"/>
  <c r="I41" i="25"/>
  <c r="I36" i="25"/>
  <c r="I164" i="25"/>
  <c r="I37" i="25"/>
  <c r="I342" i="25"/>
  <c r="I105" i="25"/>
  <c r="I250" i="25"/>
  <c r="I205" i="25"/>
  <c r="I234" i="25"/>
  <c r="I350" i="25"/>
  <c r="I168" i="25"/>
  <c r="I146" i="25"/>
  <c r="I103" i="25"/>
  <c r="I51" i="25"/>
  <c r="I55" i="25"/>
  <c r="I277" i="25"/>
  <c r="I110" i="25"/>
  <c r="I25" i="25"/>
  <c r="I108" i="25"/>
  <c r="I20" i="25"/>
  <c r="I85" i="25"/>
  <c r="I147" i="25"/>
  <c r="I34" i="25"/>
  <c r="I194" i="25"/>
  <c r="I306" i="25"/>
  <c r="I97" i="25"/>
  <c r="I364" i="25"/>
  <c r="I15" i="25"/>
  <c r="I304" i="25"/>
  <c r="I289" i="25"/>
  <c r="I184" i="25"/>
  <c r="I125" i="25"/>
  <c r="I231" i="25"/>
  <c r="I337" i="25"/>
  <c r="I28" i="25"/>
  <c r="I23" i="25"/>
  <c r="I91" i="25"/>
  <c r="I99" i="25"/>
  <c r="I83" i="25"/>
  <c r="I330" i="25"/>
  <c r="I95" i="25"/>
  <c r="I255" i="25"/>
  <c r="I224" i="25"/>
  <c r="I333" i="25"/>
  <c r="I189" i="25"/>
  <c r="I22" i="25"/>
  <c r="I137" i="25"/>
  <c r="I313" i="25"/>
  <c r="I361" i="25"/>
  <c r="I116" i="25"/>
  <c r="I223" i="25"/>
  <c r="I56" i="25"/>
  <c r="I53" i="25"/>
  <c r="I282" i="25"/>
  <c r="I143" i="25"/>
  <c r="I197" i="25"/>
  <c r="I196" i="25"/>
  <c r="I90" i="25"/>
  <c r="I202" i="25"/>
  <c r="I206" i="25"/>
  <c r="I249" i="25"/>
  <c r="I132" i="25"/>
  <c r="I115" i="25"/>
  <c r="I256" i="25"/>
  <c r="I270" i="25"/>
  <c r="I363" i="25"/>
  <c r="I62" i="25"/>
  <c r="I334" i="25"/>
  <c r="I228" i="25"/>
  <c r="I359" i="25"/>
  <c r="I150" i="25"/>
  <c r="I84" i="25"/>
  <c r="I79" i="25"/>
  <c r="I355" i="25"/>
  <c r="I245" i="25"/>
  <c r="I195" i="25"/>
  <c r="I170" i="25"/>
  <c r="I126" i="25"/>
  <c r="I360" i="25"/>
  <c r="I365" i="25"/>
  <c r="I311" i="25"/>
  <c r="I207" i="25"/>
  <c r="I120" i="25"/>
  <c r="I352" i="25"/>
  <c r="P104" i="6"/>
  <c r="R47" i="6"/>
  <c r="P59" i="6"/>
  <c r="P91" i="6"/>
  <c r="Z47" i="6"/>
  <c r="AQ47" i="6"/>
  <c r="O5" i="33"/>
  <c r="R5" i="33"/>
  <c r="O14" i="33"/>
  <c r="S14" i="33" s="1"/>
  <c r="R14" i="33"/>
  <c r="F8" i="20" l="1"/>
  <c r="F9" i="20"/>
  <c r="F11" i="20"/>
  <c r="F12" i="20"/>
  <c r="F10" i="20"/>
  <c r="F13" i="20"/>
  <c r="V36" i="21"/>
  <c r="N34" i="33"/>
  <c r="O34" i="33" s="1"/>
  <c r="N31" i="33"/>
  <c r="O31" i="33" s="1"/>
  <c r="V33" i="21"/>
  <c r="V14" i="21"/>
  <c r="N13" i="33"/>
  <c r="O13" i="33" s="1"/>
  <c r="S13" i="33" s="1"/>
  <c r="N32" i="33"/>
  <c r="O32" i="33" s="1"/>
  <c r="V34" i="21"/>
  <c r="N29" i="33"/>
  <c r="O29" i="33" s="1"/>
  <c r="V31" i="21"/>
  <c r="N21" i="33"/>
  <c r="O21" i="33" s="1"/>
  <c r="V23" i="21"/>
  <c r="V13" i="21"/>
  <c r="N12" i="33"/>
  <c r="N33" i="33"/>
  <c r="O33" i="33" s="1"/>
  <c r="V35" i="21"/>
  <c r="V24" i="21"/>
  <c r="N22" i="33"/>
  <c r="O22" i="33" s="1"/>
  <c r="V38" i="21"/>
  <c r="N36" i="33"/>
  <c r="O36" i="33" s="1"/>
  <c r="N25" i="33"/>
  <c r="O25" i="33" s="1"/>
  <c r="V27" i="21"/>
  <c r="N28" i="33"/>
  <c r="O28" i="33" s="1"/>
  <c r="V30" i="21"/>
  <c r="V18" i="21"/>
  <c r="N17" i="33"/>
  <c r="O17" i="33" s="1"/>
  <c r="AN10" i="21"/>
  <c r="AP10" i="21" s="1"/>
  <c r="AQ10" i="21" s="1"/>
  <c r="U11" i="21"/>
  <c r="U41" i="21" s="1"/>
  <c r="U42" i="21" s="1"/>
  <c r="H3" i="20"/>
  <c r="N2" i="31"/>
  <c r="I6" i="8"/>
  <c r="AQ14" i="8"/>
  <c r="AR10" i="6"/>
  <c r="R7" i="21"/>
  <c r="T7" i="21" s="1"/>
  <c r="AD6" i="21"/>
  <c r="AC6" i="21" s="1"/>
  <c r="F46" i="20"/>
  <c r="F45" i="20" s="1"/>
  <c r="M40" i="18"/>
  <c r="J16" i="39"/>
  <c r="J14" i="39"/>
  <c r="H13" i="39"/>
  <c r="H16" i="39"/>
  <c r="J15" i="39"/>
  <c r="H14" i="39"/>
  <c r="E43" i="20"/>
  <c r="AG8" i="21"/>
  <c r="AG6" i="21"/>
  <c r="Q40" i="18"/>
  <c r="S40" i="18" s="1"/>
  <c r="G8" i="27"/>
  <c r="M42" i="18"/>
  <c r="S9" i="6"/>
  <c r="S14" i="6" s="1"/>
  <c r="AL26" i="8"/>
  <c r="AQ9" i="6"/>
  <c r="AR9" i="6" s="1"/>
  <c r="Q9" i="6"/>
  <c r="U40" i="8"/>
  <c r="I9" i="6"/>
  <c r="O11" i="6"/>
  <c r="H9" i="27" s="1"/>
  <c r="AL15" i="8"/>
  <c r="E7" i="27"/>
  <c r="G11" i="22"/>
  <c r="G41" i="18"/>
  <c r="E9" i="27"/>
  <c r="I23" i="39"/>
  <c r="G65" i="18"/>
  <c r="C34" i="22"/>
  <c r="I10" i="6"/>
  <c r="Q41" i="18"/>
  <c r="S41" i="18" s="1"/>
  <c r="C27" i="22"/>
  <c r="E26" i="27"/>
  <c r="D16" i="39"/>
  <c r="D15" i="39"/>
  <c r="AL66" i="8"/>
  <c r="AL68" i="8" s="1"/>
  <c r="AL72" i="8" s="1"/>
  <c r="AM26" i="8"/>
  <c r="G17" i="39"/>
  <c r="G18" i="39" s="1"/>
  <c r="AJ26" i="8"/>
  <c r="AJ66" i="8"/>
  <c r="AJ68" i="8" s="1"/>
  <c r="AJ72" i="8" s="1"/>
  <c r="AK66" i="8"/>
  <c r="AK68" i="8" s="1"/>
  <c r="AK72" i="8" s="1"/>
  <c r="K44" i="18"/>
  <c r="M44" i="18" s="1"/>
  <c r="H20" i="6"/>
  <c r="D13" i="39"/>
  <c r="C18" i="22"/>
  <c r="E17" i="27"/>
  <c r="G49" i="18"/>
  <c r="AF10" i="6"/>
  <c r="F15" i="39"/>
  <c r="C17" i="39"/>
  <c r="C18" i="39" s="1"/>
  <c r="M43" i="18"/>
  <c r="AG9" i="21"/>
  <c r="G41" i="21"/>
  <c r="R11" i="21"/>
  <c r="T11" i="21" s="1"/>
  <c r="Z11" i="21" s="1"/>
  <c r="AG11" i="21" s="1"/>
  <c r="J13" i="39"/>
  <c r="G15" i="25"/>
  <c r="J15" i="25" s="1"/>
  <c r="D16" i="25" s="1"/>
  <c r="E16" i="25" s="1"/>
  <c r="G16" i="25" s="1"/>
  <c r="J16" i="25" s="1"/>
  <c r="D17" i="25" s="1"/>
  <c r="N52" i="6"/>
  <c r="V52" i="6" s="1"/>
  <c r="N82" i="6"/>
  <c r="R48" i="6"/>
  <c r="T48" i="6" s="1"/>
  <c r="AQ48" i="6"/>
  <c r="Z48" i="6"/>
  <c r="L82" i="6"/>
  <c r="L52" i="6"/>
  <c r="H17" i="23"/>
  <c r="L17" i="23" s="1"/>
  <c r="E18" i="23" s="1"/>
  <c r="F18" i="23" s="1"/>
  <c r="J18" i="23" s="1"/>
  <c r="H18" i="23" s="1"/>
  <c r="L18" i="23" s="1"/>
  <c r="E19" i="23" s="1"/>
  <c r="F19" i="23" s="1"/>
  <c r="J19" i="23" s="1"/>
  <c r="H19" i="23" s="1"/>
  <c r="L19" i="23" s="1"/>
  <c r="E20" i="23" s="1"/>
  <c r="E106" i="20"/>
  <c r="V11" i="21"/>
  <c r="Q10" i="33"/>
  <c r="N10" i="33"/>
  <c r="D43" i="20"/>
  <c r="AH10" i="21"/>
  <c r="AI10" i="21" s="1"/>
  <c r="AJ10" i="21" s="1"/>
  <c r="AD8" i="21"/>
  <c r="S42" i="21"/>
  <c r="AC10" i="21"/>
  <c r="D5" i="39"/>
  <c r="D10" i="19"/>
  <c r="C5" i="38"/>
  <c r="O41" i="21"/>
  <c r="N42" i="21" s="1"/>
  <c r="G5" i="39"/>
  <c r="J41" i="21"/>
  <c r="F5" i="39"/>
  <c r="E5" i="39"/>
  <c r="AO41" i="21"/>
  <c r="H41" i="21"/>
  <c r="B5" i="39"/>
  <c r="N41" i="21"/>
  <c r="L41" i="21"/>
  <c r="K41" i="21"/>
  <c r="D45" i="20"/>
  <c r="G48" i="20" s="1"/>
  <c r="C5" i="39"/>
  <c r="X41" i="21"/>
  <c r="M41" i="21"/>
  <c r="I8" i="21"/>
  <c r="B9" i="21"/>
  <c r="AD9" i="21"/>
  <c r="L4" i="33"/>
  <c r="P4" i="33" s="1"/>
  <c r="F44" i="21"/>
  <c r="Q41" i="21"/>
  <c r="Q42" i="21" s="1"/>
  <c r="Q6" i="33"/>
  <c r="N6" i="33"/>
  <c r="M4" i="33"/>
  <c r="V7" i="21"/>
  <c r="O9" i="33"/>
  <c r="S9" i="33" s="1"/>
  <c r="R9" i="33"/>
  <c r="R14" i="6"/>
  <c r="R15" i="6" s="1"/>
  <c r="E12" i="6"/>
  <c r="E11" i="22"/>
  <c r="AQ17" i="6"/>
  <c r="G47" i="18"/>
  <c r="C16" i="22"/>
  <c r="E15" i="27"/>
  <c r="AG20" i="6"/>
  <c r="F16" i="39"/>
  <c r="E17" i="39"/>
  <c r="E18" i="39" s="1"/>
  <c r="F13" i="39"/>
  <c r="F14" i="39"/>
  <c r="G24" i="22"/>
  <c r="C24" i="22"/>
  <c r="G55" i="18"/>
  <c r="E23" i="27"/>
  <c r="G18" i="22"/>
  <c r="I17" i="39"/>
  <c r="I18" i="39" s="1"/>
  <c r="AH10" i="6"/>
  <c r="G32" i="22"/>
  <c r="F38" i="6"/>
  <c r="E17" i="22"/>
  <c r="E6" i="27"/>
  <c r="C7" i="22"/>
  <c r="G39" i="18"/>
  <c r="I39" i="18" s="1"/>
  <c r="H14" i="6"/>
  <c r="H15" i="6" s="1"/>
  <c r="K16" i="22"/>
  <c r="G15" i="27"/>
  <c r="Q47" i="18"/>
  <c r="E29" i="22"/>
  <c r="G42" i="39"/>
  <c r="C32" i="22"/>
  <c r="E31" i="27"/>
  <c r="G63" i="18"/>
  <c r="AE20" i="6"/>
  <c r="AF20" i="6" s="1"/>
  <c r="G56" i="18"/>
  <c r="C25" i="22"/>
  <c r="E24" i="27"/>
  <c r="Q42" i="18"/>
  <c r="S42" i="18" s="1"/>
  <c r="G10" i="27"/>
  <c r="O12" i="6"/>
  <c r="H10" i="27" s="1"/>
  <c r="D14" i="39"/>
  <c r="E26" i="22"/>
  <c r="F26" i="22" s="1"/>
  <c r="G10" i="22"/>
  <c r="G11" i="6"/>
  <c r="G13" i="6"/>
  <c r="G12" i="22"/>
  <c r="G28" i="22"/>
  <c r="E24" i="22"/>
  <c r="E42" i="39"/>
  <c r="C35" i="22"/>
  <c r="G66" i="18"/>
  <c r="E34" i="27"/>
  <c r="E23" i="22"/>
  <c r="C9" i="6"/>
  <c r="F7" i="27" s="1"/>
  <c r="C11" i="6"/>
  <c r="F9" i="27" s="1"/>
  <c r="E10" i="27"/>
  <c r="C11" i="22"/>
  <c r="C12" i="6"/>
  <c r="F10" i="27" s="1"/>
  <c r="G42" i="18"/>
  <c r="G25" i="22"/>
  <c r="D38" i="6"/>
  <c r="E34" i="22"/>
  <c r="E32" i="27"/>
  <c r="G64" i="18"/>
  <c r="C33" i="22"/>
  <c r="G9" i="22"/>
  <c r="H9" i="22" s="1"/>
  <c r="G10" i="6"/>
  <c r="E10" i="6"/>
  <c r="E7" i="22"/>
  <c r="E11" i="6"/>
  <c r="E13" i="6"/>
  <c r="G29" i="22"/>
  <c r="Q12" i="6"/>
  <c r="AQ12" i="6"/>
  <c r="AR12" i="6" s="1"/>
  <c r="E27" i="22"/>
  <c r="M13" i="6"/>
  <c r="M14" i="6" s="1"/>
  <c r="L14" i="6"/>
  <c r="L15" i="6" s="1"/>
  <c r="C26" i="22"/>
  <c r="G57" i="18"/>
  <c r="E25" i="27"/>
  <c r="AG31" i="6"/>
  <c r="H38" i="6"/>
  <c r="E28" i="27"/>
  <c r="G60" i="18"/>
  <c r="C29" i="22"/>
  <c r="W16" i="8"/>
  <c r="W22" i="8"/>
  <c r="G43" i="18"/>
  <c r="C12" i="22"/>
  <c r="E11" i="27"/>
  <c r="C13" i="6"/>
  <c r="V20" i="6"/>
  <c r="L20" i="6"/>
  <c r="U22" i="8"/>
  <c r="U16" i="8"/>
  <c r="I35" i="39"/>
  <c r="J29" i="39"/>
  <c r="E35" i="39"/>
  <c r="AG38" i="6"/>
  <c r="E35" i="27"/>
  <c r="G67" i="18"/>
  <c r="C36" i="22"/>
  <c r="B38" i="6"/>
  <c r="E9" i="6"/>
  <c r="E8" i="22"/>
  <c r="D14" i="6"/>
  <c r="D15" i="6" s="1"/>
  <c r="G11" i="27"/>
  <c r="Q43" i="18"/>
  <c r="S43" i="18" s="1"/>
  <c r="O13" i="6"/>
  <c r="N14" i="6"/>
  <c r="Y40" i="8"/>
  <c r="Z20" i="6"/>
  <c r="B31" i="6"/>
  <c r="H31" i="6"/>
  <c r="AE38" i="6"/>
  <c r="AF38" i="6" s="1"/>
  <c r="C35" i="39"/>
  <c r="Y22" i="8"/>
  <c r="Y16" i="8"/>
  <c r="G23" i="39"/>
  <c r="AA13" i="6"/>
  <c r="Z14" i="6"/>
  <c r="Z15" i="6" s="1"/>
  <c r="G26" i="22"/>
  <c r="F31" i="6"/>
  <c r="R20" i="6"/>
  <c r="AE31" i="6"/>
  <c r="I42" i="39"/>
  <c r="Q13" i="6"/>
  <c r="AQ13" i="6"/>
  <c r="P14" i="6"/>
  <c r="P15" i="6" s="1"/>
  <c r="AG46" i="6" s="1"/>
  <c r="G17" i="22"/>
  <c r="W40" i="8"/>
  <c r="G8" i="22"/>
  <c r="G9" i="6"/>
  <c r="F14" i="6"/>
  <c r="F15" i="6" s="1"/>
  <c r="F20" i="6"/>
  <c r="G16" i="22"/>
  <c r="B14" i="6"/>
  <c r="E27" i="27"/>
  <c r="C28" i="22"/>
  <c r="G59" i="18"/>
  <c r="G35" i="39"/>
  <c r="C17" i="22"/>
  <c r="E16" i="27"/>
  <c r="G48" i="18"/>
  <c r="B20" i="6"/>
  <c r="AA40" i="8"/>
  <c r="AG14" i="6"/>
  <c r="AH9" i="6"/>
  <c r="E25" i="22"/>
  <c r="D31" i="6"/>
  <c r="C42" i="39"/>
  <c r="D42" i="39" s="1"/>
  <c r="AA22" i="8"/>
  <c r="AA16" i="8"/>
  <c r="W13" i="6"/>
  <c r="W14" i="6" s="1"/>
  <c r="V14" i="6"/>
  <c r="V15" i="6" s="1"/>
  <c r="AK15" i="8"/>
  <c r="AK26" i="8"/>
  <c r="AQ18" i="6"/>
  <c r="P20" i="6"/>
  <c r="Q18" i="6"/>
  <c r="K23" i="39"/>
  <c r="AG32" i="8"/>
  <c r="AC40" i="8"/>
  <c r="AG39" i="8"/>
  <c r="AG15" i="8"/>
  <c r="AC22" i="8"/>
  <c r="AC16" i="8"/>
  <c r="N20" i="6"/>
  <c r="G16" i="27"/>
  <c r="Q48" i="18"/>
  <c r="E23" i="39"/>
  <c r="AM66" i="8"/>
  <c r="AM68" i="8" s="1"/>
  <c r="AM72" i="8" s="1"/>
  <c r="G27" i="22"/>
  <c r="AE14" i="6"/>
  <c r="AF9" i="6"/>
  <c r="L16" i="39"/>
  <c r="L17" i="39" s="1"/>
  <c r="K17" i="39"/>
  <c r="K18" i="39" s="1"/>
  <c r="C23" i="39"/>
  <c r="T20" i="6"/>
  <c r="D20" i="6"/>
  <c r="E16" i="22"/>
  <c r="T14" i="6"/>
  <c r="U9" i="6"/>
  <c r="U14" i="6" s="1"/>
  <c r="F16" i="20"/>
  <c r="M3" i="31"/>
  <c r="F14" i="20"/>
  <c r="F15" i="20"/>
  <c r="F17" i="20"/>
  <c r="F73" i="20"/>
  <c r="G120" i="20"/>
  <c r="G4" i="20"/>
  <c r="N4" i="31"/>
  <c r="G107" i="20"/>
  <c r="G123" i="20"/>
  <c r="G124" i="20" s="1"/>
  <c r="H5" i="20"/>
  <c r="G103" i="20"/>
  <c r="G46" i="20"/>
  <c r="F90" i="20" a="1"/>
  <c r="F90" i="20" s="1"/>
  <c r="E52" i="20"/>
  <c r="Z104" i="6"/>
  <c r="Z59" i="6"/>
  <c r="Z91" i="6"/>
  <c r="R59" i="6"/>
  <c r="T47" i="6"/>
  <c r="S47" i="6"/>
  <c r="R104" i="6"/>
  <c r="R91" i="6"/>
  <c r="AR47" i="6"/>
  <c r="AQ91" i="6"/>
  <c r="AQ59" i="6"/>
  <c r="AQ104" i="6"/>
  <c r="S5" i="33"/>
  <c r="X32" i="8" l="1"/>
  <c r="K32" i="22"/>
  <c r="O32" i="22" s="1"/>
  <c r="P32" i="22" s="1"/>
  <c r="Q32" i="22" s="1"/>
  <c r="R32" i="22" s="1"/>
  <c r="S32" i="22" s="1"/>
  <c r="T32" i="22" s="1"/>
  <c r="U32" i="22" s="1"/>
  <c r="V32" i="22" s="1"/>
  <c r="W32" i="22" s="1"/>
  <c r="X32" i="22" s="1"/>
  <c r="Y32" i="22" s="1"/>
  <c r="Z32" i="22" s="1"/>
  <c r="G13" i="20"/>
  <c r="G10" i="20"/>
  <c r="G12" i="20"/>
  <c r="G11" i="20"/>
  <c r="G9" i="20"/>
  <c r="G8" i="20"/>
  <c r="F6" i="20"/>
  <c r="R12" i="33"/>
  <c r="O12" i="33"/>
  <c r="S12" i="33" s="1"/>
  <c r="H27" i="22"/>
  <c r="L42" i="21"/>
  <c r="B9" i="5" s="1"/>
  <c r="J42" i="21"/>
  <c r="B8" i="5"/>
  <c r="L21" i="39"/>
  <c r="D25" i="22"/>
  <c r="G38" i="6"/>
  <c r="J42" i="39"/>
  <c r="D12" i="39"/>
  <c r="E17" i="6"/>
  <c r="U20" i="6"/>
  <c r="H20" i="39"/>
  <c r="Z40" i="8"/>
  <c r="J34" i="39"/>
  <c r="X40" i="8"/>
  <c r="AF27" i="6"/>
  <c r="K25" i="22"/>
  <c r="O25" i="22" s="1"/>
  <c r="P25" i="22" s="1"/>
  <c r="Q25" i="22" s="1"/>
  <c r="R25" i="22" s="1"/>
  <c r="S25" i="22" s="1"/>
  <c r="T25" i="22" s="1"/>
  <c r="U25" i="22" s="1"/>
  <c r="V25" i="22" s="1"/>
  <c r="W25" i="22" s="1"/>
  <c r="X25" i="22" s="1"/>
  <c r="Y25" i="22" s="1"/>
  <c r="Z25" i="22" s="1"/>
  <c r="K29" i="22"/>
  <c r="O29" i="22" s="1"/>
  <c r="P29" i="22" s="1"/>
  <c r="Q29" i="22" s="1"/>
  <c r="R29" i="22" s="1"/>
  <c r="S29" i="22" s="1"/>
  <c r="T29" i="22" s="1"/>
  <c r="U29" i="22" s="1"/>
  <c r="V29" i="22" s="1"/>
  <c r="W29" i="22" s="1"/>
  <c r="X29" i="22" s="1"/>
  <c r="Y29" i="22" s="1"/>
  <c r="Z29" i="22" s="1"/>
  <c r="K27" i="22"/>
  <c r="O27" i="22" s="1"/>
  <c r="P27" i="22" s="1"/>
  <c r="Q27" i="22" s="1"/>
  <c r="R27" i="22" s="1"/>
  <c r="S27" i="22" s="1"/>
  <c r="T27" i="22" s="1"/>
  <c r="U27" i="22" s="1"/>
  <c r="V27" i="22" s="1"/>
  <c r="W27" i="22" s="1"/>
  <c r="X27" i="22" s="1"/>
  <c r="Y27" i="22" s="1"/>
  <c r="Z27" i="22" s="1"/>
  <c r="K28" i="22"/>
  <c r="O28" i="22" s="1"/>
  <c r="P28" i="22" s="1"/>
  <c r="Q28" i="22" s="1"/>
  <c r="R28" i="22" s="1"/>
  <c r="S28" i="22" s="1"/>
  <c r="T28" i="22" s="1"/>
  <c r="U28" i="22" s="1"/>
  <c r="V28" i="22" s="1"/>
  <c r="W28" i="22" s="1"/>
  <c r="X28" i="22" s="1"/>
  <c r="Y28" i="22" s="1"/>
  <c r="Z28" i="22" s="1"/>
  <c r="K23" i="22"/>
  <c r="O23" i="22" s="1"/>
  <c r="P23" i="22" s="1"/>
  <c r="Q23" i="22" s="1"/>
  <c r="R23" i="22" s="1"/>
  <c r="S23" i="22" s="1"/>
  <c r="T23" i="22" s="1"/>
  <c r="U23" i="22" s="1"/>
  <c r="V23" i="22" s="1"/>
  <c r="W23" i="22" s="1"/>
  <c r="X23" i="22" s="1"/>
  <c r="Y23" i="22" s="1"/>
  <c r="Z23" i="22" s="1"/>
  <c r="K24" i="22"/>
  <c r="O24" i="22" s="1"/>
  <c r="P24" i="22" s="1"/>
  <c r="Q24" i="22" s="1"/>
  <c r="R24" i="22" s="1"/>
  <c r="S24" i="22" s="1"/>
  <c r="T24" i="22" s="1"/>
  <c r="U24" i="22" s="1"/>
  <c r="V24" i="22" s="1"/>
  <c r="W24" i="22" s="1"/>
  <c r="X24" i="22" s="1"/>
  <c r="Y24" i="22" s="1"/>
  <c r="Z24" i="22" s="1"/>
  <c r="C25" i="6"/>
  <c r="F23" i="27" s="1"/>
  <c r="F21" i="39"/>
  <c r="H21" i="39"/>
  <c r="I3" i="20"/>
  <c r="O2" i="31"/>
  <c r="H6" i="8"/>
  <c r="AQ13" i="8"/>
  <c r="H28" i="22"/>
  <c r="F29" i="39"/>
  <c r="AH6" i="21"/>
  <c r="AI6" i="21" s="1"/>
  <c r="AJ6" i="21" s="1"/>
  <c r="F53" i="20"/>
  <c r="R41" i="21"/>
  <c r="R42" i="21" s="1"/>
  <c r="G33" i="6"/>
  <c r="D24" i="22"/>
  <c r="F32" i="39"/>
  <c r="J32" i="39"/>
  <c r="J17" i="39"/>
  <c r="H17" i="39"/>
  <c r="AD39" i="8"/>
  <c r="C18" i="6"/>
  <c r="F16" i="27" s="1"/>
  <c r="H17" i="22"/>
  <c r="S20" i="6"/>
  <c r="C37" i="6"/>
  <c r="F35" i="27" s="1"/>
  <c r="I24" i="6"/>
  <c r="D21" i="39"/>
  <c r="G18" i="6"/>
  <c r="D26" i="22"/>
  <c r="G30" i="6"/>
  <c r="H42" i="39"/>
  <c r="I8" i="6"/>
  <c r="J22" i="39"/>
  <c r="D31" i="39"/>
  <c r="E27" i="6"/>
  <c r="C26" i="6"/>
  <c r="F24" i="27" s="1"/>
  <c r="H37" i="39"/>
  <c r="AR17" i="6"/>
  <c r="I28" i="6"/>
  <c r="H22" i="39"/>
  <c r="O18" i="6"/>
  <c r="H16" i="27" s="1"/>
  <c r="AB32" i="8"/>
  <c r="H31" i="39"/>
  <c r="E28" i="6"/>
  <c r="E8" i="6"/>
  <c r="G29" i="6"/>
  <c r="E30" i="6"/>
  <c r="F12" i="39"/>
  <c r="AF25" i="6"/>
  <c r="AL74" i="8"/>
  <c r="I14" i="6"/>
  <c r="AF14" i="6"/>
  <c r="H11" i="22"/>
  <c r="AH14" i="6"/>
  <c r="AK74" i="8"/>
  <c r="AM74" i="8"/>
  <c r="E18" i="27"/>
  <c r="AJ74" i="8"/>
  <c r="D17" i="39"/>
  <c r="I24" i="39"/>
  <c r="J40" i="39" s="1"/>
  <c r="C13" i="22"/>
  <c r="C14" i="22" s="1"/>
  <c r="H10" i="22"/>
  <c r="D9" i="22"/>
  <c r="D12" i="22"/>
  <c r="H12" i="22"/>
  <c r="I43" i="18"/>
  <c r="I40" i="18"/>
  <c r="D11" i="22"/>
  <c r="AF9" i="21"/>
  <c r="AF10" i="21"/>
  <c r="V39" i="8"/>
  <c r="AH8" i="6"/>
  <c r="U18" i="6"/>
  <c r="G28" i="6"/>
  <c r="D23" i="22"/>
  <c r="G17" i="6"/>
  <c r="I25" i="6"/>
  <c r="I38" i="6"/>
  <c r="F29" i="22"/>
  <c r="C8" i="6"/>
  <c r="F6" i="27" s="1"/>
  <c r="Q17" i="6"/>
  <c r="AA17" i="6"/>
  <c r="AF35" i="6"/>
  <c r="H33" i="39"/>
  <c r="AH20" i="6"/>
  <c r="H30" i="39"/>
  <c r="F28" i="39"/>
  <c r="Q4" i="33"/>
  <c r="AH28" i="6"/>
  <c r="I19" i="6"/>
  <c r="AH25" i="6"/>
  <c r="F27" i="22"/>
  <c r="E35" i="6"/>
  <c r="F42" i="39"/>
  <c r="O17" i="6"/>
  <c r="H15" i="27" s="1"/>
  <c r="G25" i="6"/>
  <c r="AH18" i="6"/>
  <c r="AF37" i="6"/>
  <c r="D34" i="39"/>
  <c r="AH30" i="6"/>
  <c r="J28" i="39"/>
  <c r="J37" i="39"/>
  <c r="D29" i="39"/>
  <c r="AF33" i="6"/>
  <c r="AD32" i="8"/>
  <c r="D41" i="39"/>
  <c r="AB40" i="8"/>
  <c r="C29" i="6"/>
  <c r="F27" i="27" s="1"/>
  <c r="I20" i="6"/>
  <c r="S18" i="6"/>
  <c r="AH38" i="6"/>
  <c r="M18" i="6"/>
  <c r="E38" i="6"/>
  <c r="F39" i="39"/>
  <c r="J12" i="39"/>
  <c r="H24" i="22"/>
  <c r="C17" i="6"/>
  <c r="F15" i="27" s="1"/>
  <c r="D33" i="39"/>
  <c r="D34" i="22"/>
  <c r="F31" i="39"/>
  <c r="H34" i="39"/>
  <c r="I37" i="6"/>
  <c r="I29" i="6"/>
  <c r="AA47" i="6"/>
  <c r="J23" i="39"/>
  <c r="AD40" i="8"/>
  <c r="AA18" i="6"/>
  <c r="D29" i="22"/>
  <c r="G26" i="6"/>
  <c r="F23" i="22"/>
  <c r="F24" i="22"/>
  <c r="C33" i="6"/>
  <c r="F31" i="27" s="1"/>
  <c r="F17" i="22"/>
  <c r="G19" i="6"/>
  <c r="H32" i="39"/>
  <c r="U17" i="6"/>
  <c r="L20" i="39"/>
  <c r="AH37" i="6"/>
  <c r="AH24" i="6"/>
  <c r="V40" i="8"/>
  <c r="AN11" i="21"/>
  <c r="AP11" i="21" s="1"/>
  <c r="AQ11" i="21" s="1"/>
  <c r="AD11" i="21"/>
  <c r="AF8" i="6"/>
  <c r="F20" i="39"/>
  <c r="E26" i="6"/>
  <c r="D28" i="22"/>
  <c r="G27" i="6"/>
  <c r="Z32" i="8"/>
  <c r="F30" i="39"/>
  <c r="W18" i="6"/>
  <c r="C30" i="6"/>
  <c r="F28" i="27" s="1"/>
  <c r="C27" i="6"/>
  <c r="F25" i="27" s="1"/>
  <c r="H29" i="22"/>
  <c r="H25" i="22"/>
  <c r="E24" i="6"/>
  <c r="E25" i="6"/>
  <c r="D32" i="22"/>
  <c r="E18" i="6"/>
  <c r="H18" i="22"/>
  <c r="D16" i="22"/>
  <c r="J33" i="39"/>
  <c r="AB39" i="8"/>
  <c r="D27" i="22"/>
  <c r="H29" i="39"/>
  <c r="D30" i="39"/>
  <c r="F34" i="39"/>
  <c r="H21" i="6"/>
  <c r="I34" i="6" s="1"/>
  <c r="AG16" i="8"/>
  <c r="E29" i="27"/>
  <c r="E14" i="6"/>
  <c r="I42" i="18"/>
  <c r="I41" i="18"/>
  <c r="Q14" i="6"/>
  <c r="G12" i="27"/>
  <c r="G13" i="27" s="1"/>
  <c r="F106" i="20"/>
  <c r="G106" i="20"/>
  <c r="F20" i="23"/>
  <c r="J20" i="23" s="1"/>
  <c r="H20" i="23" s="1"/>
  <c r="L20" i="23" s="1"/>
  <c r="E21" i="23" s="1"/>
  <c r="D56" i="20"/>
  <c r="AW6" i="21"/>
  <c r="G56" i="20" s="1"/>
  <c r="J31" i="39"/>
  <c r="I33" i="6"/>
  <c r="J39" i="39"/>
  <c r="Z7" i="21"/>
  <c r="T41" i="21"/>
  <c r="T42" i="21" s="1"/>
  <c r="E48" i="20"/>
  <c r="E49" i="20" s="1" a="1"/>
  <c r="E49" i="20" s="1"/>
  <c r="E50" i="20" s="1"/>
  <c r="F48" i="20"/>
  <c r="F49" i="20" s="1" a="1"/>
  <c r="F49" i="20" s="1"/>
  <c r="F50" i="20" s="1"/>
  <c r="AC8" i="21"/>
  <c r="AA10" i="22"/>
  <c r="V10" i="22"/>
  <c r="AR58" i="6"/>
  <c r="L34" i="22"/>
  <c r="Z10" i="22"/>
  <c r="C11" i="19"/>
  <c r="AA35" i="6"/>
  <c r="AA79" i="6"/>
  <c r="W8" i="6"/>
  <c r="B7" i="5"/>
  <c r="A1003" i="33"/>
  <c r="O8" i="6"/>
  <c r="H6" i="27" s="1"/>
  <c r="Q8" i="6"/>
  <c r="M48" i="6"/>
  <c r="Z38" i="8"/>
  <c r="AD27" i="8"/>
  <c r="Q52" i="6"/>
  <c r="K18" i="6"/>
  <c r="AA53" i="6"/>
  <c r="AA58" i="6"/>
  <c r="M53" i="6"/>
  <c r="P37" i="6"/>
  <c r="AQ37" i="6" s="1"/>
  <c r="AR37" i="6" s="1"/>
  <c r="C40" i="19"/>
  <c r="C36" i="19"/>
  <c r="L12" i="39"/>
  <c r="F37" i="39"/>
  <c r="F28" i="22"/>
  <c r="O52" i="6"/>
  <c r="AR53" i="6"/>
  <c r="Q79" i="6"/>
  <c r="M35" i="6"/>
  <c r="S79" i="6"/>
  <c r="S53" i="6"/>
  <c r="AR78" i="6"/>
  <c r="AF19" i="6"/>
  <c r="AB31" i="8"/>
  <c r="D22" i="39"/>
  <c r="O35" i="6"/>
  <c r="H33" i="27" s="1"/>
  <c r="O58" i="6"/>
  <c r="Q35" i="6"/>
  <c r="U79" i="6"/>
  <c r="U53" i="6"/>
  <c r="R37" i="6"/>
  <c r="C5" i="18"/>
  <c r="S58" i="6"/>
  <c r="B33" i="5"/>
  <c r="AB25" i="8"/>
  <c r="AF29" i="6"/>
  <c r="X34" i="8"/>
  <c r="W10" i="22"/>
  <c r="W35" i="6"/>
  <c r="O53" i="6"/>
  <c r="AB10" i="22"/>
  <c r="Y10" i="22"/>
  <c r="K35" i="6"/>
  <c r="Q53" i="6"/>
  <c r="X30" i="8"/>
  <c r="D39" i="39"/>
  <c r="G24" i="6"/>
  <c r="S35" i="6"/>
  <c r="AA52" i="6"/>
  <c r="K36" i="22"/>
  <c r="C37" i="19"/>
  <c r="AC10" i="22"/>
  <c r="L37" i="6"/>
  <c r="W48" i="6"/>
  <c r="U35" i="6"/>
  <c r="L39" i="39"/>
  <c r="I26" i="6"/>
  <c r="G8" i="6"/>
  <c r="Q19" i="6"/>
  <c r="H13" i="19"/>
  <c r="I18" i="11" s="1"/>
  <c r="O48" i="6"/>
  <c r="Q48" i="6" s="1"/>
  <c r="X10" i="22"/>
  <c r="C37" i="18"/>
  <c r="I66" i="18" s="1"/>
  <c r="T10" i="22"/>
  <c r="U58" i="6"/>
  <c r="AR35" i="6"/>
  <c r="U8" i="6"/>
  <c r="AD10" i="22"/>
  <c r="V36" i="8"/>
  <c r="AF30" i="6"/>
  <c r="W52" i="6"/>
  <c r="M58" i="6"/>
  <c r="M52" i="6"/>
  <c r="W53" i="6"/>
  <c r="AR79" i="6"/>
  <c r="Z25" i="8"/>
  <c r="Q58" i="6"/>
  <c r="E33" i="6"/>
  <c r="U52" i="6"/>
  <c r="L29" i="19"/>
  <c r="U10" i="22"/>
  <c r="L17" i="22"/>
  <c r="S52" i="6"/>
  <c r="AR52" i="6"/>
  <c r="T37" i="6"/>
  <c r="AR8" i="6"/>
  <c r="F32" i="22"/>
  <c r="S19" i="6"/>
  <c r="E19" i="6"/>
  <c r="O19" i="6"/>
  <c r="H17" i="27" s="1"/>
  <c r="L22" i="39"/>
  <c r="D18" i="22"/>
  <c r="Z36" i="8"/>
  <c r="X38" i="8"/>
  <c r="C19" i="6"/>
  <c r="F17" i="27" s="1"/>
  <c r="O47" i="6"/>
  <c r="AH26" i="6"/>
  <c r="J30" i="39"/>
  <c r="AF24" i="6"/>
  <c r="S8" i="6"/>
  <c r="H41" i="39"/>
  <c r="F22" i="39"/>
  <c r="E29" i="6"/>
  <c r="H39" i="39"/>
  <c r="F33" i="39"/>
  <c r="M19" i="6"/>
  <c r="V29" i="8"/>
  <c r="AR19" i="6"/>
  <c r="AA19" i="6"/>
  <c r="G35" i="6"/>
  <c r="U19" i="6"/>
  <c r="H28" i="39"/>
  <c r="AA8" i="6"/>
  <c r="AB30" i="8"/>
  <c r="M47" i="6"/>
  <c r="G37" i="6"/>
  <c r="H34" i="22"/>
  <c r="C35" i="6"/>
  <c r="F33" i="27" s="1"/>
  <c r="AD34" i="8"/>
  <c r="AB27" i="8"/>
  <c r="V38" i="8"/>
  <c r="W47" i="6"/>
  <c r="D32" i="39"/>
  <c r="M8" i="6"/>
  <c r="AD25" i="8"/>
  <c r="X36" i="8"/>
  <c r="Z27" i="8"/>
  <c r="AB38" i="8"/>
  <c r="C24" i="6"/>
  <c r="F22" i="27" s="1"/>
  <c r="Z29" i="8"/>
  <c r="AD30" i="8"/>
  <c r="AD31" i="8"/>
  <c r="H36" i="22"/>
  <c r="X31" i="8"/>
  <c r="H7" i="22"/>
  <c r="AH17" i="6"/>
  <c r="X26" i="8"/>
  <c r="X25" i="8"/>
  <c r="Z28" i="8"/>
  <c r="AD26" i="8"/>
  <c r="AB36" i="8"/>
  <c r="H23" i="22"/>
  <c r="Z31" i="8"/>
  <c r="Z30" i="8"/>
  <c r="AD36" i="8"/>
  <c r="AB28" i="8"/>
  <c r="F41" i="39"/>
  <c r="X28" i="8"/>
  <c r="AD38" i="8"/>
  <c r="V27" i="8"/>
  <c r="V31" i="8"/>
  <c r="X29" i="8"/>
  <c r="AD29" i="8"/>
  <c r="AB26" i="8"/>
  <c r="AD28" i="8"/>
  <c r="Z34" i="8"/>
  <c r="V32" i="8"/>
  <c r="F18" i="22"/>
  <c r="W19" i="6"/>
  <c r="AB34" i="8"/>
  <c r="V25" i="8"/>
  <c r="Z26" i="8"/>
  <c r="V28" i="8"/>
  <c r="H12" i="39"/>
  <c r="Q47" i="6"/>
  <c r="E37" i="6"/>
  <c r="V34" i="8"/>
  <c r="C28" i="6"/>
  <c r="F26" i="27" s="1"/>
  <c r="AF17" i="6"/>
  <c r="AB29" i="8"/>
  <c r="V30" i="8"/>
  <c r="X27" i="8"/>
  <c r="I17" i="6"/>
  <c r="V26" i="8"/>
  <c r="J20" i="39"/>
  <c r="D20" i="39"/>
  <c r="Z39" i="8"/>
  <c r="AF18" i="6"/>
  <c r="J41" i="39"/>
  <c r="J21" i="39"/>
  <c r="I30" i="6"/>
  <c r="AC9" i="21"/>
  <c r="X39" i="8"/>
  <c r="I18" i="6"/>
  <c r="I35" i="6"/>
  <c r="I27" i="6"/>
  <c r="M17" i="6"/>
  <c r="D28" i="39"/>
  <c r="I9" i="21"/>
  <c r="B10" i="21"/>
  <c r="AV6" i="21"/>
  <c r="G55" i="20" s="1"/>
  <c r="G57" i="20" s="1"/>
  <c r="D55" i="20"/>
  <c r="F36" i="22"/>
  <c r="AH19" i="6"/>
  <c r="AH27" i="6"/>
  <c r="AH33" i="6"/>
  <c r="O6" i="33"/>
  <c r="N4" i="33"/>
  <c r="R6" i="33"/>
  <c r="F45" i="21"/>
  <c r="B10" i="5"/>
  <c r="AH35" i="6"/>
  <c r="W17" i="6"/>
  <c r="AF28" i="6"/>
  <c r="D37" i="39"/>
  <c r="AF8" i="21"/>
  <c r="S17" i="6"/>
  <c r="AH29" i="6"/>
  <c r="R10" i="33"/>
  <c r="O10" i="33"/>
  <c r="S10" i="33" s="1"/>
  <c r="AF26" i="6"/>
  <c r="AE18" i="8"/>
  <c r="O16" i="22"/>
  <c r="P16" i="22" s="1"/>
  <c r="Q16" i="22" s="1"/>
  <c r="R16" i="22" s="1"/>
  <c r="S16" i="22" s="1"/>
  <c r="T16" i="22" s="1"/>
  <c r="U16" i="22" s="1"/>
  <c r="V16" i="22" s="1"/>
  <c r="W16" i="22" s="1"/>
  <c r="X16" i="22" s="1"/>
  <c r="Y16" i="22" s="1"/>
  <c r="Z16" i="22" s="1"/>
  <c r="L16" i="22"/>
  <c r="D72" i="20"/>
  <c r="J17" i="6"/>
  <c r="G18" i="27"/>
  <c r="E12" i="27"/>
  <c r="E13" i="27" s="1"/>
  <c r="F17" i="39"/>
  <c r="E37" i="22"/>
  <c r="F37" i="22" s="1"/>
  <c r="F34" i="22"/>
  <c r="H32" i="22"/>
  <c r="G37" i="22"/>
  <c r="H37" i="22" s="1"/>
  <c r="E36" i="27"/>
  <c r="F36" i="27" s="1"/>
  <c r="F7" i="22"/>
  <c r="F9" i="22"/>
  <c r="G14" i="6"/>
  <c r="D7" i="22"/>
  <c r="F12" i="22"/>
  <c r="D8" i="22"/>
  <c r="F10" i="22"/>
  <c r="D10" i="22"/>
  <c r="F11" i="22"/>
  <c r="AR13" i="6"/>
  <c r="AR14" i="6" s="1"/>
  <c r="AQ14" i="6"/>
  <c r="AQ15" i="6" s="1"/>
  <c r="F11" i="27"/>
  <c r="F12" i="27" s="1"/>
  <c r="C14" i="6"/>
  <c r="L23" i="39"/>
  <c r="K24" i="39"/>
  <c r="F25" i="22"/>
  <c r="E30" i="22"/>
  <c r="D36" i="22"/>
  <c r="C37" i="22"/>
  <c r="D37" i="22" s="1"/>
  <c r="E19" i="22"/>
  <c r="F16" i="22"/>
  <c r="D17" i="22"/>
  <c r="C19" i="22"/>
  <c r="F39" i="6"/>
  <c r="G31" i="6"/>
  <c r="Z35" i="8"/>
  <c r="Y23" i="8"/>
  <c r="Z37" i="8"/>
  <c r="Y42" i="8"/>
  <c r="H8" i="22"/>
  <c r="G13" i="22"/>
  <c r="G14" i="22" s="1"/>
  <c r="C38" i="6"/>
  <c r="G68" i="18"/>
  <c r="R21" i="6"/>
  <c r="R34" i="6" s="1"/>
  <c r="C30" i="22"/>
  <c r="I31" i="6"/>
  <c r="H39" i="6"/>
  <c r="E20" i="6"/>
  <c r="D21" i="6"/>
  <c r="AA23" i="8"/>
  <c r="AA42" i="8"/>
  <c r="AB37" i="8"/>
  <c r="AB35" i="8"/>
  <c r="AG15" i="6"/>
  <c r="AG21" i="6"/>
  <c r="G43" i="39"/>
  <c r="H35" i="39"/>
  <c r="H16" i="22"/>
  <c r="G19" i="22"/>
  <c r="C43" i="39"/>
  <c r="D35" i="39"/>
  <c r="C31" i="6"/>
  <c r="G61" i="18"/>
  <c r="B39" i="6"/>
  <c r="U42" i="8"/>
  <c r="U23" i="8"/>
  <c r="V35" i="8"/>
  <c r="V37" i="8"/>
  <c r="G24" i="39"/>
  <c r="H23" i="39"/>
  <c r="G44" i="18"/>
  <c r="I44" i="18" s="1"/>
  <c r="B15" i="6"/>
  <c r="H11" i="27"/>
  <c r="H12" i="27" s="1"/>
  <c r="O14" i="6"/>
  <c r="J35" i="39"/>
  <c r="I43" i="39"/>
  <c r="C40" i="38"/>
  <c r="AC42" i="8"/>
  <c r="AD37" i="8"/>
  <c r="AG22" i="8"/>
  <c r="AC23" i="8"/>
  <c r="AD35" i="8"/>
  <c r="F23" i="39"/>
  <c r="E24" i="39"/>
  <c r="Q20" i="6"/>
  <c r="P21" i="6"/>
  <c r="G20" i="6"/>
  <c r="F21" i="6"/>
  <c r="H26" i="22"/>
  <c r="G30" i="22"/>
  <c r="AA20" i="6"/>
  <c r="Z21" i="6"/>
  <c r="M20" i="6"/>
  <c r="L21" i="6"/>
  <c r="X35" i="8"/>
  <c r="X37" i="8"/>
  <c r="W42" i="8"/>
  <c r="W23" i="8"/>
  <c r="AG39" i="6"/>
  <c r="AH31" i="6"/>
  <c r="O20" i="6"/>
  <c r="N21" i="6"/>
  <c r="Q50" i="18"/>
  <c r="AE15" i="6"/>
  <c r="AE21" i="6"/>
  <c r="AR18" i="6"/>
  <c r="AQ20" i="6"/>
  <c r="AE39" i="6"/>
  <c r="AF31" i="6"/>
  <c r="F8" i="22"/>
  <c r="E13" i="22"/>
  <c r="E14" i="22" s="1"/>
  <c r="D23" i="39"/>
  <c r="C24" i="39"/>
  <c r="M15" i="11"/>
  <c r="N15" i="6"/>
  <c r="Q44" i="18"/>
  <c r="S44" i="18" s="1"/>
  <c r="E31" i="6"/>
  <c r="D39" i="6"/>
  <c r="C20" i="6"/>
  <c r="G50" i="18"/>
  <c r="B21" i="6"/>
  <c r="E43" i="39"/>
  <c r="F35" i="39"/>
  <c r="W20" i="6"/>
  <c r="V21" i="6"/>
  <c r="E17" i="25"/>
  <c r="G17" i="25" s="1"/>
  <c r="J17" i="25" s="1"/>
  <c r="D18" i="25" s="1"/>
  <c r="H103" i="20"/>
  <c r="H46" i="20"/>
  <c r="I5" i="20"/>
  <c r="H4" i="20"/>
  <c r="O4" i="31"/>
  <c r="H107" i="20"/>
  <c r="H123" i="20"/>
  <c r="H124" i="20" s="1"/>
  <c r="H48" i="20"/>
  <c r="H120" i="20"/>
  <c r="F52" i="20"/>
  <c r="G90" i="20" a="1"/>
  <c r="G90" i="20" s="1"/>
  <c r="H90" i="20" s="1" a="1"/>
  <c r="H90" i="20" s="1"/>
  <c r="N3" i="31"/>
  <c r="G16" i="20"/>
  <c r="G14" i="20"/>
  <c r="G15" i="20"/>
  <c r="G73" i="20"/>
  <c r="G17" i="20"/>
  <c r="G49" i="20" a="1"/>
  <c r="G49" i="20" s="1"/>
  <c r="G50" i="20" s="1"/>
  <c r="AH46" i="6"/>
  <c r="T15" i="6"/>
  <c r="T21" i="6"/>
  <c r="G45" i="20"/>
  <c r="G52" i="20" s="1"/>
  <c r="G53" i="20"/>
  <c r="T59" i="6"/>
  <c r="T91" i="6"/>
  <c r="U47" i="6"/>
  <c r="T104" i="6"/>
  <c r="H8" i="20" l="1"/>
  <c r="G6" i="20"/>
  <c r="H9" i="20"/>
  <c r="H11" i="20"/>
  <c r="H12" i="20"/>
  <c r="H10" i="20"/>
  <c r="H13" i="20"/>
  <c r="P2" i="31"/>
  <c r="J3" i="20"/>
  <c r="J38" i="39"/>
  <c r="G6" i="8"/>
  <c r="AQ12" i="8"/>
  <c r="AF6" i="21"/>
  <c r="L41" i="39"/>
  <c r="K41" i="39" s="1"/>
  <c r="O37" i="6"/>
  <c r="H106" i="20"/>
  <c r="J24" i="39"/>
  <c r="S47" i="18"/>
  <c r="I57" i="18"/>
  <c r="I68" i="18"/>
  <c r="S50" i="18"/>
  <c r="W50" i="18" s="1"/>
  <c r="I61" i="18"/>
  <c r="D59" i="20"/>
  <c r="H13" i="22"/>
  <c r="I21" i="6"/>
  <c r="D13" i="22"/>
  <c r="F18" i="27"/>
  <c r="F19" i="27" s="1"/>
  <c r="E37" i="27"/>
  <c r="AH9" i="21"/>
  <c r="AI9" i="21" s="1"/>
  <c r="AJ9" i="21" s="1"/>
  <c r="I50" i="18"/>
  <c r="I55" i="18"/>
  <c r="H18" i="27"/>
  <c r="H19" i="27" s="1"/>
  <c r="S48" i="18"/>
  <c r="AH11" i="21"/>
  <c r="AI11" i="21" s="1"/>
  <c r="AJ11" i="21" s="1"/>
  <c r="AC11" i="21"/>
  <c r="I67" i="18"/>
  <c r="R4" i="33"/>
  <c r="G19" i="27"/>
  <c r="G41" i="27" s="1"/>
  <c r="H41" i="27" s="1"/>
  <c r="I36" i="6"/>
  <c r="F29" i="27"/>
  <c r="F37" i="27" s="1"/>
  <c r="H41" i="6"/>
  <c r="H45" i="6" s="1"/>
  <c r="D12" i="19" s="1"/>
  <c r="H22" i="6"/>
  <c r="R22" i="6"/>
  <c r="R36" i="6"/>
  <c r="F21" i="23"/>
  <c r="J21" i="23" s="1"/>
  <c r="H21" i="23" s="1"/>
  <c r="L21" i="23" s="1"/>
  <c r="E22" i="23" s="1"/>
  <c r="S6" i="33"/>
  <c r="O4" i="33"/>
  <c r="I59" i="18"/>
  <c r="D92" i="20"/>
  <c r="E92" i="20" s="1"/>
  <c r="F92" i="20" s="1"/>
  <c r="G92" i="20" s="1"/>
  <c r="H92" i="20" s="1"/>
  <c r="I92" i="20" s="1"/>
  <c r="J92" i="20" s="1"/>
  <c r="K92" i="20" s="1"/>
  <c r="L92" i="20" s="1"/>
  <c r="M92" i="20" s="1"/>
  <c r="N92" i="20" s="1"/>
  <c r="O92" i="20" s="1"/>
  <c r="P92" i="20" s="1"/>
  <c r="Q92" i="20" s="1"/>
  <c r="R92" i="20" s="1"/>
  <c r="S92" i="20" s="1"/>
  <c r="T92" i="20" s="1"/>
  <c r="U92" i="20" s="1"/>
  <c r="V92" i="20" s="1"/>
  <c r="W92" i="20" s="1"/>
  <c r="X92" i="20" s="1"/>
  <c r="Y92" i="20" s="1"/>
  <c r="Z92" i="20" s="1"/>
  <c r="AA92" i="20" s="1"/>
  <c r="AB92" i="20" s="1"/>
  <c r="AC92" i="20" s="1"/>
  <c r="AD92" i="20" s="1"/>
  <c r="AE92" i="20" s="1"/>
  <c r="AF92" i="20" s="1"/>
  <c r="AG92" i="20" s="1"/>
  <c r="AH92" i="20" s="1"/>
  <c r="AI92" i="20" s="1"/>
  <c r="AJ92" i="20" s="1"/>
  <c r="AK92" i="20" s="1"/>
  <c r="AL92" i="20" s="1"/>
  <c r="AM92" i="20" s="1"/>
  <c r="AN92" i="20" s="1"/>
  <c r="AO92" i="20" s="1"/>
  <c r="AP92" i="20" s="1"/>
  <c r="AQ92" i="20" s="1"/>
  <c r="AR92" i="20" s="1"/>
  <c r="AS92" i="20" s="1"/>
  <c r="AT92" i="20" s="1"/>
  <c r="AU92" i="20" s="1"/>
  <c r="AV92" i="20" s="1"/>
  <c r="AW92" i="20" s="1"/>
  <c r="AX92" i="20" s="1"/>
  <c r="AY92" i="20" s="1"/>
  <c r="AZ92" i="20" s="1"/>
  <c r="BA92" i="20" s="1"/>
  <c r="BB92" i="20" s="1"/>
  <c r="BC92" i="20" s="1"/>
  <c r="BD92" i="20" s="1"/>
  <c r="BE92" i="20" s="1"/>
  <c r="BF92" i="20" s="1"/>
  <c r="BG92" i="20" s="1"/>
  <c r="BH92" i="20" s="1"/>
  <c r="BI92" i="20" s="1"/>
  <c r="BJ92" i="20" s="1"/>
  <c r="BK92" i="20" s="1"/>
  <c r="BL92" i="20" s="1"/>
  <c r="BM92" i="20" s="1"/>
  <c r="BN92" i="20" s="1"/>
  <c r="BO92" i="20" s="1"/>
  <c r="BP92" i="20" s="1"/>
  <c r="BQ92" i="20" s="1"/>
  <c r="BR92" i="20" s="1"/>
  <c r="BS92" i="20" s="1"/>
  <c r="BT92" i="20" s="1"/>
  <c r="BU92" i="20" s="1"/>
  <c r="BV92" i="20" s="1"/>
  <c r="BW92" i="20" s="1"/>
  <c r="BX92" i="20" s="1"/>
  <c r="BY92" i="20" s="1"/>
  <c r="BZ92" i="20" s="1"/>
  <c r="CA92" i="20" s="1"/>
  <c r="CB92" i="20" s="1"/>
  <c r="CC92" i="20" s="1"/>
  <c r="CD92" i="20" s="1"/>
  <c r="CE92" i="20" s="1"/>
  <c r="CF92" i="20" s="1"/>
  <c r="CG92" i="20" s="1"/>
  <c r="CH92" i="20" s="1"/>
  <c r="CI92" i="20" s="1"/>
  <c r="CJ92" i="20" s="1"/>
  <c r="CK92" i="20" s="1"/>
  <c r="CL92" i="20" s="1"/>
  <c r="CM92" i="20" s="1"/>
  <c r="CN92" i="20" s="1"/>
  <c r="CO92" i="20" s="1"/>
  <c r="CP92" i="20" s="1"/>
  <c r="CQ92" i="20" s="1"/>
  <c r="CR92" i="20" s="1"/>
  <c r="CS92" i="20" s="1"/>
  <c r="CT92" i="20" s="1"/>
  <c r="CU92" i="20" s="1"/>
  <c r="CV92" i="20" s="1"/>
  <c r="CW92" i="20" s="1"/>
  <c r="CX92" i="20" s="1"/>
  <c r="CY92" i="20" s="1"/>
  <c r="CZ92" i="20" s="1"/>
  <c r="DA92" i="20" s="1"/>
  <c r="DB92" i="20" s="1"/>
  <c r="DC92" i="20" s="1"/>
  <c r="DD92" i="20" s="1"/>
  <c r="DE92" i="20" s="1"/>
  <c r="DF92" i="20" s="1"/>
  <c r="DG92" i="20" s="1"/>
  <c r="DH92" i="20" s="1"/>
  <c r="DI92" i="20" s="1"/>
  <c r="DJ92" i="20" s="1"/>
  <c r="DK92" i="20" s="1"/>
  <c r="DL92" i="20" s="1"/>
  <c r="DM92" i="20" s="1"/>
  <c r="DN92" i="20" s="1"/>
  <c r="DO92" i="20" s="1"/>
  <c r="DP92" i="20" s="1"/>
  <c r="DQ92" i="20" s="1"/>
  <c r="DR92" i="20" s="1"/>
  <c r="DS92" i="20" s="1"/>
  <c r="DT92" i="20" s="1"/>
  <c r="AE38" i="8"/>
  <c r="J37" i="6"/>
  <c r="K37" i="6" s="1"/>
  <c r="AH8" i="21"/>
  <c r="AI8" i="21" s="1"/>
  <c r="AJ8" i="21" s="1"/>
  <c r="B11" i="21"/>
  <c r="I10" i="21"/>
  <c r="AR48" i="6"/>
  <c r="S48" i="6"/>
  <c r="U48" i="6" s="1"/>
  <c r="AE29" i="8"/>
  <c r="J28" i="6"/>
  <c r="K28" i="6" s="1"/>
  <c r="AE30" i="8"/>
  <c r="J29" i="6"/>
  <c r="K29" i="6" s="1"/>
  <c r="I60" i="18"/>
  <c r="S21" i="6"/>
  <c r="I48" i="18"/>
  <c r="I63" i="18"/>
  <c r="J24" i="6"/>
  <c r="AE25" i="8"/>
  <c r="AE34" i="8"/>
  <c r="D30" i="19"/>
  <c r="D88" i="20"/>
  <c r="J33" i="6"/>
  <c r="K33" i="6" s="1"/>
  <c r="I47" i="18"/>
  <c r="AW7" i="21"/>
  <c r="AW8" i="21" s="1"/>
  <c r="AW9" i="21" s="1"/>
  <c r="AW10" i="21" s="1"/>
  <c r="AW11" i="21" s="1"/>
  <c r="AW12" i="21" s="1"/>
  <c r="AW13" i="21" s="1"/>
  <c r="AW14" i="21" s="1"/>
  <c r="AW15" i="21" s="1"/>
  <c r="E56" i="20"/>
  <c r="E58" i="20" s="1"/>
  <c r="F56" i="20"/>
  <c r="F58" i="20" s="1"/>
  <c r="I56" i="18"/>
  <c r="AV7" i="21"/>
  <c r="AV8" i="21" s="1"/>
  <c r="AV9" i="21" s="1"/>
  <c r="AV10" i="21" s="1"/>
  <c r="AV11" i="21" s="1"/>
  <c r="AV12" i="21" s="1"/>
  <c r="AV13" i="21" s="1"/>
  <c r="AV14" i="21" s="1"/>
  <c r="AV15" i="21" s="1"/>
  <c r="E55" i="20"/>
  <c r="E57" i="20" s="1"/>
  <c r="F55" i="20"/>
  <c r="F57" i="20" s="1"/>
  <c r="S65" i="18"/>
  <c r="I49" i="18"/>
  <c r="S49" i="18"/>
  <c r="I58" i="18"/>
  <c r="I65" i="18"/>
  <c r="I54" i="18"/>
  <c r="J30" i="6"/>
  <c r="K30" i="6" s="1"/>
  <c r="AE31" i="8"/>
  <c r="AD7" i="21"/>
  <c r="AG7" i="21"/>
  <c r="AN7" i="21"/>
  <c r="AP7" i="21" s="1"/>
  <c r="Z41" i="21"/>
  <c r="K17" i="6"/>
  <c r="E72" i="20"/>
  <c r="F13" i="22"/>
  <c r="E19" i="27"/>
  <c r="Z36" i="6"/>
  <c r="AA21" i="6"/>
  <c r="Z34" i="6"/>
  <c r="Z22" i="6"/>
  <c r="E45" i="39"/>
  <c r="F45" i="39" s="1"/>
  <c r="F38" i="39"/>
  <c r="F40" i="39"/>
  <c r="F24" i="39"/>
  <c r="J44" i="39"/>
  <c r="J43" i="39"/>
  <c r="G45" i="39"/>
  <c r="H45" i="39" s="1"/>
  <c r="H40" i="39"/>
  <c r="H24" i="39"/>
  <c r="H38" i="39"/>
  <c r="C38" i="22"/>
  <c r="D30" i="22"/>
  <c r="F19" i="22"/>
  <c r="E20" i="22"/>
  <c r="K40" i="39"/>
  <c r="K38" i="39"/>
  <c r="L24" i="39"/>
  <c r="E40" i="6"/>
  <c r="E39" i="6"/>
  <c r="H30" i="22"/>
  <c r="G38" i="22"/>
  <c r="AR20" i="6"/>
  <c r="AQ21" i="6"/>
  <c r="AH40" i="6"/>
  <c r="AH39" i="6"/>
  <c r="D43" i="39"/>
  <c r="D44" i="39"/>
  <c r="G20" i="22"/>
  <c r="H19" i="22"/>
  <c r="AB42" i="8"/>
  <c r="AA44" i="8"/>
  <c r="V22" i="6"/>
  <c r="V36" i="6"/>
  <c r="W21" i="6"/>
  <c r="V34" i="6"/>
  <c r="AE22" i="6"/>
  <c r="AE41" i="6"/>
  <c r="AF41" i="6" s="1"/>
  <c r="AF21" i="6"/>
  <c r="AF34" i="6"/>
  <c r="AF36" i="6"/>
  <c r="W44" i="8"/>
  <c r="X42" i="8"/>
  <c r="G39" i="6"/>
  <c r="G40" i="6"/>
  <c r="F41" i="6"/>
  <c r="G34" i="6"/>
  <c r="G36" i="6"/>
  <c r="F22" i="6"/>
  <c r="G21" i="6"/>
  <c r="U44" i="8"/>
  <c r="V42" i="8"/>
  <c r="V44" i="8" s="1"/>
  <c r="E34" i="6"/>
  <c r="E36" i="6"/>
  <c r="D41" i="6"/>
  <c r="D22" i="6"/>
  <c r="E21" i="6"/>
  <c r="I45" i="39"/>
  <c r="J45" i="39" s="1"/>
  <c r="AF39" i="6"/>
  <c r="AF40" i="6"/>
  <c r="G69" i="18"/>
  <c r="I69" i="18" s="1"/>
  <c r="C40" i="6"/>
  <c r="I70" i="18" s="1"/>
  <c r="C39" i="6"/>
  <c r="H43" i="39"/>
  <c r="H44" i="39"/>
  <c r="C20" i="22"/>
  <c r="D19" i="22"/>
  <c r="L36" i="6"/>
  <c r="M21" i="6"/>
  <c r="L22" i="6"/>
  <c r="I40" i="6"/>
  <c r="I39" i="6"/>
  <c r="Z42" i="8"/>
  <c r="Y44" i="8"/>
  <c r="F30" i="22"/>
  <c r="E38" i="22"/>
  <c r="F44" i="39"/>
  <c r="F43" i="39"/>
  <c r="Q51" i="18"/>
  <c r="S51" i="18" s="1"/>
  <c r="N22" i="6"/>
  <c r="N34" i="6"/>
  <c r="M16" i="11"/>
  <c r="N36" i="6"/>
  <c r="O21" i="6"/>
  <c r="P36" i="6"/>
  <c r="AQ36" i="6" s="1"/>
  <c r="P22" i="6"/>
  <c r="Q21" i="6"/>
  <c r="P34" i="6"/>
  <c r="AC44" i="8"/>
  <c r="AG42" i="8"/>
  <c r="AD42" i="8"/>
  <c r="AH21" i="6"/>
  <c r="AG22" i="6"/>
  <c r="AG41" i="6"/>
  <c r="AH41" i="6" s="1"/>
  <c r="AH36" i="6"/>
  <c r="AH34" i="6"/>
  <c r="G51" i="18"/>
  <c r="B41" i="6"/>
  <c r="C34" i="6"/>
  <c r="F32" i="27" s="1"/>
  <c r="B22" i="6"/>
  <c r="C36" i="6"/>
  <c r="F34" i="27" s="1"/>
  <c r="C21" i="6"/>
  <c r="D24" i="39"/>
  <c r="D40" i="39"/>
  <c r="C45" i="39"/>
  <c r="D45" i="39" s="1"/>
  <c r="D38" i="39"/>
  <c r="E18" i="25"/>
  <c r="G18" i="25" s="1"/>
  <c r="J18" i="25" s="1"/>
  <c r="D19" i="25" s="1"/>
  <c r="G58" i="20"/>
  <c r="G59" i="20" s="1"/>
  <c r="O3" i="31"/>
  <c r="H16" i="20"/>
  <c r="H56" i="20"/>
  <c r="H85" i="20"/>
  <c r="H83" i="20"/>
  <c r="H14" i="20"/>
  <c r="H49" i="20" a="1"/>
  <c r="H49" i="20" s="1"/>
  <c r="H50" i="20" s="1"/>
  <c r="H15" i="20"/>
  <c r="H73" i="20"/>
  <c r="H55" i="20"/>
  <c r="H57" i="20" s="1"/>
  <c r="H17" i="20"/>
  <c r="H84" i="20"/>
  <c r="I46" i="20"/>
  <c r="I120" i="20"/>
  <c r="I123" i="20"/>
  <c r="I124" i="20" s="1"/>
  <c r="I48" i="20"/>
  <c r="I103" i="20"/>
  <c r="I4" i="20"/>
  <c r="J5" i="20"/>
  <c r="P4" i="31"/>
  <c r="I107" i="20"/>
  <c r="AI46" i="6"/>
  <c r="H53" i="20"/>
  <c r="H45" i="20"/>
  <c r="H52" i="20" s="1"/>
  <c r="T22" i="6"/>
  <c r="T36" i="6"/>
  <c r="T34" i="6"/>
  <c r="U21" i="6"/>
  <c r="I13" i="20" l="1"/>
  <c r="I10" i="20"/>
  <c r="I12" i="20"/>
  <c r="I11" i="20"/>
  <c r="I9" i="20"/>
  <c r="I8" i="20"/>
  <c r="H6" i="20"/>
  <c r="S4" i="33"/>
  <c r="AF11" i="21"/>
  <c r="K3" i="20"/>
  <c r="Q2" i="31"/>
  <c r="F6" i="8"/>
  <c r="AQ11" i="8"/>
  <c r="W37" i="6"/>
  <c r="V37" i="6" s="1"/>
  <c r="X37" i="6"/>
  <c r="H35" i="27"/>
  <c r="N37" i="6"/>
  <c r="AB45" i="8" s="1"/>
  <c r="AB46" i="8" s="1"/>
  <c r="I106" i="20"/>
  <c r="I41" i="6"/>
  <c r="I44" i="6" s="1"/>
  <c r="H44" i="6"/>
  <c r="E39" i="27"/>
  <c r="F39" i="27" s="1"/>
  <c r="E41" i="27"/>
  <c r="F41" i="27" s="1"/>
  <c r="F38" i="27"/>
  <c r="F22" i="23"/>
  <c r="J22" i="23" s="1"/>
  <c r="H22" i="23" s="1"/>
  <c r="L22" i="23" s="1"/>
  <c r="E23" i="23" s="1"/>
  <c r="K18" i="22"/>
  <c r="D74" i="20"/>
  <c r="F74" i="20"/>
  <c r="G74" i="20"/>
  <c r="H74" i="20"/>
  <c r="T29" i="6" a="1"/>
  <c r="T29" i="6" s="1"/>
  <c r="U29" i="6" s="1"/>
  <c r="L29" i="6" a="1"/>
  <c r="L29" i="6" s="1"/>
  <c r="M29" i="6" s="1"/>
  <c r="R29" i="6" a="1"/>
  <c r="R29" i="6" s="1"/>
  <c r="S29" i="6" s="1"/>
  <c r="N29" i="6" a="1"/>
  <c r="N29" i="6" s="1"/>
  <c r="Z29" i="6" a="1"/>
  <c r="Z29" i="6" s="1"/>
  <c r="AA29" i="6" s="1"/>
  <c r="P29" i="6" a="1"/>
  <c r="P29" i="6" s="1"/>
  <c r="K33" i="39" a="1"/>
  <c r="K33" i="39" s="1"/>
  <c r="L33" i="39" s="1"/>
  <c r="V29" i="6" a="1"/>
  <c r="V29" i="6" s="1"/>
  <c r="W29" i="6" s="1"/>
  <c r="K34" i="39" a="1"/>
  <c r="K34" i="39" s="1"/>
  <c r="L34" i="39" s="1"/>
  <c r="V30" i="6" a="1"/>
  <c r="V30" i="6" s="1"/>
  <c r="W30" i="6" s="1"/>
  <c r="N30" i="6" a="1"/>
  <c r="N30" i="6" s="1"/>
  <c r="T30" i="6" a="1"/>
  <c r="T30" i="6" s="1"/>
  <c r="U30" i="6" s="1"/>
  <c r="L30" i="6" a="1"/>
  <c r="L30" i="6" s="1"/>
  <c r="M30" i="6" s="1"/>
  <c r="Z30" i="6" a="1"/>
  <c r="Z30" i="6" s="1"/>
  <c r="AA30" i="6" s="1"/>
  <c r="R30" i="6" a="1"/>
  <c r="R30" i="6" s="1"/>
  <c r="S30" i="6" s="1"/>
  <c r="P30" i="6" a="1"/>
  <c r="P30" i="6" s="1"/>
  <c r="D93" i="20"/>
  <c r="E88" i="20"/>
  <c r="F88" i="20" s="1"/>
  <c r="G88" i="20" s="1"/>
  <c r="H88" i="20" s="1"/>
  <c r="I88" i="20" s="1"/>
  <c r="D84" i="20"/>
  <c r="E84" i="20" s="1"/>
  <c r="F84" i="20"/>
  <c r="G84" i="20"/>
  <c r="D79" i="20"/>
  <c r="F79" i="20"/>
  <c r="G79" i="20"/>
  <c r="D85" i="20"/>
  <c r="E85" i="20" s="1"/>
  <c r="F85" i="20"/>
  <c r="G85" i="20"/>
  <c r="K37" i="39" a="1"/>
  <c r="K37" i="39" s="1"/>
  <c r="L37" i="39" s="1"/>
  <c r="L33" i="6" a="1"/>
  <c r="L33" i="6" s="1"/>
  <c r="M33" i="6" s="1"/>
  <c r="T33" i="6" a="1"/>
  <c r="T33" i="6" s="1"/>
  <c r="U33" i="6" s="1"/>
  <c r="R33" i="6" a="1"/>
  <c r="R33" i="6" s="1"/>
  <c r="P33" i="6" a="1"/>
  <c r="P33" i="6" s="1"/>
  <c r="P38" i="6" s="1"/>
  <c r="N33" i="6" a="1"/>
  <c r="N33" i="6" s="1"/>
  <c r="V33" i="6" a="1"/>
  <c r="V33" i="6" s="1"/>
  <c r="W33" i="6" s="1"/>
  <c r="Z33" i="6" a="1"/>
  <c r="Z33" i="6" s="1"/>
  <c r="AA33" i="6" s="1"/>
  <c r="I11" i="21"/>
  <c r="I41" i="21" s="1"/>
  <c r="F2" i="21"/>
  <c r="B41" i="21"/>
  <c r="R24" i="6" a="1"/>
  <c r="R24" i="6" s="1"/>
  <c r="K28" i="39" a="1"/>
  <c r="K28" i="39" s="1"/>
  <c r="P24" i="6" a="1"/>
  <c r="P24" i="6" s="1"/>
  <c r="Z24" i="6" a="1"/>
  <c r="Z24" i="6" s="1"/>
  <c r="V24" i="6" a="1"/>
  <c r="V24" i="6" s="1"/>
  <c r="L24" i="6" a="1"/>
  <c r="L24" i="6" s="1"/>
  <c r="N24" i="6" a="1"/>
  <c r="N24" i="6" s="1"/>
  <c r="T24" i="6" a="1"/>
  <c r="T24" i="6" s="1"/>
  <c r="AD41" i="21"/>
  <c r="AD42" i="21" s="1"/>
  <c r="AQ7" i="21"/>
  <c r="AP41" i="21"/>
  <c r="AQ41" i="21" s="1"/>
  <c r="F59" i="20"/>
  <c r="K24" i="6"/>
  <c r="Z28" i="6" a="1"/>
  <c r="Z28" i="6" s="1"/>
  <c r="AA28" i="6" s="1"/>
  <c r="K32" i="39" a="1"/>
  <c r="K32" i="39" s="1"/>
  <c r="L32" i="39" s="1"/>
  <c r="T28" i="6" a="1"/>
  <c r="T28" i="6" s="1"/>
  <c r="U28" i="6" s="1"/>
  <c r="V28" i="6" a="1"/>
  <c r="V28" i="6" s="1"/>
  <c r="W28" i="6" s="1"/>
  <c r="L28" i="6" a="1"/>
  <c r="L28" i="6" s="1"/>
  <c r="M28" i="6" s="1"/>
  <c r="R28" i="6" a="1"/>
  <c r="R28" i="6" s="1"/>
  <c r="S28" i="6" s="1"/>
  <c r="P28" i="6" a="1"/>
  <c r="P28" i="6" s="1"/>
  <c r="N28" i="6" a="1"/>
  <c r="N28" i="6" s="1"/>
  <c r="H79" i="20"/>
  <c r="AE41" i="21"/>
  <c r="AG41" i="21"/>
  <c r="AG42" i="21" s="1"/>
  <c r="E59" i="20"/>
  <c r="E63" i="20" s="1"/>
  <c r="D83" i="20"/>
  <c r="E83" i="20" s="1"/>
  <c r="F83" i="20"/>
  <c r="G83" i="20"/>
  <c r="F72" i="20"/>
  <c r="Z44" i="8"/>
  <c r="D20" i="22"/>
  <c r="D33" i="22"/>
  <c r="C40" i="22"/>
  <c r="D40" i="22" s="1"/>
  <c r="D35" i="22"/>
  <c r="X44" i="8"/>
  <c r="H35" i="22"/>
  <c r="G40" i="22"/>
  <c r="H40" i="22" s="1"/>
  <c r="H20" i="22"/>
  <c r="H33" i="22"/>
  <c r="C41" i="6"/>
  <c r="C44" i="6" s="1"/>
  <c r="B44" i="6"/>
  <c r="G71" i="18"/>
  <c r="I71" i="18" s="1"/>
  <c r="B45" i="6"/>
  <c r="AR36" i="6"/>
  <c r="D38" i="22"/>
  <c r="D39" i="22"/>
  <c r="I51" i="18"/>
  <c r="I64" i="18"/>
  <c r="Q66" i="18"/>
  <c r="S66" i="18" s="1"/>
  <c r="G34" i="27"/>
  <c r="D44" i="6"/>
  <c r="E41" i="6"/>
  <c r="E44" i="6" s="1"/>
  <c r="D45" i="6"/>
  <c r="G32" i="27"/>
  <c r="Q64" i="18"/>
  <c r="S64" i="18" s="1"/>
  <c r="L34" i="6"/>
  <c r="F39" i="22"/>
  <c r="F38" i="22"/>
  <c r="G41" i="6"/>
  <c r="G44" i="6" s="1"/>
  <c r="F44" i="6"/>
  <c r="F45" i="6"/>
  <c r="AQ22" i="6"/>
  <c r="AR21" i="6"/>
  <c r="AQ34" i="6"/>
  <c r="AB44" i="8"/>
  <c r="F33" i="22"/>
  <c r="F20" i="22"/>
  <c r="E40" i="22"/>
  <c r="F40" i="22" s="1"/>
  <c r="F35" i="22"/>
  <c r="H38" i="22"/>
  <c r="H39" i="22"/>
  <c r="E19" i="25"/>
  <c r="G19" i="25" s="1"/>
  <c r="J19" i="25" s="1"/>
  <c r="D20" i="25" s="1"/>
  <c r="I90" i="20" a="1"/>
  <c r="I90" i="20" s="1"/>
  <c r="I49" i="20" a="1"/>
  <c r="I49" i="20" s="1"/>
  <c r="I50" i="20" s="1"/>
  <c r="I56" i="20"/>
  <c r="I84" i="20"/>
  <c r="P3" i="31"/>
  <c r="I55" i="20"/>
  <c r="I57" i="20" s="1"/>
  <c r="I85" i="20"/>
  <c r="I14" i="20"/>
  <c r="I17" i="20"/>
  <c r="I83" i="20"/>
  <c r="I15" i="20"/>
  <c r="I16" i="20"/>
  <c r="I73" i="20"/>
  <c r="I74" i="20"/>
  <c r="I79" i="20"/>
  <c r="H58" i="20"/>
  <c r="H59" i="20" s="1"/>
  <c r="J107" i="20"/>
  <c r="J120" i="20"/>
  <c r="J46" i="20"/>
  <c r="K5" i="20"/>
  <c r="J48" i="20"/>
  <c r="J103" i="20"/>
  <c r="J4" i="20"/>
  <c r="Q4" i="31"/>
  <c r="J123" i="20"/>
  <c r="J124" i="20" s="1"/>
  <c r="AJ46" i="6"/>
  <c r="I53" i="20"/>
  <c r="I45" i="20"/>
  <c r="J8" i="20" l="1"/>
  <c r="I6" i="20"/>
  <c r="J9" i="20"/>
  <c r="J11" i="20"/>
  <c r="J12" i="20"/>
  <c r="J10" i="20"/>
  <c r="J13" i="20"/>
  <c r="Z45" i="8"/>
  <c r="Z46" i="8" s="1"/>
  <c r="X45" i="8"/>
  <c r="X46" i="8" s="1"/>
  <c r="L3" i="20"/>
  <c r="R2" i="31"/>
  <c r="E6" i="8"/>
  <c r="AQ10" i="8"/>
  <c r="N38" i="6"/>
  <c r="Q68" i="18" s="1"/>
  <c r="S68" i="18" s="1"/>
  <c r="W45" i="8"/>
  <c r="W46" i="8" s="1"/>
  <c r="Y45" i="8"/>
  <c r="Y46" i="8" s="1"/>
  <c r="AC45" i="8"/>
  <c r="AC46" i="8" s="1"/>
  <c r="U45" i="8"/>
  <c r="U46" i="8" s="1"/>
  <c r="G35" i="27"/>
  <c r="AA45" i="8"/>
  <c r="AA46" i="8" s="1"/>
  <c r="Q67" i="18"/>
  <c r="S67" i="18" s="1"/>
  <c r="M41" i="39"/>
  <c r="W67" i="18"/>
  <c r="J106" i="20"/>
  <c r="E43" i="27"/>
  <c r="E49" i="27" s="1"/>
  <c r="E62" i="27" s="1"/>
  <c r="F43" i="27"/>
  <c r="T38" i="6"/>
  <c r="U38" i="6" s="1"/>
  <c r="V38" i="6"/>
  <c r="W38" i="6" s="1"/>
  <c r="F23" i="23"/>
  <c r="J23" i="23" s="1"/>
  <c r="H23" i="23" s="1"/>
  <c r="L23" i="23" s="1"/>
  <c r="E24" i="23" s="1"/>
  <c r="G22" i="27"/>
  <c r="O24" i="6"/>
  <c r="H22" i="27" s="1"/>
  <c r="Q54" i="18"/>
  <c r="S54" i="18" s="1"/>
  <c r="E79" i="20"/>
  <c r="Q30" i="6"/>
  <c r="AQ30" i="6"/>
  <c r="AR30" i="6" s="1"/>
  <c r="M24" i="6"/>
  <c r="K42" i="39"/>
  <c r="L42" i="39" s="1"/>
  <c r="W24" i="6"/>
  <c r="Q29" i="6"/>
  <c r="AQ29" i="6"/>
  <c r="AR29" i="6" s="1"/>
  <c r="G26" i="27"/>
  <c r="Q58" i="18"/>
  <c r="S58" i="18" s="1"/>
  <c r="O28" i="6"/>
  <c r="H26" i="27" s="1"/>
  <c r="AA24" i="6"/>
  <c r="AQ24" i="6"/>
  <c r="Q24" i="6"/>
  <c r="O33" i="6"/>
  <c r="H31" i="27" s="1"/>
  <c r="G31" i="27"/>
  <c r="Q63" i="18"/>
  <c r="S63" i="18" s="1"/>
  <c r="O29" i="6"/>
  <c r="H27" i="27" s="1"/>
  <c r="G27" i="27"/>
  <c r="Q59" i="18"/>
  <c r="S59" i="18" s="1"/>
  <c r="AQ28" i="6"/>
  <c r="AR28" i="6" s="1"/>
  <c r="Q28" i="6"/>
  <c r="L28" i="39"/>
  <c r="AQ33" i="6"/>
  <c r="AR33" i="6" s="1"/>
  <c r="Q33" i="6"/>
  <c r="C41" i="38" s="1"/>
  <c r="Q60" i="18"/>
  <c r="S60" i="18" s="1"/>
  <c r="G28" i="27"/>
  <c r="O30" i="6"/>
  <c r="H28" i="27" s="1"/>
  <c r="L38" i="6"/>
  <c r="M38" i="6" s="1"/>
  <c r="E67" i="20"/>
  <c r="E65" i="20"/>
  <c r="E64" i="20" s="1"/>
  <c r="AC7" i="21"/>
  <c r="AC41" i="21" s="1"/>
  <c r="AH7" i="21"/>
  <c r="AF7" i="21"/>
  <c r="AF41" i="21" s="1"/>
  <c r="AB41" i="21"/>
  <c r="S24" i="6"/>
  <c r="S33" i="6"/>
  <c r="R38" i="6"/>
  <c r="S38" i="6" s="1"/>
  <c r="E74" i="20"/>
  <c r="E75" i="20" s="1"/>
  <c r="D75" i="20"/>
  <c r="D76" i="20" s="1"/>
  <c r="U24" i="6"/>
  <c r="L18" i="22"/>
  <c r="AE20" i="8"/>
  <c r="J19" i="6"/>
  <c r="K19" i="22"/>
  <c r="G72" i="20"/>
  <c r="F75" i="20"/>
  <c r="Q38" i="6"/>
  <c r="AR34" i="6"/>
  <c r="E20" i="25"/>
  <c r="G20" i="25" s="1"/>
  <c r="J20" i="25" s="1"/>
  <c r="D21" i="25" s="1"/>
  <c r="K120" i="20"/>
  <c r="K103" i="20"/>
  <c r="K4" i="20"/>
  <c r="K48" i="20"/>
  <c r="R4" i="31"/>
  <c r="K123" i="20"/>
  <c r="K124" i="20" s="1"/>
  <c r="K46" i="20"/>
  <c r="L5" i="20"/>
  <c r="K107" i="20"/>
  <c r="I52" i="20"/>
  <c r="J45" i="20"/>
  <c r="J53" i="20"/>
  <c r="J74" i="20"/>
  <c r="J84" i="20"/>
  <c r="J49" i="20" a="1"/>
  <c r="J49" i="20" s="1"/>
  <c r="J50" i="20" s="1"/>
  <c r="J55" i="20"/>
  <c r="J57" i="20" s="1"/>
  <c r="J83" i="20"/>
  <c r="J73" i="20"/>
  <c r="J14" i="20"/>
  <c r="J16" i="20"/>
  <c r="J56" i="20"/>
  <c r="J15" i="20"/>
  <c r="J17" i="20"/>
  <c r="J85" i="20"/>
  <c r="J79" i="20"/>
  <c r="J88" i="20"/>
  <c r="Q3" i="31"/>
  <c r="AK46" i="6"/>
  <c r="I58" i="20"/>
  <c r="I59" i="20" s="1"/>
  <c r="J90" i="20" a="1"/>
  <c r="J90" i="20" s="1"/>
  <c r="K90" i="20" s="1" a="1"/>
  <c r="K90" i="20" s="1"/>
  <c r="K13" i="20" l="1"/>
  <c r="K10" i="20"/>
  <c r="K12" i="20"/>
  <c r="K11" i="20"/>
  <c r="K9" i="20"/>
  <c r="K8" i="20"/>
  <c r="J6" i="20"/>
  <c r="L19" i="22"/>
  <c r="S2" i="31"/>
  <c r="M3" i="20"/>
  <c r="AQ9" i="8"/>
  <c r="D6" i="8"/>
  <c r="O38" i="6"/>
  <c r="G36" i="27"/>
  <c r="H36" i="27" s="1"/>
  <c r="J58" i="20"/>
  <c r="J59" i="20" s="1"/>
  <c r="AQ38" i="6"/>
  <c r="AR38" i="6" s="1"/>
  <c r="K106" i="20"/>
  <c r="F24" i="23"/>
  <c r="J24" i="23" s="1"/>
  <c r="H24" i="23" s="1"/>
  <c r="L24" i="23" s="1"/>
  <c r="E25" i="23" s="1"/>
  <c r="E68" i="20"/>
  <c r="K19" i="6"/>
  <c r="J20" i="6"/>
  <c r="K20" i="6" s="1"/>
  <c r="F43" i="20"/>
  <c r="F63" i="20" s="1"/>
  <c r="E66" i="20"/>
  <c r="AI7" i="21"/>
  <c r="AH41" i="21"/>
  <c r="AR24" i="6"/>
  <c r="H72" i="20"/>
  <c r="G75" i="20"/>
  <c r="K74" i="20"/>
  <c r="K83" i="20"/>
  <c r="K55" i="20"/>
  <c r="K57" i="20" s="1"/>
  <c r="K84" i="20"/>
  <c r="K14" i="20"/>
  <c r="K16" i="20"/>
  <c r="K56" i="20"/>
  <c r="K15" i="20"/>
  <c r="K85" i="20"/>
  <c r="R3" i="31"/>
  <c r="K17" i="20"/>
  <c r="K49" i="20" a="1"/>
  <c r="K49" i="20" s="1"/>
  <c r="K50" i="20" s="1"/>
  <c r="K73" i="20"/>
  <c r="K88" i="20"/>
  <c r="K79" i="20"/>
  <c r="J52" i="20"/>
  <c r="E21" i="25"/>
  <c r="G21" i="25" s="1"/>
  <c r="J21" i="25" s="1"/>
  <c r="D22" i="25" s="1"/>
  <c r="M5" i="20"/>
  <c r="L107" i="20"/>
  <c r="L46" i="20"/>
  <c r="L120" i="20"/>
  <c r="L4" i="20"/>
  <c r="S4" i="31"/>
  <c r="L103" i="20"/>
  <c r="L123" i="20"/>
  <c r="L124" i="20" s="1"/>
  <c r="L90" i="20" a="1"/>
  <c r="L90" i="20" s="1"/>
  <c r="L48" i="20"/>
  <c r="K53" i="20"/>
  <c r="K45" i="20"/>
  <c r="L8" i="20" l="1"/>
  <c r="K6" i="20"/>
  <c r="L9" i="20"/>
  <c r="L11" i="20"/>
  <c r="L12" i="20"/>
  <c r="L10" i="20"/>
  <c r="L13" i="20"/>
  <c r="M13" i="20" s="1"/>
  <c r="F67" i="20"/>
  <c r="F65" i="20"/>
  <c r="T2" i="31"/>
  <c r="N3" i="20"/>
  <c r="AQ8" i="8"/>
  <c r="C6" i="8"/>
  <c r="L106" i="20"/>
  <c r="E69" i="20"/>
  <c r="E70" i="20" s="1"/>
  <c r="F25" i="23"/>
  <c r="J25" i="23" s="1"/>
  <c r="H25" i="23" s="1"/>
  <c r="L25" i="23" s="1"/>
  <c r="E26" i="23" s="1"/>
  <c r="K58" i="20"/>
  <c r="K59" i="20" s="1"/>
  <c r="G43" i="20"/>
  <c r="G63" i="20" s="1"/>
  <c r="AJ7" i="21"/>
  <c r="AJ41" i="21" s="1"/>
  <c r="AI42" i="21" s="1"/>
  <c r="AI41" i="21"/>
  <c r="I72" i="20"/>
  <c r="H75" i="20"/>
  <c r="L53" i="20"/>
  <c r="L45" i="20"/>
  <c r="L52" i="20" s="1"/>
  <c r="E22" i="25"/>
  <c r="G22" i="25" s="1"/>
  <c r="J22" i="25" s="1"/>
  <c r="D23" i="25" s="1"/>
  <c r="M103" i="20"/>
  <c r="M48" i="20"/>
  <c r="M4" i="20"/>
  <c r="M90" i="20" s="1" a="1"/>
  <c r="M90" i="20" s="1"/>
  <c r="N5" i="20"/>
  <c r="M123" i="20"/>
  <c r="M124" i="20" s="1"/>
  <c r="M107" i="20"/>
  <c r="M46" i="20"/>
  <c r="M120" i="20"/>
  <c r="T4" i="31"/>
  <c r="K52" i="20"/>
  <c r="L84" i="20"/>
  <c r="L85" i="20"/>
  <c r="L55" i="20"/>
  <c r="L57" i="20" s="1"/>
  <c r="L83" i="20"/>
  <c r="L17" i="20"/>
  <c r="L56" i="20"/>
  <c r="L73" i="20"/>
  <c r="L14" i="20"/>
  <c r="S3" i="31"/>
  <c r="L15" i="20"/>
  <c r="L16" i="20"/>
  <c r="L88" i="20"/>
  <c r="L74" i="20"/>
  <c r="L49" i="20" a="1"/>
  <c r="L49" i="20" s="1"/>
  <c r="L50" i="20" s="1"/>
  <c r="L79" i="20"/>
  <c r="M10" i="20" l="1"/>
  <c r="M12" i="20"/>
  <c r="M11" i="20"/>
  <c r="M9" i="20"/>
  <c r="M8" i="20"/>
  <c r="L6" i="20"/>
  <c r="G67" i="20"/>
  <c r="G65" i="20"/>
  <c r="G68" i="20" s="1"/>
  <c r="F64" i="20"/>
  <c r="F66" i="20"/>
  <c r="F68" i="20"/>
  <c r="U2" i="31"/>
  <c r="O3" i="20"/>
  <c r="B6" i="8"/>
  <c r="AQ7" i="8"/>
  <c r="L58" i="20"/>
  <c r="L59" i="20" s="1"/>
  <c r="E76" i="20"/>
  <c r="E91" i="20" s="1"/>
  <c r="M106" i="20"/>
  <c r="F26" i="23"/>
  <c r="J26" i="23" s="1"/>
  <c r="H26" i="23" s="1"/>
  <c r="L26" i="23" s="1"/>
  <c r="E27" i="23" s="1"/>
  <c r="H43" i="20"/>
  <c r="H63" i="20" s="1"/>
  <c r="I75" i="20"/>
  <c r="J72" i="20"/>
  <c r="M45" i="20"/>
  <c r="M52" i="20" s="1"/>
  <c r="M53" i="20"/>
  <c r="E23" i="25"/>
  <c r="G23" i="25" s="1"/>
  <c r="J23" i="25" s="1"/>
  <c r="D24" i="25" s="1"/>
  <c r="O5" i="20"/>
  <c r="N48" i="20"/>
  <c r="U4" i="31"/>
  <c r="N107" i="20"/>
  <c r="N103" i="20"/>
  <c r="N4" i="20"/>
  <c r="N90" i="20" s="1" a="1"/>
  <c r="N90" i="20" s="1"/>
  <c r="N123" i="20"/>
  <c r="N124" i="20" s="1"/>
  <c r="N46" i="20"/>
  <c r="N120" i="20"/>
  <c r="M74" i="20"/>
  <c r="M84" i="20"/>
  <c r="M83" i="20"/>
  <c r="M16" i="20"/>
  <c r="M56" i="20"/>
  <c r="M17" i="20"/>
  <c r="M14" i="20"/>
  <c r="M49" i="20" a="1"/>
  <c r="M49" i="20" s="1"/>
  <c r="M50" i="20" s="1"/>
  <c r="M15" i="20"/>
  <c r="M73" i="20"/>
  <c r="M85" i="20"/>
  <c r="T3" i="31"/>
  <c r="M55" i="20"/>
  <c r="M57" i="20" s="1"/>
  <c r="M79" i="20"/>
  <c r="M88" i="20"/>
  <c r="N8" i="20" l="1"/>
  <c r="M6" i="20"/>
  <c r="N9" i="20"/>
  <c r="N11" i="20"/>
  <c r="N12" i="20"/>
  <c r="N10" i="20"/>
  <c r="N13" i="20"/>
  <c r="G64" i="20"/>
  <c r="G66" i="20"/>
  <c r="F69" i="20"/>
  <c r="H65" i="20"/>
  <c r="H64" i="20" s="1"/>
  <c r="H67" i="20"/>
  <c r="P3" i="20"/>
  <c r="V2" i="31"/>
  <c r="AR11" i="8"/>
  <c r="AU14" i="8"/>
  <c r="AT17" i="8"/>
  <c r="AT12" i="8"/>
  <c r="AT11" i="8"/>
  <c r="AU15" i="8"/>
  <c r="AS13" i="8"/>
  <c r="AR16" i="8"/>
  <c r="AT15" i="8"/>
  <c r="AR12" i="8"/>
  <c r="AU17" i="8"/>
  <c r="AR17" i="8"/>
  <c r="AS15" i="8"/>
  <c r="AU13" i="8"/>
  <c r="AU12" i="8"/>
  <c r="AR13" i="8"/>
  <c r="AQ6" i="8"/>
  <c r="AT16" i="8"/>
  <c r="AT13" i="8"/>
  <c r="AS17" i="8"/>
  <c r="AS12" i="8"/>
  <c r="AS16" i="8"/>
  <c r="AS11" i="8"/>
  <c r="AU16" i="8"/>
  <c r="AR14" i="8"/>
  <c r="AT14" i="8"/>
  <c r="AS14" i="8"/>
  <c r="AR15" i="8"/>
  <c r="AU11" i="8"/>
  <c r="AU10" i="8"/>
  <c r="AR10" i="8"/>
  <c r="AT10" i="8"/>
  <c r="AS10" i="8"/>
  <c r="AS9" i="8"/>
  <c r="AT9" i="8"/>
  <c r="AU9" i="8"/>
  <c r="AR9" i="8"/>
  <c r="AU8" i="8"/>
  <c r="AU7" i="8"/>
  <c r="AR7" i="8"/>
  <c r="AS7" i="8"/>
  <c r="AT7" i="8"/>
  <c r="AR8" i="8"/>
  <c r="AT8" i="8"/>
  <c r="AS8" i="8"/>
  <c r="E98" i="20"/>
  <c r="E89" i="20"/>
  <c r="E93" i="20" s="1"/>
  <c r="N106" i="20"/>
  <c r="F27" i="23"/>
  <c r="J27" i="23" s="1"/>
  <c r="H27" i="23" s="1"/>
  <c r="L27" i="23" s="1"/>
  <c r="E28" i="23" s="1"/>
  <c r="I43" i="20"/>
  <c r="I63" i="20" s="1"/>
  <c r="K72" i="20"/>
  <c r="J75" i="20"/>
  <c r="E24" i="25"/>
  <c r="G24" i="25" s="1"/>
  <c r="J24" i="25" s="1"/>
  <c r="D25" i="25" s="1"/>
  <c r="N53" i="20"/>
  <c r="N45" i="20"/>
  <c r="N52" i="20" s="1"/>
  <c r="V4" i="31"/>
  <c r="O107" i="20"/>
  <c r="O46" i="20"/>
  <c r="O120" i="20"/>
  <c r="O48" i="20"/>
  <c r="O4" i="20"/>
  <c r="P5" i="20"/>
  <c r="O103" i="20"/>
  <c r="O123" i="20"/>
  <c r="O124" i="20" s="1"/>
  <c r="N74" i="20"/>
  <c r="N85" i="20"/>
  <c r="N84" i="20"/>
  <c r="N14" i="20"/>
  <c r="N83" i="20"/>
  <c r="N15" i="20"/>
  <c r="U3" i="31"/>
  <c r="N49" i="20" a="1"/>
  <c r="N49" i="20" s="1"/>
  <c r="N50" i="20" s="1"/>
  <c r="N17" i="20"/>
  <c r="N55" i="20"/>
  <c r="N57" i="20" s="1"/>
  <c r="N56" i="20"/>
  <c r="N16" i="20"/>
  <c r="N73" i="20"/>
  <c r="N88" i="20"/>
  <c r="N79" i="20"/>
  <c r="M58" i="20"/>
  <c r="M59" i="20" s="1"/>
  <c r="O13" i="20" l="1"/>
  <c r="O10" i="20"/>
  <c r="O12" i="20"/>
  <c r="O11" i="20"/>
  <c r="O9" i="20"/>
  <c r="O8" i="20"/>
  <c r="N6" i="20"/>
  <c r="G69" i="20"/>
  <c r="G76" i="20" s="1"/>
  <c r="G89" i="20" s="1"/>
  <c r="H68" i="20"/>
  <c r="H66" i="20"/>
  <c r="I65" i="20"/>
  <c r="I64" i="20" s="1"/>
  <c r="I67" i="20"/>
  <c r="F76" i="20"/>
  <c r="F70" i="20"/>
  <c r="W2" i="31"/>
  <c r="Q3" i="20"/>
  <c r="AT6" i="8"/>
  <c r="AY8" i="8" s="1" a="1"/>
  <c r="AY5" i="8" a="1"/>
  <c r="AU6" i="8"/>
  <c r="AY9" i="8" s="1" a="1"/>
  <c r="AR6" i="8"/>
  <c r="AY6" i="8" s="1" a="1"/>
  <c r="AS6" i="8"/>
  <c r="AY7" i="8" s="1" a="1"/>
  <c r="O106" i="20"/>
  <c r="F28" i="23"/>
  <c r="J28" i="23" s="1"/>
  <c r="H28" i="23" s="1"/>
  <c r="L28" i="23" s="1"/>
  <c r="E29" i="23" s="1"/>
  <c r="J43" i="20"/>
  <c r="J63" i="20" s="1"/>
  <c r="N58" i="20"/>
  <c r="N59" i="20" s="1"/>
  <c r="L72" i="20"/>
  <c r="K75" i="20"/>
  <c r="Q5" i="20"/>
  <c r="W4" i="31"/>
  <c r="P123" i="20"/>
  <c r="P124" i="20" s="1"/>
  <c r="P107" i="20"/>
  <c r="P103" i="20"/>
  <c r="P46" i="20"/>
  <c r="P4" i="20"/>
  <c r="P13" i="20" s="1"/>
  <c r="P48" i="20"/>
  <c r="O83" i="20"/>
  <c r="O84" i="20"/>
  <c r="O74" i="20"/>
  <c r="O85" i="20"/>
  <c r="O73" i="20"/>
  <c r="V3" i="31"/>
  <c r="O14" i="20"/>
  <c r="O15" i="20"/>
  <c r="O17" i="20"/>
  <c r="O55" i="20"/>
  <c r="O57" i="20" s="1"/>
  <c r="O56" i="20"/>
  <c r="O88" i="20"/>
  <c r="O79" i="20"/>
  <c r="O16" i="20"/>
  <c r="O49" i="20" a="1"/>
  <c r="O49" i="20" s="1"/>
  <c r="O50" i="20" s="1"/>
  <c r="E25" i="25"/>
  <c r="G25" i="25" s="1"/>
  <c r="J25" i="25" s="1"/>
  <c r="D26" i="25" s="1"/>
  <c r="O53" i="20"/>
  <c r="O45" i="20"/>
  <c r="O90" i="20" a="1"/>
  <c r="O90" i="20" s="1"/>
  <c r="P9" i="20" l="1"/>
  <c r="P8" i="20"/>
  <c r="O6" i="20"/>
  <c r="P11" i="20"/>
  <c r="P12" i="20"/>
  <c r="P10" i="20"/>
  <c r="H69" i="20"/>
  <c r="H70" i="20" s="1"/>
  <c r="G70" i="20"/>
  <c r="G98" i="20"/>
  <c r="G91" i="20"/>
  <c r="G93" i="20" s="1"/>
  <c r="I66" i="20"/>
  <c r="I68" i="20"/>
  <c r="J67" i="20"/>
  <c r="J65" i="20"/>
  <c r="J68" i="20" s="1"/>
  <c r="F89" i="20"/>
  <c r="F98" i="20"/>
  <c r="F91" i="20"/>
  <c r="R3" i="20"/>
  <c r="X2" i="31"/>
  <c r="BI8" i="8"/>
  <c r="BD8" i="8"/>
  <c r="AY8" i="8"/>
  <c r="BJ8" i="8"/>
  <c r="AZ8" i="8"/>
  <c r="BE8" i="8"/>
  <c r="BF8" i="8"/>
  <c r="BC8" i="8"/>
  <c r="BB8" i="8"/>
  <c r="BA8" i="8"/>
  <c r="BG8" i="8"/>
  <c r="BH8" i="8"/>
  <c r="BB7" i="8"/>
  <c r="BD7" i="8"/>
  <c r="BE7" i="8"/>
  <c r="BA7" i="8"/>
  <c r="BJ7" i="8"/>
  <c r="BG7" i="8"/>
  <c r="BC7" i="8"/>
  <c r="BI7" i="8"/>
  <c r="BH7" i="8"/>
  <c r="AZ7" i="8"/>
  <c r="BF7" i="8"/>
  <c r="AY7" i="8"/>
  <c r="BE5" i="8"/>
  <c r="BG5" i="8"/>
  <c r="BC5" i="8"/>
  <c r="BF5" i="8"/>
  <c r="BA5" i="8"/>
  <c r="BB5" i="8"/>
  <c r="BJ5" i="8"/>
  <c r="BI5" i="8"/>
  <c r="BD5" i="8"/>
  <c r="AY5" i="8"/>
  <c r="AZ5" i="8"/>
  <c r="BH5" i="8"/>
  <c r="BD6" i="8"/>
  <c r="BF6" i="8"/>
  <c r="BG6" i="8"/>
  <c r="BA6" i="8"/>
  <c r="BB6" i="8"/>
  <c r="AZ6" i="8"/>
  <c r="BI6" i="8"/>
  <c r="BJ6" i="8"/>
  <c r="BH6" i="8"/>
  <c r="BE6" i="8"/>
  <c r="BC6" i="8"/>
  <c r="AY6" i="8"/>
  <c r="BB9" i="8"/>
  <c r="BA9" i="8"/>
  <c r="BF9" i="8"/>
  <c r="BJ9" i="8"/>
  <c r="BG9" i="8"/>
  <c r="BC9" i="8"/>
  <c r="BD9" i="8"/>
  <c r="AZ9" i="8"/>
  <c r="BI9" i="8"/>
  <c r="BE9" i="8"/>
  <c r="AY9" i="8"/>
  <c r="BH9" i="8"/>
  <c r="P106" i="20"/>
  <c r="F29" i="23"/>
  <c r="J29" i="23" s="1"/>
  <c r="H29" i="23" s="1"/>
  <c r="L29" i="23" s="1"/>
  <c r="E30" i="23" s="1"/>
  <c r="K43" i="20"/>
  <c r="K63" i="20" s="1"/>
  <c r="L75" i="20"/>
  <c r="M72" i="20"/>
  <c r="E26" i="25"/>
  <c r="G26" i="25" s="1"/>
  <c r="J26" i="25" s="1"/>
  <c r="D27" i="25" s="1"/>
  <c r="P85" i="20"/>
  <c r="P83" i="20"/>
  <c r="P74" i="20"/>
  <c r="P84" i="20"/>
  <c r="P14" i="20"/>
  <c r="P16" i="20"/>
  <c r="P49" i="20" a="1"/>
  <c r="P49" i="20" s="1"/>
  <c r="P50" i="20" s="1"/>
  <c r="P55" i="20"/>
  <c r="P57" i="20" s="1"/>
  <c r="P17" i="20"/>
  <c r="W3" i="31"/>
  <c r="P56" i="20"/>
  <c r="P73" i="20"/>
  <c r="P15" i="20"/>
  <c r="P88" i="20"/>
  <c r="P79" i="20"/>
  <c r="Q120" i="20"/>
  <c r="Q107" i="20"/>
  <c r="Q48" i="20"/>
  <c r="Q103" i="20"/>
  <c r="R5" i="20"/>
  <c r="Q4" i="20"/>
  <c r="X4" i="31"/>
  <c r="Q46" i="20"/>
  <c r="Q123" i="20"/>
  <c r="Q124" i="20" s="1"/>
  <c r="P53" i="20"/>
  <c r="P45" i="20"/>
  <c r="O52" i="20"/>
  <c r="P90" i="20" a="1"/>
  <c r="P90" i="20" s="1"/>
  <c r="O58" i="20"/>
  <c r="O59" i="20" s="1"/>
  <c r="Q10" i="20" l="1"/>
  <c r="Q13" i="20"/>
  <c r="Q11" i="20"/>
  <c r="Q12" i="20"/>
  <c r="Q9" i="20"/>
  <c r="Q8" i="20"/>
  <c r="P6" i="20"/>
  <c r="H76" i="20"/>
  <c r="H89" i="20" s="1"/>
  <c r="J64" i="20"/>
  <c r="I69" i="20"/>
  <c r="I70" i="20" s="1"/>
  <c r="F93" i="20"/>
  <c r="K65" i="20"/>
  <c r="K66" i="20" s="1"/>
  <c r="K67" i="20"/>
  <c r="J66" i="20"/>
  <c r="S3" i="20"/>
  <c r="Y2" i="31"/>
  <c r="Q106" i="20"/>
  <c r="F30" i="23"/>
  <c r="J30" i="23" s="1"/>
  <c r="H30" i="23" s="1"/>
  <c r="L30" i="23" s="1"/>
  <c r="E31" i="23" s="1"/>
  <c r="L43" i="20"/>
  <c r="L63" i="20" s="1"/>
  <c r="M75" i="20"/>
  <c r="N72" i="20"/>
  <c r="E27" i="25"/>
  <c r="G27" i="25" s="1"/>
  <c r="J27" i="25" s="1"/>
  <c r="D28" i="25" s="1"/>
  <c r="Q53" i="20"/>
  <c r="Q45" i="20"/>
  <c r="Q52" i="20" s="1"/>
  <c r="Q84" i="20"/>
  <c r="Q85" i="20"/>
  <c r="Q74" i="20"/>
  <c r="Q83" i="20"/>
  <c r="Q55" i="20"/>
  <c r="Q57" i="20" s="1"/>
  <c r="Q14" i="20"/>
  <c r="Q56" i="20"/>
  <c r="Q16" i="20"/>
  <c r="X3" i="31"/>
  <c r="Q73" i="20"/>
  <c r="Q71" i="20" s="1"/>
  <c r="Q49" i="20" a="1"/>
  <c r="Q49" i="20" s="1"/>
  <c r="Q50" i="20" s="1"/>
  <c r="Q15" i="20"/>
  <c r="Q79" i="20"/>
  <c r="Q88" i="20"/>
  <c r="Q17" i="20"/>
  <c r="Q90" i="20" a="1"/>
  <c r="Q90" i="20" s="1"/>
  <c r="R90" i="20" s="1" a="1"/>
  <c r="R90" i="20" s="1"/>
  <c r="P52" i="20"/>
  <c r="R107" i="20"/>
  <c r="R120" i="20"/>
  <c r="R46" i="20"/>
  <c r="R103" i="20"/>
  <c r="R48" i="20"/>
  <c r="R4" i="20"/>
  <c r="S5" i="20"/>
  <c r="R123" i="20"/>
  <c r="R124" i="20" s="1"/>
  <c r="Y4" i="31"/>
  <c r="P58" i="20"/>
  <c r="P59" i="20" s="1"/>
  <c r="R8" i="20" l="1"/>
  <c r="Q6" i="20"/>
  <c r="R9" i="20"/>
  <c r="R12" i="20"/>
  <c r="R11" i="20"/>
  <c r="R13" i="20"/>
  <c r="R10" i="20"/>
  <c r="H91" i="20"/>
  <c r="H93" i="20" s="1"/>
  <c r="H98" i="20"/>
  <c r="J69" i="20"/>
  <c r="J70" i="20" s="1"/>
  <c r="I76" i="20"/>
  <c r="I91" i="20" s="1"/>
  <c r="L67" i="20"/>
  <c r="L65" i="20"/>
  <c r="L64" i="20" s="1"/>
  <c r="K64" i="20"/>
  <c r="K68" i="20"/>
  <c r="Z2" i="31"/>
  <c r="T3" i="20"/>
  <c r="R106" i="20"/>
  <c r="F31" i="23"/>
  <c r="J31" i="23" s="1"/>
  <c r="H31" i="23" s="1"/>
  <c r="L31" i="23" s="1"/>
  <c r="E32" i="23" s="1"/>
  <c r="M43" i="20"/>
  <c r="M63" i="20" s="1"/>
  <c r="N75" i="20"/>
  <c r="O72" i="20"/>
  <c r="E28" i="25"/>
  <c r="G28" i="25" s="1"/>
  <c r="J28" i="25" s="1"/>
  <c r="D29" i="25" s="1"/>
  <c r="R45" i="20"/>
  <c r="R52" i="20" s="1"/>
  <c r="R53" i="20"/>
  <c r="S103" i="20"/>
  <c r="T5" i="20"/>
  <c r="S46" i="20"/>
  <c r="Z4" i="31"/>
  <c r="S107" i="20"/>
  <c r="S48" i="20"/>
  <c r="S120" i="20"/>
  <c r="S4" i="20"/>
  <c r="S123" i="20"/>
  <c r="S124" i="20" s="1"/>
  <c r="S90" i="20" a="1"/>
  <c r="S90" i="20" s="1"/>
  <c r="R74" i="20"/>
  <c r="R85" i="20"/>
  <c r="R83" i="20"/>
  <c r="R84" i="20"/>
  <c r="R17" i="20"/>
  <c r="R73" i="20"/>
  <c r="R56" i="20"/>
  <c r="R16" i="20"/>
  <c r="Y3" i="31"/>
  <c r="R49" i="20" a="1"/>
  <c r="R49" i="20" s="1"/>
  <c r="R50" i="20" s="1"/>
  <c r="R79" i="20"/>
  <c r="R14" i="20"/>
  <c r="R15" i="20"/>
  <c r="R55" i="20"/>
  <c r="R57" i="20" s="1"/>
  <c r="R88" i="20"/>
  <c r="Q58" i="20"/>
  <c r="Q59" i="20" s="1"/>
  <c r="Q78" i="20"/>
  <c r="S13" i="20" l="1"/>
  <c r="S11" i="20"/>
  <c r="S10" i="20"/>
  <c r="S12" i="20"/>
  <c r="S9" i="20"/>
  <c r="S8" i="20"/>
  <c r="R6" i="20"/>
  <c r="I89" i="20"/>
  <c r="I93" i="20" s="1"/>
  <c r="J76" i="20"/>
  <c r="J91" i="20" s="1"/>
  <c r="I98" i="20"/>
  <c r="K69" i="20"/>
  <c r="K70" i="20" s="1"/>
  <c r="M65" i="20"/>
  <c r="M64" i="20" s="1"/>
  <c r="M67" i="20"/>
  <c r="L68" i="20"/>
  <c r="L66" i="20"/>
  <c r="U3" i="20"/>
  <c r="AA2" i="31"/>
  <c r="S106" i="20"/>
  <c r="R58" i="20"/>
  <c r="R59" i="20" s="1"/>
  <c r="F32" i="23"/>
  <c r="J32" i="23" s="1"/>
  <c r="H32" i="23" s="1"/>
  <c r="L32" i="23" s="1"/>
  <c r="E33" i="23" s="1"/>
  <c r="N43" i="20"/>
  <c r="N63" i="20" s="1"/>
  <c r="O75" i="20"/>
  <c r="P72" i="20"/>
  <c r="S53" i="20"/>
  <c r="S45" i="20"/>
  <c r="S52" i="20" s="1"/>
  <c r="T107" i="20"/>
  <c r="T120" i="20"/>
  <c r="T123" i="20"/>
  <c r="T124" i="20" s="1"/>
  <c r="T103" i="20"/>
  <c r="U5" i="20"/>
  <c r="T46" i="20"/>
  <c r="T48" i="20"/>
  <c r="AA4" i="31"/>
  <c r="T4" i="20"/>
  <c r="T10" i="20" s="1"/>
  <c r="E29" i="25"/>
  <c r="G29" i="25" s="1"/>
  <c r="J29" i="25" s="1"/>
  <c r="D30" i="25" s="1"/>
  <c r="S84" i="20"/>
  <c r="S74" i="20"/>
  <c r="S85" i="20"/>
  <c r="S83" i="20"/>
  <c r="S17" i="20"/>
  <c r="S49" i="20" a="1"/>
  <c r="S49" i="20" s="1"/>
  <c r="S50" i="20" s="1"/>
  <c r="S16" i="20"/>
  <c r="S15" i="20"/>
  <c r="S56" i="20"/>
  <c r="S55" i="20"/>
  <c r="S57" i="20" s="1"/>
  <c r="S73" i="20"/>
  <c r="S14" i="20"/>
  <c r="Z3" i="31"/>
  <c r="S79" i="20"/>
  <c r="S88" i="20"/>
  <c r="T9" i="20" l="1"/>
  <c r="T8" i="20"/>
  <c r="S6" i="20"/>
  <c r="T12" i="20"/>
  <c r="T11" i="20"/>
  <c r="U11" i="20" s="1"/>
  <c r="T13" i="20"/>
  <c r="J98" i="20"/>
  <c r="J89" i="20"/>
  <c r="J93" i="20" s="1"/>
  <c r="K76" i="20"/>
  <c r="K89" i="20" s="1"/>
  <c r="L69" i="20"/>
  <c r="L70" i="20" s="1"/>
  <c r="M66" i="20"/>
  <c r="M68" i="20"/>
  <c r="N67" i="20"/>
  <c r="N65" i="20"/>
  <c r="N68" i="20" s="1"/>
  <c r="AB2" i="31"/>
  <c r="V3" i="20"/>
  <c r="T106" i="20"/>
  <c r="S58" i="20"/>
  <c r="S59" i="20" s="1"/>
  <c r="F33" i="23"/>
  <c r="J33" i="23" s="1"/>
  <c r="H33" i="23" s="1"/>
  <c r="L33" i="23" s="1"/>
  <c r="E34" i="23" s="1"/>
  <c r="O43" i="20"/>
  <c r="O63" i="20" s="1"/>
  <c r="P75" i="20"/>
  <c r="Q72" i="20"/>
  <c r="T45" i="20"/>
  <c r="T52" i="20" s="1"/>
  <c r="T53" i="20"/>
  <c r="U123" i="20"/>
  <c r="U124" i="20" s="1"/>
  <c r="U120" i="20"/>
  <c r="U4" i="20"/>
  <c r="U10" i="20" s="1"/>
  <c r="U46" i="20"/>
  <c r="AB4" i="31"/>
  <c r="U48" i="20"/>
  <c r="V5" i="20"/>
  <c r="U103" i="20"/>
  <c r="U107" i="20"/>
  <c r="T84" i="20"/>
  <c r="T74" i="20"/>
  <c r="T85" i="20"/>
  <c r="T83" i="20"/>
  <c r="AA3" i="31"/>
  <c r="T17" i="20"/>
  <c r="T49" i="20" a="1"/>
  <c r="T49" i="20" s="1"/>
  <c r="T50" i="20" s="1"/>
  <c r="T16" i="20"/>
  <c r="T15" i="20"/>
  <c r="T55" i="20"/>
  <c r="T57" i="20" s="1"/>
  <c r="T56" i="20"/>
  <c r="T73" i="20"/>
  <c r="T79" i="20"/>
  <c r="T88" i="20"/>
  <c r="T14" i="20"/>
  <c r="E30" i="25"/>
  <c r="G30" i="25" s="1"/>
  <c r="J30" i="25" s="1"/>
  <c r="D31" i="25" s="1"/>
  <c r="T90" i="20" a="1"/>
  <c r="T90" i="20" s="1"/>
  <c r="U13" i="20" l="1"/>
  <c r="U12" i="20"/>
  <c r="U9" i="20"/>
  <c r="U8" i="20"/>
  <c r="T6" i="20"/>
  <c r="K98" i="20"/>
  <c r="K91" i="20"/>
  <c r="K93" i="20" s="1"/>
  <c r="M69" i="20"/>
  <c r="M70" i="20" s="1"/>
  <c r="L76" i="20"/>
  <c r="L89" i="20" s="1"/>
  <c r="N66" i="20"/>
  <c r="N64" i="20"/>
  <c r="O67" i="20"/>
  <c r="O65" i="20"/>
  <c r="O66" i="20" s="1"/>
  <c r="W3" i="20"/>
  <c r="AC2" i="31"/>
  <c r="U106" i="20"/>
  <c r="T58" i="20"/>
  <c r="T59" i="20" s="1"/>
  <c r="F34" i="23"/>
  <c r="J34" i="23" s="1"/>
  <c r="H34" i="23" s="1"/>
  <c r="L34" i="23" s="1"/>
  <c r="E35" i="23" s="1"/>
  <c r="P43" i="20"/>
  <c r="P63" i="20" s="1"/>
  <c r="Q75" i="20"/>
  <c r="R72" i="20"/>
  <c r="U74" i="20"/>
  <c r="U85" i="20"/>
  <c r="U83" i="20"/>
  <c r="U84" i="20"/>
  <c r="U56" i="20"/>
  <c r="U49" i="20" a="1"/>
  <c r="U49" i="20" s="1"/>
  <c r="U50" i="20" s="1"/>
  <c r="U73" i="20"/>
  <c r="U55" i="20"/>
  <c r="U57" i="20" s="1"/>
  <c r="U79" i="20"/>
  <c r="U17" i="20"/>
  <c r="AB3" i="31"/>
  <c r="U15" i="20"/>
  <c r="U14" i="20"/>
  <c r="U16" i="20"/>
  <c r="U88" i="20"/>
  <c r="V4" i="20"/>
  <c r="V10" i="20" s="1"/>
  <c r="V46" i="20"/>
  <c r="W5" i="20"/>
  <c r="V48" i="20"/>
  <c r="V107" i="20"/>
  <c r="V103" i="20"/>
  <c r="AC4" i="31"/>
  <c r="V123" i="20"/>
  <c r="V124" i="20" s="1"/>
  <c r="U90" i="20" a="1"/>
  <c r="U90" i="20" s="1"/>
  <c r="E31" i="25"/>
  <c r="G31" i="25" s="1"/>
  <c r="J31" i="25" s="1"/>
  <c r="D32" i="25" s="1"/>
  <c r="U53" i="20"/>
  <c r="U45" i="20"/>
  <c r="U52" i="20" s="1"/>
  <c r="V8" i="20" l="1"/>
  <c r="U6" i="20"/>
  <c r="V9" i="20"/>
  <c r="V12" i="20"/>
  <c r="V11" i="20"/>
  <c r="V13" i="20"/>
  <c r="M76" i="20"/>
  <c r="M91" i="20" s="1"/>
  <c r="N69" i="20"/>
  <c r="N76" i="20" s="1"/>
  <c r="O64" i="20"/>
  <c r="L98" i="20"/>
  <c r="L91" i="20"/>
  <c r="L93" i="20" s="1"/>
  <c r="P65" i="20"/>
  <c r="P68" i="20" s="1"/>
  <c r="P67" i="20"/>
  <c r="O68" i="20"/>
  <c r="X3" i="20"/>
  <c r="AD2" i="31"/>
  <c r="V106" i="20"/>
  <c r="F35" i="23"/>
  <c r="J35" i="23" s="1"/>
  <c r="H35" i="23" s="1"/>
  <c r="L35" i="23" s="1"/>
  <c r="E36" i="23" s="1"/>
  <c r="Q43" i="20"/>
  <c r="Q63" i="20" s="1"/>
  <c r="R75" i="20"/>
  <c r="S72" i="20"/>
  <c r="E32" i="25"/>
  <c r="G32" i="25" s="1"/>
  <c r="J32" i="25" s="1"/>
  <c r="D33" i="25" s="1"/>
  <c r="V45" i="20"/>
  <c r="V52" i="20" s="1"/>
  <c r="V53" i="20"/>
  <c r="V74" i="20"/>
  <c r="V85" i="20"/>
  <c r="V84" i="20"/>
  <c r="V83" i="20"/>
  <c r="V15" i="20"/>
  <c r="AC3" i="31"/>
  <c r="V49" i="20" a="1"/>
  <c r="V49" i="20" s="1"/>
  <c r="V50" i="20" s="1"/>
  <c r="V16" i="20"/>
  <c r="V56" i="20"/>
  <c r="V14" i="20"/>
  <c r="V17" i="20"/>
  <c r="V55" i="20"/>
  <c r="V57" i="20" s="1"/>
  <c r="V88" i="20"/>
  <c r="V73" i="20"/>
  <c r="V79" i="20"/>
  <c r="V90" i="20" a="1"/>
  <c r="V90" i="20" s="1"/>
  <c r="W120" i="20"/>
  <c r="X5" i="20"/>
  <c r="W4" i="20"/>
  <c r="W10" i="20" s="1"/>
  <c r="W107" i="20"/>
  <c r="W46" i="20"/>
  <c r="AD4" i="31"/>
  <c r="W103" i="20"/>
  <c r="W123" i="20"/>
  <c r="W124" i="20" s="1"/>
  <c r="W48" i="20"/>
  <c r="U58" i="20"/>
  <c r="U59" i="20" s="1"/>
  <c r="W13" i="20" l="1"/>
  <c r="W11" i="20"/>
  <c r="W12" i="20"/>
  <c r="W9" i="20"/>
  <c r="W8" i="20"/>
  <c r="V6" i="20"/>
  <c r="W90" i="20" a="1"/>
  <c r="W90" i="20" s="1"/>
  <c r="M89" i="20"/>
  <c r="M93" i="20" s="1"/>
  <c r="M98" i="20"/>
  <c r="O69" i="20"/>
  <c r="O70" i="20" s="1"/>
  <c r="N70" i="20"/>
  <c r="P66" i="20"/>
  <c r="P64" i="20"/>
  <c r="Q65" i="20"/>
  <c r="Q64" i="20" s="1"/>
  <c r="Q67" i="20"/>
  <c r="N89" i="20"/>
  <c r="N98" i="20"/>
  <c r="N91" i="20"/>
  <c r="Y3" i="20"/>
  <c r="AE2" i="31"/>
  <c r="V58" i="20"/>
  <c r="V59" i="20" s="1"/>
  <c r="F36" i="23"/>
  <c r="J36" i="23" s="1"/>
  <c r="H36" i="23" s="1"/>
  <c r="L36" i="23" s="1"/>
  <c r="E37" i="23" s="1"/>
  <c r="W106" i="20"/>
  <c r="R43" i="20"/>
  <c r="R63" i="20" s="1"/>
  <c r="S75" i="20"/>
  <c r="T72" i="20"/>
  <c r="E33" i="25"/>
  <c r="G33" i="25" s="1"/>
  <c r="J33" i="25" s="1"/>
  <c r="D34" i="25" s="1"/>
  <c r="W45" i="20"/>
  <c r="W52" i="20" s="1"/>
  <c r="W53" i="20"/>
  <c r="W84" i="20"/>
  <c r="W74" i="20"/>
  <c r="W83" i="20"/>
  <c r="W85" i="20"/>
  <c r="W17" i="20"/>
  <c r="W16" i="20"/>
  <c r="AD3" i="31"/>
  <c r="W15" i="20"/>
  <c r="W14" i="20"/>
  <c r="W88" i="20"/>
  <c r="W79" i="20"/>
  <c r="W56" i="20"/>
  <c r="W49" i="20" a="1"/>
  <c r="W49" i="20" s="1"/>
  <c r="W50" i="20" s="1"/>
  <c r="W55" i="20"/>
  <c r="W57" i="20" s="1"/>
  <c r="W73" i="20"/>
  <c r="X120" i="20"/>
  <c r="X46" i="20"/>
  <c r="X103" i="20"/>
  <c r="X48" i="20"/>
  <c r="X123" i="20"/>
  <c r="X124" i="20" s="1"/>
  <c r="AE4" i="31"/>
  <c r="X107" i="20"/>
  <c r="X4" i="20"/>
  <c r="X10" i="20" s="1"/>
  <c r="Y5" i="20"/>
  <c r="X8" i="20" l="1"/>
  <c r="W6" i="20"/>
  <c r="X9" i="20"/>
  <c r="X12" i="20"/>
  <c r="X11" i="20"/>
  <c r="X13" i="20"/>
  <c r="P69" i="20"/>
  <c r="P70" i="20" s="1"/>
  <c r="O76" i="20"/>
  <c r="O89" i="20" s="1"/>
  <c r="Q66" i="20"/>
  <c r="N93" i="20"/>
  <c r="R67" i="20"/>
  <c r="R65" i="20"/>
  <c r="R66" i="20" s="1"/>
  <c r="Q68" i="20"/>
  <c r="Z3" i="20"/>
  <c r="AF2" i="31"/>
  <c r="X106" i="20"/>
  <c r="F37" i="23"/>
  <c r="J37" i="23" s="1"/>
  <c r="H37" i="23" s="1"/>
  <c r="L37" i="23" s="1"/>
  <c r="E38" i="23" s="1"/>
  <c r="S43" i="20"/>
  <c r="S63" i="20" s="1"/>
  <c r="U72" i="20"/>
  <c r="T75" i="20"/>
  <c r="E34" i="25"/>
  <c r="G34" i="25" s="1"/>
  <c r="J34" i="25" s="1"/>
  <c r="D35" i="25" s="1"/>
  <c r="X74" i="20"/>
  <c r="X84" i="20"/>
  <c r="X85" i="20"/>
  <c r="X83" i="20"/>
  <c r="X17" i="20"/>
  <c r="X49" i="20" a="1"/>
  <c r="X49" i="20" s="1"/>
  <c r="X50" i="20" s="1"/>
  <c r="X14" i="20"/>
  <c r="X16" i="20"/>
  <c r="X55" i="20"/>
  <c r="X57" i="20" s="1"/>
  <c r="X73" i="20"/>
  <c r="X15" i="20"/>
  <c r="X88" i="20"/>
  <c r="X79" i="20"/>
  <c r="AE3" i="31"/>
  <c r="X56" i="20"/>
  <c r="Y4" i="20"/>
  <c r="Y10" i="20" s="1"/>
  <c r="AF4" i="31"/>
  <c r="Y103" i="20"/>
  <c r="Y46" i="20"/>
  <c r="Y48" i="20"/>
  <c r="Y107" i="20"/>
  <c r="Y120" i="20"/>
  <c r="Z5" i="20"/>
  <c r="Y123" i="20"/>
  <c r="Y124" i="20" s="1"/>
  <c r="X90" i="20" a="1"/>
  <c r="X90" i="20" s="1"/>
  <c r="W58" i="20"/>
  <c r="W59" i="20" s="1"/>
  <c r="X45" i="20"/>
  <c r="X52" i="20" s="1"/>
  <c r="X53" i="20"/>
  <c r="Y13" i="20" l="1"/>
  <c r="Y11" i="20"/>
  <c r="Y12" i="20"/>
  <c r="Y9" i="20"/>
  <c r="Y8" i="20"/>
  <c r="X6" i="20"/>
  <c r="Y90" i="20" a="1"/>
  <c r="Y90" i="20" s="1"/>
  <c r="P76" i="20"/>
  <c r="P91" i="20" s="1"/>
  <c r="O98" i="20"/>
  <c r="O91" i="20"/>
  <c r="O93" i="20" s="1"/>
  <c r="Q69" i="20"/>
  <c r="Q76" i="20" s="1"/>
  <c r="R68" i="20"/>
  <c r="R64" i="20"/>
  <c r="S65" i="20"/>
  <c r="S66" i="20" s="1"/>
  <c r="S67" i="20"/>
  <c r="AG2" i="31"/>
  <c r="AA3" i="20"/>
  <c r="Y106" i="20"/>
  <c r="F38" i="23"/>
  <c r="J38" i="23" s="1"/>
  <c r="H38" i="23" s="1"/>
  <c r="L38" i="23" s="1"/>
  <c r="E39" i="23" s="1"/>
  <c r="X58" i="20"/>
  <c r="X59" i="20" s="1"/>
  <c r="T43" i="20"/>
  <c r="T63" i="20" s="1"/>
  <c r="U75" i="20"/>
  <c r="V72" i="20"/>
  <c r="E35" i="25"/>
  <c r="G35" i="25" s="1"/>
  <c r="J35" i="25" s="1"/>
  <c r="D36" i="25" s="1"/>
  <c r="Y53" i="20"/>
  <c r="Y45" i="20"/>
  <c r="Y52" i="20" s="1"/>
  <c r="AG4" i="31"/>
  <c r="Z123" i="20"/>
  <c r="Z124" i="20" s="1"/>
  <c r="Z107" i="20"/>
  <c r="Z120" i="20"/>
  <c r="AA5" i="20"/>
  <c r="Z48" i="20"/>
  <c r="Z46" i="20"/>
  <c r="Z103" i="20"/>
  <c r="Z4" i="20"/>
  <c r="Z10" i="20" s="1"/>
  <c r="Y83" i="20"/>
  <c r="Y84" i="20"/>
  <c r="Y74" i="20"/>
  <c r="Y85" i="20"/>
  <c r="Y17" i="20"/>
  <c r="Y15" i="20"/>
  <c r="Y56" i="20"/>
  <c r="Y88" i="20"/>
  <c r="Y55" i="20"/>
  <c r="Y57" i="20" s="1"/>
  <c r="Y79" i="20"/>
  <c r="Y16" i="20"/>
  <c r="Y14" i="20"/>
  <c r="AF3" i="31"/>
  <c r="Y73" i="20"/>
  <c r="Y49" i="20" a="1"/>
  <c r="Y49" i="20" s="1"/>
  <c r="Y50" i="20" s="1"/>
  <c r="Z8" i="20" l="1"/>
  <c r="Y6" i="20"/>
  <c r="Z9" i="20"/>
  <c r="Z12" i="20"/>
  <c r="Z11" i="20"/>
  <c r="Z13" i="20"/>
  <c r="Z90" i="20" a="1"/>
  <c r="Z90" i="20" s="1"/>
  <c r="P89" i="20"/>
  <c r="P93" i="20" s="1"/>
  <c r="P98" i="20"/>
  <c r="Q70" i="20"/>
  <c r="S64" i="20"/>
  <c r="R69" i="20"/>
  <c r="T67" i="20"/>
  <c r="T65" i="20"/>
  <c r="T66" i="20" s="1"/>
  <c r="S68" i="20"/>
  <c r="Q89" i="20"/>
  <c r="Q91" i="20"/>
  <c r="Q98" i="20"/>
  <c r="AB3" i="20"/>
  <c r="AH2" i="31"/>
  <c r="Z106" i="20"/>
  <c r="Y58" i="20"/>
  <c r="Y59" i="20" s="1"/>
  <c r="F39" i="23"/>
  <c r="J39" i="23" s="1"/>
  <c r="H39" i="23" s="1"/>
  <c r="L39" i="23" s="1"/>
  <c r="E40" i="23" s="1"/>
  <c r="U43" i="20"/>
  <c r="U63" i="20" s="1"/>
  <c r="V75" i="20"/>
  <c r="W72" i="20"/>
  <c r="E36" i="25"/>
  <c r="G36" i="25" s="1"/>
  <c r="J36" i="25" s="1"/>
  <c r="D37" i="25" s="1"/>
  <c r="Z74" i="20"/>
  <c r="Z85" i="20"/>
  <c r="Z83" i="20"/>
  <c r="Z84" i="20"/>
  <c r="Z14" i="20"/>
  <c r="AG3" i="31"/>
  <c r="Z17" i="20"/>
  <c r="Z16" i="20"/>
  <c r="Z56" i="20"/>
  <c r="Z15" i="20"/>
  <c r="Z88" i="20"/>
  <c r="Z55" i="20"/>
  <c r="Z57" i="20" s="1"/>
  <c r="Z73" i="20"/>
  <c r="Z49" i="20" a="1"/>
  <c r="Z49" i="20" s="1"/>
  <c r="Z50" i="20" s="1"/>
  <c r="Z79" i="20"/>
  <c r="Z53" i="20"/>
  <c r="Z45" i="20"/>
  <c r="AA4" i="20"/>
  <c r="AA10" i="20" s="1"/>
  <c r="AA48" i="20"/>
  <c r="AH4" i="31"/>
  <c r="AA107" i="20"/>
  <c r="AA123" i="20"/>
  <c r="AA124" i="20" s="1"/>
  <c r="AA103" i="20"/>
  <c r="AB5" i="20"/>
  <c r="AA46" i="20"/>
  <c r="AA120" i="20"/>
  <c r="AA13" i="20" l="1"/>
  <c r="AA11" i="20"/>
  <c r="AA12" i="20"/>
  <c r="AA9" i="20"/>
  <c r="AA8" i="20"/>
  <c r="Z6" i="20"/>
  <c r="AA90" i="20" a="1"/>
  <c r="AA90" i="20" s="1"/>
  <c r="S69" i="20"/>
  <c r="S70" i="20" s="1"/>
  <c r="T64" i="20"/>
  <c r="R76" i="20"/>
  <c r="R70" i="20"/>
  <c r="U67" i="20"/>
  <c r="U65" i="20"/>
  <c r="U68" i="20" s="1"/>
  <c r="Q93" i="20"/>
  <c r="T68" i="20"/>
  <c r="AI2" i="31"/>
  <c r="AC3" i="20"/>
  <c r="AA106" i="20"/>
  <c r="F40" i="23"/>
  <c r="J40" i="23" s="1"/>
  <c r="H40" i="23" s="1"/>
  <c r="L40" i="23" s="1"/>
  <c r="E41" i="23" s="1"/>
  <c r="V43" i="20"/>
  <c r="V63" i="20" s="1"/>
  <c r="X72" i="20"/>
  <c r="W75" i="20"/>
  <c r="E37" i="25"/>
  <c r="G37" i="25" s="1"/>
  <c r="J37" i="25" s="1"/>
  <c r="D38" i="25" s="1"/>
  <c r="Z58" i="20"/>
  <c r="Z59" i="20" s="1"/>
  <c r="AA53" i="20"/>
  <c r="AA45" i="20"/>
  <c r="AA52" i="20" s="1"/>
  <c r="AA84" i="20"/>
  <c r="AA74" i="20"/>
  <c r="AA85" i="20"/>
  <c r="AA83" i="20"/>
  <c r="AA16" i="20"/>
  <c r="AA14" i="20"/>
  <c r="AA17" i="20"/>
  <c r="AA73" i="20"/>
  <c r="AH3" i="31"/>
  <c r="AA49" i="20" a="1"/>
  <c r="AA49" i="20" s="1"/>
  <c r="AA50" i="20" s="1"/>
  <c r="AA79" i="20"/>
  <c r="AA15" i="20"/>
  <c r="AA88" i="20"/>
  <c r="AA55" i="20"/>
  <c r="AA57" i="20" s="1"/>
  <c r="AA56" i="20"/>
  <c r="Z52" i="20"/>
  <c r="AB103" i="20"/>
  <c r="AC5" i="20"/>
  <c r="AI4" i="31"/>
  <c r="AB46" i="20"/>
  <c r="AB107" i="20"/>
  <c r="AB48" i="20"/>
  <c r="AB4" i="20"/>
  <c r="AB10" i="20" s="1"/>
  <c r="AB123" i="20"/>
  <c r="AB124" i="20" s="1"/>
  <c r="AB9" i="20" l="1"/>
  <c r="AB8" i="20"/>
  <c r="AA6" i="20"/>
  <c r="AB12" i="20"/>
  <c r="AB11" i="20"/>
  <c r="AB13" i="20"/>
  <c r="AB90" i="20" a="1"/>
  <c r="AB90" i="20" s="1"/>
  <c r="T69" i="20"/>
  <c r="T70" i="20" s="1"/>
  <c r="S76" i="20"/>
  <c r="S91" i="20" s="1"/>
  <c r="R89" i="20"/>
  <c r="R91" i="20"/>
  <c r="R98" i="20"/>
  <c r="U66" i="20"/>
  <c r="U64" i="20"/>
  <c r="V67" i="20"/>
  <c r="V65" i="20"/>
  <c r="V68" i="20" s="1"/>
  <c r="AJ2" i="31"/>
  <c r="AD3" i="20"/>
  <c r="AA58" i="20"/>
  <c r="AA59" i="20" s="1"/>
  <c r="AB106" i="20"/>
  <c r="F41" i="23"/>
  <c r="W43" i="20"/>
  <c r="W63" i="20" s="1"/>
  <c r="Y72" i="20"/>
  <c r="X75" i="20"/>
  <c r="E38" i="25"/>
  <c r="G38" i="25" s="1"/>
  <c r="J38" i="25" s="1"/>
  <c r="D39" i="25" s="1"/>
  <c r="AC120" i="20"/>
  <c r="AC103" i="20"/>
  <c r="AC48" i="20"/>
  <c r="AD5" i="20"/>
  <c r="AC4" i="20"/>
  <c r="AC10" i="20" s="1"/>
  <c r="AJ4" i="31"/>
  <c r="AC107" i="20"/>
  <c r="AC46" i="20"/>
  <c r="AC123" i="20"/>
  <c r="AC124" i="20" s="1"/>
  <c r="AB84" i="20"/>
  <c r="AB85" i="20"/>
  <c r="AB83" i="20"/>
  <c r="AB74" i="20"/>
  <c r="AB15" i="20"/>
  <c r="AB56" i="20"/>
  <c r="AB17" i="20"/>
  <c r="AB73" i="20"/>
  <c r="AB71" i="20" s="1"/>
  <c r="AB79" i="20"/>
  <c r="AB49" i="20" a="1"/>
  <c r="AB49" i="20" s="1"/>
  <c r="AB50" i="20" s="1"/>
  <c r="AB88" i="20"/>
  <c r="AB55" i="20"/>
  <c r="AB57" i="20" s="1"/>
  <c r="AB16" i="20"/>
  <c r="AB14" i="20"/>
  <c r="AI3" i="31"/>
  <c r="AB53" i="20"/>
  <c r="AB45" i="20"/>
  <c r="AC11" i="20" l="1"/>
  <c r="AC12" i="20"/>
  <c r="AC9" i="20"/>
  <c r="AC13" i="20"/>
  <c r="AC8" i="20"/>
  <c r="AB6" i="20"/>
  <c r="AC90" i="20" a="1"/>
  <c r="AC90" i="20" s="1"/>
  <c r="AD90" i="20" s="1" a="1"/>
  <c r="AD90" i="20" s="1"/>
  <c r="S98" i="20"/>
  <c r="T76" i="20"/>
  <c r="T89" i="20" s="1"/>
  <c r="S89" i="20"/>
  <c r="S93" i="20" s="1"/>
  <c r="V64" i="20"/>
  <c r="V66" i="20"/>
  <c r="U69" i="20"/>
  <c r="U70" i="20" s="1"/>
  <c r="R93" i="20"/>
  <c r="W67" i="20"/>
  <c r="W65" i="20"/>
  <c r="W64" i="20" s="1"/>
  <c r="AE3" i="20"/>
  <c r="AK2" i="31"/>
  <c r="J41" i="23"/>
  <c r="AC106" i="20" s="1"/>
  <c r="X43" i="20"/>
  <c r="X63" i="20" s="1"/>
  <c r="Z72" i="20"/>
  <c r="Y75" i="20"/>
  <c r="AB58" i="20"/>
  <c r="AB59" i="20" s="1"/>
  <c r="AC53" i="20"/>
  <c r="AC45" i="20"/>
  <c r="AC52" i="20" s="1"/>
  <c r="AD46" i="20"/>
  <c r="AE5" i="20"/>
  <c r="AK4" i="31"/>
  <c r="AD107" i="20"/>
  <c r="AD123" i="20"/>
  <c r="AD124" i="20" s="1"/>
  <c r="AD120" i="20"/>
  <c r="AD48" i="20"/>
  <c r="AD103" i="20"/>
  <c r="AD4" i="20"/>
  <c r="AD10" i="20" s="1"/>
  <c r="AB52" i="20"/>
  <c r="E39" i="25"/>
  <c r="G39" i="25" s="1"/>
  <c r="J39" i="25" s="1"/>
  <c r="D40" i="25" s="1"/>
  <c r="AC74" i="20"/>
  <c r="AC85" i="20"/>
  <c r="AC84" i="20"/>
  <c r="AC83" i="20"/>
  <c r="AC81" i="20"/>
  <c r="AC56" i="20"/>
  <c r="AC88" i="20"/>
  <c r="AJ3" i="31"/>
  <c r="AC49" i="20" a="1"/>
  <c r="AC49" i="20" s="1"/>
  <c r="AC50" i="20" s="1"/>
  <c r="AC16" i="20"/>
  <c r="AC17" i="20"/>
  <c r="AC79" i="20"/>
  <c r="AC55" i="20"/>
  <c r="AC57" i="20" s="1"/>
  <c r="AC15" i="20"/>
  <c r="AC14" i="20"/>
  <c r="AC73" i="20"/>
  <c r="AC71" i="20" s="1"/>
  <c r="AD8" i="20" l="1"/>
  <c r="AC6" i="20"/>
  <c r="AD13" i="20"/>
  <c r="AD9" i="20"/>
  <c r="AD12" i="20"/>
  <c r="AD11" i="20"/>
  <c r="T98" i="20"/>
  <c r="T91" i="20"/>
  <c r="T93" i="20" s="1"/>
  <c r="U76" i="20"/>
  <c r="U91" i="20" s="1"/>
  <c r="V69" i="20"/>
  <c r="W68" i="20"/>
  <c r="W66" i="20"/>
  <c r="X65" i="20"/>
  <c r="X64" i="20" s="1"/>
  <c r="X67" i="20"/>
  <c r="AF3" i="20"/>
  <c r="AL2" i="31"/>
  <c r="AC58" i="20"/>
  <c r="AC59" i="20" s="1"/>
  <c r="H41" i="23"/>
  <c r="L41" i="23" s="1"/>
  <c r="E42" i="23" s="1"/>
  <c r="F42" i="23" s="1"/>
  <c r="Y43" i="20"/>
  <c r="Y63" i="20" s="1"/>
  <c r="AA72" i="20"/>
  <c r="Z75" i="20"/>
  <c r="AC78" i="20"/>
  <c r="AD74" i="20"/>
  <c r="AD84" i="20"/>
  <c r="AD83" i="20"/>
  <c r="AD81" i="20"/>
  <c r="AD85" i="20"/>
  <c r="AD14" i="20"/>
  <c r="AD17" i="20"/>
  <c r="AK3" i="31"/>
  <c r="AD79" i="20"/>
  <c r="AD49" i="20" a="1"/>
  <c r="AD49" i="20" s="1"/>
  <c r="AD50" i="20" s="1"/>
  <c r="AD73" i="20"/>
  <c r="AD16" i="20"/>
  <c r="AD55" i="20"/>
  <c r="AD57" i="20" s="1"/>
  <c r="AD15" i="20"/>
  <c r="AD88" i="20"/>
  <c r="AD56" i="20"/>
  <c r="AF5" i="20"/>
  <c r="AE48" i="20"/>
  <c r="AE4" i="20"/>
  <c r="AE10" i="20" s="1"/>
  <c r="AL4" i="31"/>
  <c r="AE46" i="20"/>
  <c r="AE123" i="20"/>
  <c r="AE124" i="20" s="1"/>
  <c r="AE103" i="20"/>
  <c r="AE90" i="20" a="1"/>
  <c r="AE90" i="20" s="1"/>
  <c r="AE107" i="20"/>
  <c r="AE120" i="20"/>
  <c r="AD53" i="20"/>
  <c r="AD45" i="20"/>
  <c r="AD52" i="20" s="1"/>
  <c r="E40" i="25"/>
  <c r="G40" i="25" s="1"/>
  <c r="J40" i="25" s="1"/>
  <c r="D41" i="25" s="1"/>
  <c r="AE11" i="20" l="1"/>
  <c r="AE12" i="20"/>
  <c r="AE9" i="20"/>
  <c r="AE13" i="20"/>
  <c r="AE8" i="20"/>
  <c r="AD6" i="20"/>
  <c r="W69" i="20"/>
  <c r="W70" i="20" s="1"/>
  <c r="U98" i="20"/>
  <c r="U89" i="20"/>
  <c r="U93" i="20" s="1"/>
  <c r="V70" i="20"/>
  <c r="V76" i="20"/>
  <c r="X66" i="20"/>
  <c r="X68" i="20"/>
  <c r="Y67" i="20"/>
  <c r="Y65" i="20"/>
  <c r="Y66" i="20" s="1"/>
  <c r="AG3" i="20"/>
  <c r="AM2" i="31"/>
  <c r="J42" i="23"/>
  <c r="AD106" i="20" s="1"/>
  <c r="Z43" i="20"/>
  <c r="Z63" i="20" s="1"/>
  <c r="AA75" i="20"/>
  <c r="AB72" i="20"/>
  <c r="AE84" i="20"/>
  <c r="AE83" i="20"/>
  <c r="AE81" i="20"/>
  <c r="AE74" i="20"/>
  <c r="AE85" i="20"/>
  <c r="AE16" i="20"/>
  <c r="AL3" i="31"/>
  <c r="AE73" i="20"/>
  <c r="AE49" i="20" a="1"/>
  <c r="AE49" i="20" s="1"/>
  <c r="AE50" i="20" s="1"/>
  <c r="AE15" i="20"/>
  <c r="AE17" i="20"/>
  <c r="AE79" i="20"/>
  <c r="AE14" i="20"/>
  <c r="AE55" i="20"/>
  <c r="AE57" i="20" s="1"/>
  <c r="AE56" i="20"/>
  <c r="AE88" i="20"/>
  <c r="AF4" i="20"/>
  <c r="AF10" i="20" s="1"/>
  <c r="AF46" i="20"/>
  <c r="AG5" i="20"/>
  <c r="AF123" i="20"/>
  <c r="AF124" i="20" s="1"/>
  <c r="AM4" i="31"/>
  <c r="AF103" i="20"/>
  <c r="AF107" i="20"/>
  <c r="AF120" i="20"/>
  <c r="AF90" i="20" a="1"/>
  <c r="AF90" i="20" s="1"/>
  <c r="AF48" i="20"/>
  <c r="E41" i="25"/>
  <c r="G41" i="25" s="1"/>
  <c r="J41" i="25" s="1"/>
  <c r="D42" i="25" s="1"/>
  <c r="AD58" i="20"/>
  <c r="AD59" i="20" s="1"/>
  <c r="AE45" i="20"/>
  <c r="AE53" i="20"/>
  <c r="AF8" i="20" l="1"/>
  <c r="AE6" i="20"/>
  <c r="AF13" i="20"/>
  <c r="AF12" i="20"/>
  <c r="AF9" i="20"/>
  <c r="AF11" i="20"/>
  <c r="W76" i="20"/>
  <c r="W89" i="20" s="1"/>
  <c r="V98" i="20"/>
  <c r="V91" i="20"/>
  <c r="V89" i="20"/>
  <c r="X69" i="20"/>
  <c r="X70" i="20" s="1"/>
  <c r="Z67" i="20"/>
  <c r="Z65" i="20"/>
  <c r="Z64" i="20" s="1"/>
  <c r="Y68" i="20"/>
  <c r="Y64" i="20"/>
  <c r="AN2" i="31"/>
  <c r="AH3" i="20"/>
  <c r="H42" i="23"/>
  <c r="L42" i="23" s="1"/>
  <c r="E43" i="23" s="1"/>
  <c r="F43" i="23" s="1"/>
  <c r="AA43" i="20"/>
  <c r="AA63" i="20" s="1"/>
  <c r="AB75" i="20"/>
  <c r="AC72" i="20"/>
  <c r="E42" i="25"/>
  <c r="G42" i="25" s="1"/>
  <c r="J42" i="25" s="1"/>
  <c r="D43" i="25" s="1"/>
  <c r="AG46" i="20"/>
  <c r="AG123" i="20"/>
  <c r="AG124" i="20" s="1"/>
  <c r="AG107" i="20"/>
  <c r="AG120" i="20"/>
  <c r="AG90" i="20" a="1"/>
  <c r="AG90" i="20" s="1"/>
  <c r="AG103" i="20"/>
  <c r="AG4" i="20"/>
  <c r="AG10" i="20" s="1"/>
  <c r="AN4" i="31"/>
  <c r="AG48" i="20"/>
  <c r="AH5" i="20"/>
  <c r="AF53" i="20"/>
  <c r="AF45" i="20"/>
  <c r="AF52" i="20" s="1"/>
  <c r="AF74" i="20"/>
  <c r="AF85" i="20"/>
  <c r="AF84" i="20"/>
  <c r="AF83" i="20"/>
  <c r="AF81" i="20"/>
  <c r="AM3" i="31"/>
  <c r="AF49" i="20" a="1"/>
  <c r="AF49" i="20" s="1"/>
  <c r="AF50" i="20" s="1"/>
  <c r="AF16" i="20"/>
  <c r="AF15" i="20"/>
  <c r="AF17" i="20"/>
  <c r="AF88" i="20"/>
  <c r="AF56" i="20"/>
  <c r="AF14" i="20"/>
  <c r="AF73" i="20"/>
  <c r="AF79" i="20"/>
  <c r="AF55" i="20"/>
  <c r="AF57" i="20" s="1"/>
  <c r="AE58" i="20"/>
  <c r="AE59" i="20" s="1"/>
  <c r="AE52" i="20"/>
  <c r="AG11" i="20" l="1"/>
  <c r="AG9" i="20"/>
  <c r="AG12" i="20"/>
  <c r="AG13" i="20"/>
  <c r="AG8" i="20"/>
  <c r="AF6" i="20"/>
  <c r="W91" i="20"/>
  <c r="W93" i="20" s="1"/>
  <c r="V93" i="20"/>
  <c r="W98" i="20"/>
  <c r="X76" i="20"/>
  <c r="X89" i="20" s="1"/>
  <c r="Z68" i="20"/>
  <c r="Y69" i="20"/>
  <c r="Y70" i="20" s="1"/>
  <c r="Z66" i="20"/>
  <c r="AA65" i="20"/>
  <c r="AA66" i="20" s="1"/>
  <c r="AA67" i="20"/>
  <c r="AI3" i="20"/>
  <c r="AO2" i="31"/>
  <c r="J43" i="23"/>
  <c r="AE106" i="20" s="1"/>
  <c r="AB43" i="20"/>
  <c r="AB63" i="20" s="1"/>
  <c r="AF58" i="20"/>
  <c r="AF59" i="20" s="1"/>
  <c r="AD72" i="20"/>
  <c r="AC75" i="20"/>
  <c r="E43" i="25"/>
  <c r="G43" i="25" s="1"/>
  <c r="J43" i="25" s="1"/>
  <c r="D44" i="25" s="1"/>
  <c r="AH46" i="20"/>
  <c r="AH123" i="20"/>
  <c r="AH124" i="20" s="1"/>
  <c r="AH120" i="20"/>
  <c r="AH103" i="20"/>
  <c r="AH4" i="20"/>
  <c r="AH90" i="20" s="1" a="1"/>
  <c r="AH90" i="20" s="1"/>
  <c r="AO4" i="31"/>
  <c r="AH48" i="20"/>
  <c r="AI5" i="20"/>
  <c r="AH107" i="20"/>
  <c r="AG45" i="20"/>
  <c r="AG52" i="20" s="1"/>
  <c r="AG53" i="20"/>
  <c r="AG85" i="20"/>
  <c r="AG84" i="20"/>
  <c r="AG83" i="20"/>
  <c r="AG81" i="20"/>
  <c r="AG74" i="20"/>
  <c r="AG15" i="20"/>
  <c r="AG55" i="20"/>
  <c r="AG57" i="20" s="1"/>
  <c r="AG73" i="20"/>
  <c r="AN3" i="31"/>
  <c r="AG16" i="20"/>
  <c r="AG88" i="20"/>
  <c r="AG17" i="20"/>
  <c r="AG49" i="20" a="1"/>
  <c r="AG49" i="20" s="1"/>
  <c r="AG50" i="20" s="1"/>
  <c r="AG14" i="20"/>
  <c r="AG79" i="20"/>
  <c r="AG56" i="20"/>
  <c r="AH8" i="20" l="1"/>
  <c r="AG6" i="20"/>
  <c r="AH13" i="20"/>
  <c r="AH12" i="20"/>
  <c r="AH9" i="20"/>
  <c r="AH11" i="20"/>
  <c r="AH10" i="20"/>
  <c r="AI10" i="20" s="1"/>
  <c r="Z69" i="20"/>
  <c r="Z70" i="20" s="1"/>
  <c r="Y76" i="20"/>
  <c r="Y98" i="20" s="1"/>
  <c r="X91" i="20"/>
  <c r="X93" i="20" s="1"/>
  <c r="X98" i="20"/>
  <c r="AA68" i="20"/>
  <c r="AB65" i="20"/>
  <c r="AB64" i="20" s="1"/>
  <c r="AB67" i="20"/>
  <c r="AA64" i="20"/>
  <c r="AJ3" i="20"/>
  <c r="AP2" i="31"/>
  <c r="H43" i="23"/>
  <c r="L43" i="23" s="1"/>
  <c r="E44" i="23" s="1"/>
  <c r="F44" i="23" s="1"/>
  <c r="AG58" i="20"/>
  <c r="AG59" i="20" s="1"/>
  <c r="AC43" i="20"/>
  <c r="AC63" i="20" s="1"/>
  <c r="AE72" i="20"/>
  <c r="AD75" i="20"/>
  <c r="E44" i="25"/>
  <c r="G44" i="25" s="1"/>
  <c r="J44" i="25" s="1"/>
  <c r="D45" i="25" s="1"/>
  <c r="AH74" i="20"/>
  <c r="AH85" i="20"/>
  <c r="AH84" i="20"/>
  <c r="AH83" i="20"/>
  <c r="AH81" i="20"/>
  <c r="AH17" i="20"/>
  <c r="AH14" i="20"/>
  <c r="AH15" i="20"/>
  <c r="AH79" i="20"/>
  <c r="AH88" i="20"/>
  <c r="AH73" i="20"/>
  <c r="AO3" i="31"/>
  <c r="AH16" i="20"/>
  <c r="AH56" i="20"/>
  <c r="AH49" i="20" a="1"/>
  <c r="AH49" i="20" s="1"/>
  <c r="AH50" i="20" s="1"/>
  <c r="AH55" i="20"/>
  <c r="AH57" i="20" s="1"/>
  <c r="AJ5" i="20"/>
  <c r="AI4" i="20"/>
  <c r="AI48" i="20"/>
  <c r="AI46" i="20"/>
  <c r="AP4" i="31"/>
  <c r="AI107" i="20"/>
  <c r="AI103" i="20"/>
  <c r="AI120" i="20"/>
  <c r="AI123" i="20"/>
  <c r="AI124" i="20" s="1"/>
  <c r="AH53" i="20"/>
  <c r="AH45" i="20"/>
  <c r="AH52" i="20" s="1"/>
  <c r="AI11" i="20" l="1"/>
  <c r="AI9" i="20"/>
  <c r="AI12" i="20"/>
  <c r="AI13" i="20"/>
  <c r="AI8" i="20"/>
  <c r="AH6" i="20"/>
  <c r="Z76" i="20"/>
  <c r="Z91" i="20" s="1"/>
  <c r="Y91" i="20"/>
  <c r="Y89" i="20"/>
  <c r="AA69" i="20"/>
  <c r="AA70" i="20" s="1"/>
  <c r="AB66" i="20"/>
  <c r="AB68" i="20"/>
  <c r="AC65" i="20"/>
  <c r="AC64" i="20" s="1"/>
  <c r="AC67" i="20"/>
  <c r="AK3" i="20"/>
  <c r="AQ2" i="31"/>
  <c r="J44" i="23"/>
  <c r="AF106" i="20" s="1"/>
  <c r="AH58" i="20"/>
  <c r="AH59" i="20" s="1"/>
  <c r="AD43" i="20"/>
  <c r="AD63" i="20" s="1"/>
  <c r="AF72" i="20"/>
  <c r="AE75" i="20"/>
  <c r="E45" i="25"/>
  <c r="G45" i="25" s="1"/>
  <c r="J45" i="25" s="1"/>
  <c r="D46" i="25" s="1"/>
  <c r="AI74" i="20"/>
  <c r="AI81" i="20"/>
  <c r="AI85" i="20"/>
  <c r="AI84" i="20"/>
  <c r="AP3" i="31"/>
  <c r="AI15" i="20"/>
  <c r="AI49" i="20" a="1"/>
  <c r="AI49" i="20" s="1"/>
  <c r="AI50" i="20" s="1"/>
  <c r="AI16" i="20"/>
  <c r="AI55" i="20"/>
  <c r="AI57" i="20" s="1"/>
  <c r="AI83" i="20"/>
  <c r="AI14" i="20"/>
  <c r="AI56" i="20"/>
  <c r="AI79" i="20"/>
  <c r="AI17" i="20"/>
  <c r="AI73" i="20"/>
  <c r="AI88" i="20"/>
  <c r="AI90" i="20" a="1"/>
  <c r="AI90" i="20" s="1"/>
  <c r="AJ46" i="20"/>
  <c r="AJ107" i="20"/>
  <c r="AJ48" i="20"/>
  <c r="AJ103" i="20"/>
  <c r="AJ120" i="20"/>
  <c r="AQ4" i="31"/>
  <c r="AK5" i="20"/>
  <c r="AJ123" i="20"/>
  <c r="AJ124" i="20" s="1"/>
  <c r="AJ4" i="20"/>
  <c r="AJ11" i="20" s="1"/>
  <c r="AI45" i="20"/>
  <c r="AI52" i="20" s="1"/>
  <c r="AI53" i="20"/>
  <c r="AJ13" i="20" l="1"/>
  <c r="AJ8" i="20"/>
  <c r="AI6" i="20"/>
  <c r="AJ10" i="20"/>
  <c r="AJ12" i="20"/>
  <c r="AJ9" i="20"/>
  <c r="Z98" i="20"/>
  <c r="Z89" i="20"/>
  <c r="Z93" i="20" s="1"/>
  <c r="AA76" i="20"/>
  <c r="AA98" i="20" s="1"/>
  <c r="Y93" i="20"/>
  <c r="AB69" i="20"/>
  <c r="AB76" i="20" s="1"/>
  <c r="AC66" i="20"/>
  <c r="AC68" i="20"/>
  <c r="AD67" i="20"/>
  <c r="AD65" i="20"/>
  <c r="AD68" i="20" s="1"/>
  <c r="AR2" i="31"/>
  <c r="AL3" i="20"/>
  <c r="H44" i="23"/>
  <c r="L44" i="23" s="1"/>
  <c r="E45" i="23" s="1"/>
  <c r="F45" i="23" s="1"/>
  <c r="AE43" i="20"/>
  <c r="AE63" i="20" s="1"/>
  <c r="AG72" i="20"/>
  <c r="AF75" i="20"/>
  <c r="AJ74" i="20"/>
  <c r="AJ81" i="20"/>
  <c r="AJ85" i="20"/>
  <c r="AJ84" i="20"/>
  <c r="AJ83" i="20"/>
  <c r="AJ16" i="20"/>
  <c r="AJ56" i="20"/>
  <c r="AJ17" i="20"/>
  <c r="AJ15" i="20"/>
  <c r="AQ3" i="31"/>
  <c r="AJ73" i="20"/>
  <c r="AJ49" i="20" a="1"/>
  <c r="AJ49" i="20" s="1"/>
  <c r="AJ50" i="20" s="1"/>
  <c r="AJ79" i="20"/>
  <c r="AJ14" i="20"/>
  <c r="AJ55" i="20"/>
  <c r="AJ57" i="20" s="1"/>
  <c r="AJ88" i="20"/>
  <c r="AJ90" i="20" a="1"/>
  <c r="AJ90" i="20" s="1"/>
  <c r="AK90" i="20" s="1" a="1"/>
  <c r="AK90" i="20" s="1"/>
  <c r="AJ45" i="20"/>
  <c r="AJ52" i="20" s="1"/>
  <c r="AJ53" i="20"/>
  <c r="AL5" i="20"/>
  <c r="AR4" i="31"/>
  <c r="AK4" i="20"/>
  <c r="AK11" i="20" s="1"/>
  <c r="AK103" i="20"/>
  <c r="AK46" i="20"/>
  <c r="AK107" i="20"/>
  <c r="AK120" i="20"/>
  <c r="AK123" i="20"/>
  <c r="AK124" i="20" s="1"/>
  <c r="AK48" i="20"/>
  <c r="E46" i="25"/>
  <c r="G46" i="25" s="1"/>
  <c r="J46" i="25" s="1"/>
  <c r="D47" i="25" s="1"/>
  <c r="AI58" i="20"/>
  <c r="AI59" i="20" s="1"/>
  <c r="AK9" i="20" l="1"/>
  <c r="AK12" i="20"/>
  <c r="AK10" i="20"/>
  <c r="AK13" i="20"/>
  <c r="AK8" i="20"/>
  <c r="AJ6" i="20"/>
  <c r="AA91" i="20"/>
  <c r="AA89" i="20"/>
  <c r="AB70" i="20"/>
  <c r="AB91" i="20"/>
  <c r="AB89" i="20"/>
  <c r="AB98" i="20"/>
  <c r="AC69" i="20"/>
  <c r="AC70" i="20" s="1"/>
  <c r="AD64" i="20"/>
  <c r="AD66" i="20"/>
  <c r="AE67" i="20"/>
  <c r="AE65" i="20"/>
  <c r="AE64" i="20" s="1"/>
  <c r="AS2" i="31"/>
  <c r="AM3" i="20"/>
  <c r="J45" i="23"/>
  <c r="AG106" i="20" s="1"/>
  <c r="AF43" i="20"/>
  <c r="AF63" i="20" s="1"/>
  <c r="AH72" i="20"/>
  <c r="AG75" i="20"/>
  <c r="E47" i="25"/>
  <c r="G47" i="25" s="1"/>
  <c r="J47" i="25" s="1"/>
  <c r="D48" i="25" s="1"/>
  <c r="AK53" i="20"/>
  <c r="AK45" i="20"/>
  <c r="AK52" i="20" s="1"/>
  <c r="AK74" i="20"/>
  <c r="AK81" i="20"/>
  <c r="AK85" i="20"/>
  <c r="AK84" i="20"/>
  <c r="AK83" i="20"/>
  <c r="AK14" i="20"/>
  <c r="AR3" i="31"/>
  <c r="AK73" i="20"/>
  <c r="AK56" i="20"/>
  <c r="AK16" i="20"/>
  <c r="AK17" i="20"/>
  <c r="AK79" i="20"/>
  <c r="AK15" i="20"/>
  <c r="AK88" i="20"/>
  <c r="AK49" i="20" a="1"/>
  <c r="AK49" i="20" s="1"/>
  <c r="AK50" i="20" s="1"/>
  <c r="AK55" i="20"/>
  <c r="AK57" i="20" s="1"/>
  <c r="AJ58" i="20"/>
  <c r="AJ59" i="20" s="1"/>
  <c r="AL46" i="20"/>
  <c r="AL120" i="20"/>
  <c r="AM5" i="20"/>
  <c r="AL4" i="20"/>
  <c r="AL11" i="20" s="1"/>
  <c r="AL107" i="20"/>
  <c r="AL103" i="20"/>
  <c r="AS4" i="31"/>
  <c r="AL123" i="20"/>
  <c r="AL124" i="20" s="1"/>
  <c r="AL48" i="20"/>
  <c r="AL8" i="20" l="1"/>
  <c r="AK6" i="20"/>
  <c r="AL13" i="20"/>
  <c r="AL10" i="20"/>
  <c r="AL12" i="20"/>
  <c r="AL9" i="20"/>
  <c r="AA93" i="20"/>
  <c r="AC76" i="20"/>
  <c r="AC91" i="20" s="1"/>
  <c r="AB93" i="20"/>
  <c r="AD69" i="20"/>
  <c r="AD70" i="20" s="1"/>
  <c r="AE66" i="20"/>
  <c r="AF65" i="20"/>
  <c r="AF64" i="20" s="1"/>
  <c r="AF67" i="20"/>
  <c r="AE68" i="20"/>
  <c r="AT2" i="31"/>
  <c r="AN3" i="20"/>
  <c r="H45" i="23"/>
  <c r="L45" i="23" s="1"/>
  <c r="E46" i="23" s="1"/>
  <c r="F46" i="23" s="1"/>
  <c r="AK58" i="20"/>
  <c r="AK59" i="20" s="1"/>
  <c r="AG43" i="20"/>
  <c r="AG63" i="20" s="1"/>
  <c r="AI72" i="20"/>
  <c r="AH75" i="20"/>
  <c r="E48" i="25"/>
  <c r="G48" i="25" s="1"/>
  <c r="J48" i="25" s="1"/>
  <c r="D49" i="25" s="1"/>
  <c r="AL74" i="20"/>
  <c r="AL84" i="20"/>
  <c r="AL83" i="20"/>
  <c r="AL81" i="20"/>
  <c r="AL85" i="20"/>
  <c r="AL15" i="20"/>
  <c r="AL55" i="20"/>
  <c r="AL57" i="20" s="1"/>
  <c r="AL73" i="20"/>
  <c r="AL16" i="20"/>
  <c r="AL14" i="20"/>
  <c r="AL79" i="20"/>
  <c r="AS3" i="31"/>
  <c r="AL49" i="20" a="1"/>
  <c r="AL49" i="20" s="1"/>
  <c r="AL50" i="20" s="1"/>
  <c r="AL56" i="20"/>
  <c r="AL88" i="20"/>
  <c r="AL17" i="20"/>
  <c r="AM103" i="20"/>
  <c r="AM4" i="20"/>
  <c r="AM11" i="20" s="1"/>
  <c r="AM48" i="20"/>
  <c r="AM107" i="20"/>
  <c r="AM46" i="20"/>
  <c r="AM120" i="20"/>
  <c r="AN5" i="20"/>
  <c r="AT4" i="31"/>
  <c r="AM123" i="20"/>
  <c r="AM124" i="20" s="1"/>
  <c r="AL90" i="20" a="1"/>
  <c r="AL90" i="20" s="1"/>
  <c r="AM90" i="20" s="1" a="1"/>
  <c r="AM90" i="20" s="1"/>
  <c r="AL53" i="20"/>
  <c r="AL45" i="20"/>
  <c r="AL52" i="20" s="1"/>
  <c r="AM9" i="20" l="1"/>
  <c r="AM10" i="20"/>
  <c r="AM13" i="20"/>
  <c r="AM12" i="20"/>
  <c r="AM8" i="20"/>
  <c r="AL6" i="20"/>
  <c r="AC89" i="20"/>
  <c r="AC93" i="20" s="1"/>
  <c r="AC98" i="20"/>
  <c r="AD76" i="20"/>
  <c r="AD91" i="20" s="1"/>
  <c r="AE69" i="20"/>
  <c r="AE70" i="20" s="1"/>
  <c r="AF68" i="20"/>
  <c r="AF66" i="20"/>
  <c r="AG65" i="20"/>
  <c r="AG66" i="20" s="1"/>
  <c r="AG67" i="20"/>
  <c r="AO3" i="20"/>
  <c r="AU2" i="31"/>
  <c r="J46" i="23"/>
  <c r="AH106" i="20" s="1"/>
  <c r="AL58" i="20"/>
  <c r="AL59" i="20" s="1"/>
  <c r="AH43" i="20"/>
  <c r="AH63" i="20" s="1"/>
  <c r="AJ72" i="20"/>
  <c r="AI75" i="20"/>
  <c r="E49" i="25"/>
  <c r="G49" i="25" s="1"/>
  <c r="J49" i="25" s="1"/>
  <c r="D50" i="25" s="1"/>
  <c r="AN4" i="20"/>
  <c r="AN90" i="20" s="1" a="1"/>
  <c r="AN90" i="20" s="1"/>
  <c r="AN103" i="20"/>
  <c r="AN48" i="20"/>
  <c r="AU4" i="31"/>
  <c r="AO5" i="20"/>
  <c r="AN46" i="20"/>
  <c r="AN107" i="20"/>
  <c r="AN123" i="20"/>
  <c r="AN124" i="20" s="1"/>
  <c r="AM45" i="20"/>
  <c r="AM52" i="20" s="1"/>
  <c r="AM53" i="20"/>
  <c r="AM74" i="20"/>
  <c r="AM84" i="20"/>
  <c r="AM83" i="20"/>
  <c r="AM81" i="20"/>
  <c r="AM85" i="20"/>
  <c r="AM55" i="20"/>
  <c r="AM57" i="20" s="1"/>
  <c r="AM17" i="20"/>
  <c r="AM14" i="20"/>
  <c r="AT3" i="31"/>
  <c r="AM88" i="20"/>
  <c r="AM49" i="20" a="1"/>
  <c r="AM49" i="20" s="1"/>
  <c r="AM50" i="20" s="1"/>
  <c r="AM15" i="20"/>
  <c r="AM79" i="20"/>
  <c r="AM56" i="20"/>
  <c r="AM16" i="20"/>
  <c r="AM73" i="20"/>
  <c r="AN13" i="20" l="1"/>
  <c r="AN10" i="20"/>
  <c r="AN12" i="20"/>
  <c r="AN9" i="20"/>
  <c r="AN8" i="20"/>
  <c r="AM6" i="20"/>
  <c r="AN11" i="20"/>
  <c r="AE76" i="20"/>
  <c r="AE98" i="20" s="1"/>
  <c r="AD98" i="20"/>
  <c r="AD89" i="20"/>
  <c r="AD93" i="20" s="1"/>
  <c r="AF69" i="20"/>
  <c r="AG68" i="20"/>
  <c r="AG64" i="20"/>
  <c r="AH67" i="20"/>
  <c r="AH65" i="20"/>
  <c r="AH68" i="20" s="1"/>
  <c r="AP3" i="20"/>
  <c r="AV2" i="31"/>
  <c r="H46" i="23"/>
  <c r="L46" i="23" s="1"/>
  <c r="E47" i="23" s="1"/>
  <c r="F47" i="23" s="1"/>
  <c r="AM58" i="20"/>
  <c r="AM59" i="20" s="1"/>
  <c r="AI43" i="20"/>
  <c r="AI63" i="20" s="1"/>
  <c r="AK72" i="20"/>
  <c r="AJ75" i="20"/>
  <c r="AN74" i="20"/>
  <c r="AN85" i="20"/>
  <c r="AN84" i="20"/>
  <c r="AN83" i="20"/>
  <c r="AN81" i="20"/>
  <c r="AN16" i="20"/>
  <c r="AU3" i="31"/>
  <c r="AN49" i="20" a="1"/>
  <c r="AN49" i="20" s="1"/>
  <c r="AN50" i="20" s="1"/>
  <c r="AN17" i="20"/>
  <c r="AN79" i="20"/>
  <c r="AN55" i="20"/>
  <c r="AN57" i="20" s="1"/>
  <c r="AN73" i="20"/>
  <c r="AN56" i="20"/>
  <c r="AN14" i="20"/>
  <c r="AN15" i="20"/>
  <c r="AN88" i="20"/>
  <c r="E50" i="25"/>
  <c r="G50" i="25" s="1"/>
  <c r="J50" i="25" s="1"/>
  <c r="D51" i="25" s="1"/>
  <c r="AN45" i="20"/>
  <c r="AN52" i="20" s="1"/>
  <c r="AN53" i="20"/>
  <c r="AO103" i="20"/>
  <c r="AO123" i="20"/>
  <c r="AO124" i="20" s="1"/>
  <c r="AO4" i="20"/>
  <c r="AO90" i="20" a="1"/>
  <c r="AO90" i="20" s="1"/>
  <c r="AV4" i="31"/>
  <c r="AO46" i="20"/>
  <c r="AO48" i="20"/>
  <c r="AO107" i="20"/>
  <c r="AO120" i="20"/>
  <c r="AP5" i="20"/>
  <c r="AO11" i="20" l="1"/>
  <c r="AO8" i="20"/>
  <c r="AN6" i="20"/>
  <c r="AO9" i="20"/>
  <c r="AO12" i="20"/>
  <c r="AO10" i="20"/>
  <c r="AO13" i="20"/>
  <c r="AE91" i="20"/>
  <c r="AE89" i="20"/>
  <c r="AF70" i="20"/>
  <c r="AF76" i="20"/>
  <c r="AH64" i="20"/>
  <c r="AG69" i="20"/>
  <c r="AH66" i="20"/>
  <c r="AI67" i="20"/>
  <c r="AI65" i="20"/>
  <c r="AI64" i="20" s="1"/>
  <c r="AQ3" i="20"/>
  <c r="AW2" i="31"/>
  <c r="J47" i="23"/>
  <c r="AI106" i="20" s="1"/>
  <c r="AJ43" i="20"/>
  <c r="AJ63" i="20" s="1"/>
  <c r="AN58" i="20"/>
  <c r="AN59" i="20" s="1"/>
  <c r="AL72" i="20"/>
  <c r="AK75" i="20"/>
  <c r="E51" i="25"/>
  <c r="G51" i="25" s="1"/>
  <c r="J51" i="25" s="1"/>
  <c r="D52" i="25" s="1"/>
  <c r="AO45" i="20"/>
  <c r="AO52" i="20" s="1"/>
  <c r="AO53" i="20"/>
  <c r="AO85" i="20"/>
  <c r="AO74" i="20"/>
  <c r="AO84" i="20"/>
  <c r="AO83" i="20"/>
  <c r="AO81" i="20"/>
  <c r="AO14" i="20"/>
  <c r="AO16" i="20"/>
  <c r="AO55" i="20"/>
  <c r="AO57" i="20" s="1"/>
  <c r="AO79" i="20"/>
  <c r="AO17" i="20"/>
  <c r="AO15" i="20"/>
  <c r="AO73" i="20"/>
  <c r="AO88" i="20"/>
  <c r="AO49" i="20" a="1"/>
  <c r="AO49" i="20" s="1"/>
  <c r="AO50" i="20" s="1"/>
  <c r="AV3" i="31"/>
  <c r="AO56" i="20"/>
  <c r="AQ5" i="20"/>
  <c r="AW4" i="31"/>
  <c r="AP123" i="20"/>
  <c r="AP124" i="20" s="1"/>
  <c r="AP107" i="20"/>
  <c r="AP120" i="20"/>
  <c r="AP48" i="20"/>
  <c r="AP103" i="20"/>
  <c r="AP4" i="20"/>
  <c r="AP90" i="20" s="1" a="1"/>
  <c r="AP90" i="20" s="1"/>
  <c r="AP46" i="20"/>
  <c r="AP13" i="20" l="1"/>
  <c r="AP10" i="20"/>
  <c r="AP12" i="20"/>
  <c r="AP9" i="20"/>
  <c r="AP11" i="20"/>
  <c r="AP8" i="20"/>
  <c r="AO6" i="20"/>
  <c r="AE93" i="20"/>
  <c r="AF89" i="20"/>
  <c r="AF98" i="20"/>
  <c r="AF91" i="20"/>
  <c r="AH69" i="20"/>
  <c r="AH70" i="20" s="1"/>
  <c r="AG76" i="20"/>
  <c r="AG70" i="20"/>
  <c r="AJ65" i="20"/>
  <c r="AJ68" i="20" s="1"/>
  <c r="AJ67" i="20"/>
  <c r="AI66" i="20"/>
  <c r="AI68" i="20"/>
  <c r="AR3" i="20"/>
  <c r="AX2" i="31"/>
  <c r="H47" i="23"/>
  <c r="L47" i="23" s="1"/>
  <c r="E48" i="23" s="1"/>
  <c r="F48" i="23" s="1"/>
  <c r="AO58" i="20"/>
  <c r="AO59" i="20" s="1"/>
  <c r="AK43" i="20"/>
  <c r="AK63" i="20" s="1"/>
  <c r="AL75" i="20"/>
  <c r="AM72" i="20"/>
  <c r="E52" i="25"/>
  <c r="G52" i="25" s="1"/>
  <c r="J52" i="25" s="1"/>
  <c r="D53" i="25" s="1"/>
  <c r="AO78" i="20"/>
  <c r="AQ120" i="20"/>
  <c r="AQ103" i="20"/>
  <c r="AQ4" i="20"/>
  <c r="AQ13" i="20" s="1"/>
  <c r="AQ46" i="20"/>
  <c r="AX4" i="31"/>
  <c r="AQ107" i="20"/>
  <c r="AR5" i="20"/>
  <c r="AQ90" i="20" a="1"/>
  <c r="AQ90" i="20" s="1"/>
  <c r="AQ48" i="20"/>
  <c r="AQ123" i="20"/>
  <c r="AQ124" i="20" s="1"/>
  <c r="AP74" i="20"/>
  <c r="AP85" i="20"/>
  <c r="AP81" i="20"/>
  <c r="AP84" i="20"/>
  <c r="AP83" i="20"/>
  <c r="AP49" i="20" a="1"/>
  <c r="AP49" i="20" s="1"/>
  <c r="AP50" i="20" s="1"/>
  <c r="AP16" i="20"/>
  <c r="AP55" i="20"/>
  <c r="AP57" i="20" s="1"/>
  <c r="AP88" i="20"/>
  <c r="AP73" i="20"/>
  <c r="AP14" i="20"/>
  <c r="AP17" i="20"/>
  <c r="AP79" i="20"/>
  <c r="AW3" i="31"/>
  <c r="AP56" i="20"/>
  <c r="AP15" i="20"/>
  <c r="AP53" i="20"/>
  <c r="AP45" i="20"/>
  <c r="AQ8" i="20" l="1"/>
  <c r="AP6" i="20"/>
  <c r="AQ11" i="20"/>
  <c r="AQ9" i="20"/>
  <c r="AQ12" i="20"/>
  <c r="AQ10" i="20"/>
  <c r="AF93" i="20"/>
  <c r="AH76" i="20"/>
  <c r="AH89" i="20" s="1"/>
  <c r="AG91" i="20"/>
  <c r="AG98" i="20"/>
  <c r="AG89" i="20"/>
  <c r="AI69" i="20"/>
  <c r="AI70" i="20" s="1"/>
  <c r="AJ66" i="20"/>
  <c r="AK67" i="20"/>
  <c r="AK65" i="20"/>
  <c r="AK64" i="20" s="1"/>
  <c r="AJ64" i="20"/>
  <c r="AS3" i="20"/>
  <c r="AY2" i="31"/>
  <c r="J48" i="23"/>
  <c r="AJ106" i="20" s="1"/>
  <c r="AL43" i="20"/>
  <c r="AL63" i="20" s="1"/>
  <c r="AM75" i="20"/>
  <c r="AN72" i="20"/>
  <c r="E53" i="25"/>
  <c r="G53" i="25" s="1"/>
  <c r="J53" i="25" s="1"/>
  <c r="D54" i="25" s="1"/>
  <c r="AP58" i="20"/>
  <c r="AP59" i="20" s="1"/>
  <c r="AP52" i="20"/>
  <c r="AQ53" i="20"/>
  <c r="AQ45" i="20"/>
  <c r="AQ52" i="20" s="1"/>
  <c r="AQ74" i="20"/>
  <c r="AQ81" i="20"/>
  <c r="AQ85" i="20"/>
  <c r="AQ84" i="20"/>
  <c r="AQ83" i="20"/>
  <c r="AX3" i="31"/>
  <c r="AQ49" i="20" a="1"/>
  <c r="AQ49" i="20" s="1"/>
  <c r="AQ50" i="20" s="1"/>
  <c r="AQ15" i="20"/>
  <c r="AQ88" i="20"/>
  <c r="AQ14" i="20"/>
  <c r="AQ55" i="20"/>
  <c r="AQ57" i="20" s="1"/>
  <c r="AQ56" i="20"/>
  <c r="AQ73" i="20"/>
  <c r="AQ79" i="20"/>
  <c r="AQ16" i="20"/>
  <c r="AQ17" i="20"/>
  <c r="AR107" i="20"/>
  <c r="AR46" i="20"/>
  <c r="AR123" i="20"/>
  <c r="AR124" i="20" s="1"/>
  <c r="AR103" i="20"/>
  <c r="AR90" i="20" a="1"/>
  <c r="AR90" i="20" s="1"/>
  <c r="AR4" i="20"/>
  <c r="AR13" i="20" s="1"/>
  <c r="AR48" i="20"/>
  <c r="AR120" i="20"/>
  <c r="AY4" i="31"/>
  <c r="AS5" i="20"/>
  <c r="AR11" i="20" l="1"/>
  <c r="AR10" i="20"/>
  <c r="AR12" i="20"/>
  <c r="AR9" i="20"/>
  <c r="AR8" i="20"/>
  <c r="AQ6" i="20"/>
  <c r="AH91" i="20"/>
  <c r="AH93" i="20" s="1"/>
  <c r="AG93" i="20"/>
  <c r="AH98" i="20"/>
  <c r="AJ69" i="20"/>
  <c r="AJ70" i="20" s="1"/>
  <c r="AI76" i="20"/>
  <c r="AI98" i="20" s="1"/>
  <c r="AK68" i="20"/>
  <c r="AL65" i="20"/>
  <c r="AL68" i="20" s="1"/>
  <c r="AL67" i="20"/>
  <c r="AK66" i="20"/>
  <c r="AZ2" i="31"/>
  <c r="AT3" i="20"/>
  <c r="H48" i="23"/>
  <c r="L48" i="23" s="1"/>
  <c r="E49" i="23" s="1"/>
  <c r="F49" i="23" s="1"/>
  <c r="AM43" i="20"/>
  <c r="AM63" i="20" s="1"/>
  <c r="AQ58" i="20"/>
  <c r="AQ59" i="20" s="1"/>
  <c r="AO72" i="20"/>
  <c r="AN75" i="20"/>
  <c r="E54" i="25"/>
  <c r="G54" i="25" s="1"/>
  <c r="J54" i="25" s="1"/>
  <c r="D55" i="25" s="1"/>
  <c r="AT5" i="20"/>
  <c r="AS46" i="20"/>
  <c r="AS48" i="20"/>
  <c r="AS107" i="20"/>
  <c r="AS123" i="20"/>
  <c r="AS124" i="20" s="1"/>
  <c r="AS103" i="20"/>
  <c r="AS4" i="20"/>
  <c r="AS13" i="20" s="1"/>
  <c r="AZ4" i="31"/>
  <c r="AS90" i="20" a="1"/>
  <c r="AS90" i="20" s="1"/>
  <c r="AS120" i="20"/>
  <c r="AR45" i="20"/>
  <c r="AR52" i="20" s="1"/>
  <c r="AR53" i="20"/>
  <c r="AR74" i="20"/>
  <c r="AR83" i="20"/>
  <c r="AR85" i="20"/>
  <c r="AR81" i="20"/>
  <c r="AR84" i="20"/>
  <c r="AR16" i="20"/>
  <c r="AR56" i="20"/>
  <c r="AR73" i="20"/>
  <c r="AR79" i="20"/>
  <c r="AR88" i="20"/>
  <c r="AY3" i="31"/>
  <c r="AR49" i="20" a="1"/>
  <c r="AR49" i="20" s="1"/>
  <c r="AR50" i="20" s="1"/>
  <c r="AR55" i="20"/>
  <c r="AR57" i="20" s="1"/>
  <c r="AR15" i="20"/>
  <c r="AR14" i="20"/>
  <c r="AR17" i="20"/>
  <c r="AS8" i="20" l="1"/>
  <c r="AR6" i="20"/>
  <c r="AS11" i="20"/>
  <c r="AS9" i="20"/>
  <c r="AS12" i="20"/>
  <c r="AT12" i="20" s="1"/>
  <c r="AS10" i="20"/>
  <c r="AI89" i="20"/>
  <c r="AI91" i="20"/>
  <c r="AL64" i="20"/>
  <c r="AJ76" i="20"/>
  <c r="AJ98" i="20" s="1"/>
  <c r="AK69" i="20"/>
  <c r="AK70" i="20" s="1"/>
  <c r="AL66" i="20"/>
  <c r="AM67" i="20"/>
  <c r="AM65" i="20"/>
  <c r="AM68" i="20" s="1"/>
  <c r="AU3" i="20"/>
  <c r="BA2" i="31"/>
  <c r="J49" i="23"/>
  <c r="AK106" i="20" s="1"/>
  <c r="AR58" i="20"/>
  <c r="AR59" i="20" s="1"/>
  <c r="AN43" i="20"/>
  <c r="AN63" i="20" s="1"/>
  <c r="AO75" i="20"/>
  <c r="AP72" i="20"/>
  <c r="E55" i="25"/>
  <c r="G55" i="25" s="1"/>
  <c r="J55" i="25" s="1"/>
  <c r="D56" i="25" s="1"/>
  <c r="AS53" i="20"/>
  <c r="AS45" i="20"/>
  <c r="AS52" i="20" s="1"/>
  <c r="AT107" i="20"/>
  <c r="AT46" i="20"/>
  <c r="AT4" i="20"/>
  <c r="AT90" i="20" s="1" a="1"/>
  <c r="AT90" i="20" s="1"/>
  <c r="AT103" i="20"/>
  <c r="BA4" i="31"/>
  <c r="AT120" i="20"/>
  <c r="AT123" i="20"/>
  <c r="AT124" i="20" s="1"/>
  <c r="AT48" i="20"/>
  <c r="AU5" i="20"/>
  <c r="AS74" i="20"/>
  <c r="AS85" i="20"/>
  <c r="AS83" i="20"/>
  <c r="AS81" i="20"/>
  <c r="AS84" i="20"/>
  <c r="AS55" i="20"/>
  <c r="AS57" i="20" s="1"/>
  <c r="AS73" i="20"/>
  <c r="AS88" i="20"/>
  <c r="AS79" i="20"/>
  <c r="AS16" i="20"/>
  <c r="AZ3" i="31"/>
  <c r="AS14" i="20"/>
  <c r="AS49" i="20" a="1"/>
  <c r="AS49" i="20" s="1"/>
  <c r="AS50" i="20" s="1"/>
  <c r="AS56" i="20"/>
  <c r="AS17" i="20"/>
  <c r="AS15" i="20"/>
  <c r="AT10" i="20" l="1"/>
  <c r="AT9" i="20"/>
  <c r="AT11" i="20"/>
  <c r="AT8" i="20"/>
  <c r="AS6" i="20"/>
  <c r="AT13" i="20"/>
  <c r="AJ89" i="20"/>
  <c r="AI93" i="20"/>
  <c r="AJ91" i="20"/>
  <c r="AK76" i="20"/>
  <c r="AK91" i="20" s="1"/>
  <c r="AL69" i="20"/>
  <c r="AL70" i="20" s="1"/>
  <c r="AN65" i="20"/>
  <c r="AN66" i="20" s="1"/>
  <c r="AN67" i="20"/>
  <c r="AM66" i="20"/>
  <c r="AM64" i="20"/>
  <c r="BB2" i="31"/>
  <c r="AV3" i="20"/>
  <c r="H49" i="23"/>
  <c r="L49" i="23" s="1"/>
  <c r="E50" i="23" s="1"/>
  <c r="F50" i="23" s="1"/>
  <c r="AS58" i="20"/>
  <c r="AS59" i="20" s="1"/>
  <c r="AO43" i="20"/>
  <c r="AO63" i="20" s="1"/>
  <c r="AP75" i="20"/>
  <c r="AQ72" i="20"/>
  <c r="AT53" i="20"/>
  <c r="AT45" i="20"/>
  <c r="AT52" i="20" s="1"/>
  <c r="E56" i="25"/>
  <c r="G56" i="25" s="1"/>
  <c r="J56" i="25" s="1"/>
  <c r="D57" i="25" s="1"/>
  <c r="AT74" i="20"/>
  <c r="AT85" i="20"/>
  <c r="AT83" i="20"/>
  <c r="AT84" i="20"/>
  <c r="AT81" i="20"/>
  <c r="AT49" i="20" a="1"/>
  <c r="AT49" i="20" s="1"/>
  <c r="AT50" i="20" s="1"/>
  <c r="AT16" i="20"/>
  <c r="AT79" i="20"/>
  <c r="AT56" i="20"/>
  <c r="AT88" i="20"/>
  <c r="AT55" i="20"/>
  <c r="AT57" i="20" s="1"/>
  <c r="AT14" i="20"/>
  <c r="AT73" i="20"/>
  <c r="AT17" i="20"/>
  <c r="AT15" i="20"/>
  <c r="BA3" i="31"/>
  <c r="AU48" i="20"/>
  <c r="AV5" i="20"/>
  <c r="AU107" i="20"/>
  <c r="AU103" i="20"/>
  <c r="AU123" i="20"/>
  <c r="AU124" i="20" s="1"/>
  <c r="AU46" i="20"/>
  <c r="AU4" i="20"/>
  <c r="AU12" i="20" s="1"/>
  <c r="BB4" i="31"/>
  <c r="AU120" i="20"/>
  <c r="AU90" i="20" a="1"/>
  <c r="AU90" i="20" s="1"/>
  <c r="AU13" i="20" l="1"/>
  <c r="AU8" i="20"/>
  <c r="AT6" i="20"/>
  <c r="AU11" i="20"/>
  <c r="AU9" i="20"/>
  <c r="AV9" i="20" s="1"/>
  <c r="AU10" i="20"/>
  <c r="AV10" i="20" s="1"/>
  <c r="AJ93" i="20"/>
  <c r="AK98" i="20"/>
  <c r="AL76" i="20"/>
  <c r="AL91" i="20" s="1"/>
  <c r="AM69" i="20"/>
  <c r="AM70" i="20" s="1"/>
  <c r="AK89" i="20"/>
  <c r="AK93" i="20" s="1"/>
  <c r="AN68" i="20"/>
  <c r="AN64" i="20"/>
  <c r="AO67" i="20"/>
  <c r="AO65" i="20"/>
  <c r="AO66" i="20" s="1"/>
  <c r="BC2" i="31"/>
  <c r="AW3" i="20"/>
  <c r="J50" i="23"/>
  <c r="AL106" i="20" s="1"/>
  <c r="AT58" i="20"/>
  <c r="AT59" i="20" s="1"/>
  <c r="AP43" i="20"/>
  <c r="AP63" i="20" s="1"/>
  <c r="AR72" i="20"/>
  <c r="AQ75" i="20"/>
  <c r="E57" i="25"/>
  <c r="G57" i="25" s="1"/>
  <c r="J57" i="25" s="1"/>
  <c r="D58" i="25" s="1"/>
  <c r="AV107" i="20"/>
  <c r="AV46" i="20"/>
  <c r="AV4" i="20"/>
  <c r="AV12" i="20" s="1"/>
  <c r="AV103" i="20"/>
  <c r="AV120" i="20"/>
  <c r="AV90" i="20" a="1"/>
  <c r="AV90" i="20" s="1"/>
  <c r="AV123" i="20"/>
  <c r="AV124" i="20" s="1"/>
  <c r="AV48" i="20"/>
  <c r="AW5" i="20"/>
  <c r="BC4" i="31"/>
  <c r="AU84" i="20"/>
  <c r="AU83" i="20"/>
  <c r="AU74" i="20"/>
  <c r="AU85" i="20"/>
  <c r="AU81" i="20"/>
  <c r="AU55" i="20"/>
  <c r="AU57" i="20" s="1"/>
  <c r="AU16" i="20"/>
  <c r="AU14" i="20"/>
  <c r="AU17" i="20"/>
  <c r="AU15" i="20"/>
  <c r="AU79" i="20"/>
  <c r="BB3" i="31"/>
  <c r="AU73" i="20"/>
  <c r="AU88" i="20"/>
  <c r="AU49" i="20" a="1"/>
  <c r="AU49" i="20" s="1"/>
  <c r="AU50" i="20" s="1"/>
  <c r="AU56" i="20"/>
  <c r="AU53" i="20"/>
  <c r="AU45" i="20"/>
  <c r="AU52" i="20" s="1"/>
  <c r="AV11" i="20" l="1"/>
  <c r="AV13" i="20"/>
  <c r="AV8" i="20"/>
  <c r="AU6" i="20"/>
  <c r="AM76" i="20"/>
  <c r="AM98" i="20" s="1"/>
  <c r="AL98" i="20"/>
  <c r="AL89" i="20"/>
  <c r="AL93" i="20" s="1"/>
  <c r="AN69" i="20"/>
  <c r="AN76" i="20" s="1"/>
  <c r="AO64" i="20"/>
  <c r="AO68" i="20"/>
  <c r="AP65" i="20"/>
  <c r="AP68" i="20" s="1"/>
  <c r="AP67" i="20"/>
  <c r="AX3" i="20"/>
  <c r="BD2" i="31"/>
  <c r="H50" i="23"/>
  <c r="L50" i="23" s="1"/>
  <c r="E51" i="23" s="1"/>
  <c r="F51" i="23" s="1"/>
  <c r="AQ43" i="20"/>
  <c r="AQ63" i="20" s="1"/>
  <c r="AR75" i="20"/>
  <c r="AS72" i="20"/>
  <c r="AV74" i="20"/>
  <c r="AV84" i="20"/>
  <c r="AV83" i="20"/>
  <c r="AV81" i="20"/>
  <c r="AV85" i="20"/>
  <c r="AV17" i="20"/>
  <c r="AV16" i="20"/>
  <c r="AV49" i="20" a="1"/>
  <c r="AV49" i="20" s="1"/>
  <c r="AV50" i="20" s="1"/>
  <c r="AV15" i="20"/>
  <c r="BC3" i="31"/>
  <c r="AV79" i="20"/>
  <c r="AV56" i="20"/>
  <c r="AV14" i="20"/>
  <c r="AV55" i="20"/>
  <c r="AV57" i="20" s="1"/>
  <c r="AV73" i="20"/>
  <c r="AV88" i="20"/>
  <c r="E58" i="25"/>
  <c r="G58" i="25" s="1"/>
  <c r="J58" i="25" s="1"/>
  <c r="D59" i="25" s="1"/>
  <c r="AW107" i="20"/>
  <c r="AW120" i="20"/>
  <c r="AX5" i="20"/>
  <c r="AW4" i="20"/>
  <c r="AW90" i="20" s="1" a="1"/>
  <c r="AW90" i="20" s="1"/>
  <c r="AW48" i="20"/>
  <c r="BD4" i="31"/>
  <c r="AW46" i="20"/>
  <c r="AW103" i="20"/>
  <c r="AW123" i="20"/>
  <c r="AW124" i="20" s="1"/>
  <c r="AV53" i="20"/>
  <c r="AV45" i="20"/>
  <c r="AV52" i="20" s="1"/>
  <c r="AU58" i="20"/>
  <c r="AU59" i="20" s="1"/>
  <c r="AW11" i="20" l="1"/>
  <c r="AW9" i="20"/>
  <c r="AW13" i="20"/>
  <c r="AW8" i="20"/>
  <c r="AV6" i="20"/>
  <c r="AW10" i="20"/>
  <c r="AW12" i="20"/>
  <c r="AM91" i="20"/>
  <c r="AM89" i="20"/>
  <c r="AN70" i="20"/>
  <c r="AN89" i="20"/>
  <c r="AN98" i="20"/>
  <c r="AN91" i="20"/>
  <c r="AO69" i="20"/>
  <c r="AO76" i="20" s="1"/>
  <c r="AQ65" i="20"/>
  <c r="AQ64" i="20" s="1"/>
  <c r="AQ67" i="20"/>
  <c r="AP64" i="20"/>
  <c r="AP66" i="20"/>
  <c r="AY3" i="20"/>
  <c r="BE2" i="31"/>
  <c r="J51" i="23"/>
  <c r="AM106" i="20" s="1"/>
  <c r="AR43" i="20"/>
  <c r="AR63" i="20" s="1"/>
  <c r="AS75" i="20"/>
  <c r="AT72" i="20"/>
  <c r="E59" i="25"/>
  <c r="G59" i="25" s="1"/>
  <c r="J59" i="25" s="1"/>
  <c r="D60" i="25" s="1"/>
  <c r="BE4" i="31"/>
  <c r="AX107" i="20"/>
  <c r="AY5" i="20"/>
  <c r="AX4" i="20"/>
  <c r="AX90" i="20" s="1" a="1"/>
  <c r="AX90" i="20" s="1"/>
  <c r="AX48" i="20"/>
  <c r="AX46" i="20"/>
  <c r="AX120" i="20"/>
  <c r="AX103" i="20"/>
  <c r="AX123" i="20"/>
  <c r="AX124" i="20" s="1"/>
  <c r="AW53" i="20"/>
  <c r="AW45" i="20"/>
  <c r="AW52" i="20" s="1"/>
  <c r="AW85" i="20"/>
  <c r="AW74" i="20"/>
  <c r="AW83" i="20"/>
  <c r="AW81" i="20"/>
  <c r="AW84" i="20"/>
  <c r="AW16" i="20"/>
  <c r="AW15" i="20"/>
  <c r="AW49" i="20" a="1"/>
  <c r="AW49" i="20" s="1"/>
  <c r="AW50" i="20" s="1"/>
  <c r="AW55" i="20"/>
  <c r="AW57" i="20" s="1"/>
  <c r="AW14" i="20"/>
  <c r="BD3" i="31"/>
  <c r="AW56" i="20"/>
  <c r="AW79" i="20"/>
  <c r="AW73" i="20"/>
  <c r="AW17" i="20"/>
  <c r="AW88" i="20"/>
  <c r="AV58" i="20"/>
  <c r="AV59" i="20" s="1"/>
  <c r="AX12" i="20" l="1"/>
  <c r="AX10" i="20"/>
  <c r="AX8" i="20"/>
  <c r="AW6" i="20"/>
  <c r="AX13" i="20"/>
  <c r="AY13" i="20" s="1"/>
  <c r="AX9" i="20"/>
  <c r="AY9" i="20" s="1"/>
  <c r="AX11" i="20"/>
  <c r="AY11" i="20" s="1"/>
  <c r="AM93" i="20"/>
  <c r="AO70" i="20"/>
  <c r="AN93" i="20"/>
  <c r="AQ68" i="20"/>
  <c r="AQ66" i="20"/>
  <c r="AR65" i="20"/>
  <c r="AR64" i="20" s="1"/>
  <c r="AR67" i="20"/>
  <c r="AO91" i="20"/>
  <c r="AO98" i="20"/>
  <c r="AO89" i="20"/>
  <c r="AP69" i="20"/>
  <c r="AZ3" i="20"/>
  <c r="BF2" i="31"/>
  <c r="H51" i="23"/>
  <c r="L51" i="23" s="1"/>
  <c r="E52" i="23" s="1"/>
  <c r="F52" i="23" s="1"/>
  <c r="J52" i="23" s="1"/>
  <c r="AN106" i="20" s="1"/>
  <c r="AW58" i="20"/>
  <c r="AW59" i="20" s="1"/>
  <c r="AS43" i="20"/>
  <c r="AS63" i="20" s="1"/>
  <c r="AU72" i="20"/>
  <c r="AT75" i="20"/>
  <c r="E60" i="25"/>
  <c r="G60" i="25" s="1"/>
  <c r="J60" i="25" s="1"/>
  <c r="D61" i="25" s="1"/>
  <c r="BF4" i="31"/>
  <c r="AY107" i="20"/>
  <c r="AY120" i="20"/>
  <c r="AZ5" i="20"/>
  <c r="AY46" i="20"/>
  <c r="AY103" i="20"/>
  <c r="AY4" i="20"/>
  <c r="AY90" i="20" s="1" a="1"/>
  <c r="AY90" i="20" s="1"/>
  <c r="AY123" i="20"/>
  <c r="AY124" i="20" s="1"/>
  <c r="AY48" i="20"/>
  <c r="AX45" i="20"/>
  <c r="AX52" i="20" s="1"/>
  <c r="AX53" i="20"/>
  <c r="AX74" i="20"/>
  <c r="AX85" i="20"/>
  <c r="AX84" i="20"/>
  <c r="AX83" i="20"/>
  <c r="AX81" i="20"/>
  <c r="AX55" i="20"/>
  <c r="AX57" i="20" s="1"/>
  <c r="AX49" i="20" a="1"/>
  <c r="AX49" i="20" s="1"/>
  <c r="AX50" i="20" s="1"/>
  <c r="AX16" i="20"/>
  <c r="BE3" i="31"/>
  <c r="AX17" i="20"/>
  <c r="AX73" i="20"/>
  <c r="AX79" i="20"/>
  <c r="AX14" i="20"/>
  <c r="AX15" i="20"/>
  <c r="AX88" i="20"/>
  <c r="AX56" i="20"/>
  <c r="AY8" i="20" l="1"/>
  <c r="AX6" i="20"/>
  <c r="AY10" i="20"/>
  <c r="AY12" i="20"/>
  <c r="AQ69" i="20"/>
  <c r="AQ76" i="20" s="1"/>
  <c r="AR66" i="20"/>
  <c r="AS67" i="20"/>
  <c r="AS65" i="20"/>
  <c r="AS68" i="20" s="1"/>
  <c r="AR68" i="20"/>
  <c r="AP70" i="20"/>
  <c r="AP76" i="20"/>
  <c r="AO93" i="20"/>
  <c r="BA3" i="20"/>
  <c r="BG2" i="31"/>
  <c r="H52" i="23"/>
  <c r="L52" i="23" s="1"/>
  <c r="E53" i="23" s="1"/>
  <c r="F53" i="23" s="1"/>
  <c r="J53" i="23" s="1"/>
  <c r="AO106" i="20" s="1"/>
  <c r="AX58" i="20"/>
  <c r="AX59" i="20" s="1"/>
  <c r="AT43" i="20"/>
  <c r="AT63" i="20" s="1"/>
  <c r="AU75" i="20"/>
  <c r="AV72" i="20"/>
  <c r="E61" i="25"/>
  <c r="G61" i="25" s="1"/>
  <c r="J61" i="25" s="1"/>
  <c r="D62" i="25" s="1"/>
  <c r="AY74" i="20"/>
  <c r="AY81" i="20"/>
  <c r="AY85" i="20"/>
  <c r="AY84" i="20"/>
  <c r="AY83" i="20"/>
  <c r="AY55" i="20"/>
  <c r="AY57" i="20" s="1"/>
  <c r="AY49" i="20" a="1"/>
  <c r="AY49" i="20" s="1"/>
  <c r="AY50" i="20" s="1"/>
  <c r="AY73" i="20"/>
  <c r="AY17" i="20"/>
  <c r="BF3" i="31"/>
  <c r="AY88" i="20"/>
  <c r="AY15" i="20"/>
  <c r="AY56" i="20"/>
  <c r="AY14" i="20"/>
  <c r="AY16" i="20"/>
  <c r="AY79" i="20"/>
  <c r="AY53" i="20"/>
  <c r="AY45" i="20"/>
  <c r="AY52" i="20" s="1"/>
  <c r="BG4" i="31"/>
  <c r="AZ48" i="20"/>
  <c r="AZ107" i="20"/>
  <c r="BA5" i="20"/>
  <c r="AZ123" i="20"/>
  <c r="AZ124" i="20" s="1"/>
  <c r="AZ103" i="20"/>
  <c r="AZ4" i="20"/>
  <c r="AZ11" i="20" s="1"/>
  <c r="AZ46" i="20"/>
  <c r="AZ12" i="20" l="1"/>
  <c r="AZ10" i="20"/>
  <c r="AZ8" i="20"/>
  <c r="AY6" i="20"/>
  <c r="AZ9" i="20"/>
  <c r="AZ13" i="20"/>
  <c r="AQ70" i="20"/>
  <c r="AR69" i="20"/>
  <c r="AR70" i="20" s="1"/>
  <c r="AS66" i="20"/>
  <c r="AS64" i="20"/>
  <c r="AQ98" i="20"/>
  <c r="AQ91" i="20"/>
  <c r="AQ89" i="20"/>
  <c r="AP98" i="20"/>
  <c r="AP89" i="20"/>
  <c r="AP91" i="20"/>
  <c r="AT65" i="20"/>
  <c r="AT68" i="20" s="1"/>
  <c r="AT67" i="20"/>
  <c r="BH2" i="31"/>
  <c r="BB3" i="20"/>
  <c r="H53" i="23"/>
  <c r="L53" i="23" s="1"/>
  <c r="E54" i="23" s="1"/>
  <c r="F54" i="23" s="1"/>
  <c r="J54" i="23" s="1"/>
  <c r="AP106" i="20" s="1"/>
  <c r="AU43" i="20"/>
  <c r="AU63" i="20" s="1"/>
  <c r="AW72" i="20"/>
  <c r="AV75" i="20"/>
  <c r="E62" i="25"/>
  <c r="G62" i="25" s="1"/>
  <c r="J62" i="25" s="1"/>
  <c r="D63" i="25" s="1"/>
  <c r="BA107" i="20"/>
  <c r="BA123" i="20"/>
  <c r="BA124" i="20" s="1"/>
  <c r="BA46" i="20"/>
  <c r="BA103" i="20"/>
  <c r="BA48" i="20"/>
  <c r="BA120" i="20"/>
  <c r="BB5" i="20"/>
  <c r="BH4" i="31"/>
  <c r="BA4" i="20"/>
  <c r="BA11" i="20" s="1"/>
  <c r="AZ74" i="20"/>
  <c r="AZ81" i="20"/>
  <c r="AZ84" i="20"/>
  <c r="AZ85" i="20"/>
  <c r="AZ83" i="20"/>
  <c r="AZ17" i="20"/>
  <c r="AZ55" i="20"/>
  <c r="AZ57" i="20" s="1"/>
  <c r="AZ73" i="20"/>
  <c r="AZ14" i="20"/>
  <c r="BG3" i="31"/>
  <c r="AZ49" i="20" a="1"/>
  <c r="AZ49" i="20" s="1"/>
  <c r="AZ50" i="20" s="1"/>
  <c r="AZ56" i="20"/>
  <c r="AZ16" i="20"/>
  <c r="AZ79" i="20"/>
  <c r="AZ15" i="20"/>
  <c r="AZ88" i="20"/>
  <c r="AZ53" i="20"/>
  <c r="AZ45" i="20"/>
  <c r="AZ52" i="20" s="1"/>
  <c r="AZ90" i="20" a="1"/>
  <c r="AZ90" i="20" s="1"/>
  <c r="AY58" i="20"/>
  <c r="AY59" i="20" s="1"/>
  <c r="BA13" i="20" l="1"/>
  <c r="BA9" i="20"/>
  <c r="BA8" i="20"/>
  <c r="AZ6" i="20"/>
  <c r="BA10" i="20"/>
  <c r="BA12" i="20"/>
  <c r="AQ93" i="20"/>
  <c r="AS69" i="20"/>
  <c r="AS70" i="20" s="1"/>
  <c r="AT64" i="20"/>
  <c r="AT66" i="20"/>
  <c r="AR76" i="20"/>
  <c r="AR91" i="20" s="1"/>
  <c r="AU65" i="20"/>
  <c r="AU64" i="20" s="1"/>
  <c r="AU67" i="20"/>
  <c r="AP93" i="20"/>
  <c r="BC3" i="20"/>
  <c r="BI2" i="31"/>
  <c r="H54" i="23"/>
  <c r="L54" i="23" s="1"/>
  <c r="E55" i="23" s="1"/>
  <c r="F55" i="23" s="1"/>
  <c r="J55" i="23" s="1"/>
  <c r="AQ106" i="20" s="1"/>
  <c r="AV43" i="20"/>
  <c r="AV63" i="20" s="1"/>
  <c r="AW75" i="20"/>
  <c r="AX72" i="20"/>
  <c r="E63" i="25"/>
  <c r="G63" i="25" s="1"/>
  <c r="J63" i="25" s="1"/>
  <c r="D64" i="25" s="1"/>
  <c r="BB46" i="20"/>
  <c r="BB120" i="20"/>
  <c r="BB123" i="20"/>
  <c r="BB124" i="20" s="1"/>
  <c r="BC5" i="20"/>
  <c r="BI4" i="31"/>
  <c r="BB48" i="20"/>
  <c r="BB103" i="20"/>
  <c r="BB107" i="20"/>
  <c r="BB4" i="20"/>
  <c r="BB11" i="20" s="1"/>
  <c r="AZ58" i="20"/>
  <c r="AZ59" i="20" s="1"/>
  <c r="BA74" i="20"/>
  <c r="BA85" i="20"/>
  <c r="BA83" i="20"/>
  <c r="BA81" i="20"/>
  <c r="BA84" i="20"/>
  <c r="BA14" i="20"/>
  <c r="BA56" i="20"/>
  <c r="BA73" i="20"/>
  <c r="BA16" i="20"/>
  <c r="BA15" i="20"/>
  <c r="BA55" i="20"/>
  <c r="BA57" i="20" s="1"/>
  <c r="BA88" i="20"/>
  <c r="BA17" i="20"/>
  <c r="BA79" i="20"/>
  <c r="BH3" i="31"/>
  <c r="BA49" i="20" a="1"/>
  <c r="BA49" i="20" s="1"/>
  <c r="BA50" i="20" s="1"/>
  <c r="BA53" i="20"/>
  <c r="BA45" i="20"/>
  <c r="BA52" i="20" s="1"/>
  <c r="BB12" i="20" l="1"/>
  <c r="BB10" i="20"/>
  <c r="BB8" i="20"/>
  <c r="BA6" i="20"/>
  <c r="BB9" i="20"/>
  <c r="BB13" i="20"/>
  <c r="AS76" i="20"/>
  <c r="AS98" i="20" s="1"/>
  <c r="AT69" i="20"/>
  <c r="AT70" i="20" s="1"/>
  <c r="AU66" i="20"/>
  <c r="AR98" i="20"/>
  <c r="AR89" i="20"/>
  <c r="AR93" i="20" s="1"/>
  <c r="AV67" i="20"/>
  <c r="AV65" i="20"/>
  <c r="AV68" i="20" s="1"/>
  <c r="AU68" i="20"/>
  <c r="BD3" i="20"/>
  <c r="BJ2" i="31"/>
  <c r="H55" i="23"/>
  <c r="L55" i="23" s="1"/>
  <c r="E56" i="23" s="1"/>
  <c r="F56" i="23" s="1"/>
  <c r="J56" i="23" s="1"/>
  <c r="AW43" i="20"/>
  <c r="AW63" i="20" s="1"/>
  <c r="AY72" i="20"/>
  <c r="AX75" i="20"/>
  <c r="E64" i="25"/>
  <c r="G64" i="25" s="1"/>
  <c r="J64" i="25" s="1"/>
  <c r="D65" i="25" s="1"/>
  <c r="BA58" i="20"/>
  <c r="BA59" i="20" s="1"/>
  <c r="BC103" i="20"/>
  <c r="BJ4" i="31"/>
  <c r="BC123" i="20"/>
  <c r="BC124" i="20" s="1"/>
  <c r="BD5" i="20"/>
  <c r="BC46" i="20"/>
  <c r="BC120" i="20"/>
  <c r="BC48" i="20"/>
  <c r="BC107" i="20"/>
  <c r="BC4" i="20"/>
  <c r="BC11" i="20" s="1"/>
  <c r="BB53" i="20"/>
  <c r="BB45" i="20"/>
  <c r="BB52" i="20" s="1"/>
  <c r="BB74" i="20"/>
  <c r="BB81" i="20"/>
  <c r="BB84" i="20"/>
  <c r="BB85" i="20"/>
  <c r="BB83" i="20"/>
  <c r="BB16" i="20"/>
  <c r="BB49" i="20" a="1"/>
  <c r="BB49" i="20" s="1"/>
  <c r="BB50" i="20" s="1"/>
  <c r="BB14" i="20"/>
  <c r="BB15" i="20"/>
  <c r="BB73" i="20"/>
  <c r="BB55" i="20"/>
  <c r="BB57" i="20" s="1"/>
  <c r="BB17" i="20"/>
  <c r="BB88" i="20"/>
  <c r="BI3" i="31"/>
  <c r="BB56" i="20"/>
  <c r="BB79" i="20"/>
  <c r="BC13" i="20" l="1"/>
  <c r="BC9" i="20"/>
  <c r="BC10" i="20"/>
  <c r="BC12" i="20"/>
  <c r="BC8" i="20"/>
  <c r="BB6" i="20"/>
  <c r="AT76" i="20"/>
  <c r="AT89" i="20" s="1"/>
  <c r="AS89" i="20"/>
  <c r="AS91" i="20"/>
  <c r="AU69" i="20"/>
  <c r="AU70" i="20" s="1"/>
  <c r="AV64" i="20"/>
  <c r="AV66" i="20"/>
  <c r="AW67" i="20"/>
  <c r="AW65" i="20"/>
  <c r="AW68" i="20" s="1"/>
  <c r="BE3" i="20"/>
  <c r="BK2" i="31"/>
  <c r="AR106" i="20"/>
  <c r="H56" i="23"/>
  <c r="L56" i="23" s="1"/>
  <c r="E57" i="23" s="1"/>
  <c r="F57" i="23" s="1"/>
  <c r="J57" i="23" s="1"/>
  <c r="AS106" i="20" s="1"/>
  <c r="AX43" i="20"/>
  <c r="AX63" i="20" s="1"/>
  <c r="AY75" i="20"/>
  <c r="AZ72" i="20"/>
  <c r="E65" i="25"/>
  <c r="G65" i="25" s="1"/>
  <c r="J65" i="25" s="1"/>
  <c r="D66" i="25" s="1"/>
  <c r="BB58" i="20"/>
  <c r="BB59" i="20" s="1"/>
  <c r="BC45" i="20"/>
  <c r="BC52" i="20" s="1"/>
  <c r="BC53" i="20"/>
  <c r="BD4" i="20"/>
  <c r="BD11" i="20" s="1"/>
  <c r="BD123" i="20"/>
  <c r="BD124" i="20" s="1"/>
  <c r="BD103" i="20"/>
  <c r="BD120" i="20"/>
  <c r="BE5" i="20"/>
  <c r="BK4" i="31"/>
  <c r="BD107" i="20"/>
  <c r="BD46" i="20"/>
  <c r="BD48" i="20"/>
  <c r="BC74" i="20"/>
  <c r="BC84" i="20"/>
  <c r="BC85" i="20"/>
  <c r="BC83" i="20"/>
  <c r="BC81" i="20"/>
  <c r="BC88" i="20"/>
  <c r="BC56" i="20"/>
  <c r="BC14" i="20"/>
  <c r="BJ3" i="31"/>
  <c r="BC49" i="20" a="1"/>
  <c r="BC49" i="20" s="1"/>
  <c r="BC50" i="20" s="1"/>
  <c r="BC15" i="20"/>
  <c r="BC55" i="20"/>
  <c r="BC57" i="20" s="1"/>
  <c r="BC73" i="20"/>
  <c r="BC79" i="20"/>
  <c r="BC17" i="20"/>
  <c r="BC16" i="20"/>
  <c r="BD13" i="20" l="1"/>
  <c r="BD12" i="20"/>
  <c r="BD10" i="20"/>
  <c r="BD8" i="20"/>
  <c r="BC6" i="20"/>
  <c r="BD9" i="20"/>
  <c r="AT91" i="20"/>
  <c r="AT93" i="20" s="1"/>
  <c r="AT98" i="20"/>
  <c r="AS93" i="20"/>
  <c r="AU76" i="20"/>
  <c r="AU98" i="20" s="1"/>
  <c r="AV69" i="20"/>
  <c r="AV70" i="20" s="1"/>
  <c r="AW64" i="20"/>
  <c r="AW66" i="20"/>
  <c r="AX67" i="20"/>
  <c r="AX65" i="20"/>
  <c r="AX68" i="20" s="1"/>
  <c r="BL2" i="31"/>
  <c r="BF3" i="20"/>
  <c r="H57" i="23"/>
  <c r="L57" i="23" s="1"/>
  <c r="E58" i="23" s="1"/>
  <c r="F58" i="23" s="1"/>
  <c r="J58" i="23" s="1"/>
  <c r="BC58" i="20"/>
  <c r="BC59" i="20" s="1"/>
  <c r="AY43" i="20"/>
  <c r="AY63" i="20" s="1"/>
  <c r="BA72" i="20"/>
  <c r="AZ75" i="20"/>
  <c r="E66" i="25"/>
  <c r="G66" i="25" s="1"/>
  <c r="J66" i="25" s="1"/>
  <c r="D67" i="25" s="1"/>
  <c r="BE4" i="20"/>
  <c r="BE11" i="20" s="1"/>
  <c r="BE123" i="20"/>
  <c r="BE124" i="20" s="1"/>
  <c r="BF5" i="20"/>
  <c r="BE46" i="20"/>
  <c r="BE48" i="20"/>
  <c r="BE103" i="20"/>
  <c r="BL4" i="31"/>
  <c r="BE120" i="20"/>
  <c r="BE107" i="20"/>
  <c r="BD53" i="20"/>
  <c r="BD45" i="20"/>
  <c r="BD52" i="20" s="1"/>
  <c r="BD81" i="20"/>
  <c r="BD74" i="20"/>
  <c r="BD83" i="20"/>
  <c r="BD84" i="20"/>
  <c r="BD85" i="20"/>
  <c r="BD55" i="20"/>
  <c r="BD57" i="20" s="1"/>
  <c r="BD79" i="20"/>
  <c r="BD88" i="20"/>
  <c r="BD15" i="20"/>
  <c r="BK3" i="31"/>
  <c r="BD49" i="20" a="1"/>
  <c r="BD49" i="20" s="1"/>
  <c r="BD50" i="20" s="1"/>
  <c r="BD14" i="20"/>
  <c r="BD56" i="20"/>
  <c r="BD16" i="20"/>
  <c r="BD17" i="20"/>
  <c r="BD73" i="20"/>
  <c r="BE9" i="20" l="1"/>
  <c r="BE10" i="20"/>
  <c r="BE8" i="20"/>
  <c r="BD6" i="20"/>
  <c r="BE12" i="20"/>
  <c r="BE13" i="20"/>
  <c r="AU89" i="20"/>
  <c r="AU91" i="20"/>
  <c r="AV76" i="20"/>
  <c r="AX64" i="20"/>
  <c r="AY65" i="20"/>
  <c r="AY68" i="20" s="1"/>
  <c r="AY67" i="20"/>
  <c r="AX66" i="20"/>
  <c r="AW69" i="20"/>
  <c r="BM2" i="31"/>
  <c r="BG3" i="20"/>
  <c r="AT106" i="20"/>
  <c r="H58" i="23"/>
  <c r="L58" i="23" s="1"/>
  <c r="E59" i="23" s="1"/>
  <c r="F59" i="23" s="1"/>
  <c r="J59" i="23" s="1"/>
  <c r="AU106" i="20" s="1"/>
  <c r="BD58" i="20"/>
  <c r="BD59" i="20" s="1"/>
  <c r="AZ43" i="20"/>
  <c r="AZ63" i="20" s="1"/>
  <c r="BA75" i="20"/>
  <c r="BB72" i="20"/>
  <c r="BE74" i="20"/>
  <c r="BE85" i="20"/>
  <c r="BE83" i="20"/>
  <c r="BE84" i="20"/>
  <c r="BE81" i="20"/>
  <c r="BE55" i="20"/>
  <c r="BE57" i="20" s="1"/>
  <c r="BL3" i="31"/>
  <c r="BE16" i="20"/>
  <c r="BE73" i="20"/>
  <c r="BE17" i="20"/>
  <c r="BE49" i="20" a="1"/>
  <c r="BE49" i="20" s="1"/>
  <c r="BE50" i="20" s="1"/>
  <c r="BE15" i="20"/>
  <c r="BE56" i="20"/>
  <c r="BE14" i="20"/>
  <c r="BE79" i="20"/>
  <c r="BE88" i="20"/>
  <c r="E67" i="25"/>
  <c r="G67" i="25" s="1"/>
  <c r="J67" i="25" s="1"/>
  <c r="D68" i="25" s="1"/>
  <c r="BE45" i="20"/>
  <c r="BE52" i="20" s="1"/>
  <c r="BE53" i="20"/>
  <c r="BF46" i="20"/>
  <c r="BF120" i="20"/>
  <c r="BF103" i="20"/>
  <c r="BM4" i="31"/>
  <c r="BF48" i="20"/>
  <c r="BG5" i="20"/>
  <c r="BF107" i="20"/>
  <c r="BF4" i="20"/>
  <c r="BF11" i="20" s="1"/>
  <c r="BF123" i="20"/>
  <c r="BF124" i="20" s="1"/>
  <c r="BF13" i="20" l="1"/>
  <c r="BF12" i="20"/>
  <c r="BF10" i="20"/>
  <c r="BF8" i="20"/>
  <c r="BE6" i="20"/>
  <c r="BF9" i="20"/>
  <c r="BG9" i="20" s="1"/>
  <c r="AU93" i="20"/>
  <c r="AV98" i="20"/>
  <c r="AV91" i="20"/>
  <c r="AV89" i="20"/>
  <c r="AY66" i="20"/>
  <c r="AY64" i="20"/>
  <c r="AZ67" i="20"/>
  <c r="AZ65" i="20"/>
  <c r="AZ68" i="20" s="1"/>
  <c r="AX69" i="20"/>
  <c r="AW70" i="20"/>
  <c r="AW76" i="20"/>
  <c r="BN2" i="31"/>
  <c r="BH3" i="20"/>
  <c r="H59" i="23"/>
  <c r="L59" i="23" s="1"/>
  <c r="E60" i="23" s="1"/>
  <c r="F60" i="23" s="1"/>
  <c r="J60" i="23" s="1"/>
  <c r="AV106" i="20" s="1"/>
  <c r="BA43" i="20"/>
  <c r="BA63" i="20" s="1"/>
  <c r="BB75" i="20"/>
  <c r="BC72" i="20"/>
  <c r="E68" i="25"/>
  <c r="G68" i="25" s="1"/>
  <c r="J68" i="25" s="1"/>
  <c r="D69" i="25" s="1"/>
  <c r="BE58" i="20"/>
  <c r="BE59" i="20" s="1"/>
  <c r="BG4" i="20"/>
  <c r="BG46" i="20"/>
  <c r="BG48" i="20"/>
  <c r="BG123" i="20"/>
  <c r="BG124" i="20" s="1"/>
  <c r="BG103" i="20"/>
  <c r="BH5" i="20"/>
  <c r="BG107" i="20"/>
  <c r="BN4" i="31"/>
  <c r="BG120" i="20"/>
  <c r="BF74" i="20"/>
  <c r="BF81" i="20"/>
  <c r="BF85" i="20"/>
  <c r="BF83" i="20"/>
  <c r="BF84" i="20"/>
  <c r="BM3" i="31"/>
  <c r="BF14" i="20"/>
  <c r="BF16" i="20"/>
  <c r="BF73" i="20"/>
  <c r="BF79" i="20"/>
  <c r="BF88" i="20"/>
  <c r="BF17" i="20"/>
  <c r="BF56" i="20"/>
  <c r="BF15" i="20"/>
  <c r="BF49" i="20" a="1"/>
  <c r="BF49" i="20" s="1"/>
  <c r="BF50" i="20" s="1"/>
  <c r="BF55" i="20"/>
  <c r="BF57" i="20" s="1"/>
  <c r="BF53" i="20"/>
  <c r="BF45" i="20"/>
  <c r="BF52" i="20" s="1"/>
  <c r="BG8" i="20" l="1"/>
  <c r="BF6" i="20"/>
  <c r="BG13" i="20"/>
  <c r="BG10" i="20"/>
  <c r="BG12" i="20"/>
  <c r="BG11" i="20"/>
  <c r="AV93" i="20"/>
  <c r="AZ66" i="20"/>
  <c r="AY69" i="20"/>
  <c r="AZ64" i="20"/>
  <c r="AW98" i="20"/>
  <c r="AW91" i="20"/>
  <c r="AW89" i="20"/>
  <c r="BA66" i="20"/>
  <c r="BA68" i="20"/>
  <c r="BA67" i="20"/>
  <c r="BA65" i="20"/>
  <c r="BA64" i="20" s="1"/>
  <c r="AX70" i="20"/>
  <c r="AX76" i="20"/>
  <c r="BO2" i="31"/>
  <c r="BI3" i="20"/>
  <c r="H60" i="23"/>
  <c r="L60" i="23" s="1"/>
  <c r="E61" i="23" s="1"/>
  <c r="F61" i="23" s="1"/>
  <c r="J61" i="23" s="1"/>
  <c r="AW106" i="20" s="1"/>
  <c r="BB43" i="20"/>
  <c r="BB63" i="20" s="1"/>
  <c r="BC75" i="20"/>
  <c r="BD72" i="20"/>
  <c r="E69" i="25"/>
  <c r="G69" i="25" s="1"/>
  <c r="J69" i="25" s="1"/>
  <c r="D70" i="25" s="1"/>
  <c r="BG53" i="20"/>
  <c r="BG45" i="20"/>
  <c r="BG52" i="20" s="1"/>
  <c r="BF58" i="20"/>
  <c r="BF59" i="20" s="1"/>
  <c r="BG74" i="20"/>
  <c r="BG84" i="20"/>
  <c r="BG81" i="20"/>
  <c r="BG85" i="20"/>
  <c r="BG83" i="20"/>
  <c r="BG14" i="20"/>
  <c r="BG55" i="20"/>
  <c r="BG57" i="20" s="1"/>
  <c r="BG15" i="20"/>
  <c r="BG49" i="20" a="1"/>
  <c r="BG49" i="20" s="1"/>
  <c r="BG50" i="20" s="1"/>
  <c r="BG56" i="20"/>
  <c r="BG88" i="20"/>
  <c r="BG16" i="20"/>
  <c r="BG73" i="20"/>
  <c r="BG79" i="20"/>
  <c r="BN3" i="31"/>
  <c r="BG17" i="20"/>
  <c r="BH103" i="20"/>
  <c r="BH4" i="20"/>
  <c r="BI5" i="20"/>
  <c r="BH123" i="20"/>
  <c r="BH124" i="20" s="1"/>
  <c r="BH48" i="20"/>
  <c r="BH120" i="20"/>
  <c r="BH46" i="20"/>
  <c r="BO4" i="31"/>
  <c r="BH107" i="20"/>
  <c r="BH11" i="20" l="1"/>
  <c r="BH9" i="20"/>
  <c r="BH12" i="20"/>
  <c r="BH10" i="20"/>
  <c r="BH13" i="20"/>
  <c r="BH8" i="20"/>
  <c r="BG6" i="20"/>
  <c r="AZ69" i="20"/>
  <c r="AZ70" i="20" s="1"/>
  <c r="AW93" i="20"/>
  <c r="AY70" i="20"/>
  <c r="AY76" i="20"/>
  <c r="BA69" i="20"/>
  <c r="BA70" i="20" s="1"/>
  <c r="BB67" i="20"/>
  <c r="BB65" i="20"/>
  <c r="BB64" i="20" s="1"/>
  <c r="BB68" i="20"/>
  <c r="BB66" i="20"/>
  <c r="AX91" i="20"/>
  <c r="AX89" i="20"/>
  <c r="AX98" i="20"/>
  <c r="BJ3" i="20"/>
  <c r="BP2" i="31"/>
  <c r="H61" i="23"/>
  <c r="L61" i="23" s="1"/>
  <c r="E62" i="23" s="1"/>
  <c r="F62" i="23" s="1"/>
  <c r="J62" i="23" s="1"/>
  <c r="AX106" i="20" s="1"/>
  <c r="BC43" i="20"/>
  <c r="BC63" i="20" s="1"/>
  <c r="BD75" i="20"/>
  <c r="BE72" i="20"/>
  <c r="BI107" i="20"/>
  <c r="BI120" i="20"/>
  <c r="BJ5" i="20"/>
  <c r="BI48" i="20"/>
  <c r="BI4" i="20"/>
  <c r="BI103" i="20"/>
  <c r="BI46" i="20"/>
  <c r="BI123" i="20"/>
  <c r="BI124" i="20" s="1"/>
  <c r="BP4" i="31"/>
  <c r="BG58" i="20"/>
  <c r="BG59" i="20" s="1"/>
  <c r="BH74" i="20"/>
  <c r="BH84" i="20"/>
  <c r="BH81" i="20"/>
  <c r="BH83" i="20"/>
  <c r="BH85" i="20"/>
  <c r="BH16" i="20"/>
  <c r="BH17" i="20"/>
  <c r="BH14" i="20"/>
  <c r="BH56" i="20"/>
  <c r="BH55" i="20"/>
  <c r="BH57" i="20" s="1"/>
  <c r="BH73" i="20"/>
  <c r="BH88" i="20"/>
  <c r="BH15" i="20"/>
  <c r="BO3" i="31"/>
  <c r="BH79" i="20"/>
  <c r="BH49" i="20" a="1"/>
  <c r="BH49" i="20" s="1"/>
  <c r="BH50" i="20" s="1"/>
  <c r="BH53" i="20"/>
  <c r="BH45" i="20"/>
  <c r="BH52" i="20" s="1"/>
  <c r="E70" i="25"/>
  <c r="G70" i="25" s="1"/>
  <c r="J70" i="25" s="1"/>
  <c r="D71" i="25" s="1"/>
  <c r="BI8" i="20" l="1"/>
  <c r="BH6" i="20"/>
  <c r="BI13" i="20"/>
  <c r="BJ13" i="20" s="1"/>
  <c r="BI10" i="20"/>
  <c r="BJ10" i="20" s="1"/>
  <c r="BI12" i="20"/>
  <c r="BJ12" i="20" s="1"/>
  <c r="BI9" i="20"/>
  <c r="BJ9" i="20" s="1"/>
  <c r="BI11" i="20"/>
  <c r="BJ11" i="20" s="1"/>
  <c r="BA76" i="20"/>
  <c r="BA98" i="20" s="1"/>
  <c r="AZ76" i="20"/>
  <c r="AZ91" i="20" s="1"/>
  <c r="AX93" i="20"/>
  <c r="AY91" i="20"/>
  <c r="AY89" i="20"/>
  <c r="AY98" i="20"/>
  <c r="BB69" i="20"/>
  <c r="BB70" i="20" s="1"/>
  <c r="BC65" i="20"/>
  <c r="BC64" i="20" s="1"/>
  <c r="BC67" i="20"/>
  <c r="BC66" i="20"/>
  <c r="BC68" i="20"/>
  <c r="BQ2" i="31"/>
  <c r="BK3" i="20"/>
  <c r="H62" i="23"/>
  <c r="L62" i="23" s="1"/>
  <c r="E63" i="23" s="1"/>
  <c r="F63" i="23" s="1"/>
  <c r="J63" i="23" s="1"/>
  <c r="AY106" i="20" s="1"/>
  <c r="BD43" i="20"/>
  <c r="BD63" i="20" s="1"/>
  <c r="BF72" i="20"/>
  <c r="BE75" i="20"/>
  <c r="BJ4" i="20"/>
  <c r="BJ46" i="20"/>
  <c r="BJ48" i="20"/>
  <c r="BJ123" i="20"/>
  <c r="BJ124" i="20" s="1"/>
  <c r="BJ103" i="20"/>
  <c r="BJ120" i="20"/>
  <c r="BJ107" i="20"/>
  <c r="BQ4" i="31"/>
  <c r="BK5" i="20"/>
  <c r="BI53" i="20"/>
  <c r="BI45" i="20"/>
  <c r="BI52" i="20" s="1"/>
  <c r="BH58" i="20"/>
  <c r="BH59" i="20" s="1"/>
  <c r="E71" i="25"/>
  <c r="G71" i="25" s="1"/>
  <c r="J71" i="25" s="1"/>
  <c r="D72" i="25" s="1"/>
  <c r="BI74" i="20"/>
  <c r="BI84" i="20"/>
  <c r="BI85" i="20"/>
  <c r="BI83" i="20"/>
  <c r="BI81" i="20"/>
  <c r="BI16" i="20"/>
  <c r="BI56" i="20"/>
  <c r="BI17" i="20"/>
  <c r="BI49" i="20" a="1"/>
  <c r="BI49" i="20" s="1"/>
  <c r="BI50" i="20" s="1"/>
  <c r="BI14" i="20"/>
  <c r="BI79" i="20"/>
  <c r="BI55" i="20"/>
  <c r="BI57" i="20" s="1"/>
  <c r="BI73" i="20"/>
  <c r="BP3" i="31"/>
  <c r="BI15" i="20"/>
  <c r="BI88" i="20"/>
  <c r="BJ8" i="20" l="1"/>
  <c r="BI6" i="20"/>
  <c r="BA91" i="20"/>
  <c r="AZ89" i="20"/>
  <c r="AZ93" i="20" s="1"/>
  <c r="BA89" i="20"/>
  <c r="AZ98" i="20"/>
  <c r="BB76" i="20"/>
  <c r="BB98" i="20" s="1"/>
  <c r="BC69" i="20"/>
  <c r="BC76" i="20" s="1"/>
  <c r="AY93" i="20"/>
  <c r="BD67" i="20"/>
  <c r="BD65" i="20"/>
  <c r="BD64" i="20" s="1"/>
  <c r="BD68" i="20"/>
  <c r="BD66" i="20"/>
  <c r="BR2" i="31"/>
  <c r="BL3" i="20"/>
  <c r="BI58" i="20"/>
  <c r="BI59" i="20" s="1"/>
  <c r="H63" i="23"/>
  <c r="L63" i="23" s="1"/>
  <c r="E64" i="23" s="1"/>
  <c r="F64" i="23" s="1"/>
  <c r="BE43" i="20"/>
  <c r="BE63" i="20" s="1"/>
  <c r="BF75" i="20"/>
  <c r="BG72" i="20"/>
  <c r="E72" i="25"/>
  <c r="G72" i="25" s="1"/>
  <c r="J72" i="25" s="1"/>
  <c r="D73" i="25" s="1"/>
  <c r="BK4" i="20"/>
  <c r="BK11" i="20" s="1"/>
  <c r="BK123" i="20"/>
  <c r="BK124" i="20" s="1"/>
  <c r="BK46" i="20"/>
  <c r="BL5" i="20"/>
  <c r="BK48" i="20"/>
  <c r="BR4" i="31"/>
  <c r="BK107" i="20"/>
  <c r="BK120" i="20"/>
  <c r="BK103" i="20"/>
  <c r="BJ53" i="20"/>
  <c r="BJ45" i="20"/>
  <c r="BJ74" i="20"/>
  <c r="BJ81" i="20"/>
  <c r="BJ83" i="20"/>
  <c r="BJ84" i="20"/>
  <c r="BJ85" i="20"/>
  <c r="BJ15" i="20"/>
  <c r="BQ3" i="31"/>
  <c r="BJ73" i="20"/>
  <c r="BJ16" i="20"/>
  <c r="BJ14" i="20"/>
  <c r="BJ49" i="20" a="1"/>
  <c r="BJ49" i="20" s="1"/>
  <c r="BJ50" i="20" s="1"/>
  <c r="BJ17" i="20"/>
  <c r="BJ88" i="20"/>
  <c r="BJ55" i="20"/>
  <c r="BJ57" i="20" s="1"/>
  <c r="BJ56" i="20"/>
  <c r="BJ79" i="20"/>
  <c r="BK13" i="20" l="1"/>
  <c r="BK10" i="20"/>
  <c r="BK12" i="20"/>
  <c r="BK9" i="20"/>
  <c r="BL9" i="20" s="1"/>
  <c r="BK8" i="20"/>
  <c r="BJ6" i="20"/>
  <c r="BC70" i="20"/>
  <c r="BB91" i="20"/>
  <c r="BB89" i="20"/>
  <c r="BD69" i="20"/>
  <c r="BD70" i="20" s="1"/>
  <c r="BE68" i="20"/>
  <c r="BE66" i="20"/>
  <c r="BE65" i="20"/>
  <c r="BE64" i="20" s="1"/>
  <c r="BE67" i="20"/>
  <c r="BC98" i="20"/>
  <c r="BC89" i="20"/>
  <c r="BC91" i="20"/>
  <c r="BS2" i="31"/>
  <c r="BM3" i="20"/>
  <c r="J64" i="23"/>
  <c r="AZ106" i="20" s="1"/>
  <c r="BF43" i="20"/>
  <c r="BF63" i="20" s="1"/>
  <c r="BG75" i="20"/>
  <c r="BH72" i="20"/>
  <c r="E73" i="25"/>
  <c r="G73" i="25" s="1"/>
  <c r="J73" i="25" s="1"/>
  <c r="D74" i="25" s="1"/>
  <c r="BL4" i="20"/>
  <c r="BL123" i="20"/>
  <c r="BL124" i="20" s="1"/>
  <c r="BL103" i="20"/>
  <c r="BL107" i="20"/>
  <c r="BM5" i="20"/>
  <c r="BL46" i="20"/>
  <c r="BS4" i="31"/>
  <c r="BL48" i="20"/>
  <c r="BK45" i="20"/>
  <c r="BK52" i="20" s="1"/>
  <c r="BK53" i="20"/>
  <c r="BJ58" i="20"/>
  <c r="BJ59" i="20" s="1"/>
  <c r="BK74" i="20"/>
  <c r="BK84" i="20"/>
  <c r="BK85" i="20"/>
  <c r="BK83" i="20"/>
  <c r="BK81" i="20"/>
  <c r="BR3" i="31"/>
  <c r="BK15" i="20"/>
  <c r="BK16" i="20"/>
  <c r="BK14" i="20"/>
  <c r="BK79" i="20"/>
  <c r="BK55" i="20"/>
  <c r="BK57" i="20" s="1"/>
  <c r="BK49" i="20" a="1"/>
  <c r="BK49" i="20" s="1"/>
  <c r="BK50" i="20" s="1"/>
  <c r="BK88" i="20"/>
  <c r="BK17" i="20"/>
  <c r="BK56" i="20"/>
  <c r="BK73" i="20"/>
  <c r="BJ52" i="20"/>
  <c r="BL12" i="20" l="1"/>
  <c r="BL8" i="20"/>
  <c r="BK6" i="20"/>
  <c r="BL10" i="20"/>
  <c r="BM10" i="20" s="1"/>
  <c r="BL13" i="20"/>
  <c r="BM13" i="20" s="1"/>
  <c r="BL11" i="20"/>
  <c r="BM11" i="20" s="1"/>
  <c r="BD76" i="20"/>
  <c r="BD91" i="20" s="1"/>
  <c r="BE69" i="20"/>
  <c r="BE76" i="20" s="1"/>
  <c r="BF65" i="20"/>
  <c r="BF64" i="20" s="1"/>
  <c r="BF66" i="20"/>
  <c r="BF67" i="20"/>
  <c r="BF68" i="20"/>
  <c r="BT2" i="31"/>
  <c r="BN3" i="20"/>
  <c r="H64" i="23"/>
  <c r="L64" i="23" s="1"/>
  <c r="E65" i="23" s="1"/>
  <c r="F65" i="23" s="1"/>
  <c r="BG43" i="20"/>
  <c r="BG63" i="20" s="1"/>
  <c r="BI72" i="20"/>
  <c r="BH75" i="20"/>
  <c r="BL53" i="20"/>
  <c r="BL45" i="20"/>
  <c r="BL52" i="20" s="1"/>
  <c r="BM46" i="20"/>
  <c r="BM120" i="20"/>
  <c r="BM103" i="20"/>
  <c r="BM48" i="20"/>
  <c r="BM107" i="20"/>
  <c r="BT4" i="31"/>
  <c r="BM123" i="20"/>
  <c r="BM124" i="20" s="1"/>
  <c r="BN5" i="20"/>
  <c r="BM106" i="20"/>
  <c r="BM4" i="20"/>
  <c r="BM9" i="20" s="1"/>
  <c r="BK58" i="20"/>
  <c r="BK59" i="20" s="1"/>
  <c r="E74" i="25"/>
  <c r="G74" i="25" s="1"/>
  <c r="J74" i="25" s="1"/>
  <c r="D75" i="25" s="1"/>
  <c r="BL74" i="20"/>
  <c r="BL81" i="20"/>
  <c r="BL83" i="20"/>
  <c r="BL84" i="20"/>
  <c r="BL85" i="20"/>
  <c r="BL16" i="20"/>
  <c r="BL79" i="20"/>
  <c r="BS3" i="31"/>
  <c r="BL14" i="20"/>
  <c r="BL49" i="20" a="1"/>
  <c r="BL49" i="20" s="1"/>
  <c r="BL50" i="20" s="1"/>
  <c r="BL88" i="20"/>
  <c r="BL17" i="20"/>
  <c r="BL15" i="20"/>
  <c r="BL73" i="20"/>
  <c r="BL55" i="20"/>
  <c r="BL57" i="20" s="1"/>
  <c r="BL56" i="20"/>
  <c r="BM8" i="20" l="1"/>
  <c r="BL6" i="20"/>
  <c r="BL58" i="20"/>
  <c r="BM12" i="20"/>
  <c r="BD98" i="20"/>
  <c r="BD89" i="20"/>
  <c r="BE70" i="20"/>
  <c r="BF69" i="20"/>
  <c r="BF70" i="20" s="1"/>
  <c r="BG67" i="20"/>
  <c r="BG65" i="20"/>
  <c r="BG64" i="20" s="1"/>
  <c r="BG66" i="20"/>
  <c r="BG68" i="20"/>
  <c r="BE89" i="20"/>
  <c r="BE91" i="20"/>
  <c r="BE98" i="20"/>
  <c r="BO3" i="20"/>
  <c r="BU2" i="31"/>
  <c r="J65" i="23"/>
  <c r="BA106" i="20" s="1"/>
  <c r="BL59" i="20"/>
  <c r="BH43" i="20"/>
  <c r="BH63" i="20" s="1"/>
  <c r="BJ72" i="20"/>
  <c r="BI75" i="20"/>
  <c r="E75" i="25"/>
  <c r="G75" i="25" s="1"/>
  <c r="J75" i="25" s="1"/>
  <c r="D76" i="25" s="1"/>
  <c r="BN46" i="20"/>
  <c r="BN106" i="20"/>
  <c r="BN103" i="20"/>
  <c r="BN48" i="20"/>
  <c r="BN120" i="20"/>
  <c r="BN107" i="20"/>
  <c r="BN4" i="20"/>
  <c r="BN9" i="20" s="1"/>
  <c r="BO5" i="20"/>
  <c r="BU4" i="31"/>
  <c r="BN123" i="20"/>
  <c r="BN124" i="20" s="1"/>
  <c r="BM53" i="20"/>
  <c r="BM45" i="20"/>
  <c r="BM74" i="20"/>
  <c r="BM85" i="20"/>
  <c r="BM83" i="20"/>
  <c r="BM84" i="20"/>
  <c r="BM81" i="20"/>
  <c r="BM88" i="20"/>
  <c r="BM17" i="20"/>
  <c r="BM49" i="20" a="1"/>
  <c r="BM49" i="20" s="1"/>
  <c r="BM50" i="20" s="1"/>
  <c r="BM14" i="20"/>
  <c r="BM73" i="20"/>
  <c r="BM79" i="20"/>
  <c r="BM15" i="20"/>
  <c r="BM56" i="20"/>
  <c r="BM16" i="20"/>
  <c r="BT3" i="31"/>
  <c r="BM55" i="20"/>
  <c r="BM57" i="20" s="1"/>
  <c r="BN12" i="20" l="1"/>
  <c r="BN8" i="20"/>
  <c r="BM6" i="20"/>
  <c r="BN10" i="20"/>
  <c r="BN13" i="20"/>
  <c r="BN11" i="20"/>
  <c r="BF76" i="20"/>
  <c r="BF89" i="20" s="1"/>
  <c r="BG69" i="20"/>
  <c r="BG76" i="20" s="1"/>
  <c r="BH68" i="20"/>
  <c r="BH67" i="20"/>
  <c r="BH66" i="20"/>
  <c r="BH65" i="20"/>
  <c r="BH64" i="20" s="1"/>
  <c r="BP3" i="20"/>
  <c r="BV2" i="31"/>
  <c r="H65" i="23"/>
  <c r="L65" i="23" s="1"/>
  <c r="E66" i="23" s="1"/>
  <c r="F66" i="23" s="1"/>
  <c r="BI43" i="20"/>
  <c r="BI63" i="20" s="1"/>
  <c r="BK72" i="20"/>
  <c r="BJ75" i="20"/>
  <c r="E76" i="25"/>
  <c r="G76" i="25" s="1"/>
  <c r="J76" i="25" s="1"/>
  <c r="D77" i="25" s="1"/>
  <c r="BM58" i="20"/>
  <c r="BM59" i="20" s="1"/>
  <c r="BV4" i="31"/>
  <c r="BO46" i="20"/>
  <c r="BO4" i="20"/>
  <c r="BO9" i="20" s="1"/>
  <c r="BO120" i="20"/>
  <c r="BO103" i="20"/>
  <c r="BO48" i="20"/>
  <c r="BO107" i="20"/>
  <c r="BO123" i="20"/>
  <c r="BO124" i="20" s="1"/>
  <c r="BO106" i="20"/>
  <c r="BP5" i="20"/>
  <c r="BM52" i="20"/>
  <c r="BN84" i="20"/>
  <c r="BN74" i="20"/>
  <c r="BN81" i="20"/>
  <c r="BN85" i="20"/>
  <c r="BN83" i="20"/>
  <c r="BN16" i="20"/>
  <c r="BN55" i="20"/>
  <c r="BN57" i="20" s="1"/>
  <c r="BN88" i="20"/>
  <c r="BN79" i="20"/>
  <c r="BN17" i="20"/>
  <c r="BN56" i="20"/>
  <c r="BN15" i="20"/>
  <c r="BU3" i="31"/>
  <c r="BN14" i="20"/>
  <c r="BN73" i="20"/>
  <c r="BN49" i="20" a="1"/>
  <c r="BN49" i="20" s="1"/>
  <c r="BN50" i="20" s="1"/>
  <c r="BN53" i="20"/>
  <c r="BN45" i="20"/>
  <c r="BN52" i="20" s="1"/>
  <c r="BO13" i="20" l="1"/>
  <c r="BO11" i="20"/>
  <c r="BO12" i="20"/>
  <c r="BO10" i="20"/>
  <c r="BO8" i="20"/>
  <c r="BN6" i="20"/>
  <c r="BF98" i="20"/>
  <c r="BF91" i="20"/>
  <c r="BG70" i="20"/>
  <c r="BH69" i="20"/>
  <c r="BH70" i="20" s="1"/>
  <c r="BI65" i="20"/>
  <c r="BI64" i="20" s="1"/>
  <c r="BI66" i="20"/>
  <c r="BI67" i="20"/>
  <c r="BI68" i="20"/>
  <c r="BG89" i="20"/>
  <c r="BG98" i="20"/>
  <c r="BG91" i="20"/>
  <c r="BW2" i="31"/>
  <c r="BQ3" i="20"/>
  <c r="J66" i="23"/>
  <c r="BB106" i="20" s="1"/>
  <c r="BJ43" i="20"/>
  <c r="BJ63" i="20" s="1"/>
  <c r="BL72" i="20"/>
  <c r="BK75" i="20"/>
  <c r="BO45" i="20"/>
  <c r="BO52" i="20" s="1"/>
  <c r="BO53" i="20"/>
  <c r="BN58" i="20"/>
  <c r="BN59" i="20" s="1"/>
  <c r="BO74" i="20"/>
  <c r="BO85" i="20"/>
  <c r="BO84" i="20"/>
  <c r="BO81" i="20"/>
  <c r="BO83" i="20"/>
  <c r="BO17" i="20"/>
  <c r="BV3" i="31"/>
  <c r="BO14" i="20"/>
  <c r="BO88" i="20"/>
  <c r="BO49" i="20" a="1"/>
  <c r="BO49" i="20" s="1"/>
  <c r="BO50" i="20" s="1"/>
  <c r="BO16" i="20"/>
  <c r="BO15" i="20"/>
  <c r="BO73" i="20"/>
  <c r="BO56" i="20"/>
  <c r="BO55" i="20"/>
  <c r="BO57" i="20" s="1"/>
  <c r="BO79" i="20"/>
  <c r="E77" i="25"/>
  <c r="G77" i="25" s="1"/>
  <c r="J77" i="25" s="1"/>
  <c r="D78" i="25" s="1"/>
  <c r="BP123" i="20"/>
  <c r="BP124" i="20" s="1"/>
  <c r="BP4" i="20"/>
  <c r="BP9" i="20" s="1"/>
  <c r="BQ5" i="20"/>
  <c r="BP46" i="20"/>
  <c r="BP103" i="20"/>
  <c r="BP106" i="20"/>
  <c r="BP48" i="20"/>
  <c r="BW4" i="31"/>
  <c r="BP120" i="20"/>
  <c r="BP107" i="20"/>
  <c r="BP8" i="20" l="1"/>
  <c r="BO6" i="20"/>
  <c r="BP10" i="20"/>
  <c r="BP12" i="20"/>
  <c r="BP13" i="20"/>
  <c r="BP11" i="20"/>
  <c r="BH76" i="20"/>
  <c r="BH89" i="20" s="1"/>
  <c r="BI69" i="20"/>
  <c r="BI70" i="20" s="1"/>
  <c r="BJ65" i="20"/>
  <c r="BJ64" i="20" s="1"/>
  <c r="BJ67" i="20"/>
  <c r="BJ68" i="20"/>
  <c r="BJ66" i="20"/>
  <c r="BO58" i="20"/>
  <c r="BO59" i="20" s="1"/>
  <c r="BR3" i="20"/>
  <c r="BX2" i="31"/>
  <c r="H66" i="23"/>
  <c r="L66" i="23" s="1"/>
  <c r="E67" i="23" s="1"/>
  <c r="F67" i="23" s="1"/>
  <c r="BK43" i="20"/>
  <c r="BK63" i="20" s="1"/>
  <c r="BL75" i="20"/>
  <c r="BM72" i="20"/>
  <c r="BP74" i="20"/>
  <c r="BP85" i="20"/>
  <c r="BP84" i="20"/>
  <c r="BP83" i="20"/>
  <c r="BP81" i="20"/>
  <c r="BP55" i="20"/>
  <c r="BP57" i="20" s="1"/>
  <c r="BP14" i="20"/>
  <c r="BP56" i="20"/>
  <c r="BP16" i="20"/>
  <c r="BP17" i="20"/>
  <c r="BW3" i="31"/>
  <c r="BP73" i="20"/>
  <c r="BP88" i="20"/>
  <c r="BP49" i="20" a="1"/>
  <c r="BP49" i="20" s="1"/>
  <c r="BP50" i="20" s="1"/>
  <c r="BP15" i="20"/>
  <c r="BP79" i="20"/>
  <c r="E78" i="25"/>
  <c r="G78" i="25" s="1"/>
  <c r="J78" i="25" s="1"/>
  <c r="D79" i="25" s="1"/>
  <c r="BQ123" i="20"/>
  <c r="BQ124" i="20" s="1"/>
  <c r="BX4" i="31"/>
  <c r="BQ107" i="20"/>
  <c r="BQ120" i="20"/>
  <c r="BQ46" i="20"/>
  <c r="BQ4" i="20"/>
  <c r="BQ9" i="20" s="1"/>
  <c r="BQ106" i="20"/>
  <c r="BQ103" i="20"/>
  <c r="BR5" i="20"/>
  <c r="BQ48" i="20"/>
  <c r="BP53" i="20"/>
  <c r="BP45" i="20"/>
  <c r="BP52" i="20" s="1"/>
  <c r="BQ13" i="20" l="1"/>
  <c r="BQ11" i="20"/>
  <c r="BQ12" i="20"/>
  <c r="BQ10" i="20"/>
  <c r="BR10" i="20" s="1"/>
  <c r="BQ8" i="20"/>
  <c r="BP6" i="20"/>
  <c r="BH98" i="20"/>
  <c r="BI76" i="20"/>
  <c r="BI91" i="20" s="1"/>
  <c r="BH91" i="20"/>
  <c r="BJ69" i="20"/>
  <c r="BJ76" i="20" s="1"/>
  <c r="BK68" i="20"/>
  <c r="BK65" i="20"/>
  <c r="BK64" i="20" s="1"/>
  <c r="BK66" i="20"/>
  <c r="BK67" i="20"/>
  <c r="BY2" i="31"/>
  <c r="BS3" i="20"/>
  <c r="J67" i="23"/>
  <c r="BC106" i="20" s="1"/>
  <c r="BP58" i="20"/>
  <c r="BL43" i="20"/>
  <c r="BL63" i="20" s="1"/>
  <c r="BN72" i="20"/>
  <c r="BM75" i="20"/>
  <c r="E79" i="25"/>
  <c r="G79" i="25" s="1"/>
  <c r="J79" i="25" s="1"/>
  <c r="D80" i="25" s="1"/>
  <c r="BQ53" i="20"/>
  <c r="BQ45" i="20"/>
  <c r="BQ52" i="20" s="1"/>
  <c r="BY4" i="31"/>
  <c r="BR107" i="20"/>
  <c r="BR46" i="20"/>
  <c r="BR106" i="20"/>
  <c r="BR123" i="20"/>
  <c r="BR124" i="20" s="1"/>
  <c r="BR120" i="20"/>
  <c r="BS5" i="20"/>
  <c r="BR103" i="20"/>
  <c r="BR4" i="20"/>
  <c r="BR9" i="20" s="1"/>
  <c r="BR48" i="20"/>
  <c r="BQ74" i="20"/>
  <c r="BQ85" i="20"/>
  <c r="BQ81" i="20"/>
  <c r="BQ83" i="20"/>
  <c r="BQ84" i="20"/>
  <c r="BQ14" i="20"/>
  <c r="BQ56" i="20"/>
  <c r="BQ55" i="20"/>
  <c r="BQ57" i="20" s="1"/>
  <c r="BQ17" i="20"/>
  <c r="BX3" i="31"/>
  <c r="BQ16" i="20"/>
  <c r="BQ88" i="20"/>
  <c r="BQ73" i="20"/>
  <c r="BQ79" i="20"/>
  <c r="BQ15" i="20"/>
  <c r="BQ49" i="20" a="1"/>
  <c r="BQ49" i="20" s="1"/>
  <c r="BQ50" i="20" s="1"/>
  <c r="BP59" i="20"/>
  <c r="BR8" i="20" l="1"/>
  <c r="BQ6" i="20"/>
  <c r="BR12" i="20"/>
  <c r="BR13" i="20"/>
  <c r="BR11" i="20"/>
  <c r="BJ70" i="20"/>
  <c r="BI89" i="20"/>
  <c r="BI98" i="20"/>
  <c r="BK69" i="20"/>
  <c r="BK70" i="20" s="1"/>
  <c r="BJ98" i="20"/>
  <c r="BJ91" i="20"/>
  <c r="BJ89" i="20"/>
  <c r="BL66" i="20"/>
  <c r="BL65" i="20"/>
  <c r="BL64" i="20" s="1"/>
  <c r="BL68" i="20"/>
  <c r="BL67" i="20"/>
  <c r="BQ58" i="20"/>
  <c r="BQ59" i="20" s="1"/>
  <c r="BT3" i="20"/>
  <c r="BZ2" i="31"/>
  <c r="H67" i="23"/>
  <c r="L67" i="23" s="1"/>
  <c r="E68" i="23" s="1"/>
  <c r="F68" i="23" s="1"/>
  <c r="J68" i="23" s="1"/>
  <c r="BD106" i="20" s="1"/>
  <c r="BM43" i="20"/>
  <c r="BM63" i="20" s="1"/>
  <c r="BO72" i="20"/>
  <c r="BN75" i="20"/>
  <c r="E80" i="25"/>
  <c r="G80" i="25" s="1"/>
  <c r="J80" i="25" s="1"/>
  <c r="D81" i="25" s="1"/>
  <c r="BR74" i="20"/>
  <c r="BR85" i="20"/>
  <c r="BR83" i="20"/>
  <c r="BR84" i="20"/>
  <c r="BR81" i="20"/>
  <c r="BR15" i="20"/>
  <c r="BR49" i="20" a="1"/>
  <c r="BR49" i="20" s="1"/>
  <c r="BR50" i="20" s="1"/>
  <c r="BY3" i="31"/>
  <c r="BR56" i="20"/>
  <c r="BR16" i="20"/>
  <c r="BR17" i="20"/>
  <c r="BR73" i="20"/>
  <c r="BR55" i="20"/>
  <c r="BR57" i="20" s="1"/>
  <c r="BR79" i="20"/>
  <c r="BR88" i="20"/>
  <c r="BR14" i="20"/>
  <c r="BS120" i="20"/>
  <c r="BS48" i="20"/>
  <c r="BS103" i="20"/>
  <c r="BS107" i="20"/>
  <c r="BZ4" i="31"/>
  <c r="BS123" i="20"/>
  <c r="BS124" i="20" s="1"/>
  <c r="BT5" i="20"/>
  <c r="BS46" i="20"/>
  <c r="BS106" i="20"/>
  <c r="BS4" i="20"/>
  <c r="BS9" i="20" s="1"/>
  <c r="BR45" i="20"/>
  <c r="BR53" i="20"/>
  <c r="BS13" i="20" l="1"/>
  <c r="BS11" i="20"/>
  <c r="BS12" i="20"/>
  <c r="BS10" i="20"/>
  <c r="BT13" i="20"/>
  <c r="BS8" i="20"/>
  <c r="BR6" i="20"/>
  <c r="BK76" i="20"/>
  <c r="BK91" i="20" s="1"/>
  <c r="BL69" i="20"/>
  <c r="BL70" i="20" s="1"/>
  <c r="BM66" i="20"/>
  <c r="BM65" i="20"/>
  <c r="BM64" i="20" s="1"/>
  <c r="BM67" i="20"/>
  <c r="BM68" i="20"/>
  <c r="BU3" i="20"/>
  <c r="CA2" i="31"/>
  <c r="H68" i="23"/>
  <c r="L68" i="23" s="1"/>
  <c r="E69" i="23" s="1"/>
  <c r="F69" i="23" s="1"/>
  <c r="J69" i="23" s="1"/>
  <c r="BE106" i="20" s="1"/>
  <c r="BR58" i="20"/>
  <c r="BR59" i="20" s="1"/>
  <c r="BN43" i="20"/>
  <c r="BN63" i="20" s="1"/>
  <c r="BP72" i="20"/>
  <c r="BO75" i="20"/>
  <c r="E81" i="25"/>
  <c r="G81" i="25" s="1"/>
  <c r="J81" i="25" s="1"/>
  <c r="D82" i="25" s="1"/>
  <c r="BS53" i="20"/>
  <c r="BS45" i="20"/>
  <c r="BS52" i="20" s="1"/>
  <c r="BT106" i="20"/>
  <c r="BT107" i="20"/>
  <c r="BU5" i="20"/>
  <c r="BT48" i="20"/>
  <c r="BT103" i="20"/>
  <c r="BT46" i="20"/>
  <c r="BT123" i="20"/>
  <c r="BT124" i="20" s="1"/>
  <c r="BT120" i="20"/>
  <c r="BT4" i="20"/>
  <c r="BT9" i="20" s="1"/>
  <c r="CA4" i="31"/>
  <c r="BS74" i="20"/>
  <c r="BS81" i="20"/>
  <c r="BS83" i="20"/>
  <c r="BS85" i="20"/>
  <c r="BS84" i="20"/>
  <c r="BS14" i="20"/>
  <c r="BS49" i="20" a="1"/>
  <c r="BS49" i="20" s="1"/>
  <c r="BS50" i="20" s="1"/>
  <c r="BS15" i="20"/>
  <c r="BS56" i="20"/>
  <c r="BS55" i="20"/>
  <c r="BS57" i="20" s="1"/>
  <c r="BS73" i="20"/>
  <c r="BS79" i="20"/>
  <c r="BS16" i="20"/>
  <c r="BS17" i="20"/>
  <c r="BS88" i="20"/>
  <c r="BZ3" i="31"/>
  <c r="BR52" i="20"/>
  <c r="BT10" i="20" l="1"/>
  <c r="BT12" i="20"/>
  <c r="BT8" i="20"/>
  <c r="BS6" i="20"/>
  <c r="BT11" i="20"/>
  <c r="BK98" i="20"/>
  <c r="BK89" i="20"/>
  <c r="BL76" i="20"/>
  <c r="BL89" i="20" s="1"/>
  <c r="BM69" i="20"/>
  <c r="BM70" i="20" s="1"/>
  <c r="BN68" i="20"/>
  <c r="BN65" i="20"/>
  <c r="BN64" i="20" s="1"/>
  <c r="BN67" i="20"/>
  <c r="BN66" i="20"/>
  <c r="CB2" i="31"/>
  <c r="BV3" i="20"/>
  <c r="H69" i="23"/>
  <c r="L69" i="23" s="1"/>
  <c r="E70" i="23" s="1"/>
  <c r="F70" i="23" s="1"/>
  <c r="BS58" i="20"/>
  <c r="BS59" i="20" s="1"/>
  <c r="BO43" i="20"/>
  <c r="BO63" i="20" s="1"/>
  <c r="BP75" i="20"/>
  <c r="BQ72" i="20"/>
  <c r="E82" i="25"/>
  <c r="G82" i="25" s="1"/>
  <c r="J82" i="25" s="1"/>
  <c r="D83" i="25" s="1"/>
  <c r="BT81" i="20"/>
  <c r="BT83" i="20"/>
  <c r="BT85" i="20"/>
  <c r="BT74" i="20"/>
  <c r="BT84" i="20"/>
  <c r="BT55" i="20"/>
  <c r="BT57" i="20" s="1"/>
  <c r="BT16" i="20"/>
  <c r="CA3" i="31"/>
  <c r="BT56" i="20"/>
  <c r="BT14" i="20"/>
  <c r="BT79" i="20"/>
  <c r="BT17" i="20"/>
  <c r="BT15" i="20"/>
  <c r="BT88" i="20"/>
  <c r="BT49" i="20" a="1"/>
  <c r="BT49" i="20" s="1"/>
  <c r="BT50" i="20" s="1"/>
  <c r="BT73" i="20"/>
  <c r="CB4" i="31"/>
  <c r="BU106" i="20"/>
  <c r="BU107" i="20"/>
  <c r="BU4" i="20"/>
  <c r="BU9" i="20" s="1"/>
  <c r="BU46" i="20"/>
  <c r="BU123" i="20"/>
  <c r="BU124" i="20" s="1"/>
  <c r="BU103" i="20"/>
  <c r="BU120" i="20"/>
  <c r="BV5" i="20"/>
  <c r="BU48" i="20"/>
  <c r="BT53" i="20"/>
  <c r="BT45" i="20"/>
  <c r="BU11" i="20" l="1"/>
  <c r="BU12" i="20"/>
  <c r="BU10" i="20"/>
  <c r="BU13" i="20"/>
  <c r="BU8" i="20"/>
  <c r="BT6" i="20"/>
  <c r="BM76" i="20"/>
  <c r="BM89" i="20" s="1"/>
  <c r="BL91" i="20"/>
  <c r="BL98" i="20"/>
  <c r="BN69" i="20"/>
  <c r="BN76" i="20" s="1"/>
  <c r="BO68" i="20"/>
  <c r="BO67" i="20"/>
  <c r="BO65" i="20"/>
  <c r="BO64" i="20" s="1"/>
  <c r="BO66" i="20"/>
  <c r="CC2" i="31"/>
  <c r="BW3" i="20"/>
  <c r="J70" i="23"/>
  <c r="BF106" i="20" s="1"/>
  <c r="BP43" i="20"/>
  <c r="BP63" i="20" s="1"/>
  <c r="BR72" i="20"/>
  <c r="BQ75" i="20"/>
  <c r="BV107" i="20"/>
  <c r="BW5" i="20"/>
  <c r="BV48" i="20"/>
  <c r="BV106" i="20"/>
  <c r="BV46" i="20"/>
  <c r="BV4" i="20"/>
  <c r="BV9" i="20" s="1"/>
  <c r="BV120" i="20"/>
  <c r="BV103" i="20"/>
  <c r="CC4" i="31"/>
  <c r="BV123" i="20"/>
  <c r="BV124" i="20" s="1"/>
  <c r="BU53" i="20"/>
  <c r="BU45" i="20"/>
  <c r="BU52" i="20" s="1"/>
  <c r="BU74" i="20"/>
  <c r="BU84" i="20"/>
  <c r="BU81" i="20"/>
  <c r="BU83" i="20"/>
  <c r="BU85" i="20"/>
  <c r="CB3" i="31"/>
  <c r="BU15" i="20"/>
  <c r="BU16" i="20"/>
  <c r="BU79" i="20"/>
  <c r="BU88" i="20"/>
  <c r="BU55" i="20"/>
  <c r="BU57" i="20" s="1"/>
  <c r="BU17" i="20"/>
  <c r="BU14" i="20"/>
  <c r="BU56" i="20"/>
  <c r="BU49" i="20" a="1"/>
  <c r="BU49" i="20" s="1"/>
  <c r="BU50" i="20" s="1"/>
  <c r="BU73" i="20"/>
  <c r="BT58" i="20"/>
  <c r="BT59" i="20" s="1"/>
  <c r="BT52" i="20"/>
  <c r="E83" i="25"/>
  <c r="G83" i="25" s="1"/>
  <c r="J83" i="25" s="1"/>
  <c r="D84" i="25" s="1"/>
  <c r="BV13" i="20" l="1"/>
  <c r="BV10" i="20"/>
  <c r="BV11" i="20"/>
  <c r="BV12" i="20"/>
  <c r="BV8" i="20"/>
  <c r="BU6" i="20"/>
  <c r="BM91" i="20"/>
  <c r="BM98" i="20"/>
  <c r="BN70" i="20"/>
  <c r="BO69" i="20"/>
  <c r="BO76" i="20" s="1"/>
  <c r="BN98" i="20"/>
  <c r="BN91" i="20"/>
  <c r="BN89" i="20"/>
  <c r="BP66" i="20"/>
  <c r="BP67" i="20"/>
  <c r="BP68" i="20"/>
  <c r="BP65" i="20"/>
  <c r="BP64" i="20" s="1"/>
  <c r="BX3" i="20"/>
  <c r="CD2" i="31"/>
  <c r="H70" i="23"/>
  <c r="L70" i="23" s="1"/>
  <c r="E71" i="23" s="1"/>
  <c r="F71" i="23" s="1"/>
  <c r="J71" i="23" s="1"/>
  <c r="BG106" i="20" s="1"/>
  <c r="BQ43" i="20"/>
  <c r="BQ63" i="20" s="1"/>
  <c r="BS72" i="20"/>
  <c r="BR75" i="20"/>
  <c r="BV74" i="20"/>
  <c r="BV84" i="20"/>
  <c r="BV85" i="20"/>
  <c r="BV83" i="20"/>
  <c r="BV81" i="20"/>
  <c r="BV56" i="20"/>
  <c r="BV73" i="20"/>
  <c r="BV15" i="20"/>
  <c r="BV17" i="20"/>
  <c r="BV79" i="20"/>
  <c r="BV16" i="20"/>
  <c r="CC3" i="31"/>
  <c r="BV49" i="20" a="1"/>
  <c r="BV49" i="20" s="1"/>
  <c r="BV50" i="20" s="1"/>
  <c r="BV14" i="20"/>
  <c r="BV55" i="20"/>
  <c r="BV57" i="20" s="1"/>
  <c r="BV88" i="20"/>
  <c r="BV53" i="20"/>
  <c r="BV45" i="20"/>
  <c r="BV52" i="20" s="1"/>
  <c r="E84" i="25"/>
  <c r="G84" i="25" s="1"/>
  <c r="J84" i="25" s="1"/>
  <c r="D85" i="25" s="1"/>
  <c r="BU58" i="20"/>
  <c r="BU59" i="20" s="1"/>
  <c r="BW4" i="20"/>
  <c r="BW9" i="20" s="1"/>
  <c r="BW106" i="20"/>
  <c r="CD4" i="31"/>
  <c r="BW107" i="20"/>
  <c r="BW48" i="20"/>
  <c r="BW123" i="20"/>
  <c r="BW124" i="20" s="1"/>
  <c r="BW46" i="20"/>
  <c r="BW120" i="20"/>
  <c r="BW103" i="20"/>
  <c r="BX5" i="20"/>
  <c r="BW12" i="20" l="1"/>
  <c r="BW11" i="20"/>
  <c r="BW10" i="20"/>
  <c r="BW8" i="20"/>
  <c r="BV6" i="20"/>
  <c r="BW13" i="20"/>
  <c r="BX13" i="20" s="1"/>
  <c r="BO70" i="20"/>
  <c r="BP69" i="20"/>
  <c r="BP70" i="20" s="1"/>
  <c r="BO91" i="20"/>
  <c r="BO89" i="20"/>
  <c r="BO98" i="20"/>
  <c r="BQ65" i="20"/>
  <c r="BQ64" i="20" s="1"/>
  <c r="BQ68" i="20"/>
  <c r="BQ67" i="20"/>
  <c r="BQ66" i="20"/>
  <c r="BY3" i="20"/>
  <c r="CE2" i="31"/>
  <c r="H71" i="23"/>
  <c r="L71" i="23" s="1"/>
  <c r="E72" i="23" s="1"/>
  <c r="F72" i="23" s="1"/>
  <c r="J72" i="23" s="1"/>
  <c r="BH106" i="20" s="1"/>
  <c r="BR43" i="20"/>
  <c r="BR63" i="20" s="1"/>
  <c r="BS75" i="20"/>
  <c r="BT72" i="20"/>
  <c r="BV58" i="20"/>
  <c r="BV59" i="20" s="1"/>
  <c r="BY5" i="20"/>
  <c r="BX48" i="20"/>
  <c r="CE4" i="31"/>
  <c r="BX107" i="20"/>
  <c r="BX106" i="20"/>
  <c r="BX123" i="20"/>
  <c r="BX124" i="20" s="1"/>
  <c r="BX120" i="20"/>
  <c r="BX46" i="20"/>
  <c r="BX4" i="20"/>
  <c r="BX9" i="20" s="1"/>
  <c r="BX103" i="20"/>
  <c r="E85" i="25"/>
  <c r="G85" i="25" s="1"/>
  <c r="J85" i="25" s="1"/>
  <c r="D86" i="25" s="1"/>
  <c r="BW53" i="20"/>
  <c r="BW45" i="20"/>
  <c r="BW74" i="20"/>
  <c r="BW85" i="20"/>
  <c r="BW84" i="20"/>
  <c r="BW81" i="20"/>
  <c r="BW83" i="20"/>
  <c r="CD3" i="31"/>
  <c r="BW49" i="20" a="1"/>
  <c r="BW49" i="20" s="1"/>
  <c r="BW50" i="20" s="1"/>
  <c r="BW17" i="20"/>
  <c r="BW14" i="20"/>
  <c r="BW73" i="20"/>
  <c r="BW88" i="20"/>
  <c r="BW79" i="20"/>
  <c r="BW15" i="20"/>
  <c r="BW56" i="20"/>
  <c r="BW55" i="20"/>
  <c r="BW57" i="20" s="1"/>
  <c r="BW16" i="20"/>
  <c r="BX10" i="20" l="1"/>
  <c r="BX8" i="20"/>
  <c r="BW6" i="20"/>
  <c r="BX11" i="20"/>
  <c r="BX12" i="20"/>
  <c r="BP76" i="20"/>
  <c r="BP89" i="20" s="1"/>
  <c r="BQ69" i="20"/>
  <c r="BQ70" i="20" s="1"/>
  <c r="BR65" i="20"/>
  <c r="BR64" i="20" s="1"/>
  <c r="BR67" i="20"/>
  <c r="BR66" i="20"/>
  <c r="BR68" i="20"/>
  <c r="CF2" i="31"/>
  <c r="BZ3" i="20"/>
  <c r="H72" i="23"/>
  <c r="L72" i="23" s="1"/>
  <c r="E73" i="23" s="1"/>
  <c r="F73" i="23" s="1"/>
  <c r="J73" i="23" s="1"/>
  <c r="BS43" i="20"/>
  <c r="BS63" i="20" s="1"/>
  <c r="BT75" i="20"/>
  <c r="BU72" i="20"/>
  <c r="BX74" i="20"/>
  <c r="BX85" i="20"/>
  <c r="BX81" i="20"/>
  <c r="BX84" i="20"/>
  <c r="BX83" i="20"/>
  <c r="BX55" i="20"/>
  <c r="BX57" i="20" s="1"/>
  <c r="BX15" i="20"/>
  <c r="CE3" i="31"/>
  <c r="BX14" i="20"/>
  <c r="BX49" i="20" a="1"/>
  <c r="BX49" i="20" s="1"/>
  <c r="BX50" i="20" s="1"/>
  <c r="BX79" i="20"/>
  <c r="BX16" i="20"/>
  <c r="BX56" i="20"/>
  <c r="BX88" i="20"/>
  <c r="BX17" i="20"/>
  <c r="BX73" i="20"/>
  <c r="BY123" i="20"/>
  <c r="BY124" i="20" s="1"/>
  <c r="BZ5" i="20"/>
  <c r="BY46" i="20"/>
  <c r="BY48" i="20"/>
  <c r="BY106" i="20"/>
  <c r="CF4" i="31"/>
  <c r="BY120" i="20"/>
  <c r="BY107" i="20"/>
  <c r="BY103" i="20"/>
  <c r="BY4" i="20"/>
  <c r="BY9" i="20" s="1"/>
  <c r="BX53" i="20"/>
  <c r="BX45" i="20"/>
  <c r="BX52" i="20" s="1"/>
  <c r="BW58" i="20"/>
  <c r="BW59" i="20" s="1"/>
  <c r="E86" i="25"/>
  <c r="G86" i="25" s="1"/>
  <c r="J86" i="25" s="1"/>
  <c r="D87" i="25" s="1"/>
  <c r="BW52" i="20"/>
  <c r="BY11" i="20" l="1"/>
  <c r="BY13" i="20"/>
  <c r="BY10" i="20"/>
  <c r="BZ10" i="20" s="1"/>
  <c r="BY12" i="20"/>
  <c r="BZ12" i="20" s="1"/>
  <c r="BY8" i="20"/>
  <c r="BX6" i="20"/>
  <c r="BP98" i="20"/>
  <c r="BQ76" i="20"/>
  <c r="BQ98" i="20" s="1"/>
  <c r="BP91" i="20"/>
  <c r="BR69" i="20"/>
  <c r="BR70" i="20" s="1"/>
  <c r="BS65" i="20"/>
  <c r="BS64" i="20" s="1"/>
  <c r="BS68" i="20"/>
  <c r="BS67" i="20"/>
  <c r="BS66" i="20"/>
  <c r="CG2" i="31"/>
  <c r="CA3" i="20"/>
  <c r="BI106" i="20"/>
  <c r="H73" i="23"/>
  <c r="L73" i="23" s="1"/>
  <c r="E74" i="23" s="1"/>
  <c r="F74" i="23" s="1"/>
  <c r="J74" i="23" s="1"/>
  <c r="BJ106" i="20" s="1"/>
  <c r="BT43" i="20"/>
  <c r="BT63" i="20" s="1"/>
  <c r="BU75" i="20"/>
  <c r="BV72" i="20"/>
  <c r="E87" i="25"/>
  <c r="G87" i="25" s="1"/>
  <c r="J87" i="25" s="1"/>
  <c r="D88" i="25" s="1"/>
  <c r="CG4" i="31"/>
  <c r="BZ107" i="20"/>
  <c r="BZ103" i="20"/>
  <c r="BZ120" i="20"/>
  <c r="CA5" i="20"/>
  <c r="BZ106" i="20"/>
  <c r="BZ46" i="20"/>
  <c r="BZ48" i="20"/>
  <c r="BZ123" i="20"/>
  <c r="BZ124" i="20" s="1"/>
  <c r="BZ4" i="20"/>
  <c r="BZ9" i="20" s="1"/>
  <c r="BY74" i="20"/>
  <c r="BY85" i="20"/>
  <c r="BY81" i="20"/>
  <c r="BY83" i="20"/>
  <c r="BY84" i="20"/>
  <c r="BY56" i="20"/>
  <c r="BY73" i="20"/>
  <c r="BY55" i="20"/>
  <c r="BY57" i="20" s="1"/>
  <c r="BY16" i="20"/>
  <c r="BY88" i="20"/>
  <c r="BY49" i="20" a="1"/>
  <c r="BY49" i="20" s="1"/>
  <c r="BY50" i="20" s="1"/>
  <c r="BY14" i="20"/>
  <c r="BY15" i="20"/>
  <c r="BY79" i="20"/>
  <c r="CF3" i="31"/>
  <c r="BY17" i="20"/>
  <c r="BY53" i="20"/>
  <c r="BY45" i="20"/>
  <c r="BY52" i="20" s="1"/>
  <c r="BX58" i="20"/>
  <c r="BX59" i="20" s="1"/>
  <c r="BZ8" i="20" l="1"/>
  <c r="BY6" i="20"/>
  <c r="BZ13" i="20"/>
  <c r="BZ11" i="20"/>
  <c r="BQ91" i="20"/>
  <c r="BQ89" i="20"/>
  <c r="BR76" i="20"/>
  <c r="BR98" i="20" s="1"/>
  <c r="BS69" i="20"/>
  <c r="BS76" i="20" s="1"/>
  <c r="BT67" i="20"/>
  <c r="BT66" i="20"/>
  <c r="BT65" i="20"/>
  <c r="BT64" i="20" s="1"/>
  <c r="BT68" i="20"/>
  <c r="CB3" i="20"/>
  <c r="CH2" i="31"/>
  <c r="H74" i="23"/>
  <c r="L74" i="23" s="1"/>
  <c r="E75" i="23" s="1"/>
  <c r="F75" i="23" s="1"/>
  <c r="J75" i="23" s="1"/>
  <c r="BK106" i="20" s="1"/>
  <c r="BY58" i="20"/>
  <c r="BY59" i="20" s="1"/>
  <c r="BU43" i="20"/>
  <c r="BU63" i="20" s="1"/>
  <c r="BV75" i="20"/>
  <c r="BW72" i="20"/>
  <c r="E88" i="25"/>
  <c r="G88" i="25" s="1"/>
  <c r="J88" i="25" s="1"/>
  <c r="D89" i="25" s="1"/>
  <c r="BZ45" i="20"/>
  <c r="BZ53" i="20"/>
  <c r="BZ74" i="20"/>
  <c r="BZ85" i="20"/>
  <c r="BZ81" i="20"/>
  <c r="BZ84" i="20"/>
  <c r="BZ83" i="20"/>
  <c r="BZ14" i="20"/>
  <c r="BZ56" i="20"/>
  <c r="BZ17" i="20"/>
  <c r="BZ55" i="20"/>
  <c r="BZ57" i="20" s="1"/>
  <c r="CG3" i="31"/>
  <c r="BZ15" i="20"/>
  <c r="BZ73" i="20"/>
  <c r="BZ16" i="20"/>
  <c r="BZ88" i="20"/>
  <c r="BZ49" i="20" a="1"/>
  <c r="BZ49" i="20" s="1"/>
  <c r="BZ50" i="20" s="1"/>
  <c r="BZ79" i="20"/>
  <c r="CB5" i="20"/>
  <c r="CA48" i="20"/>
  <c r="CA106" i="20"/>
  <c r="CA103" i="20"/>
  <c r="CA46" i="20"/>
  <c r="CA123" i="20"/>
  <c r="CA124" i="20" s="1"/>
  <c r="CH4" i="31"/>
  <c r="CA4" i="20"/>
  <c r="CA9" i="20" s="1"/>
  <c r="CA107" i="20"/>
  <c r="CA120" i="20"/>
  <c r="CA11" i="20" l="1"/>
  <c r="CA13" i="20"/>
  <c r="CA10" i="20"/>
  <c r="CA12" i="20"/>
  <c r="CA8" i="20"/>
  <c r="BZ6" i="20"/>
  <c r="BS70" i="20"/>
  <c r="BR91" i="20"/>
  <c r="BR89" i="20"/>
  <c r="BT69" i="20"/>
  <c r="BT76" i="20" s="1"/>
  <c r="BS98" i="20"/>
  <c r="BS91" i="20"/>
  <c r="BS89" i="20"/>
  <c r="BU68" i="20"/>
  <c r="BU65" i="20"/>
  <c r="BU64" i="20" s="1"/>
  <c r="BU66" i="20"/>
  <c r="BU67" i="20"/>
  <c r="CI2" i="31"/>
  <c r="CC3" i="20"/>
  <c r="H75" i="23"/>
  <c r="L75" i="23" s="1"/>
  <c r="E76" i="23" s="1"/>
  <c r="F76" i="23" s="1"/>
  <c r="J76" i="23" s="1"/>
  <c r="BL106" i="20" s="1"/>
  <c r="BV43" i="20"/>
  <c r="BV63" i="20" s="1"/>
  <c r="BW75" i="20"/>
  <c r="BX72" i="20"/>
  <c r="E89" i="25"/>
  <c r="G89" i="25" s="1"/>
  <c r="J89" i="25" s="1"/>
  <c r="D90" i="25" s="1"/>
  <c r="CB4" i="20"/>
  <c r="CB9" i="20" s="1"/>
  <c r="CB103" i="20"/>
  <c r="CC5" i="20"/>
  <c r="CB48" i="20"/>
  <c r="CI4" i="31"/>
  <c r="CB106" i="20"/>
  <c r="CB123" i="20"/>
  <c r="CB124" i="20" s="1"/>
  <c r="CB46" i="20"/>
  <c r="CB120" i="20"/>
  <c r="CB107" i="20"/>
  <c r="BZ58" i="20"/>
  <c r="BZ59" i="20" s="1"/>
  <c r="CA74" i="20"/>
  <c r="CA85" i="20"/>
  <c r="CA81" i="20"/>
  <c r="CA84" i="20"/>
  <c r="CA83" i="20"/>
  <c r="CA16" i="20"/>
  <c r="CA79" i="20"/>
  <c r="CA49" i="20" a="1"/>
  <c r="CA49" i="20" s="1"/>
  <c r="CA50" i="20" s="1"/>
  <c r="CH3" i="31"/>
  <c r="CA88" i="20"/>
  <c r="CA55" i="20"/>
  <c r="CA57" i="20" s="1"/>
  <c r="CA17" i="20"/>
  <c r="CA56" i="20"/>
  <c r="CA14" i="20"/>
  <c r="CA73" i="20"/>
  <c r="CA15" i="20"/>
  <c r="BZ52" i="20"/>
  <c r="CA45" i="20"/>
  <c r="CA52" i="20" s="1"/>
  <c r="CA53" i="20"/>
  <c r="CB11" i="20" l="1"/>
  <c r="CB12" i="20"/>
  <c r="CB10" i="20"/>
  <c r="CB13" i="20"/>
  <c r="CB8" i="20"/>
  <c r="CA6" i="20"/>
  <c r="BT70" i="20"/>
  <c r="BU69" i="20"/>
  <c r="BU76" i="20" s="1"/>
  <c r="BT89" i="20"/>
  <c r="BT91" i="20"/>
  <c r="BT98" i="20"/>
  <c r="BV65" i="20"/>
  <c r="BV64" i="20" s="1"/>
  <c r="BV67" i="20"/>
  <c r="BV66" i="20"/>
  <c r="BV68" i="20"/>
  <c r="CD3" i="20"/>
  <c r="CJ2" i="31"/>
  <c r="H76" i="23"/>
  <c r="L76" i="23" s="1"/>
  <c r="P11" i="19" s="1"/>
  <c r="P13" i="19" s="1"/>
  <c r="BW43" i="20"/>
  <c r="BW63" i="20" s="1"/>
  <c r="BX75" i="20"/>
  <c r="BY72" i="20"/>
  <c r="CB74" i="20"/>
  <c r="CB85" i="20"/>
  <c r="CB83" i="20"/>
  <c r="CB84" i="20"/>
  <c r="CB81" i="20"/>
  <c r="CI3" i="31"/>
  <c r="CB15" i="20"/>
  <c r="CB16" i="20"/>
  <c r="CB49" i="20" a="1"/>
  <c r="CB49" i="20" s="1"/>
  <c r="CB50" i="20" s="1"/>
  <c r="CB88" i="20"/>
  <c r="CB56" i="20"/>
  <c r="CB73" i="20"/>
  <c r="CB55" i="20"/>
  <c r="CB57" i="20" s="1"/>
  <c r="CB17" i="20"/>
  <c r="CB14" i="20"/>
  <c r="CB79" i="20"/>
  <c r="CB53" i="20"/>
  <c r="CB45" i="20"/>
  <c r="CB52" i="20" s="1"/>
  <c r="CA58" i="20"/>
  <c r="CA59" i="20" s="1"/>
  <c r="CC46" i="20"/>
  <c r="CC123" i="20"/>
  <c r="CC124" i="20" s="1"/>
  <c r="CJ4" i="31"/>
  <c r="CC107" i="20"/>
  <c r="CC4" i="20"/>
  <c r="CC9" i="20" s="1"/>
  <c r="CC106" i="20"/>
  <c r="CD5" i="20"/>
  <c r="CC120" i="20"/>
  <c r="CC103" i="20"/>
  <c r="CC48" i="20"/>
  <c r="E90" i="25"/>
  <c r="G90" i="25" s="1"/>
  <c r="J90" i="25" s="1"/>
  <c r="D91" i="25" s="1"/>
  <c r="CC8" i="20" l="1"/>
  <c r="CB6" i="20"/>
  <c r="CC13" i="20"/>
  <c r="CC10" i="20"/>
  <c r="CC12" i="20"/>
  <c r="CC11" i="20"/>
  <c r="BU70" i="20"/>
  <c r="BV69" i="20"/>
  <c r="BV76" i="20" s="1"/>
  <c r="BW67" i="20"/>
  <c r="BW65" i="20"/>
  <c r="BW64" i="20" s="1"/>
  <c r="BW66" i="20"/>
  <c r="BW68" i="20"/>
  <c r="BU89" i="20"/>
  <c r="BU91" i="20"/>
  <c r="BU98" i="20"/>
  <c r="CK2" i="31"/>
  <c r="CE3" i="20"/>
  <c r="E77" i="23"/>
  <c r="F77" i="23" s="1"/>
  <c r="H77" i="23" s="1"/>
  <c r="L77" i="23" s="1"/>
  <c r="E78" i="23" s="1"/>
  <c r="F78" i="23" s="1"/>
  <c r="H78" i="23" s="1"/>
  <c r="L78" i="23" s="1"/>
  <c r="E79" i="23" s="1"/>
  <c r="F79" i="23" s="1"/>
  <c r="H79" i="23" s="1"/>
  <c r="L79" i="23" s="1"/>
  <c r="E80" i="23" s="1"/>
  <c r="F80" i="23" s="1"/>
  <c r="H80" i="23" s="1"/>
  <c r="L80" i="23" s="1"/>
  <c r="E81" i="23" s="1"/>
  <c r="F81" i="23" s="1"/>
  <c r="H81" i="23" s="1"/>
  <c r="L81" i="23" s="1"/>
  <c r="E82" i="23" s="1"/>
  <c r="F82" i="23" s="1"/>
  <c r="H82" i="23" s="1"/>
  <c r="L82" i="23" s="1"/>
  <c r="E83" i="23" s="1"/>
  <c r="F83" i="23" s="1"/>
  <c r="H83" i="23" s="1"/>
  <c r="L83" i="23" s="1"/>
  <c r="E84" i="23" s="1"/>
  <c r="F84" i="23" s="1"/>
  <c r="H84" i="23" s="1"/>
  <c r="L84" i="23" s="1"/>
  <c r="E85" i="23" s="1"/>
  <c r="F85" i="23" s="1"/>
  <c r="H85" i="23" s="1"/>
  <c r="L85" i="23" s="1"/>
  <c r="E86" i="23" s="1"/>
  <c r="F86" i="23" s="1"/>
  <c r="H86" i="23" s="1"/>
  <c r="L86" i="23" s="1"/>
  <c r="E87" i="23" s="1"/>
  <c r="F87" i="23" s="1"/>
  <c r="H87" i="23" s="1"/>
  <c r="L87" i="23" s="1"/>
  <c r="E88" i="23" s="1"/>
  <c r="F88" i="23" s="1"/>
  <c r="H88" i="23" s="1"/>
  <c r="L88" i="23" s="1"/>
  <c r="E89" i="23" s="1"/>
  <c r="F89" i="23" s="1"/>
  <c r="H89" i="23" s="1"/>
  <c r="L89" i="23" s="1"/>
  <c r="E90" i="23" s="1"/>
  <c r="F90" i="23" s="1"/>
  <c r="H90" i="23" s="1"/>
  <c r="L90" i="23" s="1"/>
  <c r="E91" i="23" s="1"/>
  <c r="F91" i="23" s="1"/>
  <c r="H91" i="23" s="1"/>
  <c r="L91" i="23" s="1"/>
  <c r="E92" i="23" s="1"/>
  <c r="F92" i="23" s="1"/>
  <c r="H92" i="23" s="1"/>
  <c r="L92" i="23" s="1"/>
  <c r="E93" i="23" s="1"/>
  <c r="F93" i="23" s="1"/>
  <c r="H93" i="23" s="1"/>
  <c r="L93" i="23" s="1"/>
  <c r="E94" i="23" s="1"/>
  <c r="BX43" i="20"/>
  <c r="BX63" i="20" s="1"/>
  <c r="CB58" i="20"/>
  <c r="CB59" i="20" s="1"/>
  <c r="BY75" i="20"/>
  <c r="BZ72" i="20"/>
  <c r="CC53" i="20"/>
  <c r="CC45" i="20"/>
  <c r="CC52" i="20" s="1"/>
  <c r="CD120" i="20"/>
  <c r="CD4" i="20"/>
  <c r="CD9" i="20" s="1"/>
  <c r="CD106" i="20"/>
  <c r="CK4" i="31"/>
  <c r="CD107" i="20"/>
  <c r="CD48" i="20"/>
  <c r="CD46" i="20"/>
  <c r="CD103" i="20"/>
  <c r="CD123" i="20"/>
  <c r="CD124" i="20" s="1"/>
  <c r="CE5" i="20"/>
  <c r="E91" i="25"/>
  <c r="G91" i="25" s="1"/>
  <c r="J91" i="25" s="1"/>
  <c r="D92" i="25" s="1"/>
  <c r="CC74" i="20"/>
  <c r="CC85" i="20"/>
  <c r="CC83" i="20"/>
  <c r="CC84" i="20"/>
  <c r="CC81" i="20"/>
  <c r="CC14" i="20"/>
  <c r="CC17" i="20"/>
  <c r="CC56" i="20"/>
  <c r="CC73" i="20"/>
  <c r="CJ3" i="31"/>
  <c r="CC49" i="20" a="1"/>
  <c r="CC49" i="20" s="1"/>
  <c r="CC50" i="20" s="1"/>
  <c r="CC15" i="20"/>
  <c r="CC79" i="20"/>
  <c r="CC55" i="20"/>
  <c r="CC57" i="20" s="1"/>
  <c r="CC88" i="20"/>
  <c r="CC16" i="20"/>
  <c r="CD11" i="20" l="1"/>
  <c r="CD12" i="20"/>
  <c r="CD10" i="20"/>
  <c r="CD13" i="20"/>
  <c r="CD8" i="20"/>
  <c r="CC6" i="20"/>
  <c r="BV70" i="20"/>
  <c r="BW69" i="20"/>
  <c r="BW70" i="20" s="1"/>
  <c r="BX68" i="20"/>
  <c r="BX67" i="20"/>
  <c r="BX66" i="20"/>
  <c r="BX65" i="20"/>
  <c r="BX64" i="20" s="1"/>
  <c r="BV98" i="20"/>
  <c r="BV89" i="20"/>
  <c r="BV91" i="20"/>
  <c r="CF3" i="20"/>
  <c r="CL2" i="31"/>
  <c r="CC58" i="20"/>
  <c r="CC59" i="20" s="1"/>
  <c r="F94" i="23"/>
  <c r="H94" i="23" s="1"/>
  <c r="L94" i="23" s="1"/>
  <c r="E95" i="23" s="1"/>
  <c r="BY43" i="20"/>
  <c r="BY63" i="20" s="1"/>
  <c r="CA72" i="20"/>
  <c r="BZ75" i="20"/>
  <c r="CE123" i="20"/>
  <c r="CE124" i="20" s="1"/>
  <c r="CE48" i="20"/>
  <c r="CL4" i="31"/>
  <c r="CE106" i="20"/>
  <c r="CF5" i="20"/>
  <c r="CE103" i="20"/>
  <c r="CE107" i="20"/>
  <c r="CE46" i="20"/>
  <c r="CE120" i="20"/>
  <c r="CE4" i="20"/>
  <c r="CE9" i="20" s="1"/>
  <c r="E92" i="25"/>
  <c r="G92" i="25" s="1"/>
  <c r="J92" i="25" s="1"/>
  <c r="D93" i="25" s="1"/>
  <c r="CD53" i="20"/>
  <c r="CD45" i="20"/>
  <c r="CD52" i="20" s="1"/>
  <c r="CD74" i="20"/>
  <c r="CD83" i="20"/>
  <c r="CD85" i="20"/>
  <c r="CD84" i="20"/>
  <c r="CD81" i="20"/>
  <c r="CK3" i="31"/>
  <c r="CD15" i="20"/>
  <c r="CD17" i="20"/>
  <c r="CD55" i="20"/>
  <c r="CD57" i="20" s="1"/>
  <c r="CD14" i="20"/>
  <c r="CD56" i="20"/>
  <c r="CD49" i="20" a="1"/>
  <c r="CD49" i="20" s="1"/>
  <c r="CD50" i="20" s="1"/>
  <c r="CD16" i="20"/>
  <c r="CD88" i="20"/>
  <c r="CD73" i="20"/>
  <c r="CD79" i="20"/>
  <c r="CE13" i="20" l="1"/>
  <c r="CE10" i="20"/>
  <c r="CE11" i="20"/>
  <c r="CE8" i="20"/>
  <c r="CD6" i="20"/>
  <c r="CE12" i="20"/>
  <c r="BW76" i="20"/>
  <c r="BW98" i="20" s="1"/>
  <c r="BX69" i="20"/>
  <c r="BX70" i="20" s="1"/>
  <c r="BY66" i="20"/>
  <c r="BY68" i="20"/>
  <c r="BY65" i="20"/>
  <c r="BY64" i="20" s="1"/>
  <c r="BY67" i="20"/>
  <c r="CG3" i="20"/>
  <c r="CM2" i="31"/>
  <c r="CD58" i="20"/>
  <c r="CD59" i="20" s="1"/>
  <c r="F95" i="23"/>
  <c r="H95" i="23" s="1"/>
  <c r="L95" i="23" s="1"/>
  <c r="E96" i="23" s="1"/>
  <c r="BZ43" i="20"/>
  <c r="BZ63" i="20" s="1"/>
  <c r="CB72" i="20"/>
  <c r="CA75" i="20"/>
  <c r="E93" i="25"/>
  <c r="G93" i="25" s="1"/>
  <c r="J93" i="25" s="1"/>
  <c r="D94" i="25" s="1"/>
  <c r="CF106" i="20"/>
  <c r="CF48" i="20"/>
  <c r="CM4" i="31"/>
  <c r="CG5" i="20"/>
  <c r="CF123" i="20"/>
  <c r="CF124" i="20" s="1"/>
  <c r="CF103" i="20"/>
  <c r="CF46" i="20"/>
  <c r="CF107" i="20"/>
  <c r="CF120" i="20"/>
  <c r="CF4" i="20"/>
  <c r="CF9" i="20" s="1"/>
  <c r="CE74" i="20"/>
  <c r="CE81" i="20"/>
  <c r="CE84" i="20"/>
  <c r="CE83" i="20"/>
  <c r="CE85" i="20"/>
  <c r="CE15" i="20"/>
  <c r="CE49" i="20" a="1"/>
  <c r="CE49" i="20" s="1"/>
  <c r="CE50" i="20" s="1"/>
  <c r="CE16" i="20"/>
  <c r="CE79" i="20"/>
  <c r="CE55" i="20"/>
  <c r="CE57" i="20" s="1"/>
  <c r="CE14" i="20"/>
  <c r="CE56" i="20"/>
  <c r="CE17" i="20"/>
  <c r="CL3" i="31"/>
  <c r="CE73" i="20"/>
  <c r="CE88" i="20"/>
  <c r="CE45" i="20"/>
  <c r="CE53" i="20"/>
  <c r="CF12" i="20" l="1"/>
  <c r="CF11" i="20"/>
  <c r="CF8" i="20"/>
  <c r="CE6" i="20"/>
  <c r="CF10" i="20"/>
  <c r="CG10" i="20" s="1"/>
  <c r="CF13" i="20"/>
  <c r="CG13" i="20" s="1"/>
  <c r="BW91" i="20"/>
  <c r="BW89" i="20"/>
  <c r="BX76" i="20"/>
  <c r="BX98" i="20" s="1"/>
  <c r="BY69" i="20"/>
  <c r="BY70" i="20" s="1"/>
  <c r="BZ67" i="20"/>
  <c r="BZ65" i="20"/>
  <c r="BZ64" i="20" s="1"/>
  <c r="BZ66" i="20"/>
  <c r="BZ68" i="20"/>
  <c r="CH3" i="20"/>
  <c r="CN2" i="31"/>
  <c r="CE58" i="20"/>
  <c r="CE59" i="20" s="1"/>
  <c r="F96" i="23"/>
  <c r="H96" i="23" s="1"/>
  <c r="L96" i="23" s="1"/>
  <c r="E97" i="23" s="1"/>
  <c r="CA43" i="20"/>
  <c r="CA63" i="20" s="1"/>
  <c r="CB75" i="20"/>
  <c r="CC72" i="20"/>
  <c r="E94" i="25"/>
  <c r="G94" i="25" s="1"/>
  <c r="J94" i="25" s="1"/>
  <c r="D95" i="25" s="1"/>
  <c r="CF45" i="20"/>
  <c r="CF52" i="20" s="1"/>
  <c r="CF53" i="20"/>
  <c r="CG4" i="20"/>
  <c r="CG9" i="20" s="1"/>
  <c r="CG106" i="20"/>
  <c r="CG107" i="20"/>
  <c r="CG46" i="20"/>
  <c r="CG120" i="20"/>
  <c r="CG48" i="20"/>
  <c r="CH5" i="20"/>
  <c r="CG123" i="20"/>
  <c r="CG124" i="20" s="1"/>
  <c r="CG103" i="20"/>
  <c r="CN4" i="31"/>
  <c r="CE52" i="20"/>
  <c r="CF81" i="20"/>
  <c r="CF84" i="20"/>
  <c r="CF74" i="20"/>
  <c r="CF83" i="20"/>
  <c r="CF85" i="20"/>
  <c r="CF17" i="20"/>
  <c r="CF55" i="20"/>
  <c r="CF57" i="20" s="1"/>
  <c r="CF49" i="20" a="1"/>
  <c r="CF49" i="20" s="1"/>
  <c r="CF50" i="20" s="1"/>
  <c r="CF16" i="20"/>
  <c r="CF14" i="20"/>
  <c r="CF73" i="20"/>
  <c r="CF88" i="20"/>
  <c r="CM3" i="31"/>
  <c r="CF15" i="20"/>
  <c r="CF79" i="20"/>
  <c r="CF56" i="20"/>
  <c r="CG12" i="20" l="1"/>
  <c r="CG11" i="20"/>
  <c r="CG8" i="20"/>
  <c r="CF6" i="20"/>
  <c r="BX91" i="20"/>
  <c r="BX89" i="20"/>
  <c r="BY76" i="20"/>
  <c r="BY89" i="20" s="1"/>
  <c r="BZ69" i="20"/>
  <c r="BZ70" i="20" s="1"/>
  <c r="CA67" i="20"/>
  <c r="CA65" i="20"/>
  <c r="CA64" i="20" s="1"/>
  <c r="CA68" i="20"/>
  <c r="CA66" i="20"/>
  <c r="CI3" i="20"/>
  <c r="CO2" i="31"/>
  <c r="CF58" i="20"/>
  <c r="CF59" i="20" s="1"/>
  <c r="F97" i="23"/>
  <c r="H97" i="23" s="1"/>
  <c r="L97" i="23" s="1"/>
  <c r="E98" i="23" s="1"/>
  <c r="CB43" i="20"/>
  <c r="CB63" i="20" s="1"/>
  <c r="CD72" i="20"/>
  <c r="CC75" i="20"/>
  <c r="E95" i="25"/>
  <c r="G95" i="25" s="1"/>
  <c r="J95" i="25" s="1"/>
  <c r="D96" i="25" s="1"/>
  <c r="CG74" i="20"/>
  <c r="CG85" i="20"/>
  <c r="CG81" i="20"/>
  <c r="CG84" i="20"/>
  <c r="CG83" i="20"/>
  <c r="CG56" i="20"/>
  <c r="CG16" i="20"/>
  <c r="CG17" i="20"/>
  <c r="CG49" i="20" a="1"/>
  <c r="CG49" i="20" s="1"/>
  <c r="CG50" i="20" s="1"/>
  <c r="CG88" i="20"/>
  <c r="CG15" i="20"/>
  <c r="CN3" i="31"/>
  <c r="CG73" i="20"/>
  <c r="CG79" i="20"/>
  <c r="CG55" i="20"/>
  <c r="CG57" i="20" s="1"/>
  <c r="CG14" i="20"/>
  <c r="CH103" i="20"/>
  <c r="CH46" i="20"/>
  <c r="CH48" i="20"/>
  <c r="CH107" i="20"/>
  <c r="CI5" i="20"/>
  <c r="CO4" i="31"/>
  <c r="CH123" i="20"/>
  <c r="CH124" i="20" s="1"/>
  <c r="CH106" i="20"/>
  <c r="CH120" i="20"/>
  <c r="CH4" i="20"/>
  <c r="CH9" i="20" s="1"/>
  <c r="CG53" i="20"/>
  <c r="CG45" i="20"/>
  <c r="CG52" i="20" s="1"/>
  <c r="CH8" i="20" l="1"/>
  <c r="CG6" i="20"/>
  <c r="CH12" i="20"/>
  <c r="CH11" i="20"/>
  <c r="CH10" i="20"/>
  <c r="CH13" i="20"/>
  <c r="BY98" i="20"/>
  <c r="BY91" i="20"/>
  <c r="CA69" i="20"/>
  <c r="CA76" i="20" s="1"/>
  <c r="BZ76" i="20"/>
  <c r="BZ89" i="20" s="1"/>
  <c r="CB68" i="20"/>
  <c r="CB67" i="20"/>
  <c r="CB65" i="20"/>
  <c r="CB64" i="20" s="1"/>
  <c r="CB66" i="20"/>
  <c r="CP2" i="31"/>
  <c r="CJ3" i="20"/>
  <c r="F98" i="23"/>
  <c r="H98" i="23" s="1"/>
  <c r="L98" i="23" s="1"/>
  <c r="E99" i="23" s="1"/>
  <c r="CG58" i="20"/>
  <c r="CG59" i="20" s="1"/>
  <c r="CC43" i="20"/>
  <c r="CC63" i="20" s="1"/>
  <c r="CD75" i="20"/>
  <c r="CE72" i="20"/>
  <c r="CH45" i="20"/>
  <c r="CH52" i="20" s="1"/>
  <c r="CH53" i="20"/>
  <c r="CI120" i="20"/>
  <c r="CI103" i="20"/>
  <c r="CI106" i="20"/>
  <c r="CI107" i="20"/>
  <c r="CI4" i="20"/>
  <c r="CI9" i="20" s="1"/>
  <c r="CI46" i="20"/>
  <c r="CP4" i="31"/>
  <c r="CI48" i="20"/>
  <c r="CJ5" i="20"/>
  <c r="CI123" i="20"/>
  <c r="CI124" i="20" s="1"/>
  <c r="E96" i="25"/>
  <c r="G96" i="25" s="1"/>
  <c r="J96" i="25" s="1"/>
  <c r="D97" i="25" s="1"/>
  <c r="CH74" i="20"/>
  <c r="CH85" i="20"/>
  <c r="CH81" i="20"/>
  <c r="CH84" i="20"/>
  <c r="CH83" i="20"/>
  <c r="CH49" i="20" a="1"/>
  <c r="CH49" i="20" s="1"/>
  <c r="CH50" i="20" s="1"/>
  <c r="CH15" i="20"/>
  <c r="CH55" i="20"/>
  <c r="CH57" i="20" s="1"/>
  <c r="CH16" i="20"/>
  <c r="CH79" i="20"/>
  <c r="CH14" i="20"/>
  <c r="CH88" i="20"/>
  <c r="CO3" i="31"/>
  <c r="CH56" i="20"/>
  <c r="CH73" i="20"/>
  <c r="CH17" i="20"/>
  <c r="CI10" i="20" l="1"/>
  <c r="CI11" i="20"/>
  <c r="CI12" i="20"/>
  <c r="CI8" i="20"/>
  <c r="CH6" i="20"/>
  <c r="CI13" i="20"/>
  <c r="BZ91" i="20"/>
  <c r="CA70" i="20"/>
  <c r="BZ98" i="20"/>
  <c r="CB69" i="20"/>
  <c r="CB70" i="20" s="1"/>
  <c r="CC66" i="20"/>
  <c r="CC67" i="20"/>
  <c r="CC65" i="20"/>
  <c r="CC64" i="20" s="1"/>
  <c r="CC68" i="20"/>
  <c r="CA91" i="20"/>
  <c r="CA98" i="20"/>
  <c r="CA89" i="20"/>
  <c r="CK3" i="20"/>
  <c r="CQ2" i="31"/>
  <c r="CH58" i="20"/>
  <c r="CH59" i="20" s="1"/>
  <c r="F99" i="23"/>
  <c r="H99" i="23" s="1"/>
  <c r="L99" i="23" s="1"/>
  <c r="E100" i="23" s="1"/>
  <c r="CD43" i="20"/>
  <c r="CD63" i="20" s="1"/>
  <c r="CF72" i="20"/>
  <c r="CE75" i="20"/>
  <c r="CI74" i="20"/>
  <c r="CI85" i="20"/>
  <c r="CI81" i="20"/>
  <c r="CI84" i="20"/>
  <c r="CI83" i="20"/>
  <c r="CI15" i="20"/>
  <c r="CI14" i="20"/>
  <c r="CI16" i="20"/>
  <c r="CI73" i="20"/>
  <c r="CI56" i="20"/>
  <c r="CI49" i="20" a="1"/>
  <c r="CI49" i="20" s="1"/>
  <c r="CI50" i="20" s="1"/>
  <c r="CI55" i="20"/>
  <c r="CI57" i="20" s="1"/>
  <c r="CI88" i="20"/>
  <c r="CI17" i="20"/>
  <c r="CP3" i="31"/>
  <c r="CI79" i="20"/>
  <c r="E97" i="25"/>
  <c r="G97" i="25" s="1"/>
  <c r="J97" i="25" s="1"/>
  <c r="D98" i="25" s="1"/>
  <c r="CI45" i="20"/>
  <c r="CI52" i="20" s="1"/>
  <c r="CI53" i="20"/>
  <c r="CJ46" i="20"/>
  <c r="CJ48" i="20"/>
  <c r="CJ103" i="20"/>
  <c r="CJ107" i="20"/>
  <c r="CK5" i="20"/>
  <c r="CQ4" i="31"/>
  <c r="CJ120" i="20"/>
  <c r="CJ106" i="20"/>
  <c r="CJ4" i="20"/>
  <c r="CJ9" i="20" s="1"/>
  <c r="CJ123" i="20"/>
  <c r="CJ124" i="20" s="1"/>
  <c r="CJ13" i="20" l="1"/>
  <c r="CJ8" i="20"/>
  <c r="CI6" i="20"/>
  <c r="CJ12" i="20"/>
  <c r="CJ11" i="20"/>
  <c r="CJ10" i="20"/>
  <c r="CB76" i="20"/>
  <c r="CB91" i="20" s="1"/>
  <c r="CC69" i="20"/>
  <c r="CC70" i="20" s="1"/>
  <c r="CD68" i="20"/>
  <c r="CD67" i="20"/>
  <c r="CD65" i="20"/>
  <c r="CD64" i="20" s="1"/>
  <c r="CD66" i="20"/>
  <c r="CR2" i="31"/>
  <c r="CL3" i="20"/>
  <c r="F100" i="23"/>
  <c r="H100" i="23" s="1"/>
  <c r="L100" i="23" s="1"/>
  <c r="E101" i="23" s="1"/>
  <c r="CE43" i="20"/>
  <c r="CE63" i="20" s="1"/>
  <c r="CI58" i="20"/>
  <c r="CI59" i="20" s="1"/>
  <c r="CG72" i="20"/>
  <c r="CF75" i="20"/>
  <c r="E98" i="25"/>
  <c r="G98" i="25" s="1"/>
  <c r="J98" i="25" s="1"/>
  <c r="D99" i="25" s="1"/>
  <c r="CK103" i="20"/>
  <c r="CK46" i="20"/>
  <c r="CK106" i="20"/>
  <c r="CK107" i="20"/>
  <c r="CK120" i="20"/>
  <c r="CK123" i="20"/>
  <c r="CK124" i="20" s="1"/>
  <c r="CR4" i="31"/>
  <c r="CK4" i="20"/>
  <c r="CK9" i="20" s="1"/>
  <c r="CL5" i="20"/>
  <c r="CK48" i="20"/>
  <c r="CJ74" i="20"/>
  <c r="CJ85" i="20"/>
  <c r="CJ81" i="20"/>
  <c r="CJ83" i="20"/>
  <c r="CJ84" i="20"/>
  <c r="CJ17" i="20"/>
  <c r="CJ16" i="20"/>
  <c r="CJ49" i="20" a="1"/>
  <c r="CJ49" i="20" s="1"/>
  <c r="CJ50" i="20" s="1"/>
  <c r="CJ56" i="20"/>
  <c r="CJ14" i="20"/>
  <c r="CJ15" i="20"/>
  <c r="CJ79" i="20"/>
  <c r="CJ55" i="20"/>
  <c r="CJ57" i="20" s="1"/>
  <c r="CJ73" i="20"/>
  <c r="CQ3" i="31"/>
  <c r="CJ88" i="20"/>
  <c r="CJ53" i="20"/>
  <c r="CJ45" i="20"/>
  <c r="CJ52" i="20" s="1"/>
  <c r="CK10" i="20" l="1"/>
  <c r="CK13" i="20"/>
  <c r="CK12" i="20"/>
  <c r="CK11" i="20"/>
  <c r="CK8" i="20"/>
  <c r="CJ6" i="20"/>
  <c r="CB89" i="20"/>
  <c r="CB98" i="20"/>
  <c r="CC76" i="20"/>
  <c r="CC89" i="20" s="1"/>
  <c r="CD69" i="20"/>
  <c r="CD70" i="20" s="1"/>
  <c r="CE68" i="20"/>
  <c r="CE66" i="20"/>
  <c r="CE67" i="20"/>
  <c r="CE65" i="20"/>
  <c r="CE64" i="20" s="1"/>
  <c r="CS2" i="31"/>
  <c r="CM3" i="20"/>
  <c r="F101" i="23"/>
  <c r="H101" i="23" s="1"/>
  <c r="L101" i="23" s="1"/>
  <c r="E102" i="23" s="1"/>
  <c r="CF43" i="20"/>
  <c r="CF63" i="20" s="1"/>
  <c r="CH72" i="20"/>
  <c r="CG75" i="20"/>
  <c r="E99" i="25"/>
  <c r="G99" i="25" s="1"/>
  <c r="J99" i="25" s="1"/>
  <c r="D100" i="25" s="1"/>
  <c r="CK53" i="20"/>
  <c r="CK45" i="20"/>
  <c r="CJ58" i="20"/>
  <c r="CJ59" i="20" s="1"/>
  <c r="CK74" i="20"/>
  <c r="CK85" i="20"/>
  <c r="CK81" i="20"/>
  <c r="CK83" i="20"/>
  <c r="CK84" i="20"/>
  <c r="CR3" i="31"/>
  <c r="CK73" i="20"/>
  <c r="CK16" i="20"/>
  <c r="CK49" i="20" a="1"/>
  <c r="CK49" i="20" s="1"/>
  <c r="CK50" i="20" s="1"/>
  <c r="CK14" i="20"/>
  <c r="CK56" i="20"/>
  <c r="CK15" i="20"/>
  <c r="CK79" i="20"/>
  <c r="CK55" i="20"/>
  <c r="CK57" i="20" s="1"/>
  <c r="CK88" i="20"/>
  <c r="CK17" i="20"/>
  <c r="CL46" i="20"/>
  <c r="CL106" i="20"/>
  <c r="CM5" i="20"/>
  <c r="CL103" i="20"/>
  <c r="CS4" i="31"/>
  <c r="CL4" i="20"/>
  <c r="CL9" i="20" s="1"/>
  <c r="CL107" i="20"/>
  <c r="CL123" i="20"/>
  <c r="CL124" i="20" s="1"/>
  <c r="CL48" i="20"/>
  <c r="CL120" i="20"/>
  <c r="CL8" i="20" l="1"/>
  <c r="CK6" i="20"/>
  <c r="CL11" i="20"/>
  <c r="CL12" i="20"/>
  <c r="CL10" i="20"/>
  <c r="CL13" i="20"/>
  <c r="CC91" i="20"/>
  <c r="CC98" i="20"/>
  <c r="CD76" i="20"/>
  <c r="CD91" i="20" s="1"/>
  <c r="CE69" i="20"/>
  <c r="CE70" i="20" s="1"/>
  <c r="CF68" i="20"/>
  <c r="CF65" i="20"/>
  <c r="CF64" i="20" s="1"/>
  <c r="CF66" i="20"/>
  <c r="CF67" i="20"/>
  <c r="CN3" i="20"/>
  <c r="CT2" i="31"/>
  <c r="F102" i="23"/>
  <c r="H102" i="23" s="1"/>
  <c r="L102" i="23" s="1"/>
  <c r="E103" i="23" s="1"/>
  <c r="CG43" i="20"/>
  <c r="CG63" i="20" s="1"/>
  <c r="CI72" i="20"/>
  <c r="CH75" i="20"/>
  <c r="CL53" i="20"/>
  <c r="CL45" i="20"/>
  <c r="CK58" i="20"/>
  <c r="CK59" i="20" s="1"/>
  <c r="CL74" i="20"/>
  <c r="CL81" i="20"/>
  <c r="CL85" i="20"/>
  <c r="CL84" i="20"/>
  <c r="CL83" i="20"/>
  <c r="CL17" i="20"/>
  <c r="CL56" i="20"/>
  <c r="CL15" i="20"/>
  <c r="CS3" i="31"/>
  <c r="CL16" i="20"/>
  <c r="CL49" i="20" a="1"/>
  <c r="CL49" i="20" s="1"/>
  <c r="CL50" i="20" s="1"/>
  <c r="CL14" i="20"/>
  <c r="CL88" i="20"/>
  <c r="CL55" i="20"/>
  <c r="CL57" i="20" s="1"/>
  <c r="CL73" i="20"/>
  <c r="CL79" i="20"/>
  <c r="CK52" i="20"/>
  <c r="CM46" i="20"/>
  <c r="CN5" i="20"/>
  <c r="CT4" i="31"/>
  <c r="CM106" i="20"/>
  <c r="CM120" i="20"/>
  <c r="CM123" i="20"/>
  <c r="CM124" i="20" s="1"/>
  <c r="CM4" i="20"/>
  <c r="CM9" i="20" s="1"/>
  <c r="CM103" i="20"/>
  <c r="CM48" i="20"/>
  <c r="CM107" i="20"/>
  <c r="E100" i="25"/>
  <c r="G100" i="25" s="1"/>
  <c r="J100" i="25" s="1"/>
  <c r="D101" i="25" s="1"/>
  <c r="CM13" i="20" l="1"/>
  <c r="CM10" i="20"/>
  <c r="CM12" i="20"/>
  <c r="CM11" i="20"/>
  <c r="CM8" i="20"/>
  <c r="CL6" i="20"/>
  <c r="CD98" i="20"/>
  <c r="CD89" i="20"/>
  <c r="CE76" i="20"/>
  <c r="CE89" i="20" s="1"/>
  <c r="CF69" i="20"/>
  <c r="CF76" i="20" s="1"/>
  <c r="CG68" i="20"/>
  <c r="CG66" i="20"/>
  <c r="CG65" i="20"/>
  <c r="CG64" i="20" s="1"/>
  <c r="CG67" i="20"/>
  <c r="CO3" i="20"/>
  <c r="CU2" i="31"/>
  <c r="CL58" i="20"/>
  <c r="CL59" i="20" s="1"/>
  <c r="F103" i="23"/>
  <c r="H103" i="23" s="1"/>
  <c r="L103" i="23" s="1"/>
  <c r="E104" i="23" s="1"/>
  <c r="CH43" i="20"/>
  <c r="CH63" i="20" s="1"/>
  <c r="CJ72" i="20"/>
  <c r="CI75" i="20"/>
  <c r="E101" i="25"/>
  <c r="G101" i="25" s="1"/>
  <c r="J101" i="25" s="1"/>
  <c r="D102" i="25" s="1"/>
  <c r="CN120" i="20"/>
  <c r="CN103" i="20"/>
  <c r="CN4" i="20"/>
  <c r="CN9" i="20" s="1"/>
  <c r="CN123" i="20"/>
  <c r="CN124" i="20" s="1"/>
  <c r="CN46" i="20"/>
  <c r="CN106" i="20"/>
  <c r="CN48" i="20"/>
  <c r="CU4" i="31"/>
  <c r="CO5" i="20"/>
  <c r="CN107" i="20"/>
  <c r="CM53" i="20"/>
  <c r="CM45" i="20"/>
  <c r="CM74" i="20"/>
  <c r="CM81" i="20"/>
  <c r="CM84" i="20"/>
  <c r="CM85" i="20"/>
  <c r="CM83" i="20"/>
  <c r="CM55" i="20"/>
  <c r="CM57" i="20" s="1"/>
  <c r="CM73" i="20"/>
  <c r="CM14" i="20"/>
  <c r="CM16" i="20"/>
  <c r="CT3" i="31"/>
  <c r="CM49" i="20" a="1"/>
  <c r="CM49" i="20" s="1"/>
  <c r="CM50" i="20" s="1"/>
  <c r="CM15" i="20"/>
  <c r="CM79" i="20"/>
  <c r="CM88" i="20"/>
  <c r="CM17" i="20"/>
  <c r="CM56" i="20"/>
  <c r="CL52" i="20"/>
  <c r="CN10" i="20" l="1"/>
  <c r="CN11" i="20"/>
  <c r="CN8" i="20"/>
  <c r="CM6" i="20"/>
  <c r="CN12" i="20"/>
  <c r="CN13" i="20"/>
  <c r="CE91" i="20"/>
  <c r="CE98" i="20"/>
  <c r="CF70" i="20"/>
  <c r="CG69" i="20"/>
  <c r="CG70" i="20" s="1"/>
  <c r="CH67" i="20"/>
  <c r="CH68" i="20"/>
  <c r="CH65" i="20"/>
  <c r="CH64" i="20" s="1"/>
  <c r="CH66" i="20"/>
  <c r="CM58" i="20"/>
  <c r="CM59" i="20" s="1"/>
  <c r="CF91" i="20"/>
  <c r="CF89" i="20"/>
  <c r="CF98" i="20"/>
  <c r="CP3" i="20"/>
  <c r="CV2" i="31"/>
  <c r="F104" i="23"/>
  <c r="H104" i="23" s="1"/>
  <c r="L104" i="23" s="1"/>
  <c r="E105" i="23" s="1"/>
  <c r="CI43" i="20"/>
  <c r="CI63" i="20" s="1"/>
  <c r="CJ75" i="20"/>
  <c r="CK72" i="20"/>
  <c r="E102" i="25"/>
  <c r="G102" i="25" s="1"/>
  <c r="J102" i="25" s="1"/>
  <c r="D103" i="25" s="1"/>
  <c r="CN85" i="20"/>
  <c r="CN81" i="20"/>
  <c r="CN74" i="20"/>
  <c r="CN84" i="20"/>
  <c r="CN83" i="20"/>
  <c r="CN55" i="20"/>
  <c r="CN57" i="20" s="1"/>
  <c r="CU3" i="31"/>
  <c r="CN15" i="20"/>
  <c r="CN16" i="20"/>
  <c r="CN88" i="20"/>
  <c r="CN79" i="20"/>
  <c r="CN49" i="20" a="1"/>
  <c r="CN49" i="20" s="1"/>
  <c r="CN50" i="20" s="1"/>
  <c r="CN17" i="20"/>
  <c r="CN14" i="20"/>
  <c r="CN73" i="20"/>
  <c r="CN56" i="20"/>
  <c r="CV4" i="31"/>
  <c r="CO4" i="20"/>
  <c r="CO9" i="20" s="1"/>
  <c r="CO120" i="20"/>
  <c r="CO106" i="20"/>
  <c r="CO48" i="20"/>
  <c r="CP5" i="20"/>
  <c r="CO46" i="20"/>
  <c r="CO107" i="20"/>
  <c r="CO123" i="20"/>
  <c r="CO124" i="20" s="1"/>
  <c r="CO103" i="20"/>
  <c r="CM52" i="20"/>
  <c r="CN53" i="20"/>
  <c r="CN45" i="20"/>
  <c r="CN52" i="20" s="1"/>
  <c r="CO13" i="20" l="1"/>
  <c r="CO12" i="20"/>
  <c r="CO11" i="20"/>
  <c r="CO10" i="20"/>
  <c r="CO8" i="20"/>
  <c r="CN6" i="20"/>
  <c r="CG76" i="20"/>
  <c r="CG89" i="20" s="1"/>
  <c r="CH69" i="20"/>
  <c r="CH70" i="20" s="1"/>
  <c r="CI68" i="20"/>
  <c r="CI66" i="20"/>
  <c r="CI65" i="20"/>
  <c r="CI64" i="20" s="1"/>
  <c r="CI67" i="20"/>
  <c r="CQ3" i="20"/>
  <c r="CW2" i="31"/>
  <c r="F105" i="23"/>
  <c r="H105" i="23" s="1"/>
  <c r="L105" i="23" s="1"/>
  <c r="E106" i="23" s="1"/>
  <c r="CJ43" i="20"/>
  <c r="CJ63" i="20" s="1"/>
  <c r="CK75" i="20"/>
  <c r="CL72" i="20"/>
  <c r="CO74" i="20"/>
  <c r="CO83" i="20"/>
  <c r="CO84" i="20"/>
  <c r="CO85" i="20"/>
  <c r="CO81" i="20"/>
  <c r="CO79" i="20"/>
  <c r="CO56" i="20"/>
  <c r="CO55" i="20"/>
  <c r="CO57" i="20" s="1"/>
  <c r="CO17" i="20"/>
  <c r="CO49" i="20" a="1"/>
  <c r="CO49" i="20" s="1"/>
  <c r="CO50" i="20" s="1"/>
  <c r="CO73" i="20"/>
  <c r="CV3" i="31"/>
  <c r="CO16" i="20"/>
  <c r="CO15" i="20"/>
  <c r="CO14" i="20"/>
  <c r="CO88" i="20"/>
  <c r="CO45" i="20"/>
  <c r="CO52" i="20" s="1"/>
  <c r="CO53" i="20"/>
  <c r="CN58" i="20"/>
  <c r="CN59" i="20" s="1"/>
  <c r="CP107" i="20"/>
  <c r="CP48" i="20"/>
  <c r="CP106" i="20"/>
  <c r="CP46" i="20"/>
  <c r="CP120" i="20"/>
  <c r="CP103" i="20"/>
  <c r="CQ5" i="20"/>
  <c r="CP4" i="20"/>
  <c r="CP9" i="20" s="1"/>
  <c r="CP123" i="20"/>
  <c r="CP124" i="20" s="1"/>
  <c r="CW4" i="31"/>
  <c r="E103" i="25"/>
  <c r="G103" i="25" s="1"/>
  <c r="J103" i="25" s="1"/>
  <c r="D104" i="25" s="1"/>
  <c r="CP8" i="20" l="1"/>
  <c r="CO6" i="20"/>
  <c r="CP13" i="20"/>
  <c r="CP10" i="20"/>
  <c r="CP11" i="20"/>
  <c r="CP12" i="20"/>
  <c r="CG91" i="20"/>
  <c r="CG98" i="20"/>
  <c r="CH76" i="20"/>
  <c r="CH89" i="20" s="1"/>
  <c r="CI69" i="20"/>
  <c r="CI70" i="20" s="1"/>
  <c r="CJ67" i="20"/>
  <c r="CJ66" i="20"/>
  <c r="CJ65" i="20"/>
  <c r="CJ64" i="20" s="1"/>
  <c r="CJ68" i="20"/>
  <c r="CR3" i="20"/>
  <c r="CX2" i="31"/>
  <c r="CO58" i="20"/>
  <c r="CO59" i="20" s="1"/>
  <c r="F106" i="23"/>
  <c r="H106" i="23" s="1"/>
  <c r="L106" i="23" s="1"/>
  <c r="E107" i="23" s="1"/>
  <c r="CK43" i="20"/>
  <c r="CK63" i="20" s="1"/>
  <c r="CL75" i="20"/>
  <c r="CM72" i="20"/>
  <c r="E104" i="25"/>
  <c r="G104" i="25" s="1"/>
  <c r="J104" i="25" s="1"/>
  <c r="D105" i="25" s="1"/>
  <c r="CP53" i="20"/>
  <c r="CP45" i="20"/>
  <c r="CP52" i="20" s="1"/>
  <c r="CP83" i="20"/>
  <c r="CP84" i="20"/>
  <c r="CP81" i="20"/>
  <c r="CP74" i="20"/>
  <c r="CP85" i="20"/>
  <c r="CP16" i="20"/>
  <c r="CP14" i="20"/>
  <c r="CP56" i="20"/>
  <c r="CP55" i="20"/>
  <c r="CP57" i="20" s="1"/>
  <c r="CP17" i="20"/>
  <c r="CP79" i="20"/>
  <c r="CP88" i="20"/>
  <c r="CP15" i="20"/>
  <c r="CP73" i="20"/>
  <c r="CP49" i="20" a="1"/>
  <c r="CP49" i="20" s="1"/>
  <c r="CP50" i="20" s="1"/>
  <c r="CW3" i="31"/>
  <c r="CQ107" i="20"/>
  <c r="CQ120" i="20"/>
  <c r="CQ48" i="20"/>
  <c r="CQ106" i="20"/>
  <c r="CQ4" i="20"/>
  <c r="CQ9" i="20" s="1"/>
  <c r="CQ46" i="20"/>
  <c r="CQ103" i="20"/>
  <c r="CX4" i="31"/>
  <c r="CR5" i="20"/>
  <c r="CQ123" i="20"/>
  <c r="CQ124" i="20" s="1"/>
  <c r="CQ12" i="20" l="1"/>
  <c r="CQ13" i="20"/>
  <c r="CQ8" i="20"/>
  <c r="CP6" i="20"/>
  <c r="CQ11" i="20"/>
  <c r="CQ10" i="20"/>
  <c r="CH98" i="20"/>
  <c r="CH91" i="20"/>
  <c r="CI76" i="20"/>
  <c r="CI98" i="20" s="1"/>
  <c r="CJ69" i="20"/>
  <c r="CJ70" i="20" s="1"/>
  <c r="CK67" i="20"/>
  <c r="CK65" i="20"/>
  <c r="CK64" i="20" s="1"/>
  <c r="CK66" i="20"/>
  <c r="CK68" i="20"/>
  <c r="CS3" i="20"/>
  <c r="CY2" i="31"/>
  <c r="CP58" i="20"/>
  <c r="CP59" i="20" s="1"/>
  <c r="F107" i="23"/>
  <c r="H107" i="23" s="1"/>
  <c r="L107" i="23" s="1"/>
  <c r="E108" i="23" s="1"/>
  <c r="CL43" i="20"/>
  <c r="CL63" i="20" s="1"/>
  <c r="CN72" i="20"/>
  <c r="CM75" i="20"/>
  <c r="CR103" i="20"/>
  <c r="CR4" i="20"/>
  <c r="CR9" i="20" s="1"/>
  <c r="CR46" i="20"/>
  <c r="CR107" i="20"/>
  <c r="CY4" i="31"/>
  <c r="CS5" i="20"/>
  <c r="CR120" i="20"/>
  <c r="CR123" i="20"/>
  <c r="CR124" i="20" s="1"/>
  <c r="CR106" i="20"/>
  <c r="CR48" i="20"/>
  <c r="CQ53" i="20"/>
  <c r="CQ45" i="20"/>
  <c r="CQ52" i="20" s="1"/>
  <c r="E105" i="25"/>
  <c r="G105" i="25" s="1"/>
  <c r="J105" i="25" s="1"/>
  <c r="D106" i="25" s="1"/>
  <c r="CQ74" i="20"/>
  <c r="CQ85" i="20"/>
  <c r="CQ83" i="20"/>
  <c r="CQ84" i="20"/>
  <c r="CQ81" i="20"/>
  <c r="CQ56" i="20"/>
  <c r="CQ15" i="20"/>
  <c r="CQ79" i="20"/>
  <c r="CQ14" i="20"/>
  <c r="CQ16" i="20"/>
  <c r="CX3" i="31"/>
  <c r="CQ17" i="20"/>
  <c r="CQ73" i="20"/>
  <c r="CQ49" i="20" a="1"/>
  <c r="CQ49" i="20" s="1"/>
  <c r="CQ50" i="20" s="1"/>
  <c r="CQ55" i="20"/>
  <c r="CQ57" i="20" s="1"/>
  <c r="CQ88" i="20"/>
  <c r="CR8" i="20" l="1"/>
  <c r="CQ6" i="20"/>
  <c r="CR13" i="20"/>
  <c r="CR11" i="20"/>
  <c r="CR12" i="20"/>
  <c r="CR10" i="20"/>
  <c r="CI91" i="20"/>
  <c r="CI89" i="20"/>
  <c r="CK69" i="20"/>
  <c r="CK70" i="20" s="1"/>
  <c r="CJ76" i="20"/>
  <c r="CJ91" i="20" s="1"/>
  <c r="CL65" i="20"/>
  <c r="CL64" i="20" s="1"/>
  <c r="CL67" i="20"/>
  <c r="CL66" i="20"/>
  <c r="CL68" i="20"/>
  <c r="CZ2" i="31"/>
  <c r="CT3" i="20"/>
  <c r="F108" i="23"/>
  <c r="H108" i="23" s="1"/>
  <c r="L108" i="23" s="1"/>
  <c r="E109" i="23" s="1"/>
  <c r="CM43" i="20"/>
  <c r="CM63" i="20" s="1"/>
  <c r="CO72" i="20"/>
  <c r="CN75" i="20"/>
  <c r="E106" i="25"/>
  <c r="G106" i="25" s="1"/>
  <c r="J106" i="25" s="1"/>
  <c r="D107" i="25" s="1"/>
  <c r="CS106" i="20"/>
  <c r="CS4" i="20"/>
  <c r="CS9" i="20" s="1"/>
  <c r="CS103" i="20"/>
  <c r="CZ4" i="31"/>
  <c r="CT5" i="20"/>
  <c r="CS107" i="20"/>
  <c r="CS48" i="20"/>
  <c r="CS46" i="20"/>
  <c r="CS123" i="20"/>
  <c r="CS124" i="20" s="1"/>
  <c r="CS120" i="20"/>
  <c r="CQ58" i="20"/>
  <c r="CQ59" i="20" s="1"/>
  <c r="CR45" i="20"/>
  <c r="CR52" i="20" s="1"/>
  <c r="CR53" i="20"/>
  <c r="CR74" i="20"/>
  <c r="CR81" i="20"/>
  <c r="CR83" i="20"/>
  <c r="CR84" i="20"/>
  <c r="CR85" i="20"/>
  <c r="CR55" i="20"/>
  <c r="CR57" i="20" s="1"/>
  <c r="CR79" i="20"/>
  <c r="CR15" i="20"/>
  <c r="CR16" i="20"/>
  <c r="CR56" i="20"/>
  <c r="CR17" i="20"/>
  <c r="CR73" i="20"/>
  <c r="CY3" i="31"/>
  <c r="CR88" i="20"/>
  <c r="CR49" i="20" a="1"/>
  <c r="CR49" i="20" s="1"/>
  <c r="CR50" i="20" s="1"/>
  <c r="CR14" i="20"/>
  <c r="CS10" i="20" l="1"/>
  <c r="CS12" i="20"/>
  <c r="CS11" i="20"/>
  <c r="CS13" i="20"/>
  <c r="CS8" i="20"/>
  <c r="CR6" i="20"/>
  <c r="CK76" i="20"/>
  <c r="CK98" i="20" s="1"/>
  <c r="CL69" i="20"/>
  <c r="CL70" i="20" s="1"/>
  <c r="CJ89" i="20"/>
  <c r="CJ98" i="20"/>
  <c r="CM67" i="20"/>
  <c r="CM68" i="20"/>
  <c r="CM65" i="20"/>
  <c r="CM64" i="20" s="1"/>
  <c r="CM66" i="20"/>
  <c r="CR58" i="20"/>
  <c r="CR59" i="20" s="1"/>
  <c r="CU3" i="20"/>
  <c r="DA2" i="31"/>
  <c r="F109" i="23"/>
  <c r="H109" i="23" s="1"/>
  <c r="L109" i="23" s="1"/>
  <c r="E110" i="23" s="1"/>
  <c r="CN43" i="20"/>
  <c r="CN63" i="20" s="1"/>
  <c r="CP72" i="20"/>
  <c r="CO75" i="20"/>
  <c r="E107" i="25"/>
  <c r="G107" i="25" s="1"/>
  <c r="J107" i="25" s="1"/>
  <c r="D108" i="25" s="1"/>
  <c r="CT120" i="20"/>
  <c r="CT4" i="20"/>
  <c r="CT9" i="20" s="1"/>
  <c r="CT46" i="20"/>
  <c r="CT48" i="20"/>
  <c r="CT106" i="20"/>
  <c r="CT107" i="20"/>
  <c r="CT123" i="20"/>
  <c r="CT124" i="20" s="1"/>
  <c r="CU5" i="20"/>
  <c r="CT103" i="20"/>
  <c r="DA4" i="31"/>
  <c r="CS74" i="20"/>
  <c r="CS81" i="20"/>
  <c r="CS83" i="20"/>
  <c r="CS84" i="20"/>
  <c r="CS85" i="20"/>
  <c r="CS16" i="20"/>
  <c r="CS55" i="20"/>
  <c r="CS57" i="20" s="1"/>
  <c r="CS56" i="20"/>
  <c r="CS73" i="20"/>
  <c r="CS79" i="20"/>
  <c r="CS88" i="20"/>
  <c r="CZ3" i="31"/>
  <c r="CS15" i="20"/>
  <c r="CS17" i="20"/>
  <c r="CS49" i="20" a="1"/>
  <c r="CS49" i="20" s="1"/>
  <c r="CS50" i="20" s="1"/>
  <c r="CS14" i="20"/>
  <c r="CS45" i="20"/>
  <c r="CS52" i="20" s="1"/>
  <c r="CS53" i="20"/>
  <c r="CT10" i="20" l="1"/>
  <c r="CT8" i="20"/>
  <c r="CS6" i="20"/>
  <c r="CT13" i="20"/>
  <c r="CT11" i="20"/>
  <c r="CT12" i="20"/>
  <c r="CK89" i="20"/>
  <c r="CK91" i="20"/>
  <c r="CL76" i="20"/>
  <c r="CL98" i="20" s="1"/>
  <c r="CM69" i="20"/>
  <c r="CM70" i="20" s="1"/>
  <c r="CN66" i="20"/>
  <c r="CN65" i="20"/>
  <c r="CN64" i="20" s="1"/>
  <c r="CN68" i="20"/>
  <c r="CN67" i="20"/>
  <c r="DB2" i="31"/>
  <c r="CV3" i="20"/>
  <c r="F110" i="23"/>
  <c r="H110" i="23" s="1"/>
  <c r="L110" i="23" s="1"/>
  <c r="E111" i="23" s="1"/>
  <c r="CO43" i="20"/>
  <c r="CO63" i="20" s="1"/>
  <c r="CQ72" i="20"/>
  <c r="CP75" i="20"/>
  <c r="CS58" i="20"/>
  <c r="CS59" i="20" s="1"/>
  <c r="CU123" i="20"/>
  <c r="CU124" i="20" s="1"/>
  <c r="CU103" i="20"/>
  <c r="CU46" i="20"/>
  <c r="CU48" i="20"/>
  <c r="CU106" i="20"/>
  <c r="CU120" i="20"/>
  <c r="CV5" i="20"/>
  <c r="CU4" i="20"/>
  <c r="CU9" i="20" s="1"/>
  <c r="DB4" i="31"/>
  <c r="CU107" i="20"/>
  <c r="CT74" i="20"/>
  <c r="CT83" i="20"/>
  <c r="CT84" i="20"/>
  <c r="CT81" i="20"/>
  <c r="CT85" i="20"/>
  <c r="CT56" i="20"/>
  <c r="CT14" i="20"/>
  <c r="CT15" i="20"/>
  <c r="CT17" i="20"/>
  <c r="DA3" i="31"/>
  <c r="CT49" i="20" a="1"/>
  <c r="CT49" i="20" s="1"/>
  <c r="CT50" i="20" s="1"/>
  <c r="CT88" i="20"/>
  <c r="CT16" i="20"/>
  <c r="CT79" i="20"/>
  <c r="CT73" i="20"/>
  <c r="CT55" i="20"/>
  <c r="CT57" i="20" s="1"/>
  <c r="E108" i="25"/>
  <c r="G108" i="25" s="1"/>
  <c r="J108" i="25" s="1"/>
  <c r="D109" i="25" s="1"/>
  <c r="CT53" i="20"/>
  <c r="CT45" i="20"/>
  <c r="CT52" i="20" s="1"/>
  <c r="CL89" i="20" l="1"/>
  <c r="CU12" i="20"/>
  <c r="CU8" i="20"/>
  <c r="CT6" i="20"/>
  <c r="CU11" i="20"/>
  <c r="CU10" i="20"/>
  <c r="CU13" i="20"/>
  <c r="CV13" i="20" s="1"/>
  <c r="CL91" i="20"/>
  <c r="CM76" i="20"/>
  <c r="CM89" i="20" s="1"/>
  <c r="CN69" i="20"/>
  <c r="CN70" i="20" s="1"/>
  <c r="CO66" i="20"/>
  <c r="CO65" i="20"/>
  <c r="CO64" i="20" s="1"/>
  <c r="CO67" i="20"/>
  <c r="CO68" i="20"/>
  <c r="CW3" i="20"/>
  <c r="DC2" i="31"/>
  <c r="F111" i="23"/>
  <c r="H111" i="23" s="1"/>
  <c r="L111" i="23" s="1"/>
  <c r="E112" i="23" s="1"/>
  <c r="CP43" i="20"/>
  <c r="CP63" i="20" s="1"/>
  <c r="CQ75" i="20"/>
  <c r="CR72" i="20"/>
  <c r="CV120" i="20"/>
  <c r="CV106" i="20"/>
  <c r="DC4" i="31"/>
  <c r="CW5" i="20"/>
  <c r="CV48" i="20"/>
  <c r="CV4" i="20"/>
  <c r="CV9" i="20" s="1"/>
  <c r="CV107" i="20"/>
  <c r="CV46" i="20"/>
  <c r="CV123" i="20"/>
  <c r="CV124" i="20" s="1"/>
  <c r="CV103" i="20"/>
  <c r="CU74" i="20"/>
  <c r="CU81" i="20"/>
  <c r="CU83" i="20"/>
  <c r="CU84" i="20"/>
  <c r="CU85" i="20"/>
  <c r="CU56" i="20"/>
  <c r="CU14" i="20"/>
  <c r="CU79" i="20"/>
  <c r="CU88" i="20"/>
  <c r="CU17" i="20"/>
  <c r="CU49" i="20" a="1"/>
  <c r="CU49" i="20" s="1"/>
  <c r="CU50" i="20" s="1"/>
  <c r="CU73" i="20"/>
  <c r="CU16" i="20"/>
  <c r="CU55" i="20"/>
  <c r="CU57" i="20" s="1"/>
  <c r="CU15" i="20"/>
  <c r="DB3" i="31"/>
  <c r="E109" i="25"/>
  <c r="G109" i="25" s="1"/>
  <c r="J109" i="25" s="1"/>
  <c r="D110" i="25" s="1"/>
  <c r="CT58" i="20"/>
  <c r="CT59" i="20" s="1"/>
  <c r="CU53" i="20"/>
  <c r="CU45" i="20"/>
  <c r="CU52" i="20" s="1"/>
  <c r="CV10" i="20" l="1"/>
  <c r="CV11" i="20"/>
  <c r="CV8" i="20"/>
  <c r="CU6" i="20"/>
  <c r="CV12" i="20"/>
  <c r="CM98" i="20"/>
  <c r="CM91" i="20"/>
  <c r="CN76" i="20"/>
  <c r="CN89" i="20" s="1"/>
  <c r="CO69" i="20"/>
  <c r="CO70" i="20" s="1"/>
  <c r="CP68" i="20"/>
  <c r="CP65" i="20"/>
  <c r="CP64" i="20" s="1"/>
  <c r="CP67" i="20"/>
  <c r="CP66" i="20"/>
  <c r="CX3" i="20"/>
  <c r="DD2" i="31"/>
  <c r="F112" i="23"/>
  <c r="H112" i="23" s="1"/>
  <c r="L112" i="23" s="1"/>
  <c r="E113" i="23" s="1"/>
  <c r="CQ43" i="20"/>
  <c r="CQ63" i="20" s="1"/>
  <c r="CR75" i="20"/>
  <c r="CS72" i="20"/>
  <c r="CW107" i="20"/>
  <c r="CW120" i="20"/>
  <c r="CW103" i="20"/>
  <c r="CW106" i="20"/>
  <c r="CW46" i="20"/>
  <c r="CW123" i="20"/>
  <c r="CW124" i="20" s="1"/>
  <c r="CW48" i="20"/>
  <c r="DD4" i="31"/>
  <c r="CW4" i="20"/>
  <c r="CW9" i="20" s="1"/>
  <c r="CX5" i="20"/>
  <c r="CU58" i="20"/>
  <c r="CU59" i="20" s="1"/>
  <c r="E110" i="25"/>
  <c r="G110" i="25" s="1"/>
  <c r="J110" i="25" s="1"/>
  <c r="D111" i="25" s="1"/>
  <c r="CV53" i="20"/>
  <c r="CV45" i="20"/>
  <c r="CV52" i="20" s="1"/>
  <c r="CV85" i="20"/>
  <c r="CV74" i="20"/>
  <c r="CV81" i="20"/>
  <c r="CV83" i="20"/>
  <c r="CV84" i="20"/>
  <c r="CV49" i="20" a="1"/>
  <c r="CV49" i="20" s="1"/>
  <c r="CV50" i="20" s="1"/>
  <c r="CV17" i="20"/>
  <c r="CV79" i="20"/>
  <c r="DC3" i="31"/>
  <c r="CV55" i="20"/>
  <c r="CV57" i="20" s="1"/>
  <c r="CV73" i="20"/>
  <c r="CV14" i="20"/>
  <c r="CV88" i="20"/>
  <c r="CV56" i="20"/>
  <c r="CV16" i="20"/>
  <c r="CV15" i="20"/>
  <c r="CW13" i="20" l="1"/>
  <c r="CW12" i="20"/>
  <c r="CW8" i="20"/>
  <c r="CV6" i="20"/>
  <c r="CW11" i="20"/>
  <c r="CW10" i="20"/>
  <c r="CX10" i="20" s="1"/>
  <c r="CO76" i="20"/>
  <c r="CO91" i="20" s="1"/>
  <c r="CN91" i="20"/>
  <c r="CN98" i="20"/>
  <c r="CP69" i="20"/>
  <c r="CP76" i="20" s="1"/>
  <c r="CQ66" i="20"/>
  <c r="CQ67" i="20"/>
  <c r="CQ68" i="20"/>
  <c r="CQ65" i="20"/>
  <c r="CQ64" i="20" s="1"/>
  <c r="DE2" i="31"/>
  <c r="CY3" i="20"/>
  <c r="CV58" i="20"/>
  <c r="CV59" i="20" s="1"/>
  <c r="F113" i="23"/>
  <c r="H113" i="23" s="1"/>
  <c r="L113" i="23" s="1"/>
  <c r="E114" i="23" s="1"/>
  <c r="CR43" i="20"/>
  <c r="CR63" i="20" s="1"/>
  <c r="CS75" i="20"/>
  <c r="CT72" i="20"/>
  <c r="CX120" i="20"/>
  <c r="CX106" i="20"/>
  <c r="CX48" i="20"/>
  <c r="CX4" i="20"/>
  <c r="CX9" i="20" s="1"/>
  <c r="DE4" i="31"/>
  <c r="CX107" i="20"/>
  <c r="CX103" i="20"/>
  <c r="CY5" i="20"/>
  <c r="CX46" i="20"/>
  <c r="CX123" i="20"/>
  <c r="CX124" i="20" s="1"/>
  <c r="CW74" i="20"/>
  <c r="CW83" i="20"/>
  <c r="CW84" i="20"/>
  <c r="CW85" i="20"/>
  <c r="CW81" i="20"/>
  <c r="DD3" i="31"/>
  <c r="CW49" i="20" a="1"/>
  <c r="CW49" i="20" s="1"/>
  <c r="CW50" i="20" s="1"/>
  <c r="CW17" i="20"/>
  <c r="CW56" i="20"/>
  <c r="CW73" i="20"/>
  <c r="CW55" i="20"/>
  <c r="CW57" i="20" s="1"/>
  <c r="CW16" i="20"/>
  <c r="CW79" i="20"/>
  <c r="CW15" i="20"/>
  <c r="CW14" i="20"/>
  <c r="CW88" i="20"/>
  <c r="CW53" i="20"/>
  <c r="CW45" i="20"/>
  <c r="CW52" i="20" s="1"/>
  <c r="E111" i="25"/>
  <c r="G111" i="25" s="1"/>
  <c r="J111" i="25" s="1"/>
  <c r="D112" i="25" s="1"/>
  <c r="CX11" i="20" l="1"/>
  <c r="CX8" i="20"/>
  <c r="CW6" i="20"/>
  <c r="CX12" i="20"/>
  <c r="CX13" i="20"/>
  <c r="CO98" i="20"/>
  <c r="CO89" i="20"/>
  <c r="CQ69" i="20"/>
  <c r="CQ70" i="20" s="1"/>
  <c r="CP70" i="20"/>
  <c r="CR68" i="20"/>
  <c r="CR67" i="20"/>
  <c r="CR66" i="20"/>
  <c r="CR65" i="20"/>
  <c r="CR64" i="20" s="1"/>
  <c r="CP98" i="20"/>
  <c r="CP89" i="20"/>
  <c r="CP91" i="20"/>
  <c r="CZ3" i="20"/>
  <c r="DF2" i="31"/>
  <c r="F114" i="23"/>
  <c r="H114" i="23" s="1"/>
  <c r="L114" i="23" s="1"/>
  <c r="E115" i="23" s="1"/>
  <c r="CS43" i="20"/>
  <c r="CS63" i="20" s="1"/>
  <c r="CU72" i="20"/>
  <c r="CT75" i="20"/>
  <c r="CY103" i="20"/>
  <c r="CY120" i="20"/>
  <c r="CY46" i="20"/>
  <c r="CY48" i="20"/>
  <c r="CY4" i="20"/>
  <c r="CY9" i="20" s="1"/>
  <c r="CY106" i="20"/>
  <c r="DF4" i="31"/>
  <c r="CY123" i="20"/>
  <c r="CY124" i="20" s="1"/>
  <c r="CY107" i="20"/>
  <c r="CZ5" i="20"/>
  <c r="CX74" i="20"/>
  <c r="CX81" i="20"/>
  <c r="CX85" i="20"/>
  <c r="CX83" i="20"/>
  <c r="CX84" i="20"/>
  <c r="CX56" i="20"/>
  <c r="CX49" i="20" a="1"/>
  <c r="CX49" i="20" s="1"/>
  <c r="CX50" i="20" s="1"/>
  <c r="CX16" i="20"/>
  <c r="CX15" i="20"/>
  <c r="CX14" i="20"/>
  <c r="CX79" i="20"/>
  <c r="CX17" i="20"/>
  <c r="DE3" i="31"/>
  <c r="CX55" i="20"/>
  <c r="CX57" i="20" s="1"/>
  <c r="CX73" i="20"/>
  <c r="CX88" i="20"/>
  <c r="CX53" i="20"/>
  <c r="CX45" i="20"/>
  <c r="CX52" i="20" s="1"/>
  <c r="E112" i="25"/>
  <c r="G112" i="25" s="1"/>
  <c r="J112" i="25" s="1"/>
  <c r="D113" i="25" s="1"/>
  <c r="CW58" i="20"/>
  <c r="CW59" i="20" s="1"/>
  <c r="CY13" i="20" l="1"/>
  <c r="CY12" i="20"/>
  <c r="CY8" i="20"/>
  <c r="CX6" i="20"/>
  <c r="CY11" i="20"/>
  <c r="CY10" i="20"/>
  <c r="CQ76" i="20"/>
  <c r="CQ98" i="20" s="1"/>
  <c r="CR69" i="20"/>
  <c r="CR70" i="20" s="1"/>
  <c r="CS66" i="20"/>
  <c r="CS67" i="20"/>
  <c r="CS65" i="20"/>
  <c r="CS64" i="20" s="1"/>
  <c r="CS68" i="20"/>
  <c r="DG2" i="31"/>
  <c r="DA3" i="20"/>
  <c r="F115" i="23"/>
  <c r="H115" i="23" s="1"/>
  <c r="L115" i="23" s="1"/>
  <c r="E116" i="23" s="1"/>
  <c r="CT43" i="20"/>
  <c r="CT63" i="20" s="1"/>
  <c r="CX58" i="20"/>
  <c r="CX59" i="20" s="1"/>
  <c r="CU75" i="20"/>
  <c r="CV72" i="20"/>
  <c r="E113" i="25"/>
  <c r="G113" i="25" s="1"/>
  <c r="J113" i="25" s="1"/>
  <c r="D114" i="25" s="1"/>
  <c r="CY53" i="20"/>
  <c r="CY45" i="20"/>
  <c r="CY52" i="20" s="1"/>
  <c r="CY74" i="20"/>
  <c r="CY81" i="20"/>
  <c r="CY85" i="20"/>
  <c r="CY83" i="20"/>
  <c r="CY84" i="20"/>
  <c r="CY55" i="20"/>
  <c r="CY57" i="20" s="1"/>
  <c r="CY73" i="20"/>
  <c r="CY56" i="20"/>
  <c r="CY15" i="20"/>
  <c r="DF3" i="31"/>
  <c r="CY17" i="20"/>
  <c r="CY79" i="20"/>
  <c r="CY88" i="20"/>
  <c r="CY14" i="20"/>
  <c r="CY16" i="20"/>
  <c r="CY49" i="20" a="1"/>
  <c r="CY49" i="20" s="1"/>
  <c r="CY50" i="20" s="1"/>
  <c r="CZ107" i="20"/>
  <c r="CZ106" i="20"/>
  <c r="CZ46" i="20"/>
  <c r="CZ48" i="20"/>
  <c r="CZ123" i="20"/>
  <c r="CZ124" i="20" s="1"/>
  <c r="DA5" i="20"/>
  <c r="CZ103" i="20"/>
  <c r="CZ4" i="20"/>
  <c r="CZ9" i="20" s="1"/>
  <c r="DG4" i="31"/>
  <c r="CZ10" i="20" l="1"/>
  <c r="CZ13" i="20"/>
  <c r="CZ11" i="20"/>
  <c r="CZ8" i="20"/>
  <c r="CY6" i="20"/>
  <c r="CZ12" i="20"/>
  <c r="CQ89" i="20"/>
  <c r="CQ91" i="20"/>
  <c r="CR76" i="20"/>
  <c r="CR89" i="20" s="1"/>
  <c r="CS69" i="20"/>
  <c r="CS70" i="20" s="1"/>
  <c r="CT67" i="20"/>
  <c r="CT68" i="20"/>
  <c r="CT65" i="20"/>
  <c r="CT64" i="20" s="1"/>
  <c r="CT66" i="20"/>
  <c r="DB3" i="20"/>
  <c r="DH2" i="31"/>
  <c r="F116" i="23"/>
  <c r="H116" i="23" s="1"/>
  <c r="L116" i="23" s="1"/>
  <c r="E117" i="23" s="1"/>
  <c r="CU43" i="20"/>
  <c r="CU63" i="20" s="1"/>
  <c r="CY58" i="20"/>
  <c r="CY59" i="20" s="1"/>
  <c r="CW72" i="20"/>
  <c r="CV75" i="20"/>
  <c r="DA123" i="20"/>
  <c r="DA124" i="20" s="1"/>
  <c r="DB5" i="20"/>
  <c r="DA103" i="20"/>
  <c r="DA120" i="20"/>
  <c r="DA4" i="20"/>
  <c r="DA9" i="20" s="1"/>
  <c r="DH4" i="31"/>
  <c r="DA107" i="20"/>
  <c r="DA48" i="20"/>
  <c r="DA46" i="20"/>
  <c r="DA129" i="20"/>
  <c r="DA106" i="20"/>
  <c r="CZ74" i="20"/>
  <c r="CZ81" i="20"/>
  <c r="CZ85" i="20"/>
  <c r="CZ84" i="20"/>
  <c r="CZ83" i="20"/>
  <c r="CZ15" i="20"/>
  <c r="CZ73" i="20"/>
  <c r="CZ56" i="20"/>
  <c r="CZ14" i="20"/>
  <c r="CZ16" i="20"/>
  <c r="DG3" i="31"/>
  <c r="CZ79" i="20"/>
  <c r="CZ49" i="20" a="1"/>
  <c r="CZ49" i="20" s="1"/>
  <c r="CZ50" i="20" s="1"/>
  <c r="CZ88" i="20"/>
  <c r="CZ55" i="20"/>
  <c r="CZ57" i="20" s="1"/>
  <c r="CZ17" i="20"/>
  <c r="E114" i="25"/>
  <c r="G114" i="25" s="1"/>
  <c r="J114" i="25" s="1"/>
  <c r="D115" i="25" s="1"/>
  <c r="CZ53" i="20"/>
  <c r="CZ45" i="20"/>
  <c r="CZ52" i="20" s="1"/>
  <c r="DA12" i="20" l="1"/>
  <c r="DA13" i="20"/>
  <c r="DA8" i="20"/>
  <c r="CZ6" i="20"/>
  <c r="DA11" i="20"/>
  <c r="DA10" i="20"/>
  <c r="CR91" i="20"/>
  <c r="CR98" i="20"/>
  <c r="CS76" i="20"/>
  <c r="CS98" i="20" s="1"/>
  <c r="CT69" i="20"/>
  <c r="CT70" i="20" s="1"/>
  <c r="CU68" i="20"/>
  <c r="CU66" i="20"/>
  <c r="CU65" i="20"/>
  <c r="CU64" i="20" s="1"/>
  <c r="CU67" i="20"/>
  <c r="DC3" i="20"/>
  <c r="DI2" i="31"/>
  <c r="F117" i="23"/>
  <c r="H117" i="23" s="1"/>
  <c r="L117" i="23" s="1"/>
  <c r="E118" i="23" s="1"/>
  <c r="CV43" i="20"/>
  <c r="CV63" i="20" s="1"/>
  <c r="CW75" i="20"/>
  <c r="CX72" i="20"/>
  <c r="E115" i="25"/>
  <c r="G115" i="25" s="1"/>
  <c r="J115" i="25" s="1"/>
  <c r="D116" i="25" s="1"/>
  <c r="DA74" i="20"/>
  <c r="DA81" i="20"/>
  <c r="DA83" i="20"/>
  <c r="DA84" i="20"/>
  <c r="DA85" i="20"/>
  <c r="DA49" i="20" a="1"/>
  <c r="DA49" i="20" s="1"/>
  <c r="DA50" i="20" s="1"/>
  <c r="DA56" i="20"/>
  <c r="DA15" i="20"/>
  <c r="DH3" i="31"/>
  <c r="DA79" i="20"/>
  <c r="DA17" i="20"/>
  <c r="DA55" i="20"/>
  <c r="DA57" i="20" s="1"/>
  <c r="DA73" i="20"/>
  <c r="DA88" i="20"/>
  <c r="DA16" i="20"/>
  <c r="DA14" i="20"/>
  <c r="DH5" i="31"/>
  <c r="DA141" i="20"/>
  <c r="DA144" i="20" s="1"/>
  <c r="DI5" i="34"/>
  <c r="DA140" i="20"/>
  <c r="DA143" i="20" s="1"/>
  <c r="DA53" i="20"/>
  <c r="DA45" i="20"/>
  <c r="DA52" i="20" s="1"/>
  <c r="DB107" i="20"/>
  <c r="DB46" i="20"/>
  <c r="DB123" i="20"/>
  <c r="DB124" i="20" s="1"/>
  <c r="DB129" i="20"/>
  <c r="DC5" i="20"/>
  <c r="DB120" i="20"/>
  <c r="DB106" i="20"/>
  <c r="DB4" i="20"/>
  <c r="DB9" i="20" s="1"/>
  <c r="DI4" i="31"/>
  <c r="DB48" i="20"/>
  <c r="DB103" i="20"/>
  <c r="CZ58" i="20"/>
  <c r="CZ59" i="20" s="1"/>
  <c r="DB10" i="20" l="1"/>
  <c r="DB11" i="20"/>
  <c r="DB8" i="20"/>
  <c r="DA6" i="20"/>
  <c r="DB13" i="20"/>
  <c r="DB12" i="20"/>
  <c r="CS89" i="20"/>
  <c r="CS91" i="20"/>
  <c r="CT76" i="20"/>
  <c r="CT98" i="20" s="1"/>
  <c r="CU69" i="20"/>
  <c r="CU70" i="20" s="1"/>
  <c r="CV66" i="20"/>
  <c r="CV67" i="20"/>
  <c r="CV65" i="20"/>
  <c r="CV64" i="20" s="1"/>
  <c r="CV68" i="20"/>
  <c r="DD3" i="20"/>
  <c r="DJ2" i="31"/>
  <c r="F118" i="23"/>
  <c r="H118" i="23" s="1"/>
  <c r="L118" i="23" s="1"/>
  <c r="E119" i="23" s="1"/>
  <c r="CW43" i="20"/>
  <c r="CW63" i="20" s="1"/>
  <c r="CY72" i="20"/>
  <c r="CX75" i="20"/>
  <c r="E116" i="25"/>
  <c r="G116" i="25" s="1"/>
  <c r="J116" i="25" s="1"/>
  <c r="D117" i="25" s="1"/>
  <c r="DI11" i="34"/>
  <c r="DI18" i="34"/>
  <c r="DB53" i="20"/>
  <c r="DB45" i="20"/>
  <c r="DB52" i="20" s="1"/>
  <c r="DB74" i="20"/>
  <c r="DB81" i="20"/>
  <c r="DB85" i="20"/>
  <c r="DB84" i="20"/>
  <c r="DB83" i="20"/>
  <c r="DB16" i="20"/>
  <c r="DB49" i="20" a="1"/>
  <c r="DB49" i="20" s="1"/>
  <c r="DB50" i="20" s="1"/>
  <c r="DB17" i="20"/>
  <c r="DB73" i="20"/>
  <c r="DB14" i="20"/>
  <c r="DB55" i="20"/>
  <c r="DB57" i="20" s="1"/>
  <c r="DB88" i="20"/>
  <c r="DI3" i="31"/>
  <c r="DB79" i="20"/>
  <c r="DB56" i="20"/>
  <c r="DB15" i="20"/>
  <c r="DH11" i="31"/>
  <c r="DH18" i="31"/>
  <c r="DC107" i="20"/>
  <c r="DC123" i="20"/>
  <c r="DC124" i="20" s="1"/>
  <c r="DC120" i="20"/>
  <c r="DC129" i="20"/>
  <c r="DC106" i="20"/>
  <c r="DC4" i="20"/>
  <c r="DC9" i="20" s="1"/>
  <c r="DC103" i="20"/>
  <c r="DC48" i="20"/>
  <c r="DC46" i="20"/>
  <c r="DJ4" i="31"/>
  <c r="DD5" i="20"/>
  <c r="DA58" i="20"/>
  <c r="DA59" i="20" s="1"/>
  <c r="DJ5" i="34"/>
  <c r="DB140" i="20"/>
  <c r="DB143" i="20" s="1"/>
  <c r="DB141" i="20"/>
  <c r="DB144" i="20" s="1"/>
  <c r="DI5" i="31"/>
  <c r="DC12" i="20" l="1"/>
  <c r="DC13" i="20"/>
  <c r="DC10" i="20"/>
  <c r="DC8" i="20"/>
  <c r="DB6" i="20"/>
  <c r="DC11" i="20"/>
  <c r="CT89" i="20"/>
  <c r="CT91" i="20"/>
  <c r="CU76" i="20"/>
  <c r="CU91" i="20" s="1"/>
  <c r="CV69" i="20"/>
  <c r="CV70" i="20" s="1"/>
  <c r="CW66" i="20"/>
  <c r="CW65" i="20"/>
  <c r="CW64" i="20" s="1"/>
  <c r="CW68" i="20"/>
  <c r="CW67" i="20"/>
  <c r="DK2" i="31"/>
  <c r="DE3" i="20"/>
  <c r="DB58" i="20"/>
  <c r="DB59" i="20" s="1"/>
  <c r="F119" i="23"/>
  <c r="H119" i="23" s="1"/>
  <c r="L119" i="23" s="1"/>
  <c r="E120" i="23" s="1"/>
  <c r="CX43" i="20"/>
  <c r="CX63" i="20" s="1"/>
  <c r="CY75" i="20"/>
  <c r="CZ72" i="20"/>
  <c r="DC74" i="20"/>
  <c r="DC81" i="20"/>
  <c r="DC83" i="20"/>
  <c r="DC84" i="20"/>
  <c r="DC85" i="20"/>
  <c r="DC14" i="20"/>
  <c r="DC17" i="20"/>
  <c r="DC15" i="20"/>
  <c r="DJ3" i="31"/>
  <c r="DC49" i="20" a="1"/>
  <c r="DC49" i="20" s="1"/>
  <c r="DC50" i="20" s="1"/>
  <c r="DC79" i="20"/>
  <c r="DC16" i="20"/>
  <c r="DC88" i="20"/>
  <c r="DC55" i="20"/>
  <c r="DC57" i="20" s="1"/>
  <c r="DC73" i="20"/>
  <c r="DC56" i="20"/>
  <c r="E117" i="25"/>
  <c r="G117" i="25" s="1"/>
  <c r="J117" i="25" s="1"/>
  <c r="D118" i="25" s="1"/>
  <c r="DI18" i="31"/>
  <c r="DI11" i="31"/>
  <c r="DJ5" i="31"/>
  <c r="DK5" i="34"/>
  <c r="DC141" i="20"/>
  <c r="DC144" i="20" s="1"/>
  <c r="DC140" i="20"/>
  <c r="DC143" i="20" s="1"/>
  <c r="DD120" i="20"/>
  <c r="DD106" i="20"/>
  <c r="DD46" i="20"/>
  <c r="DD4" i="20"/>
  <c r="DD9" i="20" s="1"/>
  <c r="DK4" i="31"/>
  <c r="DD103" i="20"/>
  <c r="DD107" i="20"/>
  <c r="DE5" i="20"/>
  <c r="DD129" i="20"/>
  <c r="DD48" i="20"/>
  <c r="DD123" i="20"/>
  <c r="DD124" i="20" s="1"/>
  <c r="DJ11" i="34"/>
  <c r="DJ18" i="34"/>
  <c r="DH38" i="31"/>
  <c r="DH133" i="31"/>
  <c r="DI132" i="34"/>
  <c r="DI38" i="34"/>
  <c r="DC45" i="20"/>
  <c r="DC52" i="20" s="1"/>
  <c r="DC53" i="20"/>
  <c r="DH30" i="31"/>
  <c r="DH48" i="31" s="1"/>
  <c r="DH66" i="31" s="1"/>
  <c r="DH84" i="31" s="1"/>
  <c r="DH102" i="31" s="1"/>
  <c r="DH126" i="31"/>
  <c r="DI125" i="34"/>
  <c r="DI30" i="34"/>
  <c r="DI48" i="34" s="1"/>
  <c r="DI66" i="34" s="1"/>
  <c r="DI84" i="34" s="1"/>
  <c r="DI102" i="34" s="1"/>
  <c r="DD12" i="20" l="1"/>
  <c r="DD11" i="20"/>
  <c r="DD8" i="20"/>
  <c r="DC6" i="20"/>
  <c r="DD10" i="20"/>
  <c r="DD13" i="20"/>
  <c r="CV76" i="20"/>
  <c r="CV89" i="20" s="1"/>
  <c r="CU89" i="20"/>
  <c r="CU98" i="20"/>
  <c r="CW69" i="20"/>
  <c r="CW70" i="20" s="1"/>
  <c r="CX65" i="20"/>
  <c r="CX64" i="20" s="1"/>
  <c r="CX67" i="20"/>
  <c r="CX66" i="20"/>
  <c r="CX68" i="20"/>
  <c r="DL2" i="31"/>
  <c r="DF3" i="20"/>
  <c r="F120" i="23"/>
  <c r="H120" i="23" s="1"/>
  <c r="L120" i="23" s="1"/>
  <c r="E121" i="23" s="1"/>
  <c r="CY43" i="20"/>
  <c r="CY63" i="20" s="1"/>
  <c r="DA72" i="20"/>
  <c r="CZ75" i="20"/>
  <c r="DJ30" i="34"/>
  <c r="DJ48" i="34" s="1"/>
  <c r="DJ66" i="34" s="1"/>
  <c r="DJ84" i="34" s="1"/>
  <c r="DJ102" i="34" s="1"/>
  <c r="DJ125" i="34"/>
  <c r="DI133" i="31"/>
  <c r="DI38" i="31"/>
  <c r="E118" i="25"/>
  <c r="G118" i="25" s="1"/>
  <c r="J118" i="25" s="1"/>
  <c r="D119" i="25" s="1"/>
  <c r="DD53" i="20"/>
  <c r="DD45" i="20"/>
  <c r="DD52" i="20" s="1"/>
  <c r="DC58" i="20"/>
  <c r="DC59" i="20" s="1"/>
  <c r="DD74" i="20"/>
  <c r="DD81" i="20"/>
  <c r="DD85" i="20"/>
  <c r="DD83" i="20"/>
  <c r="DD84" i="20"/>
  <c r="DK3" i="31"/>
  <c r="DD73" i="20"/>
  <c r="DD49" i="20" a="1"/>
  <c r="DD49" i="20" s="1"/>
  <c r="DD50" i="20" s="1"/>
  <c r="DD88" i="20"/>
  <c r="DD14" i="20"/>
  <c r="DD16" i="20"/>
  <c r="DD55" i="20"/>
  <c r="DD57" i="20" s="1"/>
  <c r="DD56" i="20"/>
  <c r="DD15" i="20"/>
  <c r="DD17" i="20"/>
  <c r="DD79" i="20"/>
  <c r="DL5" i="34"/>
  <c r="DD140" i="20"/>
  <c r="DD143" i="20" s="1"/>
  <c r="DK5" i="31"/>
  <c r="DD141" i="20"/>
  <c r="DD144" i="20" s="1"/>
  <c r="DK18" i="34"/>
  <c r="DK11" i="34"/>
  <c r="DL4" i="31"/>
  <c r="DE103" i="20"/>
  <c r="DE107" i="20"/>
  <c r="DE123" i="20"/>
  <c r="DE124" i="20" s="1"/>
  <c r="DE46" i="20"/>
  <c r="DE120" i="20"/>
  <c r="DF5" i="20"/>
  <c r="DE106" i="20"/>
  <c r="DE129" i="20"/>
  <c r="DE4" i="20"/>
  <c r="DE9" i="20" s="1"/>
  <c r="DE48" i="20"/>
  <c r="DJ11" i="31"/>
  <c r="DJ18" i="31"/>
  <c r="DJ132" i="34"/>
  <c r="DJ38" i="34"/>
  <c r="DI30" i="31"/>
  <c r="DI48" i="31" s="1"/>
  <c r="DI66" i="31" s="1"/>
  <c r="DI84" i="31" s="1"/>
  <c r="DI102" i="31" s="1"/>
  <c r="DI126" i="31"/>
  <c r="DE13" i="20" l="1"/>
  <c r="DE10" i="20"/>
  <c r="DE8" i="20"/>
  <c r="DD6" i="20"/>
  <c r="DE12" i="20"/>
  <c r="DE11" i="20"/>
  <c r="CV98" i="20"/>
  <c r="CV91" i="20"/>
  <c r="CW76" i="20"/>
  <c r="CW89" i="20" s="1"/>
  <c r="CX69" i="20"/>
  <c r="CX70" i="20" s="1"/>
  <c r="CY67" i="20"/>
  <c r="CY65" i="20"/>
  <c r="CY64" i="20" s="1"/>
  <c r="CY68" i="20"/>
  <c r="CY66" i="20"/>
  <c r="DG3" i="20"/>
  <c r="DM2" i="31"/>
  <c r="DD58" i="20"/>
  <c r="DD59" i="20" s="1"/>
  <c r="F121" i="23"/>
  <c r="H121" i="23" s="1"/>
  <c r="L121" i="23" s="1"/>
  <c r="E122" i="23" s="1"/>
  <c r="CZ43" i="20"/>
  <c r="CZ63" i="20" s="1"/>
  <c r="DB72" i="20"/>
  <c r="DA75" i="20"/>
  <c r="E119" i="25"/>
  <c r="G119" i="25" s="1"/>
  <c r="J119" i="25" s="1"/>
  <c r="D120" i="25" s="1"/>
  <c r="DE74" i="20"/>
  <c r="DE85" i="20"/>
  <c r="DE83" i="20"/>
  <c r="DE84" i="20"/>
  <c r="DE81" i="20"/>
  <c r="DE15" i="20"/>
  <c r="DE17" i="20"/>
  <c r="DE56" i="20"/>
  <c r="DE55" i="20"/>
  <c r="DE57" i="20" s="1"/>
  <c r="DE16" i="20"/>
  <c r="DE88" i="20"/>
  <c r="DE14" i="20"/>
  <c r="DE49" i="20" a="1"/>
  <c r="DE49" i="20" s="1"/>
  <c r="DE50" i="20" s="1"/>
  <c r="DE79" i="20"/>
  <c r="DE73" i="20"/>
  <c r="DL3" i="31"/>
  <c r="DL11" i="34"/>
  <c r="DL18" i="34"/>
  <c r="DE140" i="20"/>
  <c r="DE143" i="20" s="1"/>
  <c r="DE141" i="20"/>
  <c r="DE144" i="20" s="1"/>
  <c r="DM5" i="34"/>
  <c r="DL5" i="31"/>
  <c r="DJ38" i="31"/>
  <c r="DJ133" i="31"/>
  <c r="DG5" i="20"/>
  <c r="DF129" i="20"/>
  <c r="DF107" i="20"/>
  <c r="DF48" i="20"/>
  <c r="DF4" i="20"/>
  <c r="DF9" i="20" s="1"/>
  <c r="DF106" i="20"/>
  <c r="DM4" i="31"/>
  <c r="DF46" i="20"/>
  <c r="DF123" i="20"/>
  <c r="DF124" i="20" s="1"/>
  <c r="DF120" i="20"/>
  <c r="DF103" i="20"/>
  <c r="DK125" i="34"/>
  <c r="DK30" i="34"/>
  <c r="DK48" i="34" s="1"/>
  <c r="DK66" i="34" s="1"/>
  <c r="DK84" i="34" s="1"/>
  <c r="DK102" i="34" s="1"/>
  <c r="DJ30" i="31"/>
  <c r="DJ48" i="31" s="1"/>
  <c r="DJ66" i="31" s="1"/>
  <c r="DJ84" i="31" s="1"/>
  <c r="DJ102" i="31" s="1"/>
  <c r="DJ126" i="31"/>
  <c r="DK38" i="34"/>
  <c r="DK132" i="34"/>
  <c r="DE45" i="20"/>
  <c r="DE52" i="20" s="1"/>
  <c r="DE53" i="20"/>
  <c r="DK11" i="31"/>
  <c r="DK18" i="31"/>
  <c r="DF11" i="20" l="1"/>
  <c r="DF12" i="20"/>
  <c r="DF8" i="20"/>
  <c r="DE6" i="20"/>
  <c r="DF10" i="20"/>
  <c r="DF13" i="20"/>
  <c r="CW98" i="20"/>
  <c r="CW91" i="20"/>
  <c r="CX76" i="20"/>
  <c r="CX98" i="20" s="1"/>
  <c r="CY69" i="20"/>
  <c r="CY70" i="20" s="1"/>
  <c r="CZ68" i="20"/>
  <c r="CZ67" i="20"/>
  <c r="CZ66" i="20"/>
  <c r="CZ65" i="20"/>
  <c r="CZ64" i="20" s="1"/>
  <c r="DN2" i="31"/>
  <c r="DH3" i="20"/>
  <c r="F122" i="23"/>
  <c r="H122" i="23" s="1"/>
  <c r="L122" i="23" s="1"/>
  <c r="E123" i="23" s="1"/>
  <c r="DA43" i="20"/>
  <c r="DA63" i="20" s="1"/>
  <c r="DB75" i="20"/>
  <c r="DC72" i="20"/>
  <c r="DL132" i="34"/>
  <c r="DL38" i="34"/>
  <c r="DE58" i="20"/>
  <c r="DE59" i="20" s="1"/>
  <c r="DF81" i="20"/>
  <c r="DF74" i="20"/>
  <c r="DF85" i="20"/>
  <c r="DF83" i="20"/>
  <c r="DF84" i="20"/>
  <c r="DM3" i="31"/>
  <c r="DF79" i="20"/>
  <c r="DF55" i="20"/>
  <c r="DF57" i="20" s="1"/>
  <c r="DF14" i="20"/>
  <c r="DF15" i="20"/>
  <c r="DF56" i="20"/>
  <c r="DF16" i="20"/>
  <c r="DF73" i="20"/>
  <c r="DF88" i="20"/>
  <c r="DF49" i="20" a="1"/>
  <c r="DF49" i="20" s="1"/>
  <c r="DF50" i="20" s="1"/>
  <c r="DF17" i="20"/>
  <c r="DN5" i="34"/>
  <c r="DF141" i="20"/>
  <c r="DF144" i="20" s="1"/>
  <c r="DF140" i="20"/>
  <c r="DF143" i="20" s="1"/>
  <c r="DM5" i="31"/>
  <c r="DL125" i="34"/>
  <c r="DL30" i="34"/>
  <c r="DL48" i="34" s="1"/>
  <c r="DL66" i="34" s="1"/>
  <c r="DL84" i="34" s="1"/>
  <c r="DL102" i="34" s="1"/>
  <c r="DF53" i="20"/>
  <c r="DF45" i="20"/>
  <c r="DF52" i="20" s="1"/>
  <c r="DG103" i="20"/>
  <c r="DN4" i="31"/>
  <c r="DG46" i="20"/>
  <c r="DG107" i="20"/>
  <c r="DG123" i="20"/>
  <c r="DG124" i="20" s="1"/>
  <c r="DG129" i="20"/>
  <c r="DG120" i="20"/>
  <c r="DH5" i="20"/>
  <c r="DG106" i="20"/>
  <c r="DG4" i="20"/>
  <c r="DG9" i="20" s="1"/>
  <c r="DG48" i="20"/>
  <c r="DL11" i="31"/>
  <c r="DL18" i="31"/>
  <c r="E120" i="25"/>
  <c r="G120" i="25" s="1"/>
  <c r="J120" i="25" s="1"/>
  <c r="D121" i="25" s="1"/>
  <c r="DK38" i="31"/>
  <c r="DK133" i="31"/>
  <c r="DK126" i="31"/>
  <c r="DK30" i="31"/>
  <c r="DK48" i="31" s="1"/>
  <c r="DK66" i="31" s="1"/>
  <c r="DK84" i="31" s="1"/>
  <c r="DK102" i="31" s="1"/>
  <c r="DM11" i="34"/>
  <c r="DM18" i="34"/>
  <c r="DG13" i="20" l="1"/>
  <c r="DG10" i="20"/>
  <c r="DG8" i="20"/>
  <c r="DF6" i="20"/>
  <c r="DG12" i="20"/>
  <c r="DG11" i="20"/>
  <c r="CX89" i="20"/>
  <c r="CY76" i="20"/>
  <c r="CY91" i="20" s="1"/>
  <c r="CZ69" i="20"/>
  <c r="CZ70" i="20" s="1"/>
  <c r="CX91" i="20"/>
  <c r="DA66" i="20"/>
  <c r="DA65" i="20"/>
  <c r="DA64" i="20" s="1"/>
  <c r="DA67" i="20"/>
  <c r="DA68" i="20"/>
  <c r="DI3" i="20"/>
  <c r="DO2" i="31"/>
  <c r="F123" i="23"/>
  <c r="H123" i="23" s="1"/>
  <c r="L123" i="23" s="1"/>
  <c r="E124" i="23" s="1"/>
  <c r="DB43" i="20"/>
  <c r="DB63" i="20" s="1"/>
  <c r="DC75" i="20"/>
  <c r="DD72" i="20"/>
  <c r="E121" i="25"/>
  <c r="G121" i="25" s="1"/>
  <c r="J121" i="25" s="1"/>
  <c r="D122" i="25" s="1"/>
  <c r="DL133" i="31"/>
  <c r="DL38" i="31"/>
  <c r="DL126" i="31"/>
  <c r="DL30" i="31"/>
  <c r="DL48" i="31" s="1"/>
  <c r="DL66" i="31" s="1"/>
  <c r="DL84" i="31" s="1"/>
  <c r="DL102" i="31" s="1"/>
  <c r="DN11" i="34"/>
  <c r="DN18" i="34"/>
  <c r="DF58" i="20"/>
  <c r="DF59" i="20" s="1"/>
  <c r="DG74" i="20"/>
  <c r="DG81" i="20"/>
  <c r="DG85" i="20"/>
  <c r="DG83" i="20"/>
  <c r="DG84" i="20"/>
  <c r="DG49" i="20" a="1"/>
  <c r="DG49" i="20" s="1"/>
  <c r="DG50" i="20" s="1"/>
  <c r="DG79" i="20"/>
  <c r="DG88" i="20"/>
  <c r="DG14" i="20"/>
  <c r="DG55" i="20"/>
  <c r="DG57" i="20" s="1"/>
  <c r="DG73" i="20"/>
  <c r="DG15" i="20"/>
  <c r="DG17" i="20"/>
  <c r="DN3" i="31"/>
  <c r="DG16" i="20"/>
  <c r="DG56" i="20"/>
  <c r="DG53" i="20"/>
  <c r="DG45" i="20"/>
  <c r="DG52" i="20" s="1"/>
  <c r="DM132" i="34"/>
  <c r="DM38" i="34"/>
  <c r="DM11" i="31"/>
  <c r="DM18" i="31"/>
  <c r="DN5" i="31"/>
  <c r="DG140" i="20"/>
  <c r="DG143" i="20" s="1"/>
  <c r="DO5" i="34"/>
  <c r="DG141" i="20"/>
  <c r="DG144" i="20" s="1"/>
  <c r="DM125" i="34"/>
  <c r="DM30" i="34"/>
  <c r="DM48" i="34" s="1"/>
  <c r="DM66" i="34" s="1"/>
  <c r="DM84" i="34" s="1"/>
  <c r="DM102" i="34" s="1"/>
  <c r="DH48" i="20"/>
  <c r="DH120" i="20"/>
  <c r="DH103" i="20"/>
  <c r="DH4" i="20"/>
  <c r="DH9" i="20" s="1"/>
  <c r="DI5" i="20"/>
  <c r="DH107" i="20"/>
  <c r="DO4" i="31"/>
  <c r="DH129" i="20"/>
  <c r="DH46" i="20"/>
  <c r="DH123" i="20"/>
  <c r="DH124" i="20" s="1"/>
  <c r="DH106" i="20"/>
  <c r="DH11" i="20" l="1"/>
  <c r="DH12" i="20"/>
  <c r="DH8" i="20"/>
  <c r="DG6" i="20"/>
  <c r="DH10" i="20"/>
  <c r="DH13" i="20"/>
  <c r="CY98" i="20"/>
  <c r="CY89" i="20"/>
  <c r="CZ76" i="20"/>
  <c r="CZ98" i="20" s="1"/>
  <c r="DA69" i="20"/>
  <c r="DA76" i="20" s="1"/>
  <c r="DB67" i="20"/>
  <c r="DB68" i="20"/>
  <c r="DB65" i="20"/>
  <c r="DB64" i="20" s="1"/>
  <c r="DB66" i="20"/>
  <c r="DJ3" i="20"/>
  <c r="DP2" i="31"/>
  <c r="F124" i="23"/>
  <c r="H124" i="23" s="1"/>
  <c r="L124" i="23" s="1"/>
  <c r="E125" i="23" s="1"/>
  <c r="DG58" i="20"/>
  <c r="DG59" i="20" s="1"/>
  <c r="DC43" i="20"/>
  <c r="DC63" i="20" s="1"/>
  <c r="DD75" i="20"/>
  <c r="DE72" i="20"/>
  <c r="DP4" i="31"/>
  <c r="DI107" i="20"/>
  <c r="DI123" i="20"/>
  <c r="DI124" i="20" s="1"/>
  <c r="DJ5" i="20"/>
  <c r="DI129" i="20"/>
  <c r="DI120" i="20"/>
  <c r="DI103" i="20"/>
  <c r="DI48" i="20"/>
  <c r="DI106" i="20"/>
  <c r="DI4" i="20"/>
  <c r="DI9" i="20" s="1"/>
  <c r="DI46" i="20"/>
  <c r="DN11" i="31"/>
  <c r="DN18" i="31"/>
  <c r="DN125" i="34"/>
  <c r="DN30" i="34"/>
  <c r="DN48" i="34" s="1"/>
  <c r="DN66" i="34" s="1"/>
  <c r="DN84" i="34" s="1"/>
  <c r="DN102" i="34" s="1"/>
  <c r="DH74" i="20"/>
  <c r="DH85" i="20"/>
  <c r="DH81" i="20"/>
  <c r="DH83" i="20"/>
  <c r="DH84" i="20"/>
  <c r="DH17" i="20"/>
  <c r="DO3" i="31"/>
  <c r="DH88" i="20"/>
  <c r="DH49" i="20" a="1"/>
  <c r="DH49" i="20" s="1"/>
  <c r="DH50" i="20" s="1"/>
  <c r="DH15" i="20"/>
  <c r="DH16" i="20"/>
  <c r="DH14" i="20"/>
  <c r="DH55" i="20"/>
  <c r="DH57" i="20" s="1"/>
  <c r="DH56" i="20"/>
  <c r="DH73" i="20"/>
  <c r="DH79" i="20"/>
  <c r="DM133" i="31"/>
  <c r="DM38" i="31"/>
  <c r="DM30" i="31"/>
  <c r="DM48" i="31" s="1"/>
  <c r="DM66" i="31" s="1"/>
  <c r="DM84" i="31" s="1"/>
  <c r="DM102" i="31" s="1"/>
  <c r="DM126" i="31"/>
  <c r="DN38" i="34"/>
  <c r="DN132" i="34"/>
  <c r="DH53" i="20"/>
  <c r="DH45" i="20"/>
  <c r="DH52" i="20" s="1"/>
  <c r="DO11" i="34"/>
  <c r="DO18" i="34"/>
  <c r="E122" i="25"/>
  <c r="G122" i="25" s="1"/>
  <c r="J122" i="25" s="1"/>
  <c r="D123" i="25" s="1"/>
  <c r="DH141" i="20"/>
  <c r="DH144" i="20" s="1"/>
  <c r="DH140" i="20"/>
  <c r="DH143" i="20" s="1"/>
  <c r="DO5" i="31"/>
  <c r="DP5" i="34"/>
  <c r="DI13" i="20" l="1"/>
  <c r="DI10" i="20"/>
  <c r="DI8" i="20"/>
  <c r="DH6" i="20"/>
  <c r="DI12" i="20"/>
  <c r="DI11" i="20"/>
  <c r="DA70" i="20"/>
  <c r="CZ91" i="20"/>
  <c r="CZ89" i="20"/>
  <c r="DB69" i="20"/>
  <c r="DB76" i="20" s="1"/>
  <c r="DC67" i="20"/>
  <c r="DC66" i="20"/>
  <c r="DC68" i="20"/>
  <c r="DC65" i="20"/>
  <c r="DC64" i="20" s="1"/>
  <c r="DA98" i="20"/>
  <c r="DA91" i="20"/>
  <c r="DA89" i="20"/>
  <c r="DQ2" i="31"/>
  <c r="DK3" i="20"/>
  <c r="DH58" i="20"/>
  <c r="DH59" i="20" s="1"/>
  <c r="F125" i="23"/>
  <c r="H125" i="23" s="1"/>
  <c r="L125" i="23" s="1"/>
  <c r="E126" i="23" s="1"/>
  <c r="DD43" i="20"/>
  <c r="DD63" i="20" s="1"/>
  <c r="DF72" i="20"/>
  <c r="DE75" i="20"/>
  <c r="DI141" i="20"/>
  <c r="DI144" i="20" s="1"/>
  <c r="DI140" i="20"/>
  <c r="DI143" i="20" s="1"/>
  <c r="DQ5" i="34"/>
  <c r="DP5" i="31"/>
  <c r="E123" i="25"/>
  <c r="G123" i="25" s="1"/>
  <c r="J123" i="25" s="1"/>
  <c r="D124" i="25" s="1"/>
  <c r="DI53" i="20"/>
  <c r="DI45" i="20"/>
  <c r="DI52" i="20" s="1"/>
  <c r="DN30" i="31"/>
  <c r="DN48" i="31" s="1"/>
  <c r="DN66" i="31" s="1"/>
  <c r="DN84" i="31" s="1"/>
  <c r="DN102" i="31" s="1"/>
  <c r="DN126" i="31"/>
  <c r="DQ4" i="31"/>
  <c r="DJ106" i="20"/>
  <c r="DJ107" i="20"/>
  <c r="DJ4" i="20"/>
  <c r="DJ9" i="20" s="1"/>
  <c r="DJ120" i="20"/>
  <c r="DJ123" i="20"/>
  <c r="DJ124" i="20" s="1"/>
  <c r="DJ48" i="20"/>
  <c r="DJ103" i="20"/>
  <c r="DK5" i="20"/>
  <c r="DJ129" i="20"/>
  <c r="DJ46" i="20"/>
  <c r="DO38" i="34"/>
  <c r="DO132" i="34"/>
  <c r="DI74" i="20"/>
  <c r="DI81" i="20"/>
  <c r="DI83" i="20"/>
  <c r="DI84" i="20"/>
  <c r="DI85" i="20"/>
  <c r="DI16" i="20"/>
  <c r="DI17" i="20"/>
  <c r="DP3" i="31"/>
  <c r="DI79" i="20"/>
  <c r="DI49" i="20" a="1"/>
  <c r="DI49" i="20" s="1"/>
  <c r="DI50" i="20" s="1"/>
  <c r="DI15" i="20"/>
  <c r="DI88" i="20"/>
  <c r="DI55" i="20"/>
  <c r="DI57" i="20" s="1"/>
  <c r="DI73" i="20"/>
  <c r="DI56" i="20"/>
  <c r="DI14" i="20"/>
  <c r="DO125" i="34"/>
  <c r="DO30" i="34"/>
  <c r="DO48" i="34" s="1"/>
  <c r="DO66" i="34" s="1"/>
  <c r="DO84" i="34" s="1"/>
  <c r="DO102" i="34" s="1"/>
  <c r="DP18" i="34"/>
  <c r="DP11" i="34"/>
  <c r="DO11" i="31"/>
  <c r="DO18" i="31"/>
  <c r="DN133" i="31"/>
  <c r="DN38" i="31"/>
  <c r="DJ11" i="20" l="1"/>
  <c r="DJ12" i="20"/>
  <c r="DJ8" i="20"/>
  <c r="DI6" i="20"/>
  <c r="DJ10" i="20"/>
  <c r="DJ13" i="20"/>
  <c r="DB70" i="20"/>
  <c r="DC69" i="20"/>
  <c r="DC70" i="20" s="1"/>
  <c r="DD67" i="20"/>
  <c r="DD65" i="20"/>
  <c r="DD64" i="20" s="1"/>
  <c r="DD68" i="20"/>
  <c r="DD66" i="20"/>
  <c r="DB91" i="20"/>
  <c r="DB98" i="20"/>
  <c r="DB89" i="20"/>
  <c r="DL3" i="20"/>
  <c r="DR2" i="31"/>
  <c r="DI58" i="20"/>
  <c r="DI59" i="20" s="1"/>
  <c r="F126" i="23"/>
  <c r="H126" i="23" s="1"/>
  <c r="L126" i="23" s="1"/>
  <c r="E127" i="23" s="1"/>
  <c r="DE43" i="20"/>
  <c r="DE63" i="20" s="1"/>
  <c r="DF75" i="20"/>
  <c r="DG72" i="20"/>
  <c r="DP125" i="34"/>
  <c r="DP30" i="34"/>
  <c r="DP48" i="34" s="1"/>
  <c r="DP66" i="34" s="1"/>
  <c r="DP84" i="34" s="1"/>
  <c r="DP102" i="34" s="1"/>
  <c r="DO38" i="31"/>
  <c r="DO133" i="31"/>
  <c r="DP132" i="34"/>
  <c r="DP38" i="34"/>
  <c r="DJ53" i="20"/>
  <c r="DJ45" i="20"/>
  <c r="DJ52" i="20" s="1"/>
  <c r="DQ11" i="34"/>
  <c r="DQ18" i="34"/>
  <c r="DO126" i="31"/>
  <c r="DO30" i="31"/>
  <c r="DO48" i="31" s="1"/>
  <c r="DO66" i="31" s="1"/>
  <c r="DO84" i="31" s="1"/>
  <c r="DO102" i="31" s="1"/>
  <c r="DJ74" i="20"/>
  <c r="DJ85" i="20"/>
  <c r="DJ83" i="20"/>
  <c r="DJ81" i="20"/>
  <c r="DJ84" i="20"/>
  <c r="DJ55" i="20"/>
  <c r="DJ57" i="20" s="1"/>
  <c r="DJ16" i="20"/>
  <c r="DJ56" i="20"/>
  <c r="DJ88" i="20"/>
  <c r="DJ15" i="20"/>
  <c r="DJ49" i="20" a="1"/>
  <c r="DJ49" i="20" s="1"/>
  <c r="DJ50" i="20" s="1"/>
  <c r="DJ14" i="20"/>
  <c r="DJ17" i="20"/>
  <c r="DQ3" i="31"/>
  <c r="DJ73" i="20"/>
  <c r="DJ79" i="20"/>
  <c r="DP11" i="31"/>
  <c r="DP18" i="31"/>
  <c r="DR5" i="34"/>
  <c r="DQ5" i="31"/>
  <c r="DJ140" i="20"/>
  <c r="DJ143" i="20" s="1"/>
  <c r="DJ141" i="20"/>
  <c r="DJ144" i="20" s="1"/>
  <c r="DK120" i="20"/>
  <c r="DK4" i="20"/>
  <c r="DK9" i="20" s="1"/>
  <c r="DL5" i="20"/>
  <c r="DK123" i="20"/>
  <c r="DK124" i="20" s="1"/>
  <c r="DK48" i="20"/>
  <c r="DK106" i="20"/>
  <c r="DK46" i="20"/>
  <c r="DR4" i="31"/>
  <c r="DK129" i="20"/>
  <c r="DK103" i="20"/>
  <c r="DK107" i="20"/>
  <c r="E124" i="25"/>
  <c r="G124" i="25" s="1"/>
  <c r="J124" i="25" s="1"/>
  <c r="D125" i="25" s="1"/>
  <c r="DK10" i="20" l="1"/>
  <c r="DK13" i="20"/>
  <c r="DK8" i="20"/>
  <c r="DJ6" i="20"/>
  <c r="DK12" i="20"/>
  <c r="DK11" i="20"/>
  <c r="DC76" i="20"/>
  <c r="DC98" i="20" s="1"/>
  <c r="DD69" i="20"/>
  <c r="DD70" i="20" s="1"/>
  <c r="DE66" i="20"/>
  <c r="DE67" i="20"/>
  <c r="DE68" i="20"/>
  <c r="DE65" i="20"/>
  <c r="DE64" i="20" s="1"/>
  <c r="DS2" i="31"/>
  <c r="DM3" i="20"/>
  <c r="F127" i="23"/>
  <c r="H127" i="23" s="1"/>
  <c r="L127" i="23" s="1"/>
  <c r="E128" i="23" s="1"/>
  <c r="DF43" i="20"/>
  <c r="DF63" i="20" s="1"/>
  <c r="DG75" i="20"/>
  <c r="DH72" i="20"/>
  <c r="E125" i="25"/>
  <c r="G125" i="25" s="1"/>
  <c r="J125" i="25" s="1"/>
  <c r="D126" i="25" s="1"/>
  <c r="DK74" i="20"/>
  <c r="DK85" i="20"/>
  <c r="DK84" i="20"/>
  <c r="DK81" i="20"/>
  <c r="DK83" i="20"/>
  <c r="DK56" i="20"/>
  <c r="DK14" i="20"/>
  <c r="DK88" i="20"/>
  <c r="DK55" i="20"/>
  <c r="DK57" i="20" s="1"/>
  <c r="DK16" i="20"/>
  <c r="DR3" i="31"/>
  <c r="DK49" i="20" a="1"/>
  <c r="DK49" i="20" s="1"/>
  <c r="DK50" i="20" s="1"/>
  <c r="DK15" i="20"/>
  <c r="DK17" i="20"/>
  <c r="DK73" i="20"/>
  <c r="DK79" i="20"/>
  <c r="DP30" i="31"/>
  <c r="DP48" i="31" s="1"/>
  <c r="DP66" i="31" s="1"/>
  <c r="DP84" i="31" s="1"/>
  <c r="DP102" i="31" s="1"/>
  <c r="DP126" i="31"/>
  <c r="DK53" i="20"/>
  <c r="DK45" i="20"/>
  <c r="DK52" i="20" s="1"/>
  <c r="DQ132" i="34"/>
  <c r="DQ38" i="34"/>
  <c r="DL107" i="20"/>
  <c r="DL48" i="20"/>
  <c r="DL4" i="20"/>
  <c r="DL9" i="20" s="1"/>
  <c r="DL129" i="20"/>
  <c r="DL123" i="20"/>
  <c r="DL124" i="20" s="1"/>
  <c r="DM5" i="20"/>
  <c r="DL46" i="20"/>
  <c r="DL106" i="20"/>
  <c r="DL103" i="20"/>
  <c r="DL120" i="20"/>
  <c r="DS4" i="31"/>
  <c r="DJ58" i="20"/>
  <c r="DJ59" i="20" s="1"/>
  <c r="DQ30" i="34"/>
  <c r="DQ48" i="34" s="1"/>
  <c r="DQ66" i="34" s="1"/>
  <c r="DQ84" i="34" s="1"/>
  <c r="DQ102" i="34" s="1"/>
  <c r="DQ125" i="34"/>
  <c r="DK140" i="20"/>
  <c r="DK143" i="20" s="1"/>
  <c r="DK141" i="20"/>
  <c r="DK144" i="20" s="1"/>
  <c r="DS5" i="34"/>
  <c r="DR5" i="31"/>
  <c r="DQ11" i="31"/>
  <c r="DQ18" i="31"/>
  <c r="DP133" i="31"/>
  <c r="DP38" i="31"/>
  <c r="DR11" i="34"/>
  <c r="DR18" i="34"/>
  <c r="DL11" i="20" l="1"/>
  <c r="DL12" i="20"/>
  <c r="DL8" i="20"/>
  <c r="DK6" i="20"/>
  <c r="DL10" i="20"/>
  <c r="DL13" i="20"/>
  <c r="DM13" i="20" s="1"/>
  <c r="DC91" i="20"/>
  <c r="DC89" i="20"/>
  <c r="DE69" i="20"/>
  <c r="DE76" i="20" s="1"/>
  <c r="DD76" i="20"/>
  <c r="DD98" i="20" s="1"/>
  <c r="DF67" i="20"/>
  <c r="DF68" i="20"/>
  <c r="DF65" i="20"/>
  <c r="DF64" i="20" s="1"/>
  <c r="DF66" i="20"/>
  <c r="DT2" i="31"/>
  <c r="DN3" i="20"/>
  <c r="F128" i="23"/>
  <c r="H128" i="23" s="1"/>
  <c r="L128" i="23" s="1"/>
  <c r="E129" i="23" s="1"/>
  <c r="DG43" i="20"/>
  <c r="DG63" i="20" s="1"/>
  <c r="DH75" i="20"/>
  <c r="DI72" i="20"/>
  <c r="DR132" i="34"/>
  <c r="DR38" i="34"/>
  <c r="DQ126" i="31"/>
  <c r="DQ30" i="31"/>
  <c r="DQ48" i="31" s="1"/>
  <c r="DQ66" i="31" s="1"/>
  <c r="DQ84" i="31" s="1"/>
  <c r="DQ102" i="31" s="1"/>
  <c r="DR18" i="31"/>
  <c r="DR11" i="31"/>
  <c r="DL74" i="20"/>
  <c r="DL81" i="20"/>
  <c r="DL83" i="20"/>
  <c r="DL85" i="20"/>
  <c r="DL84" i="20"/>
  <c r="DL17" i="20"/>
  <c r="DL14" i="20"/>
  <c r="DL55" i="20"/>
  <c r="DL57" i="20" s="1"/>
  <c r="DL15" i="20"/>
  <c r="DL16" i="20"/>
  <c r="DL56" i="20"/>
  <c r="DL49" i="20" a="1"/>
  <c r="DL49" i="20" s="1"/>
  <c r="DL50" i="20" s="1"/>
  <c r="DL79" i="20"/>
  <c r="DS3" i="31"/>
  <c r="DL88" i="20"/>
  <c r="DL73" i="20"/>
  <c r="DS18" i="34"/>
  <c r="DS11" i="34"/>
  <c r="DL53" i="20"/>
  <c r="DL45" i="20"/>
  <c r="DL52" i="20" s="1"/>
  <c r="E126" i="25"/>
  <c r="G126" i="25" s="1"/>
  <c r="J126" i="25" s="1"/>
  <c r="D127" i="25" s="1"/>
  <c r="DM107" i="20"/>
  <c r="DM123" i="20"/>
  <c r="DM124" i="20" s="1"/>
  <c r="DM4" i="20"/>
  <c r="DM9" i="20" s="1"/>
  <c r="DM46" i="20"/>
  <c r="DM48" i="20"/>
  <c r="DM129" i="20"/>
  <c r="DN5" i="20"/>
  <c r="DM120" i="20"/>
  <c r="DM106" i="20"/>
  <c r="DM103" i="20"/>
  <c r="DT4" i="31"/>
  <c r="DK58" i="20"/>
  <c r="DK59" i="20" s="1"/>
  <c r="DR30" i="34"/>
  <c r="DR48" i="34" s="1"/>
  <c r="DR66" i="34" s="1"/>
  <c r="DR84" i="34" s="1"/>
  <c r="DR102" i="34" s="1"/>
  <c r="DR125" i="34"/>
  <c r="DQ133" i="31"/>
  <c r="DQ38" i="31"/>
  <c r="DL140" i="20"/>
  <c r="DL143" i="20" s="1"/>
  <c r="DT5" i="34"/>
  <c r="DL141" i="20"/>
  <c r="DL144" i="20" s="1"/>
  <c r="DS5" i="31"/>
  <c r="DM10" i="20" l="1"/>
  <c r="DM11" i="20"/>
  <c r="DM8" i="20"/>
  <c r="DL6" i="20"/>
  <c r="DM12" i="20"/>
  <c r="DE70" i="20"/>
  <c r="DD89" i="20"/>
  <c r="DD91" i="20"/>
  <c r="DF69" i="20"/>
  <c r="DF70" i="20" s="1"/>
  <c r="DE89" i="20"/>
  <c r="DE98" i="20"/>
  <c r="DE91" i="20"/>
  <c r="DG67" i="20"/>
  <c r="DG66" i="20"/>
  <c r="DG65" i="20"/>
  <c r="DG64" i="20" s="1"/>
  <c r="DG68" i="20"/>
  <c r="DO3" i="20"/>
  <c r="DU2" i="31"/>
  <c r="F129" i="23"/>
  <c r="H129" i="23" s="1"/>
  <c r="L129" i="23" s="1"/>
  <c r="E130" i="23" s="1"/>
  <c r="DH43" i="20"/>
  <c r="DH63" i="20" s="1"/>
  <c r="DI75" i="20"/>
  <c r="DJ72" i="20"/>
  <c r="E127" i="25"/>
  <c r="G127" i="25" s="1"/>
  <c r="J127" i="25" s="1"/>
  <c r="D128" i="25" s="1"/>
  <c r="DS11" i="31"/>
  <c r="DS18" i="31"/>
  <c r="DL58" i="20"/>
  <c r="DL59" i="20" s="1"/>
  <c r="DT5" i="31"/>
  <c r="DM141" i="20"/>
  <c r="DM144" i="20" s="1"/>
  <c r="DM140" i="20"/>
  <c r="DM143" i="20" s="1"/>
  <c r="DU5" i="34"/>
  <c r="DT11" i="34"/>
  <c r="DT18" i="34"/>
  <c r="DM53" i="20"/>
  <c r="DM45" i="20"/>
  <c r="DM52" i="20" s="1"/>
  <c r="DS125" i="34"/>
  <c r="DS30" i="34"/>
  <c r="DS48" i="34" s="1"/>
  <c r="DS66" i="34" s="1"/>
  <c r="DS84" i="34" s="1"/>
  <c r="DS102" i="34" s="1"/>
  <c r="DN106" i="20"/>
  <c r="DN123" i="20"/>
  <c r="DN124" i="20" s="1"/>
  <c r="DN129" i="20"/>
  <c r="DN4" i="20"/>
  <c r="DN9" i="20" s="1"/>
  <c r="DN48" i="20"/>
  <c r="DN103" i="20"/>
  <c r="DU4" i="31"/>
  <c r="DO5" i="20"/>
  <c r="DN46" i="20"/>
  <c r="DN107" i="20"/>
  <c r="DN120" i="20"/>
  <c r="DM74" i="20"/>
  <c r="DM84" i="20"/>
  <c r="DM81" i="20"/>
  <c r="DM85" i="20"/>
  <c r="DM83" i="20"/>
  <c r="DM73" i="20"/>
  <c r="DM79" i="20"/>
  <c r="DM88" i="20"/>
  <c r="DM56" i="20"/>
  <c r="DM16" i="20"/>
  <c r="DM55" i="20"/>
  <c r="DM57" i="20" s="1"/>
  <c r="DM15" i="20"/>
  <c r="DM14" i="20"/>
  <c r="DT3" i="31"/>
  <c r="DM17" i="20"/>
  <c r="DM49" i="20" a="1"/>
  <c r="DM49" i="20" s="1"/>
  <c r="DM50" i="20" s="1"/>
  <c r="DS132" i="34"/>
  <c r="DS38" i="34"/>
  <c r="DR30" i="31"/>
  <c r="DR48" i="31" s="1"/>
  <c r="DR66" i="31" s="1"/>
  <c r="DR84" i="31" s="1"/>
  <c r="DR102" i="31" s="1"/>
  <c r="DR126" i="31"/>
  <c r="DR38" i="31"/>
  <c r="DR133" i="31"/>
  <c r="DN13" i="20" l="1"/>
  <c r="DN12" i="20"/>
  <c r="DN8" i="20"/>
  <c r="DM6" i="20"/>
  <c r="DN11" i="20"/>
  <c r="DO13" i="20"/>
  <c r="DN10" i="20"/>
  <c r="DO10" i="20" s="1"/>
  <c r="DF76" i="20"/>
  <c r="DF91" i="20" s="1"/>
  <c r="DG69" i="20"/>
  <c r="DG70" i="20" s="1"/>
  <c r="DH66" i="20"/>
  <c r="DH67" i="20"/>
  <c r="DH68" i="20"/>
  <c r="DH65" i="20"/>
  <c r="DH64" i="20" s="1"/>
  <c r="DP3" i="20"/>
  <c r="DV2" i="31"/>
  <c r="DM58" i="20"/>
  <c r="DM59" i="20" s="1"/>
  <c r="F130" i="23"/>
  <c r="H130" i="23" s="1"/>
  <c r="L130" i="23" s="1"/>
  <c r="E131" i="23" s="1"/>
  <c r="DI43" i="20"/>
  <c r="DI63" i="20" s="1"/>
  <c r="DJ75" i="20"/>
  <c r="DK72" i="20"/>
  <c r="DV4" i="31"/>
  <c r="DO129" i="20"/>
  <c r="DO48" i="20"/>
  <c r="DO123" i="20"/>
  <c r="DO124" i="20" s="1"/>
  <c r="DO4" i="20"/>
  <c r="DO9" i="20" s="1"/>
  <c r="DO106" i="20"/>
  <c r="DP5" i="20"/>
  <c r="DO103" i="20"/>
  <c r="DO46" i="20"/>
  <c r="DO120" i="20"/>
  <c r="DO107" i="20"/>
  <c r="DT132" i="34"/>
  <c r="DT38" i="34"/>
  <c r="DT30" i="34"/>
  <c r="DT48" i="34" s="1"/>
  <c r="DT66" i="34" s="1"/>
  <c r="DT84" i="34" s="1"/>
  <c r="DT102" i="34" s="1"/>
  <c r="DT125" i="34"/>
  <c r="DS38" i="31"/>
  <c r="DS133" i="31"/>
  <c r="DU18" i="34"/>
  <c r="DU11" i="34"/>
  <c r="DS126" i="31"/>
  <c r="DS30" i="31"/>
  <c r="DS48" i="31" s="1"/>
  <c r="DS66" i="31" s="1"/>
  <c r="DS84" i="31" s="1"/>
  <c r="DS102" i="31" s="1"/>
  <c r="DN74" i="20"/>
  <c r="DN83" i="20"/>
  <c r="DN84" i="20"/>
  <c r="DN85" i="20"/>
  <c r="DN81" i="20"/>
  <c r="DN56" i="20"/>
  <c r="DN55" i="20"/>
  <c r="DN57" i="20" s="1"/>
  <c r="DN79" i="20"/>
  <c r="DN16" i="20"/>
  <c r="DN88" i="20"/>
  <c r="DN49" i="20" a="1"/>
  <c r="DN49" i="20" s="1"/>
  <c r="DN50" i="20" s="1"/>
  <c r="DN15" i="20"/>
  <c r="DN17" i="20"/>
  <c r="DN14" i="20"/>
  <c r="DU3" i="31"/>
  <c r="DN73" i="20"/>
  <c r="DU5" i="31"/>
  <c r="DN141" i="20"/>
  <c r="DN144" i="20" s="1"/>
  <c r="DN140" i="20"/>
  <c r="DN143" i="20" s="1"/>
  <c r="DV5" i="34"/>
  <c r="DT11" i="31"/>
  <c r="DT18" i="31"/>
  <c r="DN45" i="20"/>
  <c r="DN52" i="20" s="1"/>
  <c r="DN53" i="20"/>
  <c r="E128" i="25"/>
  <c r="G128" i="25" s="1"/>
  <c r="J128" i="25" s="1"/>
  <c r="D129" i="25" s="1"/>
  <c r="DO11" i="20" l="1"/>
  <c r="DO8" i="20"/>
  <c r="DN6" i="20"/>
  <c r="DO12" i="20"/>
  <c r="DF98" i="20"/>
  <c r="DF89" i="20"/>
  <c r="DH69" i="20"/>
  <c r="DH70" i="20" s="1"/>
  <c r="DG76" i="20"/>
  <c r="DG91" i="20" s="1"/>
  <c r="DI67" i="20"/>
  <c r="DI65" i="20"/>
  <c r="DI64" i="20" s="1"/>
  <c r="DI68" i="20"/>
  <c r="DI66" i="20"/>
  <c r="DW2" i="31"/>
  <c r="DQ3" i="20"/>
  <c r="F131" i="23"/>
  <c r="H131" i="23" s="1"/>
  <c r="L131" i="23" s="1"/>
  <c r="E132" i="23" s="1"/>
  <c r="DJ43" i="20"/>
  <c r="DJ63" i="20" s="1"/>
  <c r="DK75" i="20"/>
  <c r="DL72" i="20"/>
  <c r="DU11" i="31"/>
  <c r="DU18" i="31"/>
  <c r="DO53" i="20"/>
  <c r="DO45" i="20"/>
  <c r="DT38" i="31"/>
  <c r="DT133" i="31"/>
  <c r="DW5" i="34"/>
  <c r="DO141" i="20"/>
  <c r="DO144" i="20" s="1"/>
  <c r="DO140" i="20"/>
  <c r="DO143" i="20" s="1"/>
  <c r="DV5" i="31"/>
  <c r="DT126" i="31"/>
  <c r="DT30" i="31"/>
  <c r="DT48" i="31" s="1"/>
  <c r="DT66" i="31" s="1"/>
  <c r="DT84" i="31" s="1"/>
  <c r="DT102" i="31" s="1"/>
  <c r="DU30" i="34"/>
  <c r="DU48" i="34" s="1"/>
  <c r="DU66" i="34" s="1"/>
  <c r="DU84" i="34" s="1"/>
  <c r="DU102" i="34" s="1"/>
  <c r="DU125" i="34"/>
  <c r="DP46" i="20"/>
  <c r="DP107" i="20"/>
  <c r="DP103" i="20"/>
  <c r="DP48" i="20"/>
  <c r="DP106" i="20"/>
  <c r="DW4" i="31"/>
  <c r="DP4" i="20"/>
  <c r="DP9" i="20" s="1"/>
  <c r="DP120" i="20"/>
  <c r="DP129" i="20"/>
  <c r="DQ5" i="20"/>
  <c r="DP123" i="20"/>
  <c r="DP124" i="20" s="1"/>
  <c r="E129" i="25"/>
  <c r="G129" i="25" s="1"/>
  <c r="J129" i="25" s="1"/>
  <c r="D130" i="25" s="1"/>
  <c r="DV11" i="34"/>
  <c r="DV18" i="34"/>
  <c r="DU38" i="34"/>
  <c r="DU132" i="34"/>
  <c r="DO83" i="20"/>
  <c r="DO84" i="20"/>
  <c r="DO81" i="20"/>
  <c r="DO74" i="20"/>
  <c r="DO85" i="20"/>
  <c r="DO79" i="20"/>
  <c r="DO15" i="20"/>
  <c r="DV3" i="31"/>
  <c r="DO16" i="20"/>
  <c r="DO49" i="20" a="1"/>
  <c r="DO49" i="20" s="1"/>
  <c r="DO50" i="20" s="1"/>
  <c r="DO17" i="20"/>
  <c r="DO88" i="20"/>
  <c r="DO56" i="20"/>
  <c r="DO14" i="20"/>
  <c r="DO55" i="20"/>
  <c r="DO57" i="20" s="1"/>
  <c r="DO73" i="20"/>
  <c r="DN58" i="20"/>
  <c r="DN59" i="20" s="1"/>
  <c r="DP12" i="20" l="1"/>
  <c r="DP10" i="20"/>
  <c r="DP8" i="20"/>
  <c r="DO6" i="20"/>
  <c r="DP11" i="20"/>
  <c r="DP13" i="20"/>
  <c r="DG98" i="20"/>
  <c r="DH76" i="20"/>
  <c r="DH89" i="20" s="1"/>
  <c r="DG89" i="20"/>
  <c r="DI69" i="20"/>
  <c r="DI70" i="20" s="1"/>
  <c r="DJ67" i="20"/>
  <c r="DJ68" i="20"/>
  <c r="DJ65" i="20"/>
  <c r="DJ64" i="20" s="1"/>
  <c r="DJ66" i="20"/>
  <c r="DX2" i="31"/>
  <c r="DR3" i="20"/>
  <c r="F132" i="23"/>
  <c r="H132" i="23" s="1"/>
  <c r="L132" i="23" s="1"/>
  <c r="E133" i="23" s="1"/>
  <c r="DK43" i="20"/>
  <c r="DK63" i="20" s="1"/>
  <c r="DL75" i="20"/>
  <c r="DM72" i="20"/>
  <c r="E130" i="25"/>
  <c r="G130" i="25" s="1"/>
  <c r="J130" i="25" s="1"/>
  <c r="D131" i="25" s="1"/>
  <c r="DV30" i="34"/>
  <c r="DV48" i="34" s="1"/>
  <c r="DV66" i="34" s="1"/>
  <c r="DV84" i="34" s="1"/>
  <c r="DV102" i="34" s="1"/>
  <c r="DV125" i="34"/>
  <c r="DP53" i="20"/>
  <c r="DP45" i="20"/>
  <c r="DR5" i="20"/>
  <c r="DQ48" i="20"/>
  <c r="DQ123" i="20"/>
  <c r="DQ124" i="20" s="1"/>
  <c r="DQ129" i="20"/>
  <c r="DQ4" i="20"/>
  <c r="DQ9" i="20" s="1"/>
  <c r="DQ107" i="20"/>
  <c r="DQ46" i="20"/>
  <c r="DQ106" i="20"/>
  <c r="DQ120" i="20"/>
  <c r="DX4" i="31"/>
  <c r="DQ103" i="20"/>
  <c r="DW18" i="34"/>
  <c r="DW11" i="34"/>
  <c r="DP74" i="20"/>
  <c r="DP84" i="20"/>
  <c r="DP81" i="20"/>
  <c r="DP85" i="20"/>
  <c r="DP83" i="20"/>
  <c r="DP49" i="20" a="1"/>
  <c r="DP49" i="20" s="1"/>
  <c r="DP50" i="20" s="1"/>
  <c r="DW3" i="31"/>
  <c r="DP55" i="20"/>
  <c r="DP57" i="20" s="1"/>
  <c r="DP16" i="20"/>
  <c r="DP79" i="20"/>
  <c r="DP15" i="20"/>
  <c r="DP56" i="20"/>
  <c r="DP17" i="20"/>
  <c r="DP73" i="20"/>
  <c r="DP88" i="20"/>
  <c r="DP14" i="20"/>
  <c r="DV132" i="34"/>
  <c r="DV38" i="34"/>
  <c r="DU133" i="31"/>
  <c r="DU38" i="31"/>
  <c r="DV18" i="31"/>
  <c r="DV11" i="31"/>
  <c r="DU30" i="31"/>
  <c r="DU48" i="31" s="1"/>
  <c r="DU66" i="31" s="1"/>
  <c r="DU84" i="31" s="1"/>
  <c r="DU102" i="31" s="1"/>
  <c r="DU126" i="31"/>
  <c r="DO58" i="20"/>
  <c r="DO59" i="20" s="1"/>
  <c r="DW5" i="31"/>
  <c r="DP140" i="20"/>
  <c r="DP143" i="20" s="1"/>
  <c r="DP141" i="20"/>
  <c r="DP144" i="20" s="1"/>
  <c r="DX5" i="34"/>
  <c r="DO52" i="20"/>
  <c r="DQ13" i="20" l="1"/>
  <c r="DQ11" i="20"/>
  <c r="DQ12" i="20"/>
  <c r="DQ8" i="20"/>
  <c r="DP6" i="20"/>
  <c r="DQ10" i="20"/>
  <c r="DH91" i="20"/>
  <c r="DH98" i="20"/>
  <c r="DI76" i="20"/>
  <c r="DI89" i="20" s="1"/>
  <c r="DJ69" i="20"/>
  <c r="DJ76" i="20" s="1"/>
  <c r="DK67" i="20"/>
  <c r="DK68" i="20"/>
  <c r="DK66" i="20"/>
  <c r="DK65" i="20"/>
  <c r="DK64" i="20" s="1"/>
  <c r="DY2" i="31"/>
  <c r="DS3" i="20"/>
  <c r="F133" i="23"/>
  <c r="H133" i="23" s="1"/>
  <c r="L133" i="23" s="1"/>
  <c r="E134" i="23" s="1"/>
  <c r="DL43" i="20"/>
  <c r="DL63" i="20" s="1"/>
  <c r="DP58" i="20"/>
  <c r="DP59" i="20" s="1"/>
  <c r="DN72" i="20"/>
  <c r="DM75" i="20"/>
  <c r="E131" i="25"/>
  <c r="G131" i="25" s="1"/>
  <c r="J131" i="25" s="1"/>
  <c r="D132" i="25" s="1"/>
  <c r="DV30" i="31"/>
  <c r="DV48" i="31" s="1"/>
  <c r="DV66" i="31" s="1"/>
  <c r="DV84" i="31" s="1"/>
  <c r="DV102" i="31" s="1"/>
  <c r="DV126" i="31"/>
  <c r="DV133" i="31"/>
  <c r="DV38" i="31"/>
  <c r="DW30" i="34"/>
  <c r="DW48" i="34" s="1"/>
  <c r="DW66" i="34" s="1"/>
  <c r="DW84" i="34" s="1"/>
  <c r="DW102" i="34" s="1"/>
  <c r="DW125" i="34"/>
  <c r="DW38" i="34"/>
  <c r="DW132" i="34"/>
  <c r="DQ74" i="20"/>
  <c r="DQ83" i="20"/>
  <c r="DQ84" i="20"/>
  <c r="DQ81" i="20"/>
  <c r="DQ85" i="20"/>
  <c r="DX3" i="31"/>
  <c r="DQ49" i="20" a="1"/>
  <c r="DQ49" i="20" s="1"/>
  <c r="DQ50" i="20" s="1"/>
  <c r="DQ16" i="20"/>
  <c r="DQ15" i="20"/>
  <c r="DQ73" i="20"/>
  <c r="DQ79" i="20"/>
  <c r="DQ14" i="20"/>
  <c r="DQ88" i="20"/>
  <c r="DQ55" i="20"/>
  <c r="DQ57" i="20" s="1"/>
  <c r="DQ17" i="20"/>
  <c r="DQ56" i="20"/>
  <c r="DQ141" i="20"/>
  <c r="DQ144" i="20" s="1"/>
  <c r="DQ140" i="20"/>
  <c r="DQ143" i="20" s="1"/>
  <c r="DY5" i="34"/>
  <c r="DX5" i="31"/>
  <c r="DX11" i="34"/>
  <c r="DX18" i="34"/>
  <c r="DP52" i="20"/>
  <c r="DW18" i="31"/>
  <c r="DW11" i="31"/>
  <c r="DR106" i="20"/>
  <c r="DR48" i="20"/>
  <c r="DR129" i="20"/>
  <c r="DS5" i="20"/>
  <c r="DR103" i="20"/>
  <c r="DR123" i="20"/>
  <c r="DR124" i="20" s="1"/>
  <c r="DR120" i="20"/>
  <c r="DR4" i="20"/>
  <c r="DR9" i="20" s="1"/>
  <c r="DY4" i="31"/>
  <c r="DR46" i="20"/>
  <c r="DR107" i="20"/>
  <c r="DQ45" i="20"/>
  <c r="DQ52" i="20" s="1"/>
  <c r="DQ53" i="20"/>
  <c r="DR10" i="20" l="1"/>
  <c r="DR8" i="20"/>
  <c r="DQ6" i="20"/>
  <c r="DR13" i="20"/>
  <c r="DR12" i="20"/>
  <c r="DR11" i="20"/>
  <c r="DI98" i="20"/>
  <c r="DI91" i="20"/>
  <c r="DJ70" i="20"/>
  <c r="DK69" i="20"/>
  <c r="DK70" i="20" s="1"/>
  <c r="DL68" i="20"/>
  <c r="DL65" i="20"/>
  <c r="DL64" i="20" s="1"/>
  <c r="DL67" i="20"/>
  <c r="DL66" i="20"/>
  <c r="DJ89" i="20"/>
  <c r="DJ91" i="20"/>
  <c r="DJ98" i="20"/>
  <c r="DZ2" i="31"/>
  <c r="DT3" i="20"/>
  <c r="EA2" i="31" s="1"/>
  <c r="F134" i="23"/>
  <c r="H134" i="23" s="1"/>
  <c r="L134" i="23" s="1"/>
  <c r="E135" i="23" s="1"/>
  <c r="DM43" i="20"/>
  <c r="DM63" i="20" s="1"/>
  <c r="DO72" i="20"/>
  <c r="DN75" i="20"/>
  <c r="E132" i="25"/>
  <c r="G132" i="25" s="1"/>
  <c r="J132" i="25" s="1"/>
  <c r="D133" i="25" s="1"/>
  <c r="DR74" i="20"/>
  <c r="DR85" i="20"/>
  <c r="DR83" i="20"/>
  <c r="DR81" i="20"/>
  <c r="DR84" i="20"/>
  <c r="DR15" i="20"/>
  <c r="DR56" i="20"/>
  <c r="DR79" i="20"/>
  <c r="DR14" i="20"/>
  <c r="DR55" i="20"/>
  <c r="DR57" i="20" s="1"/>
  <c r="DR49" i="20" a="1"/>
  <c r="DR49" i="20" s="1"/>
  <c r="DR50" i="20" s="1"/>
  <c r="DR16" i="20"/>
  <c r="DR17" i="20"/>
  <c r="DY3" i="31"/>
  <c r="DR73" i="20"/>
  <c r="DR88" i="20"/>
  <c r="DX38" i="34"/>
  <c r="DX132" i="34"/>
  <c r="DX30" i="34"/>
  <c r="DX48" i="34" s="1"/>
  <c r="DX66" i="34" s="1"/>
  <c r="DX84" i="34" s="1"/>
  <c r="DX102" i="34" s="1"/>
  <c r="DX125" i="34"/>
  <c r="DW30" i="31"/>
  <c r="DW48" i="31" s="1"/>
  <c r="DW66" i="31" s="1"/>
  <c r="DW84" i="31" s="1"/>
  <c r="DW102" i="31" s="1"/>
  <c r="DW126" i="31"/>
  <c r="DQ58" i="20"/>
  <c r="DQ59" i="20" s="1"/>
  <c r="DW133" i="31"/>
  <c r="DW38" i="31"/>
  <c r="DX11" i="31"/>
  <c r="DX18" i="31"/>
  <c r="DS48" i="20"/>
  <c r="DZ4" i="31"/>
  <c r="DS46" i="20"/>
  <c r="DS123" i="20"/>
  <c r="DS124" i="20" s="1"/>
  <c r="DS129" i="20"/>
  <c r="DS103" i="20"/>
  <c r="DS120" i="20"/>
  <c r="DS107" i="20"/>
  <c r="DS106" i="20"/>
  <c r="DT5" i="20"/>
  <c r="DS4" i="20"/>
  <c r="DS9" i="20" s="1"/>
  <c r="DY11" i="34"/>
  <c r="DY18" i="34"/>
  <c r="DR141" i="20"/>
  <c r="DR144" i="20" s="1"/>
  <c r="DR140" i="20"/>
  <c r="DR143" i="20" s="1"/>
  <c r="DZ5" i="34"/>
  <c r="DY5" i="31"/>
  <c r="DR53" i="20"/>
  <c r="DR45" i="20"/>
  <c r="DR52" i="20" s="1"/>
  <c r="DS11" i="20" l="1"/>
  <c r="DS12" i="20"/>
  <c r="DS13" i="20"/>
  <c r="DS8" i="20"/>
  <c r="DR6" i="20"/>
  <c r="DS10" i="20"/>
  <c r="DK76" i="20"/>
  <c r="DK89" i="20" s="1"/>
  <c r="DL69" i="20"/>
  <c r="DL70" i="20" s="1"/>
  <c r="DM65" i="20"/>
  <c r="DM64" i="20" s="1"/>
  <c r="DM67" i="20"/>
  <c r="DM66" i="20"/>
  <c r="DM68" i="20"/>
  <c r="F135" i="23"/>
  <c r="H135" i="23" s="1"/>
  <c r="L135" i="23" s="1"/>
  <c r="E136" i="23" s="1"/>
  <c r="DN43" i="20"/>
  <c r="DN63" i="20" s="1"/>
  <c r="DP72" i="20"/>
  <c r="DO75" i="20"/>
  <c r="DY38" i="34"/>
  <c r="DY132" i="34"/>
  <c r="DY125" i="34"/>
  <c r="DY30" i="34"/>
  <c r="DY48" i="34" s="1"/>
  <c r="DY66" i="34" s="1"/>
  <c r="DY84" i="34" s="1"/>
  <c r="DY102" i="34" s="1"/>
  <c r="DZ5" i="31"/>
  <c r="EA5" i="34"/>
  <c r="DS141" i="20"/>
  <c r="DS144" i="20" s="1"/>
  <c r="DS140" i="20"/>
  <c r="DS143" i="20" s="1"/>
  <c r="DS74" i="20"/>
  <c r="DS85" i="20"/>
  <c r="DS84" i="20"/>
  <c r="DS83" i="20"/>
  <c r="DS81" i="20"/>
  <c r="DS14" i="20"/>
  <c r="DS56" i="20"/>
  <c r="DS73" i="20"/>
  <c r="DS16" i="20"/>
  <c r="DS55" i="20"/>
  <c r="DS57" i="20" s="1"/>
  <c r="DS49" i="20" a="1"/>
  <c r="DS49" i="20" s="1"/>
  <c r="DS50" i="20" s="1"/>
  <c r="DS15" i="20"/>
  <c r="DS88" i="20"/>
  <c r="DS17" i="20"/>
  <c r="DS79" i="20"/>
  <c r="DZ3" i="31"/>
  <c r="DY18" i="31"/>
  <c r="DY11" i="31"/>
  <c r="DT107" i="20"/>
  <c r="DT4" i="20"/>
  <c r="DT9" i="20" s="1"/>
  <c r="DT103" i="20"/>
  <c r="DT123" i="20"/>
  <c r="DT124" i="20" s="1"/>
  <c r="DT46" i="20"/>
  <c r="EA4" i="31"/>
  <c r="DT106" i="20"/>
  <c r="DT48" i="20"/>
  <c r="DT129" i="20"/>
  <c r="DT120" i="20"/>
  <c r="DS45" i="20"/>
  <c r="DS52" i="20" s="1"/>
  <c r="DS53" i="20"/>
  <c r="DX133" i="31"/>
  <c r="DX38" i="31"/>
  <c r="DR58" i="20"/>
  <c r="DR59" i="20" s="1"/>
  <c r="DZ11" i="34"/>
  <c r="DZ18" i="34"/>
  <c r="DX126" i="31"/>
  <c r="DX30" i="31"/>
  <c r="DX48" i="31" s="1"/>
  <c r="DX66" i="31" s="1"/>
  <c r="DX84" i="31" s="1"/>
  <c r="DX102" i="31" s="1"/>
  <c r="E133" i="25"/>
  <c r="G133" i="25" s="1"/>
  <c r="J133" i="25" s="1"/>
  <c r="D134" i="25" s="1"/>
  <c r="DT10" i="20" l="1"/>
  <c r="DT8" i="20"/>
  <c r="DT6" i="20" s="1"/>
  <c r="DS6" i="20"/>
  <c r="DT13" i="20"/>
  <c r="DT12" i="20"/>
  <c r="DT11" i="20"/>
  <c r="DK98" i="20"/>
  <c r="DL76" i="20"/>
  <c r="DL91" i="20" s="1"/>
  <c r="DK91" i="20"/>
  <c r="DM69" i="20"/>
  <c r="DM76" i="20" s="1"/>
  <c r="DN68" i="20"/>
  <c r="DN67" i="20"/>
  <c r="DN65" i="20"/>
  <c r="DN64" i="20" s="1"/>
  <c r="DN66" i="20"/>
  <c r="DS58" i="20"/>
  <c r="DS59" i="20" s="1"/>
  <c r="F136" i="23"/>
  <c r="H136" i="23" s="1"/>
  <c r="L136" i="23" s="1"/>
  <c r="E137" i="23" s="1"/>
  <c r="DO43" i="20"/>
  <c r="DO63" i="20" s="1"/>
  <c r="DP75" i="20"/>
  <c r="DQ72" i="20"/>
  <c r="E134" i="25"/>
  <c r="G134" i="25" s="1"/>
  <c r="J134" i="25" s="1"/>
  <c r="D135" i="25" s="1"/>
  <c r="DT53" i="20"/>
  <c r="DT45" i="20"/>
  <c r="DT52" i="20" s="1"/>
  <c r="DZ11" i="31"/>
  <c r="DZ18" i="31"/>
  <c r="DY133" i="31"/>
  <c r="DY38" i="31"/>
  <c r="EA11" i="34"/>
  <c r="EA18" i="34"/>
  <c r="AA60" i="27"/>
  <c r="DT140" i="20"/>
  <c r="DT143" i="20" s="1"/>
  <c r="DT141" i="20"/>
  <c r="DT144" i="20" s="1"/>
  <c r="EA5" i="31"/>
  <c r="EB5" i="34"/>
  <c r="DT74" i="20"/>
  <c r="AA17" i="27" s="1"/>
  <c r="AB17" i="27" s="1"/>
  <c r="DT81" i="20"/>
  <c r="DT83" i="20"/>
  <c r="AA26" i="27" s="1"/>
  <c r="AB26" i="27" s="1"/>
  <c r="DT85" i="20"/>
  <c r="I28" i="27" s="1"/>
  <c r="J28" i="27" s="1"/>
  <c r="DT84" i="20"/>
  <c r="I27" i="27" s="1"/>
  <c r="J27" i="27" s="1"/>
  <c r="DT55" i="20"/>
  <c r="DT57" i="20" s="1"/>
  <c r="DT17" i="20"/>
  <c r="DT56" i="20"/>
  <c r="EA3" i="31"/>
  <c r="DT15" i="20"/>
  <c r="DT49" i="20" a="1"/>
  <c r="DT49" i="20" s="1"/>
  <c r="DT50" i="20" s="1"/>
  <c r="DT73" i="20"/>
  <c r="I16" i="27" s="1"/>
  <c r="J16" i="27" s="1"/>
  <c r="DT14" i="20"/>
  <c r="DT79" i="20"/>
  <c r="AA22" i="27" s="1"/>
  <c r="DT16" i="20"/>
  <c r="DT88" i="20"/>
  <c r="AA31" i="27" s="1"/>
  <c r="I26" i="27"/>
  <c r="J26" i="27" s="1"/>
  <c r="I47" i="27"/>
  <c r="O47" i="27"/>
  <c r="I22" i="27"/>
  <c r="I17" i="27"/>
  <c r="J17" i="27" s="1"/>
  <c r="Q26" i="27"/>
  <c r="R26" i="27" s="1"/>
  <c r="Y8" i="27"/>
  <c r="U24" i="27"/>
  <c r="V24" i="27" s="1"/>
  <c r="S6" i="27"/>
  <c r="K47" i="27"/>
  <c r="O22" i="27"/>
  <c r="O17" i="27"/>
  <c r="P17" i="27" s="1"/>
  <c r="S24" i="27"/>
  <c r="T24" i="27" s="1"/>
  <c r="K11" i="27"/>
  <c r="AA44" i="27"/>
  <c r="Q8" i="27"/>
  <c r="W31" i="27"/>
  <c r="AA48" i="27"/>
  <c r="U60" i="27"/>
  <c r="O46" i="27"/>
  <c r="Y47" i="27"/>
  <c r="Y35" i="27"/>
  <c r="Z35" i="27" s="1"/>
  <c r="M16" i="27"/>
  <c r="N16" i="27" s="1"/>
  <c r="M9" i="27"/>
  <c r="O8" i="27"/>
  <c r="U15" i="27"/>
  <c r="M24" i="27"/>
  <c r="N24" i="27" s="1"/>
  <c r="Y10" i="27"/>
  <c r="M28" i="27"/>
  <c r="N28" i="27" s="1"/>
  <c r="K34" i="27"/>
  <c r="O33" i="27"/>
  <c r="P33" i="27" s="1"/>
  <c r="W32" i="27"/>
  <c r="S8" i="27"/>
  <c r="O45" i="27"/>
  <c r="K9" i="27"/>
  <c r="M45" i="27"/>
  <c r="I35" i="27"/>
  <c r="J35" i="27" s="1"/>
  <c r="I46" i="27"/>
  <c r="Q35" i="27"/>
  <c r="R35" i="27" s="1"/>
  <c r="AA47" i="27"/>
  <c r="O35" i="27"/>
  <c r="P35" i="27" s="1"/>
  <c r="Q10" i="27"/>
  <c r="K31" i="27"/>
  <c r="Q46" i="27"/>
  <c r="Y34" i="27"/>
  <c r="W35" i="27"/>
  <c r="X35" i="27" s="1"/>
  <c r="K33" i="27"/>
  <c r="L33" i="27" s="1"/>
  <c r="W9" i="27"/>
  <c r="S15" i="27"/>
  <c r="S16" i="27"/>
  <c r="T16" i="27" s="1"/>
  <c r="U34" i="27"/>
  <c r="U7" i="27"/>
  <c r="AA45" i="27"/>
  <c r="S35" i="27"/>
  <c r="T35" i="27" s="1"/>
  <c r="O16" i="27"/>
  <c r="P16" i="27" s="1"/>
  <c r="U48" i="27"/>
  <c r="S26" i="27"/>
  <c r="T26" i="27" s="1"/>
  <c r="U17" i="27"/>
  <c r="V17" i="27" s="1"/>
  <c r="Y22" i="27"/>
  <c r="U28" i="27"/>
  <c r="V28" i="27" s="1"/>
  <c r="Q34" i="27"/>
  <c r="Q48" i="27"/>
  <c r="Y44" i="27"/>
  <c r="K15" i="27"/>
  <c r="S17" i="27"/>
  <c r="T17" i="27" s="1"/>
  <c r="M33" i="27"/>
  <c r="N33" i="27" s="1"/>
  <c r="K22" i="27"/>
  <c r="O6" i="27"/>
  <c r="K17" i="27"/>
  <c r="L17" i="27" s="1"/>
  <c r="W34" i="27"/>
  <c r="O11" i="27"/>
  <c r="O9" i="27"/>
  <c r="K10" i="27"/>
  <c r="Q15" i="27"/>
  <c r="U26" i="27"/>
  <c r="V26" i="27" s="1"/>
  <c r="S48" i="27"/>
  <c r="Q45" i="27"/>
  <c r="M6" i="27"/>
  <c r="I45" i="27"/>
  <c r="S31" i="27"/>
  <c r="Y16" i="27"/>
  <c r="Z16" i="27" s="1"/>
  <c r="Y24" i="27"/>
  <c r="Z24" i="27" s="1"/>
  <c r="M7" i="27"/>
  <c r="K35" i="27"/>
  <c r="L35" i="27" s="1"/>
  <c r="U10" i="27"/>
  <c r="K44" i="27"/>
  <c r="U9" i="27"/>
  <c r="AA35" i="27"/>
  <c r="AB35" i="27" s="1"/>
  <c r="W11" i="27"/>
  <c r="Q47" i="27"/>
  <c r="K16" i="27"/>
  <c r="L16" i="27" s="1"/>
  <c r="O15" i="27"/>
  <c r="S28" i="27"/>
  <c r="T28" i="27" s="1"/>
  <c r="K48" i="27"/>
  <c r="Y32" i="27"/>
  <c r="Y27" i="27"/>
  <c r="Z27" i="27" s="1"/>
  <c r="U8" i="27"/>
  <c r="O28" i="27"/>
  <c r="P28" i="27" s="1"/>
  <c r="Y15" i="27"/>
  <c r="U35" i="27"/>
  <c r="V35" i="27" s="1"/>
  <c r="W6" i="27"/>
  <c r="K26" i="27"/>
  <c r="L26" i="27" s="1"/>
  <c r="Y26" i="27"/>
  <c r="Z26" i="27" s="1"/>
  <c r="M10" i="27"/>
  <c r="AA46" i="27"/>
  <c r="Y17" i="27"/>
  <c r="Z17" i="27" s="1"/>
  <c r="I44" i="27"/>
  <c r="W24" i="27"/>
  <c r="X24" i="27" s="1"/>
  <c r="O44" i="27"/>
  <c r="W10" i="27"/>
  <c r="U32" i="27"/>
  <c r="W48" i="27"/>
  <c r="M26" i="27"/>
  <c r="N26" i="27" s="1"/>
  <c r="Y9" i="27"/>
  <c r="M35" i="27"/>
  <c r="N35" i="27" s="1"/>
  <c r="Q11" i="27"/>
  <c r="O27" i="27"/>
  <c r="P27" i="27" s="1"/>
  <c r="K8" i="27"/>
  <c r="Q24" i="27"/>
  <c r="R24" i="27" s="1"/>
  <c r="W45" i="27"/>
  <c r="O34" i="27"/>
  <c r="M32" i="27"/>
  <c r="M8" i="27"/>
  <c r="U46" i="27"/>
  <c r="M47" i="27"/>
  <c r="O48" i="27"/>
  <c r="S22" i="27"/>
  <c r="U11" i="27"/>
  <c r="U22" i="27"/>
  <c r="W28" i="27"/>
  <c r="X28" i="27" s="1"/>
  <c r="K45" i="27"/>
  <c r="S46" i="27"/>
  <c r="K27" i="27"/>
  <c r="L27" i="27" s="1"/>
  <c r="W26" i="27"/>
  <c r="X26" i="27" s="1"/>
  <c r="Y48" i="27"/>
  <c r="W22" i="27"/>
  <c r="Q16" i="27"/>
  <c r="R16" i="27" s="1"/>
  <c r="K28" i="27"/>
  <c r="L28" i="27" s="1"/>
  <c r="M44" i="27"/>
  <c r="S47" i="27"/>
  <c r="U31" i="27"/>
  <c r="W44" i="27"/>
  <c r="Y6" i="27"/>
  <c r="M11" i="27"/>
  <c r="K6" i="27"/>
  <c r="W15" i="27"/>
  <c r="U16" i="27"/>
  <c r="V16" i="27" s="1"/>
  <c r="S10" i="27"/>
  <c r="M17" i="27"/>
  <c r="N17" i="27" s="1"/>
  <c r="U27" i="27"/>
  <c r="V27" i="27" s="1"/>
  <c r="K7" i="27"/>
  <c r="Q44" i="27"/>
  <c r="W47" i="27"/>
  <c r="K32" i="27"/>
  <c r="W27" i="27"/>
  <c r="X27" i="27" s="1"/>
  <c r="Q31" i="27"/>
  <c r="M46" i="27"/>
  <c r="AA62" i="27"/>
  <c r="Q27" i="27"/>
  <c r="R27" i="27" s="1"/>
  <c r="W7" i="27"/>
  <c r="O31" i="27"/>
  <c r="Q6" i="27"/>
  <c r="Y31" i="27"/>
  <c r="S11" i="27"/>
  <c r="W60" i="27"/>
  <c r="U6" i="27"/>
  <c r="Y45" i="27"/>
  <c r="W16" i="27"/>
  <c r="X16" i="27" s="1"/>
  <c r="S32" i="27"/>
  <c r="Q28" i="27"/>
  <c r="R28" i="27" s="1"/>
  <c r="M34" i="27"/>
  <c r="M48" i="27"/>
  <c r="S45" i="27"/>
  <c r="Q7" i="27"/>
  <c r="U47" i="27"/>
  <c r="Y7" i="27"/>
  <c r="K46" i="27"/>
  <c r="Q22" i="27"/>
  <c r="S27" i="27"/>
  <c r="T27" i="27" s="1"/>
  <c r="U44" i="27"/>
  <c r="S9" i="27"/>
  <c r="M27" i="27"/>
  <c r="N27" i="27" s="1"/>
  <c r="W17" i="27"/>
  <c r="X17" i="27" s="1"/>
  <c r="S7" i="27"/>
  <c r="T7" i="27" s="1"/>
  <c r="Y28" i="27"/>
  <c r="Z28" i="27" s="1"/>
  <c r="M15" i="27"/>
  <c r="O24" i="27"/>
  <c r="P24" i="27" s="1"/>
  <c r="Q32" i="27"/>
  <c r="O26" i="27"/>
  <c r="P26" i="27" s="1"/>
  <c r="W46" i="27"/>
  <c r="Y11" i="27"/>
  <c r="O7" i="27"/>
  <c r="O10" i="27"/>
  <c r="M22" i="27"/>
  <c r="Q17" i="27"/>
  <c r="R17" i="27" s="1"/>
  <c r="M31" i="27"/>
  <c r="Y46" i="27"/>
  <c r="S44" i="27"/>
  <c r="S34" i="27"/>
  <c r="Q9" i="27"/>
  <c r="O32" i="27"/>
  <c r="W8" i="27"/>
  <c r="U45" i="27"/>
  <c r="S60" i="27"/>
  <c r="DZ125" i="34"/>
  <c r="DZ30" i="34"/>
  <c r="DZ48" i="34" s="1"/>
  <c r="DZ66" i="34" s="1"/>
  <c r="DZ84" i="34" s="1"/>
  <c r="DZ102" i="34" s="1"/>
  <c r="I33" i="27"/>
  <c r="J33" i="27" s="1"/>
  <c r="I48" i="27"/>
  <c r="DZ38" i="34"/>
  <c r="DZ132" i="34"/>
  <c r="DY30" i="31"/>
  <c r="DY48" i="31" s="1"/>
  <c r="DY66" i="31" s="1"/>
  <c r="DY84" i="31" s="1"/>
  <c r="DY102" i="31" s="1"/>
  <c r="DY126" i="31"/>
  <c r="DL89" i="20" l="1"/>
  <c r="DL98" i="20"/>
  <c r="DM70" i="20"/>
  <c r="AA16" i="27"/>
  <c r="AB16" i="27" s="1"/>
  <c r="DN69" i="20"/>
  <c r="DN76" i="20" s="1"/>
  <c r="DM89" i="20"/>
  <c r="DM98" i="20"/>
  <c r="DM91" i="20"/>
  <c r="DO66" i="20"/>
  <c r="DO65" i="20"/>
  <c r="DO64" i="20" s="1"/>
  <c r="DO68" i="20"/>
  <c r="DO67" i="20"/>
  <c r="DT58" i="20"/>
  <c r="DT59" i="20" s="1"/>
  <c r="N8" i="27"/>
  <c r="N11" i="27"/>
  <c r="N10" i="27"/>
  <c r="N7" i="27"/>
  <c r="AA27" i="27"/>
  <c r="AB27" i="27" s="1"/>
  <c r="F137" i="23"/>
  <c r="H137" i="23" s="1"/>
  <c r="L137" i="23" s="1"/>
  <c r="E138" i="23" s="1"/>
  <c r="DP43" i="20"/>
  <c r="DP63" i="20" s="1"/>
  <c r="P7" i="27"/>
  <c r="P11" i="27"/>
  <c r="P10" i="27"/>
  <c r="DQ75" i="20"/>
  <c r="DR72" i="20"/>
  <c r="AA28" i="27"/>
  <c r="AB28" i="27" s="1"/>
  <c r="DZ38" i="31"/>
  <c r="DZ133" i="31"/>
  <c r="V9" i="27"/>
  <c r="Z9" i="27"/>
  <c r="AB9" i="27"/>
  <c r="T9" i="27"/>
  <c r="R9" i="27"/>
  <c r="X9" i="27"/>
  <c r="M18" i="27"/>
  <c r="N15" i="27"/>
  <c r="N18" i="27" s="1"/>
  <c r="R7" i="27"/>
  <c r="X7" i="27"/>
  <c r="AB7" i="27"/>
  <c r="Z7" i="27"/>
  <c r="Z6" i="27"/>
  <c r="AX14" i="21"/>
  <c r="Y12" i="27"/>
  <c r="Y13" i="27" s="1"/>
  <c r="X22" i="27"/>
  <c r="V22" i="27"/>
  <c r="O18" i="27"/>
  <c r="P15" i="27"/>
  <c r="P18" i="27" s="1"/>
  <c r="T15" i="27"/>
  <c r="T18" i="27" s="1"/>
  <c r="S18" i="27"/>
  <c r="AA24" i="27"/>
  <c r="AB24" i="27" s="1"/>
  <c r="U18" i="27"/>
  <c r="V15" i="27"/>
  <c r="V18" i="27" s="1"/>
  <c r="S12" i="27"/>
  <c r="S13" i="27" s="1"/>
  <c r="T6" i="27"/>
  <c r="AX11" i="21"/>
  <c r="J22" i="27"/>
  <c r="DZ30" i="31"/>
  <c r="DZ48" i="31" s="1"/>
  <c r="DZ66" i="31" s="1"/>
  <c r="DZ84" i="31" s="1"/>
  <c r="DZ102" i="31" s="1"/>
  <c r="DZ126" i="31"/>
  <c r="V6" i="27"/>
  <c r="AX12" i="21"/>
  <c r="U12" i="27"/>
  <c r="U13" i="27" s="1"/>
  <c r="AB31" i="27"/>
  <c r="X8" i="27"/>
  <c r="AB8" i="27"/>
  <c r="R8" i="27"/>
  <c r="Z8" i="27"/>
  <c r="T8" i="27"/>
  <c r="V8" i="27"/>
  <c r="EA30" i="34"/>
  <c r="EA48" i="34" s="1"/>
  <c r="EA66" i="34" s="1"/>
  <c r="EA84" i="34" s="1"/>
  <c r="EA102" i="34" s="1"/>
  <c r="EA125" i="34"/>
  <c r="E135" i="25"/>
  <c r="G135" i="25" s="1"/>
  <c r="J135" i="25" s="1"/>
  <c r="D136" i="25" s="1"/>
  <c r="P8" i="27"/>
  <c r="L11" i="27"/>
  <c r="P31" i="27"/>
  <c r="O36" i="27"/>
  <c r="P36" i="27" s="1"/>
  <c r="Z15" i="27"/>
  <c r="Z18" i="27" s="1"/>
  <c r="Y18" i="27"/>
  <c r="R22" i="27"/>
  <c r="V31" i="27"/>
  <c r="T22" i="27"/>
  <c r="T31" i="27"/>
  <c r="R15" i="27"/>
  <c r="R18" i="27" s="1"/>
  <c r="Q18" i="27"/>
  <c r="O12" i="27"/>
  <c r="P6" i="27"/>
  <c r="AX9" i="21"/>
  <c r="K36" i="27"/>
  <c r="L36" i="27" s="1"/>
  <c r="L31" i="27"/>
  <c r="N9" i="27"/>
  <c r="EB11" i="34"/>
  <c r="EB18" i="34"/>
  <c r="AG43" i="21"/>
  <c r="AX7" i="21"/>
  <c r="L6" i="27"/>
  <c r="K12" i="27"/>
  <c r="L7" i="27"/>
  <c r="L8" i="27"/>
  <c r="X6" i="27"/>
  <c r="AX13" i="21"/>
  <c r="W12" i="27"/>
  <c r="W13" i="27" s="1"/>
  <c r="L22" i="27"/>
  <c r="Z10" i="27"/>
  <c r="V10" i="27"/>
  <c r="T10" i="27"/>
  <c r="R10" i="27"/>
  <c r="AB10" i="27"/>
  <c r="X10" i="27"/>
  <c r="EA18" i="31"/>
  <c r="EA11" i="31"/>
  <c r="N31" i="27"/>
  <c r="M36" i="27"/>
  <c r="N36" i="27" s="1"/>
  <c r="Z31" i="27"/>
  <c r="W18" i="27"/>
  <c r="X15" i="27"/>
  <c r="X18" i="27" s="1"/>
  <c r="AB22" i="27"/>
  <c r="L10" i="27"/>
  <c r="V7" i="27"/>
  <c r="X31" i="27"/>
  <c r="N22" i="27"/>
  <c r="AX10" i="21"/>
  <c r="Q12" i="27"/>
  <c r="R6" i="27"/>
  <c r="R31" i="27"/>
  <c r="V11" i="27"/>
  <c r="T11" i="27"/>
  <c r="X11" i="27"/>
  <c r="AB11" i="27"/>
  <c r="R11" i="27"/>
  <c r="Z11" i="27"/>
  <c r="AX8" i="21"/>
  <c r="N6" i="27"/>
  <c r="AI43" i="21"/>
  <c r="M12" i="27"/>
  <c r="P9" i="27"/>
  <c r="Z22" i="27"/>
  <c r="L9" i="27"/>
  <c r="P22" i="27"/>
  <c r="I31" i="27"/>
  <c r="K18" i="27"/>
  <c r="L15" i="27"/>
  <c r="L18" i="27" s="1"/>
  <c r="EA38" i="34"/>
  <c r="EA132" i="34"/>
  <c r="DN70" i="20" l="1"/>
  <c r="Q13" i="27"/>
  <c r="O13" i="27"/>
  <c r="DO69" i="20"/>
  <c r="DO76" i="20" s="1"/>
  <c r="DP67" i="20"/>
  <c r="DP66" i="20"/>
  <c r="DP65" i="20"/>
  <c r="DP64" i="20" s="1"/>
  <c r="DP68" i="20"/>
  <c r="DN89" i="20"/>
  <c r="DN91" i="20"/>
  <c r="DN98" i="20"/>
  <c r="M13" i="27"/>
  <c r="K13" i="27"/>
  <c r="N12" i="27"/>
  <c r="W19" i="27"/>
  <c r="X32" i="27" s="1"/>
  <c r="Y19" i="27"/>
  <c r="Z34" i="27" s="1"/>
  <c r="O19" i="27"/>
  <c r="P32" i="27" s="1"/>
  <c r="F138" i="23"/>
  <c r="H138" i="23" s="1"/>
  <c r="L138" i="23" s="1"/>
  <c r="E139" i="23" s="1"/>
  <c r="P12" i="27"/>
  <c r="DQ43" i="20"/>
  <c r="DQ63" i="20" s="1"/>
  <c r="T12" i="27"/>
  <c r="T19" i="27" s="1"/>
  <c r="DS72" i="20"/>
  <c r="DR75" i="20"/>
  <c r="E136" i="25"/>
  <c r="G136" i="25" s="1"/>
  <c r="J136" i="25" s="1"/>
  <c r="D137" i="25" s="1"/>
  <c r="EA126" i="31"/>
  <c r="EA30" i="31"/>
  <c r="EA48" i="31" s="1"/>
  <c r="EA66" i="31" s="1"/>
  <c r="EA84" i="31" s="1"/>
  <c r="EA102" i="31" s="1"/>
  <c r="L12" i="27"/>
  <c r="I6" i="27"/>
  <c r="U19" i="27"/>
  <c r="Z12" i="27"/>
  <c r="Z19" i="27" s="1"/>
  <c r="EA133" i="31"/>
  <c r="EA38" i="31"/>
  <c r="AB12" i="27"/>
  <c r="X12" i="27"/>
  <c r="X19" i="27" s="1"/>
  <c r="K19" i="27"/>
  <c r="EB132" i="34"/>
  <c r="EB38" i="34"/>
  <c r="Q19" i="27"/>
  <c r="S19" i="27"/>
  <c r="R12" i="27"/>
  <c r="J31" i="27"/>
  <c r="EB125" i="34"/>
  <c r="EB30" i="34"/>
  <c r="EB48" i="34" s="1"/>
  <c r="EB66" i="34" s="1"/>
  <c r="EB84" i="34" s="1"/>
  <c r="EB102" i="34" s="1"/>
  <c r="V12" i="27"/>
  <c r="V19" i="27" s="1"/>
  <c r="I15" i="27"/>
  <c r="M19" i="27"/>
  <c r="DO70" i="20" l="1"/>
  <c r="N19" i="27"/>
  <c r="R19" i="27"/>
  <c r="P19" i="27"/>
  <c r="DP69" i="20"/>
  <c r="DP70" i="20" s="1"/>
  <c r="DQ67" i="20"/>
  <c r="DQ68" i="20"/>
  <c r="DQ65" i="20"/>
  <c r="DQ64" i="20" s="1"/>
  <c r="DQ66" i="20"/>
  <c r="DO91" i="20"/>
  <c r="DO89" i="20"/>
  <c r="DO98" i="20"/>
  <c r="L19" i="27"/>
  <c r="Y41" i="27"/>
  <c r="Z41" i="27" s="1"/>
  <c r="X34" i="27"/>
  <c r="W41" i="27"/>
  <c r="X41" i="27" s="1"/>
  <c r="Z32" i="27"/>
  <c r="P34" i="27"/>
  <c r="O41" i="27"/>
  <c r="P41" i="27" s="1"/>
  <c r="F139" i="23"/>
  <c r="H139" i="23" s="1"/>
  <c r="L139" i="23" s="1"/>
  <c r="E140" i="23" s="1"/>
  <c r="DR43" i="20"/>
  <c r="DR63" i="20" s="1"/>
  <c r="DT72" i="20"/>
  <c r="DS75" i="20"/>
  <c r="I18" i="27"/>
  <c r="J15" i="27"/>
  <c r="J18" i="27" s="1"/>
  <c r="M41" i="27"/>
  <c r="N41" i="27" s="1"/>
  <c r="N34" i="27"/>
  <c r="N32" i="27"/>
  <c r="K41" i="27"/>
  <c r="L41" i="27" s="1"/>
  <c r="L32" i="27"/>
  <c r="L34" i="27"/>
  <c r="U41" i="27"/>
  <c r="V41" i="27" s="1"/>
  <c r="V32" i="27"/>
  <c r="V34" i="27"/>
  <c r="S41" i="27"/>
  <c r="T41" i="27" s="1"/>
  <c r="T34" i="27"/>
  <c r="T32" i="27"/>
  <c r="AD43" i="21"/>
  <c r="AX6" i="21"/>
  <c r="J6" i="27"/>
  <c r="K7" i="22"/>
  <c r="Q41" i="27"/>
  <c r="R41" i="27" s="1"/>
  <c r="R34" i="27"/>
  <c r="R32" i="27"/>
  <c r="E137" i="25"/>
  <c r="G137" i="25" s="1"/>
  <c r="J137" i="25" s="1"/>
  <c r="D138" i="25" s="1"/>
  <c r="DP76" i="20" l="1"/>
  <c r="DP98" i="20" s="1"/>
  <c r="DQ69" i="20"/>
  <c r="DQ70" i="20" s="1"/>
  <c r="DR65" i="20"/>
  <c r="DR66" i="20"/>
  <c r="DR67" i="20"/>
  <c r="DR68" i="20"/>
  <c r="F140" i="23"/>
  <c r="H140" i="23" s="1"/>
  <c r="L140" i="23" s="1"/>
  <c r="E141" i="23" s="1"/>
  <c r="DS43" i="20"/>
  <c r="DS63" i="20" s="1"/>
  <c r="DT43" i="20"/>
  <c r="DT63" i="20" s="1"/>
  <c r="AA15" i="27"/>
  <c r="DT75" i="20"/>
  <c r="E138" i="25"/>
  <c r="G138" i="25" s="1"/>
  <c r="J138" i="25" s="1"/>
  <c r="D139" i="25" s="1"/>
  <c r="J8" i="6"/>
  <c r="L7" i="22"/>
  <c r="AE9" i="8"/>
  <c r="DP89" i="20" l="1"/>
  <c r="DQ76" i="20"/>
  <c r="DQ89" i="20" s="1"/>
  <c r="DP91" i="20"/>
  <c r="DR64" i="20"/>
  <c r="AA6" i="27"/>
  <c r="DT65" i="20"/>
  <c r="I8" i="27" s="1"/>
  <c r="DT68" i="20"/>
  <c r="I11" i="27" s="1"/>
  <c r="DT67" i="20"/>
  <c r="I10" i="27" s="1"/>
  <c r="DT66" i="20"/>
  <c r="I9" i="27" s="1"/>
  <c r="DS67" i="20"/>
  <c r="DS65" i="20"/>
  <c r="DS64" i="20" s="1"/>
  <c r="DS68" i="20"/>
  <c r="AA11" i="27" s="1"/>
  <c r="DS66" i="20"/>
  <c r="F141" i="23"/>
  <c r="H141" i="23" s="1"/>
  <c r="L141" i="23" s="1"/>
  <c r="E142" i="23" s="1"/>
  <c r="AB15" i="27"/>
  <c r="AB18" i="27" s="1"/>
  <c r="AB19" i="27" s="1"/>
  <c r="AA18" i="27"/>
  <c r="K8" i="6"/>
  <c r="E139" i="25"/>
  <c r="G139" i="25" s="1"/>
  <c r="J139" i="25" s="1"/>
  <c r="D140" i="25" s="1"/>
  <c r="DQ98" i="20" l="1"/>
  <c r="AA9" i="27"/>
  <c r="DQ91" i="20"/>
  <c r="AA10" i="27"/>
  <c r="DS69" i="20"/>
  <c r="DS70" i="20" s="1"/>
  <c r="J11" i="27"/>
  <c r="K12" i="22"/>
  <c r="J8" i="27"/>
  <c r="K9" i="22"/>
  <c r="AB6" i="27"/>
  <c r="AX15" i="21"/>
  <c r="AA8" i="27"/>
  <c r="DR69" i="20"/>
  <c r="DT64" i="20"/>
  <c r="AA7" i="27" s="1"/>
  <c r="J9" i="27"/>
  <c r="K10" i="22"/>
  <c r="K11" i="22"/>
  <c r="J10" i="27"/>
  <c r="F142" i="23"/>
  <c r="H142" i="23" s="1"/>
  <c r="L142" i="23" s="1"/>
  <c r="E143" i="23" s="1"/>
  <c r="E140" i="25"/>
  <c r="G140" i="25" s="1"/>
  <c r="J140" i="25" s="1"/>
  <c r="D141" i="25" s="1"/>
  <c r="I34" i="27"/>
  <c r="I32" i="27"/>
  <c r="DS76" i="20" l="1"/>
  <c r="DS98" i="20" s="1"/>
  <c r="AA12" i="27"/>
  <c r="AA13" i="27" s="1"/>
  <c r="AE11" i="8"/>
  <c r="J10" i="6"/>
  <c r="K10" i="6" s="1"/>
  <c r="L9" i="22"/>
  <c r="I7" i="27"/>
  <c r="DT69" i="20"/>
  <c r="DR70" i="20"/>
  <c r="DR76" i="20"/>
  <c r="L12" i="22"/>
  <c r="AE14" i="8"/>
  <c r="J13" i="6"/>
  <c r="K13" i="6" s="1"/>
  <c r="L10" i="22"/>
  <c r="AE12" i="8"/>
  <c r="J11" i="6"/>
  <c r="K11" i="6" s="1"/>
  <c r="L11" i="22"/>
  <c r="J12" i="6"/>
  <c r="K12" i="6" s="1"/>
  <c r="AE13" i="8"/>
  <c r="F143" i="23"/>
  <c r="H143" i="23" s="1"/>
  <c r="L143" i="23" s="1"/>
  <c r="E144" i="23" s="1"/>
  <c r="E141" i="25"/>
  <c r="G141" i="25" s="1"/>
  <c r="J141" i="25" s="1"/>
  <c r="D142" i="25" s="1"/>
  <c r="I36" i="27"/>
  <c r="DS89" i="20" l="1"/>
  <c r="DS91" i="20"/>
  <c r="AA19" i="27"/>
  <c r="AA41" i="27" s="1"/>
  <c r="AB41" i="27" s="1"/>
  <c r="DT70" i="20"/>
  <c r="DT76" i="20"/>
  <c r="J7" i="27"/>
  <c r="J12" i="27" s="1"/>
  <c r="K8" i="22"/>
  <c r="I12" i="27"/>
  <c r="DR89" i="20"/>
  <c r="DR98" i="20"/>
  <c r="DR91" i="20"/>
  <c r="F144" i="23"/>
  <c r="H144" i="23" s="1"/>
  <c r="L144" i="23" s="1"/>
  <c r="E145" i="23" s="1"/>
  <c r="E142" i="25"/>
  <c r="G142" i="25" s="1"/>
  <c r="J142" i="25" s="1"/>
  <c r="D143" i="25" s="1"/>
  <c r="J36" i="27"/>
  <c r="I19" i="27" l="1"/>
  <c r="I13" i="27"/>
  <c r="J9" i="6"/>
  <c r="L8" i="22"/>
  <c r="L13" i="22" s="1"/>
  <c r="AE10" i="8"/>
  <c r="K13" i="22"/>
  <c r="DT89" i="20"/>
  <c r="AA32" i="27" s="1"/>
  <c r="DT98" i="20"/>
  <c r="DT91" i="20"/>
  <c r="J19" i="27"/>
  <c r="F145" i="23"/>
  <c r="H145" i="23" s="1"/>
  <c r="L145" i="23" s="1"/>
  <c r="E146" i="23" s="1"/>
  <c r="E143" i="25"/>
  <c r="G143" i="25" s="1"/>
  <c r="J143" i="25" s="1"/>
  <c r="D144" i="25" s="1"/>
  <c r="K9" i="6" l="1"/>
  <c r="K14" i="6" s="1"/>
  <c r="J14" i="6"/>
  <c r="I41" i="27"/>
  <c r="J41" i="27" s="1"/>
  <c r="J32" i="27"/>
  <c r="J34" i="27"/>
  <c r="AB32" i="27"/>
  <c r="AA34" i="27"/>
  <c r="AB34" i="27" s="1"/>
  <c r="K14" i="22"/>
  <c r="K20" i="22"/>
  <c r="F146" i="23"/>
  <c r="H146" i="23" s="1"/>
  <c r="L146" i="23" s="1"/>
  <c r="E147" i="23" s="1"/>
  <c r="E144" i="25"/>
  <c r="G144" i="25" s="1"/>
  <c r="J144" i="25" s="1"/>
  <c r="D145" i="25" s="1"/>
  <c r="K33" i="22" l="1"/>
  <c r="K35" i="22"/>
  <c r="L20" i="22"/>
  <c r="J15" i="6"/>
  <c r="J21" i="6"/>
  <c r="F147" i="23"/>
  <c r="H147" i="23" s="1"/>
  <c r="L147" i="23" s="1"/>
  <c r="E148" i="23" s="1"/>
  <c r="E145" i="25"/>
  <c r="G145" i="25" s="1"/>
  <c r="J145" i="25" s="1"/>
  <c r="D146" i="25" s="1"/>
  <c r="AE37" i="8" l="1"/>
  <c r="J36" i="6"/>
  <c r="K36" i="6" s="1"/>
  <c r="K21" i="6"/>
  <c r="J22" i="6"/>
  <c r="AE35" i="8"/>
  <c r="J34" i="6"/>
  <c r="K37" i="22"/>
  <c r="L37" i="22" s="1"/>
  <c r="F148" i="23"/>
  <c r="H148" i="23" s="1"/>
  <c r="L148" i="23" s="1"/>
  <c r="E149" i="23" s="1"/>
  <c r="E146" i="25"/>
  <c r="G146" i="25" s="1"/>
  <c r="J146" i="25" s="1"/>
  <c r="D147" i="25" s="1"/>
  <c r="K34" i="6" l="1"/>
  <c r="J38" i="6"/>
  <c r="K38" i="6" s="1"/>
  <c r="F149" i="23"/>
  <c r="H149" i="23" s="1"/>
  <c r="L149" i="23" s="1"/>
  <c r="E150" i="23" s="1"/>
  <c r="E147" i="25"/>
  <c r="G147" i="25" s="1"/>
  <c r="J147" i="25" s="1"/>
  <c r="D148" i="25" s="1"/>
  <c r="F150" i="23" l="1"/>
  <c r="H150" i="23" s="1"/>
  <c r="L150" i="23" s="1"/>
  <c r="E151" i="23" s="1"/>
  <c r="E148" i="25"/>
  <c r="G148" i="25" s="1"/>
  <c r="J148" i="25" s="1"/>
  <c r="D149" i="25" s="1"/>
  <c r="F151" i="23" l="1"/>
  <c r="H151" i="23" s="1"/>
  <c r="L151" i="23" s="1"/>
  <c r="E152" i="23" s="1"/>
  <c r="E149" i="25"/>
  <c r="G149" i="25" s="1"/>
  <c r="J149" i="25" s="1"/>
  <c r="D150" i="25" s="1"/>
  <c r="F152" i="23" l="1"/>
  <c r="H152" i="23" s="1"/>
  <c r="L152" i="23" s="1"/>
  <c r="E153" i="23" s="1"/>
  <c r="E150" i="25"/>
  <c r="G150" i="25" s="1"/>
  <c r="J150" i="25" s="1"/>
  <c r="D151" i="25" s="1"/>
  <c r="F153" i="23" l="1"/>
  <c r="H153" i="23" s="1"/>
  <c r="L153" i="23" s="1"/>
  <c r="E154" i="23" s="1"/>
  <c r="E151" i="25"/>
  <c r="G151" i="25" s="1"/>
  <c r="J151" i="25" s="1"/>
  <c r="D152" i="25" s="1"/>
  <c r="F154" i="23" l="1"/>
  <c r="H154" i="23" s="1"/>
  <c r="L154" i="23" s="1"/>
  <c r="E155" i="23" s="1"/>
  <c r="E152" i="25"/>
  <c r="G152" i="25" s="1"/>
  <c r="J152" i="25" s="1"/>
  <c r="D153" i="25" s="1"/>
  <c r="F155" i="23" l="1"/>
  <c r="H155" i="23" s="1"/>
  <c r="L155" i="23" s="1"/>
  <c r="E156" i="23" s="1"/>
  <c r="E153" i="25"/>
  <c r="G153" i="25" s="1"/>
  <c r="J153" i="25" s="1"/>
  <c r="D154" i="25" s="1"/>
  <c r="F156" i="23" l="1"/>
  <c r="H156" i="23" s="1"/>
  <c r="L156" i="23" s="1"/>
  <c r="E157" i="23" s="1"/>
  <c r="E154" i="25"/>
  <c r="G154" i="25" s="1"/>
  <c r="J154" i="25" s="1"/>
  <c r="D155" i="25" s="1"/>
  <c r="F157" i="23" l="1"/>
  <c r="H157" i="23" s="1"/>
  <c r="L157" i="23" s="1"/>
  <c r="E158" i="23" s="1"/>
  <c r="E155" i="25"/>
  <c r="G155" i="25" s="1"/>
  <c r="J155" i="25" s="1"/>
  <c r="D156" i="25" s="1"/>
  <c r="F158" i="23" l="1"/>
  <c r="H158" i="23" s="1"/>
  <c r="L158" i="23" s="1"/>
  <c r="E159" i="23" s="1"/>
  <c r="E156" i="25"/>
  <c r="G156" i="25" s="1"/>
  <c r="J156" i="25" s="1"/>
  <c r="D157" i="25" s="1"/>
  <c r="F159" i="23" l="1"/>
  <c r="H159" i="23" s="1"/>
  <c r="L159" i="23" s="1"/>
  <c r="E160" i="23" s="1"/>
  <c r="E157" i="25"/>
  <c r="G157" i="25" s="1"/>
  <c r="J157" i="25" s="1"/>
  <c r="D158" i="25" s="1"/>
  <c r="F160" i="23" l="1"/>
  <c r="H160" i="23" s="1"/>
  <c r="L160" i="23" s="1"/>
  <c r="E161" i="23" s="1"/>
  <c r="E158" i="25"/>
  <c r="G158" i="25" s="1"/>
  <c r="J158" i="25" s="1"/>
  <c r="D159" i="25" s="1"/>
  <c r="F161" i="23" l="1"/>
  <c r="H161" i="23" s="1"/>
  <c r="L161" i="23" s="1"/>
  <c r="E162" i="23" s="1"/>
  <c r="E159" i="25"/>
  <c r="G159" i="25" s="1"/>
  <c r="J159" i="25" s="1"/>
  <c r="D160" i="25" s="1"/>
  <c r="F162" i="23" l="1"/>
  <c r="H162" i="23" s="1"/>
  <c r="L162" i="23" s="1"/>
  <c r="E163" i="23" s="1"/>
  <c r="E160" i="25"/>
  <c r="G160" i="25" s="1"/>
  <c r="J160" i="25" s="1"/>
  <c r="D161" i="25" s="1"/>
  <c r="F163" i="23" l="1"/>
  <c r="H163" i="23" s="1"/>
  <c r="L163" i="23" s="1"/>
  <c r="E164" i="23" s="1"/>
  <c r="E161" i="25"/>
  <c r="G161" i="25" s="1"/>
  <c r="J161" i="25" s="1"/>
  <c r="D162" i="25" s="1"/>
  <c r="F164" i="23" l="1"/>
  <c r="H164" i="23" s="1"/>
  <c r="L164" i="23" s="1"/>
  <c r="E165" i="23" s="1"/>
  <c r="E162" i="25"/>
  <c r="G162" i="25" s="1"/>
  <c r="J162" i="25" s="1"/>
  <c r="D163" i="25" s="1"/>
  <c r="F165" i="23" l="1"/>
  <c r="H165" i="23" s="1"/>
  <c r="L165" i="23" s="1"/>
  <c r="E166" i="23" s="1"/>
  <c r="E163" i="25"/>
  <c r="G163" i="25" s="1"/>
  <c r="J163" i="25" s="1"/>
  <c r="D164" i="25" s="1"/>
  <c r="F166" i="23" l="1"/>
  <c r="H166" i="23" s="1"/>
  <c r="L166" i="23" s="1"/>
  <c r="E167" i="23" s="1"/>
  <c r="E164" i="25"/>
  <c r="G164" i="25" s="1"/>
  <c r="J164" i="25" s="1"/>
  <c r="D165" i="25" s="1"/>
  <c r="F167" i="23" l="1"/>
  <c r="H167" i="23" s="1"/>
  <c r="L167" i="23" s="1"/>
  <c r="E168" i="23" s="1"/>
  <c r="E165" i="25"/>
  <c r="G165" i="25" s="1"/>
  <c r="J165" i="25" s="1"/>
  <c r="D166" i="25" s="1"/>
  <c r="F168" i="23" l="1"/>
  <c r="H168" i="23" s="1"/>
  <c r="L168" i="23" s="1"/>
  <c r="E169" i="23" s="1"/>
  <c r="E166" i="25"/>
  <c r="G166" i="25" s="1"/>
  <c r="J166" i="25" s="1"/>
  <c r="D167" i="25" s="1"/>
  <c r="F169" i="23" l="1"/>
  <c r="H169" i="23" s="1"/>
  <c r="L169" i="23" s="1"/>
  <c r="E170" i="23" s="1"/>
  <c r="E167" i="25"/>
  <c r="G167" i="25" s="1"/>
  <c r="J167" i="25" s="1"/>
  <c r="D168" i="25" s="1"/>
  <c r="F170" i="23" l="1"/>
  <c r="H170" i="23" s="1"/>
  <c r="L170" i="23" s="1"/>
  <c r="E171" i="23" s="1"/>
  <c r="E168" i="25"/>
  <c r="G168" i="25" s="1"/>
  <c r="J168" i="25" s="1"/>
  <c r="D169" i="25" s="1"/>
  <c r="F171" i="23" l="1"/>
  <c r="H171" i="23" s="1"/>
  <c r="L171" i="23" s="1"/>
  <c r="E172" i="23" s="1"/>
  <c r="E169" i="25"/>
  <c r="G169" i="25" s="1"/>
  <c r="J169" i="25" s="1"/>
  <c r="D170" i="25" s="1"/>
  <c r="F172" i="23" l="1"/>
  <c r="H172" i="23" s="1"/>
  <c r="L172" i="23" s="1"/>
  <c r="E173" i="23" s="1"/>
  <c r="E170" i="25"/>
  <c r="G170" i="25" s="1"/>
  <c r="J170" i="25" s="1"/>
  <c r="D171" i="25" s="1"/>
  <c r="F173" i="23" l="1"/>
  <c r="H173" i="23" s="1"/>
  <c r="L173" i="23" s="1"/>
  <c r="E174" i="23" s="1"/>
  <c r="E171" i="25"/>
  <c r="G171" i="25" s="1"/>
  <c r="J171" i="25" s="1"/>
  <c r="D172" i="25" s="1"/>
  <c r="F174" i="23" l="1"/>
  <c r="H174" i="23" s="1"/>
  <c r="L174" i="23" s="1"/>
  <c r="E175" i="23" s="1"/>
  <c r="E172" i="25"/>
  <c r="G172" i="25" s="1"/>
  <c r="J172" i="25" s="1"/>
  <c r="D173" i="25" s="1"/>
  <c r="F175" i="23" l="1"/>
  <c r="H175" i="23" s="1"/>
  <c r="L175" i="23" s="1"/>
  <c r="E176" i="23" s="1"/>
  <c r="E173" i="25"/>
  <c r="G173" i="25" s="1"/>
  <c r="J173" i="25" s="1"/>
  <c r="D174" i="25" s="1"/>
  <c r="F176" i="23" l="1"/>
  <c r="H176" i="23" s="1"/>
  <c r="L176" i="23" s="1"/>
  <c r="E177" i="23" s="1"/>
  <c r="E174" i="25"/>
  <c r="G174" i="25" s="1"/>
  <c r="J174" i="25" s="1"/>
  <c r="D175" i="25" s="1"/>
  <c r="F177" i="23" l="1"/>
  <c r="H177" i="23" s="1"/>
  <c r="L177" i="23" s="1"/>
  <c r="E178" i="23" s="1"/>
  <c r="E175" i="25"/>
  <c r="G175" i="25" s="1"/>
  <c r="J175" i="25" s="1"/>
  <c r="D176" i="25" s="1"/>
  <c r="F178" i="23" l="1"/>
  <c r="H178" i="23" s="1"/>
  <c r="L178" i="23" s="1"/>
  <c r="E179" i="23" s="1"/>
  <c r="E176" i="25"/>
  <c r="G176" i="25" s="1"/>
  <c r="J176" i="25" s="1"/>
  <c r="D177" i="25" s="1"/>
  <c r="F179" i="23" l="1"/>
  <c r="H179" i="23" s="1"/>
  <c r="L179" i="23" s="1"/>
  <c r="E180" i="23" s="1"/>
  <c r="E177" i="25"/>
  <c r="G177" i="25" s="1"/>
  <c r="J177" i="25" s="1"/>
  <c r="D178" i="25" s="1"/>
  <c r="F180" i="23" l="1"/>
  <c r="H180" i="23" s="1"/>
  <c r="L180" i="23" s="1"/>
  <c r="E181" i="23" s="1"/>
  <c r="E178" i="25"/>
  <c r="G178" i="25" s="1"/>
  <c r="J178" i="25" s="1"/>
  <c r="D179" i="25" s="1"/>
  <c r="F181" i="23" l="1"/>
  <c r="H181" i="23" s="1"/>
  <c r="L181" i="23" s="1"/>
  <c r="E182" i="23" s="1"/>
  <c r="E179" i="25"/>
  <c r="G179" i="25" s="1"/>
  <c r="J179" i="25" s="1"/>
  <c r="D180" i="25" s="1"/>
  <c r="F182" i="23" l="1"/>
  <c r="H182" i="23" s="1"/>
  <c r="L182" i="23" s="1"/>
  <c r="E183" i="23" s="1"/>
  <c r="E180" i="25"/>
  <c r="G180" i="25" s="1"/>
  <c r="J180" i="25" s="1"/>
  <c r="D181" i="25" s="1"/>
  <c r="F183" i="23" l="1"/>
  <c r="H183" i="23" s="1"/>
  <c r="L183" i="23" s="1"/>
  <c r="E184" i="23" s="1"/>
  <c r="E181" i="25"/>
  <c r="G181" i="25" s="1"/>
  <c r="J181" i="25" s="1"/>
  <c r="D182" i="25" s="1"/>
  <c r="F184" i="23" l="1"/>
  <c r="H184" i="23" s="1"/>
  <c r="L184" i="23" s="1"/>
  <c r="E185" i="23" s="1"/>
  <c r="E182" i="25"/>
  <c r="G182" i="25" s="1"/>
  <c r="J182" i="25" s="1"/>
  <c r="D183" i="25" s="1"/>
  <c r="F185" i="23" l="1"/>
  <c r="H185" i="23" s="1"/>
  <c r="L185" i="23" s="1"/>
  <c r="E186" i="23" s="1"/>
  <c r="E183" i="25"/>
  <c r="G183" i="25" s="1"/>
  <c r="J183" i="25" s="1"/>
  <c r="D184" i="25" s="1"/>
  <c r="F186" i="23" l="1"/>
  <c r="H186" i="23" s="1"/>
  <c r="L186" i="23" s="1"/>
  <c r="E187" i="23" s="1"/>
  <c r="E184" i="25"/>
  <c r="G184" i="25" s="1"/>
  <c r="J184" i="25" s="1"/>
  <c r="D185" i="25" s="1"/>
  <c r="F187" i="23" l="1"/>
  <c r="H187" i="23" s="1"/>
  <c r="L187" i="23" s="1"/>
  <c r="E188" i="23" s="1"/>
  <c r="E185" i="25"/>
  <c r="G185" i="25" s="1"/>
  <c r="J185" i="25" s="1"/>
  <c r="D186" i="25" s="1"/>
  <c r="F188" i="23" l="1"/>
  <c r="H188" i="23" s="1"/>
  <c r="L188" i="23" s="1"/>
  <c r="E189" i="23" s="1"/>
  <c r="E186" i="25"/>
  <c r="G186" i="25" s="1"/>
  <c r="J186" i="25" s="1"/>
  <c r="D187" i="25" s="1"/>
  <c r="F189" i="23" l="1"/>
  <c r="H189" i="23" s="1"/>
  <c r="L189" i="23" s="1"/>
  <c r="E190" i="23" s="1"/>
  <c r="E187" i="25"/>
  <c r="G187" i="25" s="1"/>
  <c r="J187" i="25" s="1"/>
  <c r="D188" i="25" s="1"/>
  <c r="F190" i="23" l="1"/>
  <c r="H190" i="23" s="1"/>
  <c r="L190" i="23" s="1"/>
  <c r="E191" i="23" s="1"/>
  <c r="E188" i="25"/>
  <c r="G188" i="25" s="1"/>
  <c r="J188" i="25" s="1"/>
  <c r="D189" i="25" s="1"/>
  <c r="F191" i="23" l="1"/>
  <c r="H191" i="23" s="1"/>
  <c r="L191" i="23" s="1"/>
  <c r="E192" i="23" s="1"/>
  <c r="E189" i="25"/>
  <c r="G189" i="25" s="1"/>
  <c r="J189" i="25" s="1"/>
  <c r="D190" i="25" s="1"/>
  <c r="F192" i="23" l="1"/>
  <c r="H192" i="23" s="1"/>
  <c r="L192" i="23" s="1"/>
  <c r="E193" i="23" s="1"/>
  <c r="E190" i="25"/>
  <c r="G190" i="25" s="1"/>
  <c r="J190" i="25" s="1"/>
  <c r="D191" i="25" s="1"/>
  <c r="F193" i="23" l="1"/>
  <c r="H193" i="23" s="1"/>
  <c r="L193" i="23" s="1"/>
  <c r="E194" i="23" s="1"/>
  <c r="E191" i="25"/>
  <c r="G191" i="25" s="1"/>
  <c r="J191" i="25" s="1"/>
  <c r="D192" i="25" s="1"/>
  <c r="F194" i="23" l="1"/>
  <c r="H194" i="23" s="1"/>
  <c r="L194" i="23" s="1"/>
  <c r="E195" i="23" s="1"/>
  <c r="E192" i="25"/>
  <c r="G192" i="25" s="1"/>
  <c r="J192" i="25" s="1"/>
  <c r="D193" i="25" s="1"/>
  <c r="F195" i="23" l="1"/>
  <c r="H195" i="23" s="1"/>
  <c r="L195" i="23" s="1"/>
  <c r="E196" i="23" s="1"/>
  <c r="E193" i="25"/>
  <c r="G193" i="25" s="1"/>
  <c r="J193" i="25" s="1"/>
  <c r="D194" i="25" s="1"/>
  <c r="F196" i="23" l="1"/>
  <c r="H196" i="23" s="1"/>
  <c r="L196" i="23" s="1"/>
  <c r="E197" i="23" s="1"/>
  <c r="E194" i="25"/>
  <c r="G194" i="25" s="1"/>
  <c r="J194" i="25" s="1"/>
  <c r="D195" i="25" s="1"/>
  <c r="F197" i="23" l="1"/>
  <c r="H197" i="23" s="1"/>
  <c r="L197" i="23" s="1"/>
  <c r="E198" i="23" s="1"/>
  <c r="E195" i="25"/>
  <c r="G195" i="25" s="1"/>
  <c r="J195" i="25" s="1"/>
  <c r="D196" i="25" s="1"/>
  <c r="F198" i="23" l="1"/>
  <c r="H198" i="23" s="1"/>
  <c r="L198" i="23" s="1"/>
  <c r="E199" i="23" s="1"/>
  <c r="E196" i="25"/>
  <c r="G196" i="25" s="1"/>
  <c r="J196" i="25" s="1"/>
  <c r="D197" i="25" s="1"/>
  <c r="F199" i="23" l="1"/>
  <c r="H199" i="23" s="1"/>
  <c r="L199" i="23" s="1"/>
  <c r="E200" i="23" s="1"/>
  <c r="E197" i="25"/>
  <c r="G197" i="25" s="1"/>
  <c r="J197" i="25" s="1"/>
  <c r="D198" i="25" s="1"/>
  <c r="F200" i="23" l="1"/>
  <c r="H200" i="23" s="1"/>
  <c r="L200" i="23" s="1"/>
  <c r="E201" i="23" s="1"/>
  <c r="E198" i="25"/>
  <c r="G198" i="25" s="1"/>
  <c r="J198" i="25" s="1"/>
  <c r="D199" i="25" s="1"/>
  <c r="F201" i="23" l="1"/>
  <c r="H201" i="23" s="1"/>
  <c r="L201" i="23" s="1"/>
  <c r="E202" i="23" s="1"/>
  <c r="E199" i="25"/>
  <c r="G199" i="25" s="1"/>
  <c r="J199" i="25" s="1"/>
  <c r="D200" i="25" s="1"/>
  <c r="F202" i="23" l="1"/>
  <c r="H202" i="23" s="1"/>
  <c r="L202" i="23" s="1"/>
  <c r="E203" i="23" s="1"/>
  <c r="E200" i="25"/>
  <c r="G200" i="25" s="1"/>
  <c r="J200" i="25" s="1"/>
  <c r="D201" i="25" s="1"/>
  <c r="F203" i="23" l="1"/>
  <c r="H203" i="23" s="1"/>
  <c r="L203" i="23" s="1"/>
  <c r="E204" i="23" s="1"/>
  <c r="E201" i="25"/>
  <c r="G201" i="25" s="1"/>
  <c r="J201" i="25" s="1"/>
  <c r="D202" i="25" s="1"/>
  <c r="F204" i="23" l="1"/>
  <c r="H204" i="23" s="1"/>
  <c r="L204" i="23" s="1"/>
  <c r="E205" i="23" s="1"/>
  <c r="E202" i="25"/>
  <c r="G202" i="25" s="1"/>
  <c r="J202" i="25" s="1"/>
  <c r="D203" i="25" s="1"/>
  <c r="F205" i="23" l="1"/>
  <c r="H205" i="23" s="1"/>
  <c r="L205" i="23" s="1"/>
  <c r="E206" i="23" s="1"/>
  <c r="E203" i="25"/>
  <c r="G203" i="25" s="1"/>
  <c r="J203" i="25" s="1"/>
  <c r="D204" i="25" s="1"/>
  <c r="F206" i="23" l="1"/>
  <c r="H206" i="23" s="1"/>
  <c r="L206" i="23" s="1"/>
  <c r="E207" i="23" s="1"/>
  <c r="E204" i="25"/>
  <c r="G204" i="25" s="1"/>
  <c r="J204" i="25" s="1"/>
  <c r="D205" i="25" s="1"/>
  <c r="F207" i="23" l="1"/>
  <c r="H207" i="23" s="1"/>
  <c r="L207" i="23" s="1"/>
  <c r="E208" i="23" s="1"/>
  <c r="E205" i="25"/>
  <c r="G205" i="25" s="1"/>
  <c r="J205" i="25" s="1"/>
  <c r="D206" i="25" s="1"/>
  <c r="F208" i="23" l="1"/>
  <c r="H208" i="23" s="1"/>
  <c r="L208" i="23" s="1"/>
  <c r="E209" i="23" s="1"/>
  <c r="E206" i="25"/>
  <c r="G206" i="25" s="1"/>
  <c r="J206" i="25" s="1"/>
  <c r="D207" i="25" s="1"/>
  <c r="F209" i="23" l="1"/>
  <c r="H209" i="23" s="1"/>
  <c r="L209" i="23" s="1"/>
  <c r="E210" i="23" s="1"/>
  <c r="E207" i="25"/>
  <c r="G207" i="25" s="1"/>
  <c r="J207" i="25" s="1"/>
  <c r="D208" i="25" s="1"/>
  <c r="F210" i="23" l="1"/>
  <c r="H210" i="23" s="1"/>
  <c r="L210" i="23" s="1"/>
  <c r="E211" i="23" s="1"/>
  <c r="E208" i="25"/>
  <c r="G208" i="25" s="1"/>
  <c r="J208" i="25" s="1"/>
  <c r="D209" i="25" s="1"/>
  <c r="F211" i="23" l="1"/>
  <c r="H211" i="23" s="1"/>
  <c r="L211" i="23" s="1"/>
  <c r="E212" i="23" s="1"/>
  <c r="E209" i="25"/>
  <c r="G209" i="25" s="1"/>
  <c r="J209" i="25" s="1"/>
  <c r="D210" i="25" s="1"/>
  <c r="F212" i="23" l="1"/>
  <c r="H212" i="23" s="1"/>
  <c r="L212" i="23" s="1"/>
  <c r="E213" i="23" s="1"/>
  <c r="E210" i="25"/>
  <c r="G210" i="25" s="1"/>
  <c r="J210" i="25" s="1"/>
  <c r="D211" i="25" s="1"/>
  <c r="F213" i="23" l="1"/>
  <c r="H213" i="23" s="1"/>
  <c r="L213" i="23" s="1"/>
  <c r="E214" i="23" s="1"/>
  <c r="E211" i="25"/>
  <c r="G211" i="25" s="1"/>
  <c r="J211" i="25" s="1"/>
  <c r="D212" i="25" s="1"/>
  <c r="F214" i="23" l="1"/>
  <c r="H214" i="23" s="1"/>
  <c r="L214" i="23" s="1"/>
  <c r="E215" i="23" s="1"/>
  <c r="E212" i="25"/>
  <c r="G212" i="25" s="1"/>
  <c r="J212" i="25" s="1"/>
  <c r="D213" i="25" s="1"/>
  <c r="F215" i="23" l="1"/>
  <c r="H215" i="23" s="1"/>
  <c r="L215" i="23" s="1"/>
  <c r="E216" i="23" s="1"/>
  <c r="E213" i="25"/>
  <c r="G213" i="25" s="1"/>
  <c r="J213" i="25" s="1"/>
  <c r="D214" i="25" s="1"/>
  <c r="F216" i="23" l="1"/>
  <c r="H216" i="23" s="1"/>
  <c r="L216" i="23" s="1"/>
  <c r="E217" i="23" s="1"/>
  <c r="E214" i="25"/>
  <c r="G214" i="25" s="1"/>
  <c r="J214" i="25" s="1"/>
  <c r="D215" i="25" s="1"/>
  <c r="F217" i="23" l="1"/>
  <c r="H217" i="23" s="1"/>
  <c r="L217" i="23" s="1"/>
  <c r="E218" i="23" s="1"/>
  <c r="E215" i="25"/>
  <c r="G215" i="25" s="1"/>
  <c r="J215" i="25" s="1"/>
  <c r="D216" i="25" s="1"/>
  <c r="F218" i="23" l="1"/>
  <c r="H218" i="23" s="1"/>
  <c r="L218" i="23" s="1"/>
  <c r="E219" i="23" s="1"/>
  <c r="E216" i="25"/>
  <c r="G216" i="25" s="1"/>
  <c r="J216" i="25" s="1"/>
  <c r="D217" i="25" s="1"/>
  <c r="F219" i="23" l="1"/>
  <c r="H219" i="23" s="1"/>
  <c r="L219" i="23" s="1"/>
  <c r="E220" i="23" s="1"/>
  <c r="E217" i="25"/>
  <c r="G217" i="25" s="1"/>
  <c r="J217" i="25" s="1"/>
  <c r="D218" i="25" s="1"/>
  <c r="F220" i="23" l="1"/>
  <c r="H220" i="23" s="1"/>
  <c r="L220" i="23" s="1"/>
  <c r="E221" i="23" s="1"/>
  <c r="E218" i="25"/>
  <c r="G218" i="25" s="1"/>
  <c r="J218" i="25" s="1"/>
  <c r="D219" i="25" s="1"/>
  <c r="F221" i="23" l="1"/>
  <c r="H221" i="23" s="1"/>
  <c r="L221" i="23" s="1"/>
  <c r="E222" i="23" s="1"/>
  <c r="E219" i="25"/>
  <c r="G219" i="25" s="1"/>
  <c r="J219" i="25" s="1"/>
  <c r="D220" i="25" s="1"/>
  <c r="F222" i="23" l="1"/>
  <c r="H222" i="23" s="1"/>
  <c r="L222" i="23" s="1"/>
  <c r="E223" i="23" s="1"/>
  <c r="E220" i="25"/>
  <c r="G220" i="25" s="1"/>
  <c r="J220" i="25" s="1"/>
  <c r="D221" i="25" s="1"/>
  <c r="F223" i="23" l="1"/>
  <c r="H223" i="23" s="1"/>
  <c r="L223" i="23" s="1"/>
  <c r="E224" i="23" s="1"/>
  <c r="E221" i="25"/>
  <c r="G221" i="25" s="1"/>
  <c r="J221" i="25" s="1"/>
  <c r="D222" i="25" s="1"/>
  <c r="F224" i="23" l="1"/>
  <c r="H224" i="23" s="1"/>
  <c r="L224" i="23" s="1"/>
  <c r="E225" i="23" s="1"/>
  <c r="E222" i="25"/>
  <c r="G222" i="25" s="1"/>
  <c r="J222" i="25" s="1"/>
  <c r="D223" i="25" s="1"/>
  <c r="F225" i="23" l="1"/>
  <c r="H225" i="23" s="1"/>
  <c r="L225" i="23" s="1"/>
  <c r="E226" i="23" s="1"/>
  <c r="E223" i="25"/>
  <c r="G223" i="25" s="1"/>
  <c r="J223" i="25" s="1"/>
  <c r="D224" i="25" s="1"/>
  <c r="F226" i="23" l="1"/>
  <c r="H226" i="23" s="1"/>
  <c r="L226" i="23" s="1"/>
  <c r="E227" i="23" s="1"/>
  <c r="E224" i="25"/>
  <c r="G224" i="25" s="1"/>
  <c r="J224" i="25" s="1"/>
  <c r="D225" i="25" s="1"/>
  <c r="F227" i="23" l="1"/>
  <c r="H227" i="23" s="1"/>
  <c r="L227" i="23" s="1"/>
  <c r="E228" i="23" s="1"/>
  <c r="E225" i="25"/>
  <c r="G225" i="25" s="1"/>
  <c r="J225" i="25" s="1"/>
  <c r="D226" i="25" s="1"/>
  <c r="F228" i="23" l="1"/>
  <c r="H228" i="23" s="1"/>
  <c r="L228" i="23" s="1"/>
  <c r="E229" i="23" s="1"/>
  <c r="E226" i="25"/>
  <c r="G226" i="25" s="1"/>
  <c r="J226" i="25" s="1"/>
  <c r="D227" i="25" s="1"/>
  <c r="F229" i="23" l="1"/>
  <c r="H229" i="23" s="1"/>
  <c r="L229" i="23" s="1"/>
  <c r="E230" i="23" s="1"/>
  <c r="E227" i="25"/>
  <c r="G227" i="25" s="1"/>
  <c r="J227" i="25" s="1"/>
  <c r="D228" i="25" s="1"/>
  <c r="F230" i="23" l="1"/>
  <c r="H230" i="23" s="1"/>
  <c r="L230" i="23" s="1"/>
  <c r="E231" i="23" s="1"/>
  <c r="E228" i="25"/>
  <c r="G228" i="25" s="1"/>
  <c r="J228" i="25" s="1"/>
  <c r="D229" i="25" s="1"/>
  <c r="F231" i="23" l="1"/>
  <c r="H231" i="23" s="1"/>
  <c r="L231" i="23" s="1"/>
  <c r="E232" i="23" s="1"/>
  <c r="E229" i="25"/>
  <c r="G229" i="25" s="1"/>
  <c r="J229" i="25" s="1"/>
  <c r="D230" i="25" s="1"/>
  <c r="F232" i="23" l="1"/>
  <c r="H232" i="23" s="1"/>
  <c r="L232" i="23" s="1"/>
  <c r="E233" i="23" s="1"/>
  <c r="E230" i="25"/>
  <c r="G230" i="25" s="1"/>
  <c r="J230" i="25" s="1"/>
  <c r="D231" i="25" s="1"/>
  <c r="F233" i="23" l="1"/>
  <c r="H233" i="23" s="1"/>
  <c r="L233" i="23" s="1"/>
  <c r="E234" i="23" s="1"/>
  <c r="E231" i="25"/>
  <c r="G231" i="25" s="1"/>
  <c r="J231" i="25" s="1"/>
  <c r="D232" i="25" s="1"/>
  <c r="F234" i="23" l="1"/>
  <c r="H234" i="23" s="1"/>
  <c r="L234" i="23" s="1"/>
  <c r="E235" i="23" s="1"/>
  <c r="E232" i="25"/>
  <c r="G232" i="25" s="1"/>
  <c r="J232" i="25" s="1"/>
  <c r="D233" i="25" s="1"/>
  <c r="F235" i="23" l="1"/>
  <c r="H235" i="23" s="1"/>
  <c r="L235" i="23" s="1"/>
  <c r="E236" i="23" s="1"/>
  <c r="E233" i="25"/>
  <c r="G233" i="25" s="1"/>
  <c r="J233" i="25" s="1"/>
  <c r="D234" i="25" s="1"/>
  <c r="F236" i="23" l="1"/>
  <c r="H236" i="23" s="1"/>
  <c r="L236" i="23" s="1"/>
  <c r="E237" i="23" s="1"/>
  <c r="E234" i="25"/>
  <c r="G234" i="25" s="1"/>
  <c r="J234" i="25" s="1"/>
  <c r="D235" i="25" s="1"/>
  <c r="F237" i="23" l="1"/>
  <c r="H237" i="23" s="1"/>
  <c r="L237" i="23" s="1"/>
  <c r="E238" i="23" s="1"/>
  <c r="E235" i="25"/>
  <c r="G235" i="25" s="1"/>
  <c r="J235" i="25" s="1"/>
  <c r="D236" i="25" s="1"/>
  <c r="F238" i="23" l="1"/>
  <c r="H238" i="23" s="1"/>
  <c r="L238" i="23" s="1"/>
  <c r="E239" i="23" s="1"/>
  <c r="E236" i="25"/>
  <c r="G236" i="25" s="1"/>
  <c r="J236" i="25" s="1"/>
  <c r="D237" i="25" s="1"/>
  <c r="F239" i="23" l="1"/>
  <c r="H239" i="23" s="1"/>
  <c r="L239" i="23" s="1"/>
  <c r="E240" i="23" s="1"/>
  <c r="E237" i="25"/>
  <c r="G237" i="25" s="1"/>
  <c r="J237" i="25" s="1"/>
  <c r="D238" i="25" s="1"/>
  <c r="F240" i="23" l="1"/>
  <c r="H240" i="23" s="1"/>
  <c r="L240" i="23" s="1"/>
  <c r="E241" i="23" s="1"/>
  <c r="E238" i="25"/>
  <c r="G238" i="25" s="1"/>
  <c r="J238" i="25" s="1"/>
  <c r="D239" i="25" s="1"/>
  <c r="F241" i="23" l="1"/>
  <c r="H241" i="23" s="1"/>
  <c r="L241" i="23" s="1"/>
  <c r="E242" i="23" s="1"/>
  <c r="E239" i="25"/>
  <c r="G239" i="25" s="1"/>
  <c r="J239" i="25" s="1"/>
  <c r="D240" i="25" s="1"/>
  <c r="F242" i="23" l="1"/>
  <c r="H242" i="23" s="1"/>
  <c r="L242" i="23" s="1"/>
  <c r="E243" i="23" s="1"/>
  <c r="E240" i="25"/>
  <c r="G240" i="25" s="1"/>
  <c r="J240" i="25" s="1"/>
  <c r="D241" i="25" s="1"/>
  <c r="F243" i="23" l="1"/>
  <c r="H243" i="23" s="1"/>
  <c r="L243" i="23" s="1"/>
  <c r="E244" i="23" s="1"/>
  <c r="E241" i="25"/>
  <c r="G241" i="25" s="1"/>
  <c r="J241" i="25" s="1"/>
  <c r="D242" i="25" s="1"/>
  <c r="F244" i="23" l="1"/>
  <c r="H244" i="23" s="1"/>
  <c r="L244" i="23" s="1"/>
  <c r="E245" i="23" s="1"/>
  <c r="E242" i="25"/>
  <c r="G242" i="25" s="1"/>
  <c r="J242" i="25" s="1"/>
  <c r="D243" i="25" s="1"/>
  <c r="F245" i="23" l="1"/>
  <c r="H245" i="23" s="1"/>
  <c r="L245" i="23" s="1"/>
  <c r="E246" i="23" s="1"/>
  <c r="E243" i="25"/>
  <c r="G243" i="25" s="1"/>
  <c r="J243" i="25" s="1"/>
  <c r="D244" i="25" s="1"/>
  <c r="F246" i="23" l="1"/>
  <c r="H246" i="23" s="1"/>
  <c r="L246" i="23" s="1"/>
  <c r="E247" i="23" s="1"/>
  <c r="E244" i="25"/>
  <c r="G244" i="25" s="1"/>
  <c r="J244" i="25" s="1"/>
  <c r="D245" i="25" s="1"/>
  <c r="F247" i="23" l="1"/>
  <c r="H247" i="23" s="1"/>
  <c r="L247" i="23" s="1"/>
  <c r="E248" i="23" s="1"/>
  <c r="E245" i="25"/>
  <c r="G245" i="25" s="1"/>
  <c r="J245" i="25" s="1"/>
  <c r="D246" i="25" s="1"/>
  <c r="F248" i="23" l="1"/>
  <c r="H248" i="23" s="1"/>
  <c r="L248" i="23" s="1"/>
  <c r="E249" i="23" s="1"/>
  <c r="E246" i="25"/>
  <c r="G246" i="25" s="1"/>
  <c r="J246" i="25" s="1"/>
  <c r="D247" i="25" s="1"/>
  <c r="F249" i="23" l="1"/>
  <c r="H249" i="23" s="1"/>
  <c r="L249" i="23" s="1"/>
  <c r="E250" i="23" s="1"/>
  <c r="E247" i="25"/>
  <c r="G247" i="25" s="1"/>
  <c r="J247" i="25" s="1"/>
  <c r="D248" i="25" s="1"/>
  <c r="F250" i="23" l="1"/>
  <c r="H250" i="23" s="1"/>
  <c r="L250" i="23" s="1"/>
  <c r="E251" i="23" s="1"/>
  <c r="E248" i="25"/>
  <c r="G248" i="25" s="1"/>
  <c r="J248" i="25" s="1"/>
  <c r="D249" i="25" s="1"/>
  <c r="F251" i="23" l="1"/>
  <c r="H251" i="23" s="1"/>
  <c r="L251" i="23" s="1"/>
  <c r="E252" i="23" s="1"/>
  <c r="E249" i="25"/>
  <c r="G249" i="25" s="1"/>
  <c r="J249" i="25" s="1"/>
  <c r="D250" i="25" s="1"/>
  <c r="F252" i="23" l="1"/>
  <c r="H252" i="23" s="1"/>
  <c r="L252" i="23" s="1"/>
  <c r="E253" i="23" s="1"/>
  <c r="E250" i="25"/>
  <c r="G250" i="25" s="1"/>
  <c r="J250" i="25" s="1"/>
  <c r="D251" i="25" s="1"/>
  <c r="F253" i="23" l="1"/>
  <c r="H253" i="23" s="1"/>
  <c r="L253" i="23" s="1"/>
  <c r="E254" i="23" s="1"/>
  <c r="E251" i="25"/>
  <c r="G251" i="25" s="1"/>
  <c r="J251" i="25" s="1"/>
  <c r="D252" i="25" s="1"/>
  <c r="F254" i="23" l="1"/>
  <c r="H254" i="23" s="1"/>
  <c r="L254" i="23" s="1"/>
  <c r="E255" i="23" s="1"/>
  <c r="E252" i="25"/>
  <c r="G252" i="25" s="1"/>
  <c r="J252" i="25" s="1"/>
  <c r="D253" i="25" s="1"/>
  <c r="F255" i="23" l="1"/>
  <c r="H255" i="23" s="1"/>
  <c r="L255" i="23" s="1"/>
  <c r="E256" i="23" s="1"/>
  <c r="E253" i="25"/>
  <c r="G253" i="25" s="1"/>
  <c r="J253" i="25" s="1"/>
  <c r="D254" i="25" s="1"/>
  <c r="F256" i="23" l="1"/>
  <c r="H256" i="23" s="1"/>
  <c r="L256" i="23" s="1"/>
  <c r="E257" i="23" s="1"/>
  <c r="E254" i="25"/>
  <c r="G254" i="25" s="1"/>
  <c r="J254" i="25" s="1"/>
  <c r="D255" i="25" s="1"/>
  <c r="F257" i="23" l="1"/>
  <c r="H257" i="23" s="1"/>
  <c r="L257" i="23" s="1"/>
  <c r="E258" i="23" s="1"/>
  <c r="E255" i="25"/>
  <c r="G255" i="25" s="1"/>
  <c r="J255" i="25" s="1"/>
  <c r="D256" i="25" s="1"/>
  <c r="F258" i="23" l="1"/>
  <c r="H258" i="23" s="1"/>
  <c r="L258" i="23" s="1"/>
  <c r="E259" i="23" s="1"/>
  <c r="E256" i="25"/>
  <c r="G256" i="25" s="1"/>
  <c r="J256" i="25" s="1"/>
  <c r="D257" i="25" s="1"/>
  <c r="F259" i="23" l="1"/>
  <c r="H259" i="23" s="1"/>
  <c r="L259" i="23" s="1"/>
  <c r="E260" i="23" s="1"/>
  <c r="E257" i="25"/>
  <c r="G257" i="25" s="1"/>
  <c r="J257" i="25" s="1"/>
  <c r="D258" i="25" s="1"/>
  <c r="F260" i="23" l="1"/>
  <c r="H260" i="23" s="1"/>
  <c r="L260" i="23" s="1"/>
  <c r="E261" i="23" s="1"/>
  <c r="E258" i="25"/>
  <c r="G258" i="25" s="1"/>
  <c r="J258" i="25" s="1"/>
  <c r="D259" i="25" s="1"/>
  <c r="F261" i="23" l="1"/>
  <c r="H261" i="23" s="1"/>
  <c r="L261" i="23" s="1"/>
  <c r="E262" i="23" s="1"/>
  <c r="E259" i="25"/>
  <c r="G259" i="25" s="1"/>
  <c r="J259" i="25" s="1"/>
  <c r="D260" i="25" s="1"/>
  <c r="F262" i="23" l="1"/>
  <c r="H262" i="23" s="1"/>
  <c r="L262" i="23" s="1"/>
  <c r="E263" i="23" s="1"/>
  <c r="E260" i="25"/>
  <c r="G260" i="25" s="1"/>
  <c r="J260" i="25" s="1"/>
  <c r="D261" i="25" s="1"/>
  <c r="F263" i="23" l="1"/>
  <c r="H263" i="23" s="1"/>
  <c r="L263" i="23" s="1"/>
  <c r="E264" i="23" s="1"/>
  <c r="E261" i="25"/>
  <c r="G261" i="25" s="1"/>
  <c r="J261" i="25" s="1"/>
  <c r="D262" i="25" s="1"/>
  <c r="F264" i="23" l="1"/>
  <c r="H264" i="23" s="1"/>
  <c r="L264" i="23" s="1"/>
  <c r="E265" i="23" s="1"/>
  <c r="E262" i="25"/>
  <c r="G262" i="25" s="1"/>
  <c r="J262" i="25" s="1"/>
  <c r="D263" i="25" s="1"/>
  <c r="F265" i="23" l="1"/>
  <c r="H265" i="23" s="1"/>
  <c r="L265" i="23" s="1"/>
  <c r="E266" i="23" s="1"/>
  <c r="E263" i="25"/>
  <c r="G263" i="25" s="1"/>
  <c r="J263" i="25" s="1"/>
  <c r="D264" i="25" s="1"/>
  <c r="F266" i="23" l="1"/>
  <c r="H266" i="23" s="1"/>
  <c r="L266" i="23" s="1"/>
  <c r="E267" i="23" s="1"/>
  <c r="E264" i="25"/>
  <c r="G264" i="25" s="1"/>
  <c r="J264" i="25" s="1"/>
  <c r="D265" i="25" s="1"/>
  <c r="F267" i="23" l="1"/>
  <c r="H267" i="23" s="1"/>
  <c r="L267" i="23" s="1"/>
  <c r="E268" i="23" s="1"/>
  <c r="E265" i="25"/>
  <c r="G265" i="25" s="1"/>
  <c r="J265" i="25" s="1"/>
  <c r="D266" i="25" s="1"/>
  <c r="F268" i="23" l="1"/>
  <c r="H268" i="23" s="1"/>
  <c r="L268" i="23" s="1"/>
  <c r="E269" i="23" s="1"/>
  <c r="E266" i="25"/>
  <c r="G266" i="25" s="1"/>
  <c r="J266" i="25" s="1"/>
  <c r="D267" i="25" s="1"/>
  <c r="F269" i="23" l="1"/>
  <c r="H269" i="23" s="1"/>
  <c r="L269" i="23" s="1"/>
  <c r="E270" i="23" s="1"/>
  <c r="E267" i="25"/>
  <c r="G267" i="25" s="1"/>
  <c r="J267" i="25" s="1"/>
  <c r="D268" i="25" s="1"/>
  <c r="F270" i="23" l="1"/>
  <c r="H270" i="23" s="1"/>
  <c r="L270" i="23" s="1"/>
  <c r="E271" i="23" s="1"/>
  <c r="E268" i="25"/>
  <c r="G268" i="25" s="1"/>
  <c r="J268" i="25" s="1"/>
  <c r="D269" i="25" s="1"/>
  <c r="F271" i="23" l="1"/>
  <c r="H271" i="23" s="1"/>
  <c r="L271" i="23" s="1"/>
  <c r="E272" i="23" s="1"/>
  <c r="E269" i="25"/>
  <c r="G269" i="25" s="1"/>
  <c r="J269" i="25" s="1"/>
  <c r="D270" i="25" s="1"/>
  <c r="F272" i="23" l="1"/>
  <c r="H272" i="23" s="1"/>
  <c r="L272" i="23" s="1"/>
  <c r="E273" i="23" s="1"/>
  <c r="E270" i="25"/>
  <c r="G270" i="25" s="1"/>
  <c r="J270" i="25" s="1"/>
  <c r="D271" i="25" s="1"/>
  <c r="F273" i="23" l="1"/>
  <c r="H273" i="23" s="1"/>
  <c r="L273" i="23" s="1"/>
  <c r="E274" i="23" s="1"/>
  <c r="E271" i="25"/>
  <c r="G271" i="25" s="1"/>
  <c r="J271" i="25" s="1"/>
  <c r="D272" i="25" s="1"/>
  <c r="F274" i="23" l="1"/>
  <c r="H274" i="23" s="1"/>
  <c r="L274" i="23" s="1"/>
  <c r="E275" i="23" s="1"/>
  <c r="E272" i="25"/>
  <c r="G272" i="25" s="1"/>
  <c r="J272" i="25" s="1"/>
  <c r="D273" i="25" s="1"/>
  <c r="F275" i="23" l="1"/>
  <c r="H275" i="23" s="1"/>
  <c r="L275" i="23" s="1"/>
  <c r="E276" i="23" s="1"/>
  <c r="E273" i="25"/>
  <c r="G273" i="25" s="1"/>
  <c r="J273" i="25" s="1"/>
  <c r="D274" i="25" s="1"/>
  <c r="F276" i="23" l="1"/>
  <c r="H276" i="23" s="1"/>
  <c r="L276" i="23" s="1"/>
  <c r="E277" i="23" s="1"/>
  <c r="E274" i="25"/>
  <c r="G274" i="25" s="1"/>
  <c r="J274" i="25" s="1"/>
  <c r="D275" i="25" s="1"/>
  <c r="F277" i="23" l="1"/>
  <c r="H277" i="23" s="1"/>
  <c r="L277" i="23" s="1"/>
  <c r="E278" i="23" s="1"/>
  <c r="E275" i="25"/>
  <c r="G275" i="25" s="1"/>
  <c r="J275" i="25" s="1"/>
  <c r="D276" i="25" s="1"/>
  <c r="F278" i="23" l="1"/>
  <c r="H278" i="23" s="1"/>
  <c r="L278" i="23" s="1"/>
  <c r="E279" i="23" s="1"/>
  <c r="E276" i="25"/>
  <c r="G276" i="25" s="1"/>
  <c r="J276" i="25" s="1"/>
  <c r="D277" i="25" s="1"/>
  <c r="F279" i="23" l="1"/>
  <c r="H279" i="23" s="1"/>
  <c r="L279" i="23" s="1"/>
  <c r="E280" i="23" s="1"/>
  <c r="E277" i="25"/>
  <c r="G277" i="25" s="1"/>
  <c r="J277" i="25" s="1"/>
  <c r="D278" i="25" s="1"/>
  <c r="F280" i="23" l="1"/>
  <c r="H280" i="23" s="1"/>
  <c r="L280" i="23" s="1"/>
  <c r="E281" i="23" s="1"/>
  <c r="E278" i="25"/>
  <c r="G278" i="25" s="1"/>
  <c r="J278" i="25" s="1"/>
  <c r="D279" i="25" s="1"/>
  <c r="F281" i="23" l="1"/>
  <c r="H281" i="23" s="1"/>
  <c r="L281" i="23" s="1"/>
  <c r="E282" i="23" s="1"/>
  <c r="E279" i="25"/>
  <c r="G279" i="25" s="1"/>
  <c r="J279" i="25" s="1"/>
  <c r="D280" i="25" s="1"/>
  <c r="F282" i="23" l="1"/>
  <c r="H282" i="23" s="1"/>
  <c r="L282" i="23" s="1"/>
  <c r="E283" i="23" s="1"/>
  <c r="E280" i="25"/>
  <c r="G280" i="25" s="1"/>
  <c r="J280" i="25" s="1"/>
  <c r="D281" i="25" s="1"/>
  <c r="F283" i="23" l="1"/>
  <c r="H283" i="23" s="1"/>
  <c r="L283" i="23" s="1"/>
  <c r="E284" i="23" s="1"/>
  <c r="E281" i="25"/>
  <c r="G281" i="25" s="1"/>
  <c r="J281" i="25" s="1"/>
  <c r="D282" i="25" s="1"/>
  <c r="F284" i="23" l="1"/>
  <c r="H284" i="23" s="1"/>
  <c r="L284" i="23" s="1"/>
  <c r="E285" i="23" s="1"/>
  <c r="E282" i="25"/>
  <c r="G282" i="25" s="1"/>
  <c r="J282" i="25" s="1"/>
  <c r="D283" i="25" s="1"/>
  <c r="F285" i="23" l="1"/>
  <c r="H285" i="23" s="1"/>
  <c r="L285" i="23" s="1"/>
  <c r="E286" i="23" s="1"/>
  <c r="E283" i="25"/>
  <c r="G283" i="25" s="1"/>
  <c r="J283" i="25" s="1"/>
  <c r="D284" i="25" s="1"/>
  <c r="F286" i="23" l="1"/>
  <c r="H286" i="23" s="1"/>
  <c r="L286" i="23" s="1"/>
  <c r="E287" i="23" s="1"/>
  <c r="E284" i="25"/>
  <c r="G284" i="25" s="1"/>
  <c r="J284" i="25" s="1"/>
  <c r="D285" i="25" s="1"/>
  <c r="F287" i="23" l="1"/>
  <c r="H287" i="23" s="1"/>
  <c r="L287" i="23" s="1"/>
  <c r="E288" i="23" s="1"/>
  <c r="E285" i="25"/>
  <c r="G285" i="25" s="1"/>
  <c r="J285" i="25" s="1"/>
  <c r="D286" i="25" s="1"/>
  <c r="F288" i="23" l="1"/>
  <c r="H288" i="23" s="1"/>
  <c r="L288" i="23" s="1"/>
  <c r="E289" i="23" s="1"/>
  <c r="E286" i="25"/>
  <c r="G286" i="25" s="1"/>
  <c r="J286" i="25" s="1"/>
  <c r="D287" i="25" s="1"/>
  <c r="F289" i="23" l="1"/>
  <c r="H289" i="23" s="1"/>
  <c r="L289" i="23" s="1"/>
  <c r="E290" i="23" s="1"/>
  <c r="E287" i="25"/>
  <c r="G287" i="25" s="1"/>
  <c r="J287" i="25" s="1"/>
  <c r="D288" i="25" s="1"/>
  <c r="F290" i="23" l="1"/>
  <c r="H290" i="23" s="1"/>
  <c r="L290" i="23" s="1"/>
  <c r="E291" i="23" s="1"/>
  <c r="E288" i="25"/>
  <c r="G288" i="25" s="1"/>
  <c r="J288" i="25" s="1"/>
  <c r="D289" i="25" s="1"/>
  <c r="F291" i="23" l="1"/>
  <c r="H291" i="23" s="1"/>
  <c r="L291" i="23" s="1"/>
  <c r="E292" i="23" s="1"/>
  <c r="E289" i="25"/>
  <c r="G289" i="25" s="1"/>
  <c r="J289" i="25" s="1"/>
  <c r="D290" i="25" s="1"/>
  <c r="F292" i="23" l="1"/>
  <c r="H292" i="23" s="1"/>
  <c r="L292" i="23" s="1"/>
  <c r="E293" i="23" s="1"/>
  <c r="E290" i="25"/>
  <c r="G290" i="25" s="1"/>
  <c r="J290" i="25" s="1"/>
  <c r="D291" i="25" s="1"/>
  <c r="F293" i="23" l="1"/>
  <c r="H293" i="23" s="1"/>
  <c r="L293" i="23" s="1"/>
  <c r="E294" i="23" s="1"/>
  <c r="E291" i="25"/>
  <c r="G291" i="25" s="1"/>
  <c r="J291" i="25" s="1"/>
  <c r="D292" i="25" s="1"/>
  <c r="F294" i="23" l="1"/>
  <c r="H294" i="23" s="1"/>
  <c r="L294" i="23" s="1"/>
  <c r="E295" i="23" s="1"/>
  <c r="E292" i="25"/>
  <c r="G292" i="25" s="1"/>
  <c r="J292" i="25" s="1"/>
  <c r="D293" i="25" s="1"/>
  <c r="F295" i="23" l="1"/>
  <c r="H295" i="23" s="1"/>
  <c r="L295" i="23" s="1"/>
  <c r="E296" i="23" s="1"/>
  <c r="E293" i="25"/>
  <c r="G293" i="25" s="1"/>
  <c r="J293" i="25" s="1"/>
  <c r="D294" i="25" s="1"/>
  <c r="F296" i="23" l="1"/>
  <c r="H296" i="23" s="1"/>
  <c r="L296" i="23" s="1"/>
  <c r="E297" i="23" s="1"/>
  <c r="E294" i="25"/>
  <c r="G294" i="25" s="1"/>
  <c r="J294" i="25" s="1"/>
  <c r="D295" i="25" s="1"/>
  <c r="F297" i="23" l="1"/>
  <c r="H297" i="23" s="1"/>
  <c r="L297" i="23" s="1"/>
  <c r="E298" i="23" s="1"/>
  <c r="E295" i="25"/>
  <c r="G295" i="25" s="1"/>
  <c r="J295" i="25" s="1"/>
  <c r="D296" i="25" s="1"/>
  <c r="F298" i="23" l="1"/>
  <c r="H298" i="23" s="1"/>
  <c r="L298" i="23" s="1"/>
  <c r="E299" i="23" s="1"/>
  <c r="E296" i="25"/>
  <c r="G296" i="25" s="1"/>
  <c r="J296" i="25" s="1"/>
  <c r="D297" i="25" s="1"/>
  <c r="F299" i="23" l="1"/>
  <c r="H299" i="23" s="1"/>
  <c r="L299" i="23" s="1"/>
  <c r="E300" i="23" s="1"/>
  <c r="E297" i="25"/>
  <c r="G297" i="25" s="1"/>
  <c r="J297" i="25" s="1"/>
  <c r="D298" i="25" s="1"/>
  <c r="F300" i="23" l="1"/>
  <c r="H300" i="23" s="1"/>
  <c r="L300" i="23" s="1"/>
  <c r="E301" i="23" s="1"/>
  <c r="E298" i="25"/>
  <c r="G298" i="25" s="1"/>
  <c r="J298" i="25" s="1"/>
  <c r="D299" i="25" s="1"/>
  <c r="F301" i="23" l="1"/>
  <c r="H301" i="23" s="1"/>
  <c r="L301" i="23" s="1"/>
  <c r="E302" i="23" s="1"/>
  <c r="E299" i="25"/>
  <c r="G299" i="25" s="1"/>
  <c r="J299" i="25" s="1"/>
  <c r="D300" i="25" s="1"/>
  <c r="F302" i="23" l="1"/>
  <c r="H302" i="23" s="1"/>
  <c r="L302" i="23" s="1"/>
  <c r="E303" i="23" s="1"/>
  <c r="E300" i="25"/>
  <c r="G300" i="25" s="1"/>
  <c r="J300" i="25" s="1"/>
  <c r="D301" i="25" s="1"/>
  <c r="F303" i="23" l="1"/>
  <c r="H303" i="23" s="1"/>
  <c r="L303" i="23" s="1"/>
  <c r="E304" i="23" s="1"/>
  <c r="E301" i="25"/>
  <c r="G301" i="25" s="1"/>
  <c r="J301" i="25" s="1"/>
  <c r="D302" i="25" s="1"/>
  <c r="F304" i="23" l="1"/>
  <c r="H304" i="23" s="1"/>
  <c r="L304" i="23" s="1"/>
  <c r="E305" i="23" s="1"/>
  <c r="E302" i="25"/>
  <c r="G302" i="25" s="1"/>
  <c r="J302" i="25" s="1"/>
  <c r="D303" i="25" s="1"/>
  <c r="F305" i="23" l="1"/>
  <c r="H305" i="23" s="1"/>
  <c r="L305" i="23" s="1"/>
  <c r="E306" i="23" s="1"/>
  <c r="E303" i="25"/>
  <c r="G303" i="25" s="1"/>
  <c r="J303" i="25" s="1"/>
  <c r="D304" i="25" s="1"/>
  <c r="F306" i="23" l="1"/>
  <c r="H306" i="23" s="1"/>
  <c r="L306" i="23" s="1"/>
  <c r="E307" i="23" s="1"/>
  <c r="E304" i="25"/>
  <c r="G304" i="25" s="1"/>
  <c r="J304" i="25" s="1"/>
  <c r="D305" i="25" s="1"/>
  <c r="F307" i="23" l="1"/>
  <c r="H307" i="23" s="1"/>
  <c r="L307" i="23" s="1"/>
  <c r="E308" i="23" s="1"/>
  <c r="E305" i="25"/>
  <c r="G305" i="25" s="1"/>
  <c r="J305" i="25" s="1"/>
  <c r="D306" i="25" s="1"/>
  <c r="F308" i="23" l="1"/>
  <c r="H308" i="23" s="1"/>
  <c r="L308" i="23" s="1"/>
  <c r="E309" i="23" s="1"/>
  <c r="E306" i="25"/>
  <c r="G306" i="25" s="1"/>
  <c r="J306" i="25" s="1"/>
  <c r="D307" i="25" s="1"/>
  <c r="F309" i="23" l="1"/>
  <c r="H309" i="23" s="1"/>
  <c r="L309" i="23" s="1"/>
  <c r="E310" i="23" s="1"/>
  <c r="E307" i="25"/>
  <c r="G307" i="25" s="1"/>
  <c r="J307" i="25" s="1"/>
  <c r="D308" i="25" s="1"/>
  <c r="F310" i="23" l="1"/>
  <c r="H310" i="23" s="1"/>
  <c r="L310" i="23" s="1"/>
  <c r="E311" i="23" s="1"/>
  <c r="E308" i="25"/>
  <c r="G308" i="25" s="1"/>
  <c r="J308" i="25" s="1"/>
  <c r="D309" i="25" s="1"/>
  <c r="F311" i="23" l="1"/>
  <c r="H311" i="23" s="1"/>
  <c r="L311" i="23" s="1"/>
  <c r="E312" i="23" s="1"/>
  <c r="E309" i="25"/>
  <c r="G309" i="25" s="1"/>
  <c r="J309" i="25" s="1"/>
  <c r="D310" i="25" s="1"/>
  <c r="F312" i="23" l="1"/>
  <c r="H312" i="23" s="1"/>
  <c r="L312" i="23" s="1"/>
  <c r="E313" i="23" s="1"/>
  <c r="E310" i="25"/>
  <c r="G310" i="25" s="1"/>
  <c r="J310" i="25" s="1"/>
  <c r="D311" i="25" s="1"/>
  <c r="F313" i="23" l="1"/>
  <c r="H313" i="23" s="1"/>
  <c r="L313" i="23" s="1"/>
  <c r="E314" i="23" s="1"/>
  <c r="E311" i="25"/>
  <c r="G311" i="25" s="1"/>
  <c r="J311" i="25" s="1"/>
  <c r="D312" i="25" s="1"/>
  <c r="F314" i="23" l="1"/>
  <c r="H314" i="23" s="1"/>
  <c r="L314" i="23" s="1"/>
  <c r="E315" i="23" s="1"/>
  <c r="E312" i="25"/>
  <c r="G312" i="25" s="1"/>
  <c r="J312" i="25" s="1"/>
  <c r="D313" i="25" s="1"/>
  <c r="F315" i="23" l="1"/>
  <c r="H315" i="23" s="1"/>
  <c r="L315" i="23" s="1"/>
  <c r="E316" i="23" s="1"/>
  <c r="E313" i="25"/>
  <c r="G313" i="25" s="1"/>
  <c r="J313" i="25" s="1"/>
  <c r="D314" i="25" s="1"/>
  <c r="F316" i="23" l="1"/>
  <c r="H316" i="23" s="1"/>
  <c r="L316" i="23" s="1"/>
  <c r="E317" i="23" s="1"/>
  <c r="E314" i="25"/>
  <c r="G314" i="25" s="1"/>
  <c r="J314" i="25" s="1"/>
  <c r="D315" i="25" s="1"/>
  <c r="F317" i="23" l="1"/>
  <c r="H317" i="23" s="1"/>
  <c r="L317" i="23" s="1"/>
  <c r="E318" i="23" s="1"/>
  <c r="E315" i="25"/>
  <c r="G315" i="25" s="1"/>
  <c r="J315" i="25" s="1"/>
  <c r="D316" i="25" s="1"/>
  <c r="F318" i="23" l="1"/>
  <c r="H318" i="23" s="1"/>
  <c r="L318" i="23" s="1"/>
  <c r="E319" i="23" s="1"/>
  <c r="E316" i="25"/>
  <c r="G316" i="25" s="1"/>
  <c r="J316" i="25" s="1"/>
  <c r="D317" i="25" s="1"/>
  <c r="F319" i="23" l="1"/>
  <c r="H319" i="23" s="1"/>
  <c r="L319" i="23" s="1"/>
  <c r="E320" i="23" s="1"/>
  <c r="E317" i="25"/>
  <c r="G317" i="25" s="1"/>
  <c r="J317" i="25" s="1"/>
  <c r="D318" i="25" s="1"/>
  <c r="F320" i="23" l="1"/>
  <c r="H320" i="23" s="1"/>
  <c r="L320" i="23" s="1"/>
  <c r="E321" i="23" s="1"/>
  <c r="E318" i="25"/>
  <c r="G318" i="25" s="1"/>
  <c r="J318" i="25" s="1"/>
  <c r="D319" i="25" s="1"/>
  <c r="F321" i="23" l="1"/>
  <c r="H321" i="23" s="1"/>
  <c r="L321" i="23" s="1"/>
  <c r="E322" i="23" s="1"/>
  <c r="E319" i="25"/>
  <c r="G319" i="25" s="1"/>
  <c r="J319" i="25" s="1"/>
  <c r="D320" i="25" s="1"/>
  <c r="F322" i="23" l="1"/>
  <c r="H322" i="23" s="1"/>
  <c r="L322" i="23" s="1"/>
  <c r="E323" i="23" s="1"/>
  <c r="E320" i="25"/>
  <c r="G320" i="25" s="1"/>
  <c r="J320" i="25" s="1"/>
  <c r="D321" i="25" s="1"/>
  <c r="F323" i="23" l="1"/>
  <c r="H323" i="23" s="1"/>
  <c r="L323" i="23" s="1"/>
  <c r="E324" i="23" s="1"/>
  <c r="E321" i="25"/>
  <c r="G321" i="25" s="1"/>
  <c r="J321" i="25" s="1"/>
  <c r="D322" i="25" s="1"/>
  <c r="F324" i="23" l="1"/>
  <c r="H324" i="23" s="1"/>
  <c r="L324" i="23" s="1"/>
  <c r="E325" i="23" s="1"/>
  <c r="E322" i="25"/>
  <c r="G322" i="25" s="1"/>
  <c r="J322" i="25" s="1"/>
  <c r="D323" i="25" s="1"/>
  <c r="F325" i="23" l="1"/>
  <c r="H325" i="23" s="1"/>
  <c r="L325" i="23" s="1"/>
  <c r="E326" i="23" s="1"/>
  <c r="E323" i="25"/>
  <c r="G323" i="25" s="1"/>
  <c r="J323" i="25" s="1"/>
  <c r="D324" i="25" s="1"/>
  <c r="F326" i="23" l="1"/>
  <c r="H326" i="23" s="1"/>
  <c r="L326" i="23" s="1"/>
  <c r="E327" i="23" s="1"/>
  <c r="E324" i="25"/>
  <c r="G324" i="25" s="1"/>
  <c r="J324" i="25" s="1"/>
  <c r="D325" i="25" s="1"/>
  <c r="F327" i="23" l="1"/>
  <c r="H327" i="23" s="1"/>
  <c r="L327" i="23" s="1"/>
  <c r="E328" i="23" s="1"/>
  <c r="E325" i="25"/>
  <c r="G325" i="25" s="1"/>
  <c r="J325" i="25" s="1"/>
  <c r="D326" i="25" s="1"/>
  <c r="F328" i="23" l="1"/>
  <c r="H328" i="23" s="1"/>
  <c r="L328" i="23" s="1"/>
  <c r="E329" i="23" s="1"/>
  <c r="E326" i="25"/>
  <c r="G326" i="25" s="1"/>
  <c r="J326" i="25" s="1"/>
  <c r="D327" i="25" s="1"/>
  <c r="F329" i="23" l="1"/>
  <c r="H329" i="23" s="1"/>
  <c r="L329" i="23" s="1"/>
  <c r="E330" i="23" s="1"/>
  <c r="E327" i="25"/>
  <c r="G327" i="25" s="1"/>
  <c r="J327" i="25" s="1"/>
  <c r="D328" i="25" s="1"/>
  <c r="F330" i="23" l="1"/>
  <c r="H330" i="23" s="1"/>
  <c r="L330" i="23" s="1"/>
  <c r="E331" i="23" s="1"/>
  <c r="E328" i="25"/>
  <c r="G328" i="25" s="1"/>
  <c r="J328" i="25" s="1"/>
  <c r="D329" i="25" s="1"/>
  <c r="F331" i="23" l="1"/>
  <c r="H331" i="23" s="1"/>
  <c r="L331" i="23" s="1"/>
  <c r="E332" i="23" s="1"/>
  <c r="E329" i="25"/>
  <c r="G329" i="25" s="1"/>
  <c r="J329" i="25" s="1"/>
  <c r="D330" i="25" s="1"/>
  <c r="F332" i="23" l="1"/>
  <c r="H332" i="23" s="1"/>
  <c r="L332" i="23" s="1"/>
  <c r="E333" i="23" s="1"/>
  <c r="E330" i="25"/>
  <c r="G330" i="25" s="1"/>
  <c r="J330" i="25" s="1"/>
  <c r="D331" i="25" s="1"/>
  <c r="F333" i="23" l="1"/>
  <c r="H333" i="23" s="1"/>
  <c r="L333" i="23" s="1"/>
  <c r="E334" i="23" s="1"/>
  <c r="E331" i="25"/>
  <c r="G331" i="25" s="1"/>
  <c r="J331" i="25" s="1"/>
  <c r="D332" i="25" s="1"/>
  <c r="F334" i="23" l="1"/>
  <c r="H334" i="23" s="1"/>
  <c r="L334" i="23" s="1"/>
  <c r="E335" i="23" s="1"/>
  <c r="E332" i="25"/>
  <c r="G332" i="25" s="1"/>
  <c r="J332" i="25" s="1"/>
  <c r="D333" i="25" s="1"/>
  <c r="F335" i="23" l="1"/>
  <c r="H335" i="23" s="1"/>
  <c r="L335" i="23" s="1"/>
  <c r="E336" i="23" s="1"/>
  <c r="E333" i="25"/>
  <c r="G333" i="25" s="1"/>
  <c r="J333" i="25" s="1"/>
  <c r="D334" i="25" s="1"/>
  <c r="F336" i="23" l="1"/>
  <c r="H336" i="23" s="1"/>
  <c r="L336" i="23" s="1"/>
  <c r="E337" i="23" s="1"/>
  <c r="E334" i="25"/>
  <c r="G334" i="25" s="1"/>
  <c r="J334" i="25" s="1"/>
  <c r="D335" i="25" s="1"/>
  <c r="F337" i="23" l="1"/>
  <c r="H337" i="23" s="1"/>
  <c r="L337" i="23" s="1"/>
  <c r="E338" i="23" s="1"/>
  <c r="E335" i="25"/>
  <c r="G335" i="25" s="1"/>
  <c r="J335" i="25" s="1"/>
  <c r="D336" i="25" s="1"/>
  <c r="F338" i="23" l="1"/>
  <c r="H338" i="23" s="1"/>
  <c r="L338" i="23" s="1"/>
  <c r="E339" i="23" s="1"/>
  <c r="E336" i="25"/>
  <c r="G336" i="25" s="1"/>
  <c r="J336" i="25" s="1"/>
  <c r="D337" i="25" s="1"/>
  <c r="F339" i="23" l="1"/>
  <c r="H339" i="23" s="1"/>
  <c r="L339" i="23" s="1"/>
  <c r="E340" i="23" s="1"/>
  <c r="E337" i="25"/>
  <c r="G337" i="25" s="1"/>
  <c r="J337" i="25" s="1"/>
  <c r="D338" i="25" s="1"/>
  <c r="F340" i="23" l="1"/>
  <c r="H340" i="23" s="1"/>
  <c r="L340" i="23" s="1"/>
  <c r="E341" i="23" s="1"/>
  <c r="E338" i="25"/>
  <c r="G338" i="25" s="1"/>
  <c r="J338" i="25" s="1"/>
  <c r="D339" i="25" s="1"/>
  <c r="F341" i="23" l="1"/>
  <c r="H341" i="23" s="1"/>
  <c r="L341" i="23" s="1"/>
  <c r="E342" i="23" s="1"/>
  <c r="E339" i="25"/>
  <c r="G339" i="25" s="1"/>
  <c r="J339" i="25" s="1"/>
  <c r="D340" i="25" s="1"/>
  <c r="F342" i="23" l="1"/>
  <c r="H342" i="23" s="1"/>
  <c r="L342" i="23" s="1"/>
  <c r="E343" i="23" s="1"/>
  <c r="E340" i="25"/>
  <c r="G340" i="25" s="1"/>
  <c r="J340" i="25" s="1"/>
  <c r="D341" i="25" s="1"/>
  <c r="F343" i="23" l="1"/>
  <c r="H343" i="23" s="1"/>
  <c r="L343" i="23" s="1"/>
  <c r="E344" i="23" s="1"/>
  <c r="E341" i="25"/>
  <c r="G341" i="25" s="1"/>
  <c r="J341" i="25" s="1"/>
  <c r="D342" i="25" s="1"/>
  <c r="F344" i="23" l="1"/>
  <c r="H344" i="23" s="1"/>
  <c r="L344" i="23" s="1"/>
  <c r="E345" i="23" s="1"/>
  <c r="E342" i="25"/>
  <c r="G342" i="25" s="1"/>
  <c r="J342" i="25" s="1"/>
  <c r="D343" i="25" s="1"/>
  <c r="F345" i="23" l="1"/>
  <c r="H345" i="23" s="1"/>
  <c r="L345" i="23" s="1"/>
  <c r="E346" i="23" s="1"/>
  <c r="E343" i="25"/>
  <c r="G343" i="25" s="1"/>
  <c r="J343" i="25" s="1"/>
  <c r="D344" i="25" s="1"/>
  <c r="F346" i="23" l="1"/>
  <c r="H346" i="23" s="1"/>
  <c r="L346" i="23" s="1"/>
  <c r="E347" i="23" s="1"/>
  <c r="E344" i="25"/>
  <c r="G344" i="25" s="1"/>
  <c r="J344" i="25" s="1"/>
  <c r="D345" i="25" s="1"/>
  <c r="F347" i="23" l="1"/>
  <c r="H347" i="23" s="1"/>
  <c r="L347" i="23" s="1"/>
  <c r="E348" i="23" s="1"/>
  <c r="E345" i="25"/>
  <c r="G345" i="25" s="1"/>
  <c r="J345" i="25" s="1"/>
  <c r="D346" i="25" s="1"/>
  <c r="F348" i="23" l="1"/>
  <c r="H348" i="23" s="1"/>
  <c r="L348" i="23" s="1"/>
  <c r="E349" i="23" s="1"/>
  <c r="E346" i="25"/>
  <c r="G346" i="25" s="1"/>
  <c r="J346" i="25" s="1"/>
  <c r="D347" i="25" s="1"/>
  <c r="F349" i="23" l="1"/>
  <c r="H349" i="23" s="1"/>
  <c r="L349" i="23" s="1"/>
  <c r="E350" i="23" s="1"/>
  <c r="E347" i="25"/>
  <c r="G347" i="25" s="1"/>
  <c r="J347" i="25" s="1"/>
  <c r="D348" i="25" s="1"/>
  <c r="F350" i="23" l="1"/>
  <c r="H350" i="23" s="1"/>
  <c r="L350" i="23" s="1"/>
  <c r="E351" i="23" s="1"/>
  <c r="E348" i="25"/>
  <c r="G348" i="25" s="1"/>
  <c r="J348" i="25" s="1"/>
  <c r="D349" i="25" s="1"/>
  <c r="F351" i="23" l="1"/>
  <c r="H351" i="23" s="1"/>
  <c r="L351" i="23" s="1"/>
  <c r="E352" i="23" s="1"/>
  <c r="E349" i="25"/>
  <c r="G349" i="25" s="1"/>
  <c r="J349" i="25" s="1"/>
  <c r="D350" i="25" s="1"/>
  <c r="F352" i="23" l="1"/>
  <c r="H352" i="23" s="1"/>
  <c r="L352" i="23" s="1"/>
  <c r="E353" i="23" s="1"/>
  <c r="E350" i="25"/>
  <c r="G350" i="25" s="1"/>
  <c r="J350" i="25" s="1"/>
  <c r="D351" i="25" s="1"/>
  <c r="F353" i="23" l="1"/>
  <c r="H353" i="23" s="1"/>
  <c r="L353" i="23" s="1"/>
  <c r="E354" i="23" s="1"/>
  <c r="E351" i="25"/>
  <c r="G351" i="25" s="1"/>
  <c r="J351" i="25" s="1"/>
  <c r="D352" i="25" s="1"/>
  <c r="F354" i="23" l="1"/>
  <c r="H354" i="23" s="1"/>
  <c r="L354" i="23" s="1"/>
  <c r="E355" i="23" s="1"/>
  <c r="E352" i="25"/>
  <c r="G352" i="25" s="1"/>
  <c r="J352" i="25" s="1"/>
  <c r="D353" i="25" s="1"/>
  <c r="F355" i="23" l="1"/>
  <c r="H355" i="23" s="1"/>
  <c r="L355" i="23" s="1"/>
  <c r="E356" i="23" s="1"/>
  <c r="E353" i="25"/>
  <c r="G353" i="25" s="1"/>
  <c r="J353" i="25" s="1"/>
  <c r="D354" i="25" s="1"/>
  <c r="F356" i="23" l="1"/>
  <c r="H356" i="23" s="1"/>
  <c r="L356" i="23" s="1"/>
  <c r="E357" i="23" s="1"/>
  <c r="E354" i="25"/>
  <c r="G354" i="25" s="1"/>
  <c r="J354" i="25" s="1"/>
  <c r="D355" i="25" s="1"/>
  <c r="F357" i="23" l="1"/>
  <c r="H357" i="23" s="1"/>
  <c r="L357" i="23" s="1"/>
  <c r="E358" i="23" s="1"/>
  <c r="E355" i="25"/>
  <c r="G355" i="25" s="1"/>
  <c r="J355" i="25" s="1"/>
  <c r="D356" i="25" s="1"/>
  <c r="F358" i="23" l="1"/>
  <c r="H358" i="23" s="1"/>
  <c r="L358" i="23" s="1"/>
  <c r="E359" i="23" s="1"/>
  <c r="E356" i="25"/>
  <c r="G356" i="25" s="1"/>
  <c r="J356" i="25" s="1"/>
  <c r="D357" i="25" s="1"/>
  <c r="F359" i="23" l="1"/>
  <c r="H359" i="23" s="1"/>
  <c r="L359" i="23" s="1"/>
  <c r="E360" i="23" s="1"/>
  <c r="E357" i="25"/>
  <c r="G357" i="25" s="1"/>
  <c r="J357" i="25" s="1"/>
  <c r="D358" i="25" s="1"/>
  <c r="F360" i="23" l="1"/>
  <c r="H360" i="23" s="1"/>
  <c r="L360" i="23" s="1"/>
  <c r="E361" i="23" s="1"/>
  <c r="E358" i="25"/>
  <c r="G358" i="25" s="1"/>
  <c r="J358" i="25" s="1"/>
  <c r="D359" i="25" s="1"/>
  <c r="F361" i="23" l="1"/>
  <c r="H361" i="23" s="1"/>
  <c r="L361" i="23" s="1"/>
  <c r="E362" i="23" s="1"/>
  <c r="E359" i="25"/>
  <c r="G359" i="25" s="1"/>
  <c r="J359" i="25" s="1"/>
  <c r="D360" i="25" s="1"/>
  <c r="F362" i="23" l="1"/>
  <c r="H362" i="23" s="1"/>
  <c r="L362" i="23" s="1"/>
  <c r="E363" i="23" s="1"/>
  <c r="E360" i="25"/>
  <c r="G360" i="25" s="1"/>
  <c r="J360" i="25" s="1"/>
  <c r="D361" i="25" s="1"/>
  <c r="F363" i="23" l="1"/>
  <c r="H363" i="23" s="1"/>
  <c r="L363" i="23" s="1"/>
  <c r="E364" i="23" s="1"/>
  <c r="E361" i="25"/>
  <c r="G361" i="25" s="1"/>
  <c r="J361" i="25" s="1"/>
  <c r="D362" i="25" s="1"/>
  <c r="F364" i="23" l="1"/>
  <c r="H364" i="23" s="1"/>
  <c r="L364" i="23" s="1"/>
  <c r="E365" i="23" s="1"/>
  <c r="E362" i="25"/>
  <c r="G362" i="25" s="1"/>
  <c r="J362" i="25" s="1"/>
  <c r="D363" i="25" s="1"/>
  <c r="F365" i="23" l="1"/>
  <c r="H365" i="23" s="1"/>
  <c r="L365" i="23" s="1"/>
  <c r="E366" i="23" s="1"/>
  <c r="E363" i="25"/>
  <c r="G363" i="25" s="1"/>
  <c r="J363" i="25" s="1"/>
  <c r="D364" i="25" s="1"/>
  <c r="F366" i="23" l="1"/>
  <c r="H366" i="23" s="1"/>
  <c r="L366" i="23" s="1"/>
  <c r="E367" i="23" s="1"/>
  <c r="E364" i="25"/>
  <c r="G364" i="25" s="1"/>
  <c r="J364" i="25" s="1"/>
  <c r="D365" i="25" s="1"/>
  <c r="F367" i="23" l="1"/>
  <c r="H367" i="23" s="1"/>
  <c r="L367" i="23" s="1"/>
  <c r="E368" i="23" s="1"/>
  <c r="E365" i="25"/>
  <c r="G365" i="25" s="1"/>
  <c r="J365" i="25" s="1"/>
  <c r="D366" i="25" s="1"/>
  <c r="F368" i="23" l="1"/>
  <c r="H368" i="23" s="1"/>
  <c r="L368" i="23" s="1"/>
  <c r="E369" i="23" s="1"/>
  <c r="E366" i="25"/>
  <c r="G366" i="25" s="1"/>
  <c r="J366" i="25" s="1"/>
  <c r="D367" i="25" s="1"/>
  <c r="F369" i="23" l="1"/>
  <c r="H369" i="23" s="1"/>
  <c r="L369" i="23" s="1"/>
  <c r="E370" i="23" s="1"/>
  <c r="E367" i="25"/>
  <c r="G367" i="25" s="1"/>
  <c r="J367" i="25" s="1"/>
  <c r="D368" i="25" s="1"/>
  <c r="F370" i="23" l="1"/>
  <c r="H370" i="23" s="1"/>
  <c r="L370" i="23" s="1"/>
  <c r="E371" i="23" s="1"/>
  <c r="E368" i="25"/>
  <c r="G368" i="25" s="1"/>
  <c r="J368" i="25" s="1"/>
  <c r="D369" i="25" s="1"/>
  <c r="F371" i="23" l="1"/>
  <c r="H371" i="23" s="1"/>
  <c r="L371" i="23" s="1"/>
  <c r="E372" i="23" s="1"/>
  <c r="E369" i="25"/>
  <c r="G369" i="25" s="1"/>
  <c r="J369" i="25" s="1"/>
  <c r="D370" i="25" s="1"/>
  <c r="F372" i="23" l="1"/>
  <c r="H372" i="23" s="1"/>
  <c r="L372" i="23" s="1"/>
  <c r="E373" i="23" s="1"/>
  <c r="E370" i="25"/>
  <c r="G370" i="25" s="1"/>
  <c r="J370" i="25" s="1"/>
  <c r="D371" i="25" s="1"/>
  <c r="F373" i="23" l="1"/>
  <c r="H373" i="23" s="1"/>
  <c r="L373" i="23" s="1"/>
  <c r="E374" i="23" s="1"/>
  <c r="E371" i="25"/>
  <c r="G371" i="25" s="1"/>
  <c r="J371" i="25" s="1"/>
  <c r="D372" i="25" s="1"/>
  <c r="F374" i="23" l="1"/>
  <c r="H374" i="23" s="1"/>
  <c r="L374" i="23" s="1"/>
  <c r="E375" i="23" s="1"/>
  <c r="E372" i="25"/>
  <c r="G372" i="25" s="1"/>
  <c r="J372" i="25" s="1"/>
  <c r="D373" i="25" s="1"/>
  <c r="F375" i="23" l="1"/>
  <c r="H375" i="23" s="1"/>
  <c r="L375" i="23" s="1"/>
  <c r="E376" i="23" s="1"/>
  <c r="E373" i="25"/>
  <c r="G373" i="25" s="1"/>
  <c r="J373" i="25" s="1"/>
  <c r="D374" i="25" s="1"/>
  <c r="F376" i="23" l="1"/>
  <c r="H376" i="23" s="1"/>
  <c r="L376" i="23" s="1"/>
  <c r="E374" i="25"/>
  <c r="G374" i="25" s="1"/>
  <c r="J374" i="25" s="1"/>
  <c r="D80" i="20" l="1"/>
  <c r="E80" i="20" s="1"/>
  <c r="F80" i="20"/>
  <c r="G80" i="20"/>
  <c r="H80" i="20"/>
  <c r="I80" i="20"/>
  <c r="J80" i="20"/>
  <c r="K80" i="20"/>
  <c r="L80" i="20"/>
  <c r="M80" i="20"/>
  <c r="N80" i="20"/>
  <c r="O80" i="20"/>
  <c r="P80" i="20"/>
  <c r="J25" i="6"/>
  <c r="AE26" i="8" l="1"/>
  <c r="BF80" i="20"/>
  <c r="BG80" i="20"/>
  <c r="BH80" i="20"/>
  <c r="BA80" i="20"/>
  <c r="BI80" i="20"/>
  <c r="BB80" i="20"/>
  <c r="BJ80" i="20"/>
  <c r="BC80" i="20"/>
  <c r="BK80" i="20"/>
  <c r="BD80" i="20"/>
  <c r="BL80" i="20"/>
  <c r="BE80" i="20"/>
  <c r="AH80" i="20"/>
  <c r="AI80" i="20"/>
  <c r="AJ80" i="20"/>
  <c r="AC80" i="20"/>
  <c r="AK80" i="20"/>
  <c r="AD80" i="20"/>
  <c r="AL80" i="20"/>
  <c r="AE80" i="20"/>
  <c r="AM80" i="20"/>
  <c r="AF80" i="20"/>
  <c r="AN80" i="20"/>
  <c r="AG80" i="20"/>
  <c r="AP80" i="20"/>
  <c r="AX80" i="20"/>
  <c r="AQ80" i="20"/>
  <c r="AY80" i="20"/>
  <c r="AR80" i="20"/>
  <c r="AZ80" i="20"/>
  <c r="AS80" i="20"/>
  <c r="AT80" i="20"/>
  <c r="AU80" i="20"/>
  <c r="AV80" i="20"/>
  <c r="AO80" i="20"/>
  <c r="AW80" i="20"/>
  <c r="R80" i="20"/>
  <c r="Z80" i="20"/>
  <c r="S80" i="20"/>
  <c r="AA80" i="20"/>
  <c r="T80" i="20"/>
  <c r="AB80" i="20"/>
  <c r="U80" i="20"/>
  <c r="V80" i="20"/>
  <c r="W80" i="20"/>
  <c r="X80" i="20"/>
  <c r="Q80" i="20"/>
  <c r="Y80" i="20"/>
  <c r="K25" i="6"/>
  <c r="T25" i="6" a="1"/>
  <c r="T25" i="6" s="1"/>
  <c r="P25" i="6" a="1"/>
  <c r="P25" i="6" s="1"/>
  <c r="V25" i="6" a="1"/>
  <c r="V25" i="6" s="1"/>
  <c r="L25" i="6" a="1"/>
  <c r="L25" i="6" s="1"/>
  <c r="K29" i="39" a="1"/>
  <c r="K29" i="39" s="1"/>
  <c r="R25" i="6" a="1"/>
  <c r="R25" i="6" s="1"/>
  <c r="Z25" i="6" a="1"/>
  <c r="Z25" i="6" s="1"/>
  <c r="N25" i="6" a="1"/>
  <c r="N25" i="6" s="1"/>
  <c r="I23" i="27"/>
  <c r="L29" i="39" l="1"/>
  <c r="K23" i="27"/>
  <c r="W25" i="6"/>
  <c r="J23" i="27"/>
  <c r="AQ25" i="6"/>
  <c r="Q25" i="6"/>
  <c r="BN80" i="20"/>
  <c r="BV80" i="20"/>
  <c r="BO80" i="20"/>
  <c r="BW80" i="20"/>
  <c r="BP80" i="20"/>
  <c r="BX80" i="20"/>
  <c r="BQ80" i="20"/>
  <c r="BR80" i="20"/>
  <c r="BS80" i="20"/>
  <c r="BT80" i="20"/>
  <c r="BM80" i="20"/>
  <c r="BU80" i="20"/>
  <c r="U25" i="6"/>
  <c r="O23" i="27"/>
  <c r="Q23" i="27"/>
  <c r="G23" i="27"/>
  <c r="O25" i="6"/>
  <c r="H23" i="27" s="1"/>
  <c r="Q55" i="18"/>
  <c r="S55" i="18" s="1"/>
  <c r="AA25" i="6"/>
  <c r="M25" i="6"/>
  <c r="S25" i="6"/>
  <c r="M23" i="27"/>
  <c r="AR25" i="6" l="1"/>
  <c r="CD80" i="20"/>
  <c r="CE80" i="20"/>
  <c r="CF80" i="20"/>
  <c r="BY80" i="20"/>
  <c r="CG80" i="20"/>
  <c r="BZ80" i="20"/>
  <c r="CH80" i="20"/>
  <c r="CA80" i="20"/>
  <c r="CI80" i="20"/>
  <c r="CB80" i="20"/>
  <c r="CJ80" i="20"/>
  <c r="CC80" i="20"/>
  <c r="L23" i="27"/>
  <c r="N23" i="27"/>
  <c r="P23" i="27"/>
  <c r="S23" i="27"/>
  <c r="R23" i="27"/>
  <c r="U23" i="27" l="1"/>
  <c r="CL80" i="20"/>
  <c r="CT80" i="20"/>
  <c r="CM80" i="20"/>
  <c r="CU80" i="20"/>
  <c r="CN80" i="20"/>
  <c r="CV80" i="20"/>
  <c r="CO80" i="20"/>
  <c r="CP80" i="20"/>
  <c r="CQ80" i="20"/>
  <c r="CR80" i="20"/>
  <c r="CK80" i="20"/>
  <c r="CS80" i="20"/>
  <c r="T23" i="27"/>
  <c r="V23" i="27" l="1"/>
  <c r="DB80" i="20"/>
  <c r="DC80" i="20"/>
  <c r="DD80" i="20"/>
  <c r="CW80" i="20"/>
  <c r="DE80" i="20"/>
  <c r="CX80" i="20"/>
  <c r="DF80" i="20"/>
  <c r="CY80" i="20"/>
  <c r="DG80" i="20"/>
  <c r="CZ80" i="20"/>
  <c r="DH80" i="20"/>
  <c r="DA80" i="20"/>
  <c r="W23" i="27"/>
  <c r="Y23" i="27" l="1"/>
  <c r="X23" i="27"/>
  <c r="DJ80" i="20"/>
  <c r="DR80" i="20"/>
  <c r="DK80" i="20"/>
  <c r="DS80" i="20"/>
  <c r="DL80" i="20"/>
  <c r="DT80" i="20"/>
  <c r="DM80" i="20"/>
  <c r="DN80" i="20"/>
  <c r="DO80" i="20"/>
  <c r="DP80" i="20"/>
  <c r="DI80" i="20"/>
  <c r="DQ80" i="20"/>
  <c r="AA23" i="27" l="1"/>
  <c r="Z23" i="27"/>
  <c r="AB23" i="27" l="1"/>
  <c r="D81" i="20" l="1"/>
  <c r="E81" i="20" s="1"/>
  <c r="F81" i="20"/>
  <c r="G81" i="20"/>
  <c r="H81" i="20"/>
  <c r="I81" i="20"/>
  <c r="J81" i="20"/>
  <c r="K81" i="20"/>
  <c r="L81" i="20"/>
  <c r="M81" i="20"/>
  <c r="N81" i="20"/>
  <c r="O81" i="20"/>
  <c r="P81" i="20"/>
  <c r="J26" i="6"/>
  <c r="K26" i="6" l="1"/>
  <c r="AE27" i="8"/>
  <c r="X81" i="20"/>
  <c r="Q81" i="20"/>
  <c r="Y81" i="20"/>
  <c r="R81" i="20"/>
  <c r="Z81" i="20"/>
  <c r="S81" i="20"/>
  <c r="AA81" i="20"/>
  <c r="T81" i="20"/>
  <c r="AB81" i="20"/>
  <c r="U81" i="20"/>
  <c r="V81" i="20"/>
  <c r="W81" i="20"/>
  <c r="I24" i="27"/>
  <c r="Z26" i="6" l="1" a="1"/>
  <c r="Z26" i="6" s="1"/>
  <c r="N26" i="6" a="1"/>
  <c r="N26" i="6" s="1"/>
  <c r="K30" i="39" a="1"/>
  <c r="K30" i="39" s="1"/>
  <c r="T26" i="6" a="1"/>
  <c r="T26" i="6" s="1"/>
  <c r="P26" i="6" a="1"/>
  <c r="P26" i="6" s="1"/>
  <c r="V26" i="6" a="1"/>
  <c r="V26" i="6" s="1"/>
  <c r="L26" i="6" a="1"/>
  <c r="L26" i="6" s="1"/>
  <c r="R26" i="6" a="1"/>
  <c r="R26" i="6" s="1"/>
  <c r="J24" i="27"/>
  <c r="K24" i="27"/>
  <c r="W26" i="6" l="1"/>
  <c r="AQ26" i="6"/>
  <c r="Q26" i="6"/>
  <c r="L30" i="39"/>
  <c r="O26" i="6"/>
  <c r="H24" i="27" s="1"/>
  <c r="G24" i="27"/>
  <c r="Q56" i="18"/>
  <c r="S56" i="18" s="1"/>
  <c r="L24" i="27"/>
  <c r="AA26" i="6"/>
  <c r="S26" i="6"/>
  <c r="U26" i="6"/>
  <c r="M26" i="6"/>
  <c r="AR26" i="6" l="1"/>
  <c r="BM129" i="20" l="1"/>
  <c r="BT5" i="31" l="1"/>
  <c r="BM140" i="20"/>
  <c r="BM143" i="20" s="1"/>
  <c r="BM141" i="20"/>
  <c r="BM144" i="20" s="1"/>
  <c r="BU5" i="34"/>
  <c r="BN129" i="20" l="1"/>
  <c r="BU18" i="34"/>
  <c r="BU11" i="34"/>
  <c r="BT18" i="31"/>
  <c r="BT11" i="31"/>
  <c r="BT126" i="31" l="1"/>
  <c r="BT30" i="31"/>
  <c r="BT48" i="31" s="1"/>
  <c r="BT66" i="31" s="1"/>
  <c r="BT84" i="31" s="1"/>
  <c r="BT102" i="31" s="1"/>
  <c r="BU132" i="34"/>
  <c r="BU38" i="34"/>
  <c r="BU125" i="34"/>
  <c r="BU30" i="34"/>
  <c r="BU48" i="34" s="1"/>
  <c r="BU66" i="34" s="1"/>
  <c r="BU84" i="34" s="1"/>
  <c r="BU102" i="34" s="1"/>
  <c r="BN140" i="20"/>
  <c r="BN143" i="20" s="1"/>
  <c r="BN141" i="20"/>
  <c r="BN144" i="20" s="1"/>
  <c r="BV5" i="34"/>
  <c r="BU5" i="31"/>
  <c r="BT38" i="31"/>
  <c r="BT133" i="31"/>
  <c r="BO129" i="20" l="1"/>
  <c r="BU18" i="31"/>
  <c r="BU11" i="31"/>
  <c r="BV18" i="34"/>
  <c r="BV11" i="34"/>
  <c r="BU133" i="31" l="1"/>
  <c r="BU38" i="31"/>
  <c r="BV38" i="34"/>
  <c r="BV132" i="34"/>
  <c r="BO141" i="20"/>
  <c r="BO144" i="20" s="1"/>
  <c r="BV5" i="31"/>
  <c r="BW5" i="34"/>
  <c r="BO140" i="20"/>
  <c r="BO143" i="20" s="1"/>
  <c r="BV30" i="34"/>
  <c r="BV48" i="34" s="1"/>
  <c r="BV66" i="34" s="1"/>
  <c r="BV84" i="34" s="1"/>
  <c r="BV102" i="34" s="1"/>
  <c r="BV125" i="34"/>
  <c r="BU126" i="31"/>
  <c r="BU30" i="31"/>
  <c r="BU48" i="31" s="1"/>
  <c r="BU66" i="31" s="1"/>
  <c r="BU84" i="31" s="1"/>
  <c r="BU102" i="31" s="1"/>
  <c r="BV11" i="31" l="1"/>
  <c r="BV18" i="31"/>
  <c r="BP129" i="20"/>
  <c r="BW11" i="34"/>
  <c r="BW18" i="34"/>
  <c r="BP140" i="20" l="1"/>
  <c r="BP143" i="20" s="1"/>
  <c r="BP141" i="20"/>
  <c r="BP144" i="20" s="1"/>
  <c r="BX5" i="34"/>
  <c r="BW5" i="31"/>
  <c r="BW132" i="34"/>
  <c r="BW38" i="34"/>
  <c r="BW30" i="34"/>
  <c r="BW48" i="34" s="1"/>
  <c r="BW66" i="34" s="1"/>
  <c r="BW84" i="34" s="1"/>
  <c r="BW102" i="34" s="1"/>
  <c r="BW125" i="34"/>
  <c r="BV38" i="31"/>
  <c r="BV133" i="31"/>
  <c r="BV126" i="31"/>
  <c r="BV30" i="31"/>
  <c r="BV48" i="31" s="1"/>
  <c r="BV66" i="31" s="1"/>
  <c r="BV84" i="31" s="1"/>
  <c r="BV102" i="31" s="1"/>
  <c r="BQ129" i="20" l="1"/>
  <c r="BW11" i="31"/>
  <c r="BW18" i="31"/>
  <c r="BX11" i="34"/>
  <c r="BX18" i="34"/>
  <c r="BX132" i="34" l="1"/>
  <c r="BX38" i="34"/>
  <c r="BX30" i="34"/>
  <c r="BX48" i="34" s="1"/>
  <c r="BX66" i="34" s="1"/>
  <c r="BX84" i="34" s="1"/>
  <c r="BX102" i="34" s="1"/>
  <c r="BX125" i="34"/>
  <c r="BW133" i="31"/>
  <c r="BW38" i="31"/>
  <c r="BW126" i="31"/>
  <c r="BW30" i="31"/>
  <c r="BW48" i="31" s="1"/>
  <c r="BW66" i="31" s="1"/>
  <c r="BW84" i="31" s="1"/>
  <c r="BW102" i="31" s="1"/>
  <c r="BX5" i="31"/>
  <c r="BQ140" i="20"/>
  <c r="BQ143" i="20" s="1"/>
  <c r="BY5" i="34"/>
  <c r="BQ141" i="20"/>
  <c r="BQ144" i="20" s="1"/>
  <c r="BY18" i="34" l="1"/>
  <c r="BY11" i="34"/>
  <c r="BR129" i="20"/>
  <c r="BX18" i="31"/>
  <c r="BX11" i="31"/>
  <c r="BX30" i="31" l="1"/>
  <c r="BX48" i="31" s="1"/>
  <c r="BX66" i="31" s="1"/>
  <c r="BX84" i="31" s="1"/>
  <c r="BX102" i="31" s="1"/>
  <c r="BX126" i="31"/>
  <c r="BR141" i="20"/>
  <c r="BR144" i="20" s="1"/>
  <c r="BR140" i="20"/>
  <c r="BR143" i="20" s="1"/>
  <c r="BY5" i="31"/>
  <c r="BZ5" i="34"/>
  <c r="BY125" i="34"/>
  <c r="BY30" i="34"/>
  <c r="BY48" i="34" s="1"/>
  <c r="BY66" i="34" s="1"/>
  <c r="BY84" i="34" s="1"/>
  <c r="BY102" i="34" s="1"/>
  <c r="BX133" i="31"/>
  <c r="BX38" i="31"/>
  <c r="BY38" i="34"/>
  <c r="BY132" i="34"/>
  <c r="BZ11" i="34" l="1"/>
  <c r="BZ18" i="34"/>
  <c r="BS129" i="20"/>
  <c r="BY18" i="31"/>
  <c r="BY11" i="31"/>
  <c r="BS141" i="20" l="1"/>
  <c r="BS144" i="20" s="1"/>
  <c r="BZ5" i="31"/>
  <c r="CA5" i="34"/>
  <c r="BS140" i="20"/>
  <c r="BS143" i="20" s="1"/>
  <c r="BZ38" i="34"/>
  <c r="BZ132" i="34"/>
  <c r="BY126" i="31"/>
  <c r="BY30" i="31"/>
  <c r="BY48" i="31" s="1"/>
  <c r="BY66" i="31" s="1"/>
  <c r="BY84" i="31" s="1"/>
  <c r="BY102" i="31" s="1"/>
  <c r="BY133" i="31"/>
  <c r="BY38" i="31"/>
  <c r="BZ125" i="34"/>
  <c r="BZ30" i="34"/>
  <c r="BZ48" i="34" s="1"/>
  <c r="BZ66" i="34" s="1"/>
  <c r="BZ84" i="34" s="1"/>
  <c r="BZ102" i="34" s="1"/>
  <c r="BT129" i="20" l="1"/>
  <c r="BZ18" i="31"/>
  <c r="BZ11" i="31"/>
  <c r="CA11" i="34"/>
  <c r="CA18" i="34"/>
  <c r="CA125" i="34" l="1"/>
  <c r="CA30" i="34"/>
  <c r="CA48" i="34" s="1"/>
  <c r="CA66" i="34" s="1"/>
  <c r="CA84" i="34" s="1"/>
  <c r="CA102" i="34" s="1"/>
  <c r="BT141" i="20"/>
  <c r="BT144" i="20" s="1"/>
  <c r="CB5" i="34"/>
  <c r="CA5" i="31"/>
  <c r="BT140" i="20"/>
  <c r="BT143" i="20" s="1"/>
  <c r="CA38" i="34"/>
  <c r="CA132" i="34"/>
  <c r="BZ126" i="31"/>
  <c r="BZ30" i="31"/>
  <c r="BZ48" i="31" s="1"/>
  <c r="BZ66" i="31" s="1"/>
  <c r="BZ84" i="31" s="1"/>
  <c r="BZ102" i="31" s="1"/>
  <c r="BZ133" i="31"/>
  <c r="BZ38" i="31"/>
  <c r="BU129" i="20" l="1"/>
  <c r="CA18" i="31"/>
  <c r="CA11" i="31"/>
  <c r="CB18" i="34"/>
  <c r="CB11" i="34"/>
  <c r="CA30" i="31" l="1"/>
  <c r="CA48" i="31" s="1"/>
  <c r="CA66" i="31" s="1"/>
  <c r="CA84" i="31" s="1"/>
  <c r="CA102" i="31" s="1"/>
  <c r="CA126" i="31"/>
  <c r="CB125" i="34"/>
  <c r="CB30" i="34"/>
  <c r="CB48" i="34" s="1"/>
  <c r="CB66" i="34" s="1"/>
  <c r="CB84" i="34" s="1"/>
  <c r="CB102" i="34" s="1"/>
  <c r="CA38" i="31"/>
  <c r="CA133" i="31"/>
  <c r="BU141" i="20"/>
  <c r="BU144" i="20" s="1"/>
  <c r="CB5" i="31"/>
  <c r="CC5" i="34"/>
  <c r="BU140" i="20"/>
  <c r="BU143" i="20" s="1"/>
  <c r="CB38" i="34"/>
  <c r="CB132" i="34"/>
  <c r="CB11" i="31" l="1"/>
  <c r="CB18" i="31"/>
  <c r="BV129" i="20"/>
  <c r="CC11" i="34"/>
  <c r="CC18" i="34"/>
  <c r="CC30" i="34" l="1"/>
  <c r="CC48" i="34" s="1"/>
  <c r="CC66" i="34" s="1"/>
  <c r="CC84" i="34" s="1"/>
  <c r="CC102" i="34" s="1"/>
  <c r="CC125" i="34"/>
  <c r="CC132" i="34"/>
  <c r="CC38" i="34"/>
  <c r="CB133" i="31"/>
  <c r="CB38" i="31"/>
  <c r="CD5" i="34"/>
  <c r="CC5" i="31"/>
  <c r="BV141" i="20"/>
  <c r="BV144" i="20" s="1"/>
  <c r="BV140" i="20"/>
  <c r="BV143" i="20" s="1"/>
  <c r="CB126" i="31"/>
  <c r="CB30" i="31"/>
  <c r="CB48" i="31" s="1"/>
  <c r="CB66" i="31" s="1"/>
  <c r="CB84" i="31" s="1"/>
  <c r="CB102" i="31" s="1"/>
  <c r="CD18" i="34" l="1"/>
  <c r="CD11" i="34"/>
  <c r="CC18" i="31"/>
  <c r="CC11" i="31"/>
  <c r="BW129" i="20"/>
  <c r="CE5" i="34" l="1"/>
  <c r="BW141" i="20"/>
  <c r="BW144" i="20" s="1"/>
  <c r="BW140" i="20"/>
  <c r="BW143" i="20" s="1"/>
  <c r="CD5" i="31"/>
  <c r="CD30" i="34"/>
  <c r="CD48" i="34" s="1"/>
  <c r="CD66" i="34" s="1"/>
  <c r="CD84" i="34" s="1"/>
  <c r="CD102" i="34" s="1"/>
  <c r="CD125" i="34"/>
  <c r="CC126" i="31"/>
  <c r="CC30" i="31"/>
  <c r="CC48" i="31" s="1"/>
  <c r="CC66" i="31" s="1"/>
  <c r="CC84" i="31" s="1"/>
  <c r="CC102" i="31" s="1"/>
  <c r="CC133" i="31"/>
  <c r="CC38" i="31"/>
  <c r="CD38" i="34"/>
  <c r="CD132" i="34"/>
  <c r="BX129" i="20" l="1"/>
  <c r="CD18" i="31"/>
  <c r="CD11" i="31"/>
  <c r="CE18" i="34"/>
  <c r="CE11" i="34"/>
  <c r="CD133" i="31" l="1"/>
  <c r="CD38" i="31"/>
  <c r="CE30" i="34"/>
  <c r="CE48" i="34" s="1"/>
  <c r="CE66" i="34" s="1"/>
  <c r="CE84" i="34" s="1"/>
  <c r="CE102" i="34" s="1"/>
  <c r="CE125" i="34"/>
  <c r="CD126" i="31"/>
  <c r="CD30" i="31"/>
  <c r="CD48" i="31" s="1"/>
  <c r="CD66" i="31" s="1"/>
  <c r="CD84" i="31" s="1"/>
  <c r="CD102" i="31" s="1"/>
  <c r="BX141" i="20"/>
  <c r="BX144" i="20" s="1"/>
  <c r="BX140" i="20"/>
  <c r="BX143" i="20" s="1"/>
  <c r="CE5" i="31"/>
  <c r="CF5" i="34"/>
  <c r="CE38" i="34"/>
  <c r="CE132" i="34"/>
  <c r="BY129" i="20" l="1"/>
  <c r="CF11" i="34"/>
  <c r="CF18" i="34"/>
  <c r="CE11" i="31"/>
  <c r="CE18" i="31"/>
  <c r="CF38" i="34" l="1"/>
  <c r="CF132" i="34"/>
  <c r="CE133" i="31"/>
  <c r="CE38" i="31"/>
  <c r="CE126" i="31"/>
  <c r="CE30" i="31"/>
  <c r="CE48" i="31" s="1"/>
  <c r="CE66" i="31" s="1"/>
  <c r="CE84" i="31" s="1"/>
  <c r="CE102" i="31" s="1"/>
  <c r="CF30" i="34"/>
  <c r="CF48" i="34" s="1"/>
  <c r="CF66" i="34" s="1"/>
  <c r="CF84" i="34" s="1"/>
  <c r="CF102" i="34" s="1"/>
  <c r="CF125" i="34"/>
  <c r="BY140" i="20"/>
  <c r="BY143" i="20" s="1"/>
  <c r="BY141" i="20"/>
  <c r="BY144" i="20" s="1"/>
  <c r="CG5" i="34"/>
  <c r="CF5" i="31"/>
  <c r="BZ129" i="20" l="1"/>
  <c r="CF11" i="31"/>
  <c r="CF18" i="31"/>
  <c r="CG18" i="34"/>
  <c r="CG11" i="34"/>
  <c r="CG132" i="34" l="1"/>
  <c r="CG38" i="34"/>
  <c r="CF38" i="31"/>
  <c r="CF133" i="31"/>
  <c r="CH5" i="34"/>
  <c r="CG5" i="31"/>
  <c r="BZ140" i="20"/>
  <c r="BZ143" i="20" s="1"/>
  <c r="BZ141" i="20"/>
  <c r="BZ144" i="20" s="1"/>
  <c r="CG125" i="34"/>
  <c r="CG30" i="34"/>
  <c r="CG48" i="34" s="1"/>
  <c r="CG66" i="34" s="1"/>
  <c r="CG84" i="34" s="1"/>
  <c r="CG102" i="34" s="1"/>
  <c r="CF126" i="31"/>
  <c r="CF30" i="31"/>
  <c r="CF48" i="31" s="1"/>
  <c r="CF66" i="31" s="1"/>
  <c r="CF84" i="31" s="1"/>
  <c r="CF102" i="31" s="1"/>
  <c r="CH18" i="34" l="1"/>
  <c r="CH11" i="34"/>
  <c r="CA129" i="20"/>
  <c r="CG11" i="31"/>
  <c r="CG18" i="31"/>
  <c r="CG126" i="31" l="1"/>
  <c r="CG30" i="31"/>
  <c r="CG48" i="31" s="1"/>
  <c r="CG66" i="31" s="1"/>
  <c r="CG84" i="31" s="1"/>
  <c r="CG102" i="31" s="1"/>
  <c r="CG38" i="31"/>
  <c r="CG133" i="31"/>
  <c r="CA140" i="20"/>
  <c r="CA143" i="20" s="1"/>
  <c r="CA141" i="20"/>
  <c r="CA144" i="20" s="1"/>
  <c r="CI5" i="34"/>
  <c r="CH5" i="31"/>
  <c r="CH30" i="34"/>
  <c r="CH48" i="34" s="1"/>
  <c r="CH66" i="34" s="1"/>
  <c r="CH84" i="34" s="1"/>
  <c r="CH102" i="34" s="1"/>
  <c r="CH125" i="34"/>
  <c r="CH132" i="34"/>
  <c r="CH38" i="34"/>
  <c r="CH18" i="31" l="1"/>
  <c r="CH11" i="31"/>
  <c r="CI11" i="34"/>
  <c r="CI18" i="34"/>
  <c r="CB129" i="20"/>
  <c r="CJ5" i="34" l="1"/>
  <c r="CB141" i="20"/>
  <c r="CB144" i="20" s="1"/>
  <c r="CB140" i="20"/>
  <c r="CB143" i="20" s="1"/>
  <c r="CI5" i="31"/>
  <c r="CH30" i="31"/>
  <c r="CH48" i="31" s="1"/>
  <c r="CH66" i="31" s="1"/>
  <c r="CH84" i="31" s="1"/>
  <c r="CH102" i="31" s="1"/>
  <c r="CH126" i="31"/>
  <c r="CI38" i="34"/>
  <c r="CI132" i="34"/>
  <c r="CI125" i="34"/>
  <c r="CI30" i="34"/>
  <c r="CI48" i="34" s="1"/>
  <c r="CI66" i="34" s="1"/>
  <c r="CI84" i="34" s="1"/>
  <c r="CI102" i="34" s="1"/>
  <c r="CH133" i="31"/>
  <c r="CH38" i="31"/>
  <c r="CC129" i="20" l="1"/>
  <c r="CI11" i="31"/>
  <c r="CI18" i="31"/>
  <c r="CJ18" i="34"/>
  <c r="CJ11" i="34"/>
  <c r="CJ125" i="34" l="1"/>
  <c r="CJ30" i="34"/>
  <c r="CJ48" i="34" s="1"/>
  <c r="CJ66" i="34" s="1"/>
  <c r="CJ84" i="34" s="1"/>
  <c r="CJ102" i="34" s="1"/>
  <c r="CI126" i="31"/>
  <c r="CI30" i="31"/>
  <c r="CI48" i="31" s="1"/>
  <c r="CI66" i="31" s="1"/>
  <c r="CI84" i="31" s="1"/>
  <c r="CI102" i="31" s="1"/>
  <c r="CI38" i="31"/>
  <c r="CI133" i="31"/>
  <c r="CK5" i="34"/>
  <c r="CC141" i="20"/>
  <c r="CC144" i="20" s="1"/>
  <c r="CJ5" i="31"/>
  <c r="CC140" i="20"/>
  <c r="CC143" i="20" s="1"/>
  <c r="CJ132" i="34"/>
  <c r="CJ38" i="34"/>
  <c r="CD129" i="20" l="1"/>
  <c r="CK11" i="34"/>
  <c r="CK18" i="34"/>
  <c r="CJ18" i="31"/>
  <c r="CJ11" i="31"/>
  <c r="CJ30" i="31" l="1"/>
  <c r="CJ48" i="31" s="1"/>
  <c r="CJ66" i="31" s="1"/>
  <c r="CJ84" i="31" s="1"/>
  <c r="CJ102" i="31" s="1"/>
  <c r="CJ126" i="31"/>
  <c r="CK125" i="34"/>
  <c r="CK30" i="34"/>
  <c r="CK48" i="34" s="1"/>
  <c r="CK66" i="34" s="1"/>
  <c r="CK84" i="34" s="1"/>
  <c r="CK102" i="34" s="1"/>
  <c r="CD141" i="20"/>
  <c r="CD144" i="20" s="1"/>
  <c r="CK5" i="31"/>
  <c r="CL5" i="34"/>
  <c r="CD140" i="20"/>
  <c r="CD143" i="20" s="1"/>
  <c r="CJ133" i="31"/>
  <c r="CJ38" i="31"/>
  <c r="CK38" i="34"/>
  <c r="CK132" i="34"/>
  <c r="CL11" i="34" l="1"/>
  <c r="CL18" i="34"/>
  <c r="CK18" i="31"/>
  <c r="CK11" i="31"/>
  <c r="CE129" i="20"/>
  <c r="CM5" i="34" l="1"/>
  <c r="CL5" i="31"/>
  <c r="CE140" i="20"/>
  <c r="CE143" i="20" s="1"/>
  <c r="CE141" i="20"/>
  <c r="CE144" i="20" s="1"/>
  <c r="CK133" i="31"/>
  <c r="CK38" i="31"/>
  <c r="CK30" i="31"/>
  <c r="CK48" i="31" s="1"/>
  <c r="CK66" i="31" s="1"/>
  <c r="CK84" i="31" s="1"/>
  <c r="CK102" i="31" s="1"/>
  <c r="CK126" i="31"/>
  <c r="CL132" i="34"/>
  <c r="CL38" i="34"/>
  <c r="CL125" i="34"/>
  <c r="CL30" i="34"/>
  <c r="CL48" i="34" s="1"/>
  <c r="CL66" i="34" s="1"/>
  <c r="CL84" i="34" s="1"/>
  <c r="CL102" i="34" s="1"/>
  <c r="CF129" i="20" l="1"/>
  <c r="CL11" i="31"/>
  <c r="CL18" i="31"/>
  <c r="CM11" i="34"/>
  <c r="CM18" i="34"/>
  <c r="CM30" i="34" l="1"/>
  <c r="CM48" i="34" s="1"/>
  <c r="CM66" i="34" s="1"/>
  <c r="CM84" i="34" s="1"/>
  <c r="CM102" i="34" s="1"/>
  <c r="CM125" i="34"/>
  <c r="CM132" i="34"/>
  <c r="CM38" i="34"/>
  <c r="CL38" i="31"/>
  <c r="CL133" i="31"/>
  <c r="CL30" i="31"/>
  <c r="CL48" i="31" s="1"/>
  <c r="CL66" i="31" s="1"/>
  <c r="CL84" i="31" s="1"/>
  <c r="CL102" i="31" s="1"/>
  <c r="CL126" i="31"/>
  <c r="CN5" i="34"/>
  <c r="CM5" i="31"/>
  <c r="CF140" i="20"/>
  <c r="CF143" i="20" s="1"/>
  <c r="CF141" i="20"/>
  <c r="CF144" i="20" s="1"/>
  <c r="CM11" i="31" l="1"/>
  <c r="CM18" i="31"/>
  <c r="CG129" i="20"/>
  <c r="CN18" i="34"/>
  <c r="CN11" i="34"/>
  <c r="CN30" i="34" l="1"/>
  <c r="CN48" i="34" s="1"/>
  <c r="CN66" i="34" s="1"/>
  <c r="CN84" i="34" s="1"/>
  <c r="CN102" i="34" s="1"/>
  <c r="CN125" i="34"/>
  <c r="CN132" i="34"/>
  <c r="CN38" i="34"/>
  <c r="CM38" i="31"/>
  <c r="CM133" i="31"/>
  <c r="CG141" i="20"/>
  <c r="CG144" i="20" s="1"/>
  <c r="CG140" i="20"/>
  <c r="CG143" i="20" s="1"/>
  <c r="CO5" i="34"/>
  <c r="CN5" i="31"/>
  <c r="CM126" i="31"/>
  <c r="CM30" i="31"/>
  <c r="CM48" i="31" s="1"/>
  <c r="CM66" i="31" s="1"/>
  <c r="CM84" i="31" s="1"/>
  <c r="CM102" i="31" s="1"/>
  <c r="CH129" i="20" l="1"/>
  <c r="CN11" i="31"/>
  <c r="CN18" i="31"/>
  <c r="CO18" i="34"/>
  <c r="CO11" i="34"/>
  <c r="CO30" i="34" l="1"/>
  <c r="CO48" i="34" s="1"/>
  <c r="CO66" i="34" s="1"/>
  <c r="CO84" i="34" s="1"/>
  <c r="CO102" i="34" s="1"/>
  <c r="CO125" i="34"/>
  <c r="CN38" i="31"/>
  <c r="CN133" i="31"/>
  <c r="CH141" i="20"/>
  <c r="CH144" i="20" s="1"/>
  <c r="CO5" i="31"/>
  <c r="CH140" i="20"/>
  <c r="CH143" i="20" s="1"/>
  <c r="CP5" i="34"/>
  <c r="CO132" i="34"/>
  <c r="CO38" i="34"/>
  <c r="CN30" i="31"/>
  <c r="CN48" i="31" s="1"/>
  <c r="CN66" i="31" s="1"/>
  <c r="CN84" i="31" s="1"/>
  <c r="CN102" i="31" s="1"/>
  <c r="CN126" i="31"/>
  <c r="CP18" i="34" l="1"/>
  <c r="CP11" i="34"/>
  <c r="CO18" i="31"/>
  <c r="CO11" i="31"/>
  <c r="CI129" i="20"/>
  <c r="CI140" i="20" l="1"/>
  <c r="CI143" i="20" s="1"/>
  <c r="CQ5" i="34"/>
  <c r="CP5" i="31"/>
  <c r="CI141" i="20"/>
  <c r="CI144" i="20" s="1"/>
  <c r="CO30" i="31"/>
  <c r="CO48" i="31" s="1"/>
  <c r="CO66" i="31" s="1"/>
  <c r="CO84" i="31" s="1"/>
  <c r="CO102" i="31" s="1"/>
  <c r="CO126" i="31"/>
  <c r="CP30" i="34"/>
  <c r="CP48" i="34" s="1"/>
  <c r="CP66" i="34" s="1"/>
  <c r="CP84" i="34" s="1"/>
  <c r="CP102" i="34" s="1"/>
  <c r="CP125" i="34"/>
  <c r="CO133" i="31"/>
  <c r="CO38" i="31"/>
  <c r="CP132" i="34"/>
  <c r="CP38" i="34"/>
  <c r="CJ129" i="20" l="1"/>
  <c r="CQ11" i="34"/>
  <c r="CQ18" i="34"/>
  <c r="CP18" i="31"/>
  <c r="CP11" i="31"/>
  <c r="CP126" i="31" l="1"/>
  <c r="CP30" i="31"/>
  <c r="CP48" i="31" s="1"/>
  <c r="CP66" i="31" s="1"/>
  <c r="CP84" i="31" s="1"/>
  <c r="CP102" i="31" s="1"/>
  <c r="CP133" i="31"/>
  <c r="CP38" i="31"/>
  <c r="CQ132" i="34"/>
  <c r="CQ38" i="34"/>
  <c r="CQ30" i="34"/>
  <c r="CQ48" i="34" s="1"/>
  <c r="CQ66" i="34" s="1"/>
  <c r="CQ84" i="34" s="1"/>
  <c r="CQ102" i="34" s="1"/>
  <c r="CQ125" i="34"/>
  <c r="CJ140" i="20"/>
  <c r="CJ143" i="20" s="1"/>
  <c r="CR5" i="34"/>
  <c r="CJ141" i="20"/>
  <c r="CJ144" i="20" s="1"/>
  <c r="CQ5" i="31"/>
  <c r="CK129" i="20" l="1"/>
  <c r="CQ18" i="31"/>
  <c r="CQ11" i="31"/>
  <c r="CR11" i="34"/>
  <c r="CR18" i="34"/>
  <c r="CR132" i="34" l="1"/>
  <c r="CR38" i="34"/>
  <c r="CR30" i="34"/>
  <c r="CR48" i="34" s="1"/>
  <c r="CR66" i="34" s="1"/>
  <c r="CR84" i="34" s="1"/>
  <c r="CR102" i="34" s="1"/>
  <c r="CR125" i="34"/>
  <c r="CQ30" i="31"/>
  <c r="CQ48" i="31" s="1"/>
  <c r="CQ66" i="31" s="1"/>
  <c r="CQ84" i="31" s="1"/>
  <c r="CQ102" i="31" s="1"/>
  <c r="CQ126" i="31"/>
  <c r="CQ38" i="31"/>
  <c r="CQ133" i="31"/>
  <c r="CS5" i="34"/>
  <c r="CR5" i="31"/>
  <c r="CK141" i="20"/>
  <c r="CK144" i="20" s="1"/>
  <c r="CK140" i="20"/>
  <c r="CK143" i="20" s="1"/>
  <c r="CL129" i="20" l="1"/>
  <c r="CR11" i="31"/>
  <c r="CR18" i="31"/>
  <c r="CS11" i="34"/>
  <c r="CS18" i="34"/>
  <c r="CS30" i="34" l="1"/>
  <c r="CS48" i="34" s="1"/>
  <c r="CS66" i="34" s="1"/>
  <c r="CS84" i="34" s="1"/>
  <c r="CS102" i="34" s="1"/>
  <c r="CS125" i="34"/>
  <c r="CR38" i="31"/>
  <c r="CR133" i="31"/>
  <c r="CT5" i="34"/>
  <c r="CL141" i="20"/>
  <c r="CL144" i="20" s="1"/>
  <c r="CL140" i="20"/>
  <c r="CL143" i="20" s="1"/>
  <c r="CS5" i="31"/>
  <c r="CS38" i="34"/>
  <c r="CS132" i="34"/>
  <c r="CR126" i="31"/>
  <c r="CR30" i="31"/>
  <c r="CR48" i="31" s="1"/>
  <c r="CR66" i="31" s="1"/>
  <c r="CR84" i="31" s="1"/>
  <c r="CR102" i="31" s="1"/>
  <c r="CM129" i="20" l="1"/>
  <c r="CT11" i="34"/>
  <c r="CT18" i="34"/>
  <c r="CS11" i="31"/>
  <c r="CS18" i="31"/>
  <c r="CS38" i="31" l="1"/>
  <c r="CS133" i="31"/>
  <c r="CS126" i="31"/>
  <c r="CS30" i="31"/>
  <c r="CS48" i="31" s="1"/>
  <c r="CS66" i="31" s="1"/>
  <c r="CS84" i="31" s="1"/>
  <c r="CS102" i="31" s="1"/>
  <c r="CT30" i="34"/>
  <c r="CT48" i="34" s="1"/>
  <c r="CT66" i="34" s="1"/>
  <c r="CT84" i="34" s="1"/>
  <c r="CT102" i="34" s="1"/>
  <c r="CT125" i="34"/>
  <c r="CT38" i="34"/>
  <c r="CT132" i="34"/>
  <c r="CU5" i="34"/>
  <c r="CM141" i="20"/>
  <c r="CM144" i="20" s="1"/>
  <c r="CT5" i="31"/>
  <c r="CM140" i="20"/>
  <c r="CM143" i="20" s="1"/>
  <c r="CT11" i="31" l="1"/>
  <c r="CT18" i="31"/>
  <c r="CU11" i="34"/>
  <c r="CU18" i="34"/>
  <c r="CN129" i="20"/>
  <c r="CU5" i="31" l="1"/>
  <c r="CV5" i="34"/>
  <c r="CN140" i="20"/>
  <c r="CN143" i="20" s="1"/>
  <c r="CN141" i="20"/>
  <c r="CN144" i="20" s="1"/>
  <c r="CU38" i="34"/>
  <c r="CU132" i="34"/>
  <c r="CU125" i="34"/>
  <c r="CU30" i="34"/>
  <c r="CU48" i="34" s="1"/>
  <c r="CU66" i="34" s="1"/>
  <c r="CU84" i="34" s="1"/>
  <c r="CU102" i="34" s="1"/>
  <c r="CT133" i="31"/>
  <c r="CT38" i="31"/>
  <c r="CT126" i="31"/>
  <c r="CT30" i="31"/>
  <c r="CT48" i="31" s="1"/>
  <c r="CT66" i="31" s="1"/>
  <c r="CT84" i="31" s="1"/>
  <c r="CT102" i="31" s="1"/>
  <c r="CU18" i="31" l="1"/>
  <c r="CU11" i="31"/>
  <c r="CO129" i="20"/>
  <c r="CV18" i="34"/>
  <c r="CV11" i="34"/>
  <c r="CV125" i="34" l="1"/>
  <c r="CV30" i="34"/>
  <c r="CV48" i="34" s="1"/>
  <c r="CV66" i="34" s="1"/>
  <c r="CV84" i="34" s="1"/>
  <c r="CV102" i="34" s="1"/>
  <c r="CV132" i="34"/>
  <c r="CV38" i="34"/>
  <c r="CO141" i="20"/>
  <c r="CO144" i="20" s="1"/>
  <c r="CO140" i="20"/>
  <c r="CO143" i="20" s="1"/>
  <c r="CV5" i="31"/>
  <c r="CW5" i="34"/>
  <c r="CU30" i="31"/>
  <c r="CU48" i="31" s="1"/>
  <c r="CU66" i="31" s="1"/>
  <c r="CU84" i="31" s="1"/>
  <c r="CU102" i="31" s="1"/>
  <c r="CU126" i="31"/>
  <c r="CU38" i="31"/>
  <c r="CU133" i="31"/>
  <c r="CV18" i="31" l="1"/>
  <c r="CV11" i="31"/>
  <c r="CP129" i="20"/>
  <c r="CW18" i="34"/>
  <c r="CW11" i="34"/>
  <c r="CX5" i="34" l="1"/>
  <c r="CP140" i="20"/>
  <c r="CP143" i="20" s="1"/>
  <c r="CW5" i="31"/>
  <c r="CP141" i="20"/>
  <c r="CP144" i="20" s="1"/>
  <c r="CW125" i="34"/>
  <c r="CW30" i="34"/>
  <c r="CW48" i="34" s="1"/>
  <c r="CW66" i="34" s="1"/>
  <c r="CW84" i="34" s="1"/>
  <c r="CW102" i="34" s="1"/>
  <c r="CW132" i="34"/>
  <c r="CW38" i="34"/>
  <c r="CV126" i="31"/>
  <c r="CV30" i="31"/>
  <c r="CV48" i="31" s="1"/>
  <c r="CV66" i="31" s="1"/>
  <c r="CV84" i="31" s="1"/>
  <c r="CV102" i="31" s="1"/>
  <c r="CV133" i="31"/>
  <c r="CV38" i="31"/>
  <c r="CQ129" i="20" l="1"/>
  <c r="CW11" i="31"/>
  <c r="CW18" i="31"/>
  <c r="CX18" i="34"/>
  <c r="CX11" i="34"/>
  <c r="CX30" i="34" l="1"/>
  <c r="CX48" i="34" s="1"/>
  <c r="CX66" i="34" s="1"/>
  <c r="CX84" i="34" s="1"/>
  <c r="CX102" i="34" s="1"/>
  <c r="CX125" i="34"/>
  <c r="CX38" i="34"/>
  <c r="CX132" i="34"/>
  <c r="CW133" i="31"/>
  <c r="CW38" i="31"/>
  <c r="CW30" i="31"/>
  <c r="CW48" i="31" s="1"/>
  <c r="CW66" i="31" s="1"/>
  <c r="CW84" i="31" s="1"/>
  <c r="CW102" i="31" s="1"/>
  <c r="CW126" i="31"/>
  <c r="CX5" i="31"/>
  <c r="CQ140" i="20"/>
  <c r="CQ143" i="20" s="1"/>
  <c r="CY5" i="34"/>
  <c r="CQ141" i="20"/>
  <c r="CQ144" i="20" s="1"/>
  <c r="CX11" i="31" l="1"/>
  <c r="CX18" i="31"/>
  <c r="CR129" i="20"/>
  <c r="CY11" i="34"/>
  <c r="CY18" i="34"/>
  <c r="CY5" i="31" l="1"/>
  <c r="CZ5" i="34"/>
  <c r="CR141" i="20"/>
  <c r="CR144" i="20" s="1"/>
  <c r="CR140" i="20"/>
  <c r="CR143" i="20" s="1"/>
  <c r="CX133" i="31"/>
  <c r="CX38" i="31"/>
  <c r="CY132" i="34"/>
  <c r="CY38" i="34"/>
  <c r="CY125" i="34"/>
  <c r="CY30" i="34"/>
  <c r="CY48" i="34" s="1"/>
  <c r="CY66" i="34" s="1"/>
  <c r="CY84" i="34" s="1"/>
  <c r="CY102" i="34" s="1"/>
  <c r="CX30" i="31"/>
  <c r="CX48" i="31" s="1"/>
  <c r="CX66" i="31" s="1"/>
  <c r="CX84" i="31" s="1"/>
  <c r="CX102" i="31" s="1"/>
  <c r="CX126" i="31"/>
  <c r="CS129" i="20" l="1"/>
  <c r="CZ11" i="34"/>
  <c r="CZ18" i="34"/>
  <c r="CY11" i="31"/>
  <c r="CY18" i="31"/>
  <c r="CY133" i="31" l="1"/>
  <c r="CY38" i="31"/>
  <c r="CZ132" i="34"/>
  <c r="CZ38" i="34"/>
  <c r="CY126" i="31"/>
  <c r="CY30" i="31"/>
  <c r="CY48" i="31" s="1"/>
  <c r="CY66" i="31" s="1"/>
  <c r="CY84" i="31" s="1"/>
  <c r="CY102" i="31" s="1"/>
  <c r="CZ30" i="34"/>
  <c r="CZ48" i="34" s="1"/>
  <c r="CZ66" i="34" s="1"/>
  <c r="CZ84" i="34" s="1"/>
  <c r="CZ102" i="34" s="1"/>
  <c r="CZ125" i="34"/>
  <c r="CS140" i="20"/>
  <c r="CS143" i="20" s="1"/>
  <c r="CS141" i="20"/>
  <c r="CS144" i="20" s="1"/>
  <c r="DA5" i="34"/>
  <c r="CZ5" i="31"/>
  <c r="CT129" i="20" l="1"/>
  <c r="DA18" i="34"/>
  <c r="DA11" i="34"/>
  <c r="CZ18" i="31"/>
  <c r="CZ11" i="31"/>
  <c r="CZ133" i="31" l="1"/>
  <c r="CZ38" i="31"/>
  <c r="DA125" i="34"/>
  <c r="DA30" i="34"/>
  <c r="DA48" i="34" s="1"/>
  <c r="DA66" i="34" s="1"/>
  <c r="DA84" i="34" s="1"/>
  <c r="DA102" i="34" s="1"/>
  <c r="DA132" i="34"/>
  <c r="DA38" i="34"/>
  <c r="CZ30" i="31"/>
  <c r="CZ48" i="31" s="1"/>
  <c r="CZ66" i="31" s="1"/>
  <c r="CZ84" i="31" s="1"/>
  <c r="CZ102" i="31" s="1"/>
  <c r="CZ126" i="31"/>
  <c r="DA5" i="31"/>
  <c r="CT141" i="20"/>
  <c r="CT144" i="20" s="1"/>
  <c r="CT140" i="20"/>
  <c r="CT143" i="20" s="1"/>
  <c r="DB5" i="34"/>
  <c r="DB18" i="34" l="1"/>
  <c r="DB11" i="34"/>
  <c r="CU129" i="20"/>
  <c r="DA18" i="31"/>
  <c r="DA11" i="31"/>
  <c r="DA133" i="31" l="1"/>
  <c r="DA38" i="31"/>
  <c r="CU140" i="20"/>
  <c r="CU143" i="20" s="1"/>
  <c r="DC5" i="34"/>
  <c r="DB5" i="31"/>
  <c r="CU141" i="20"/>
  <c r="CU144" i="20" s="1"/>
  <c r="DB30" i="34"/>
  <c r="DB48" i="34" s="1"/>
  <c r="DB66" i="34" s="1"/>
  <c r="DB84" i="34" s="1"/>
  <c r="DB102" i="34" s="1"/>
  <c r="DB125" i="34"/>
  <c r="DA30" i="31"/>
  <c r="DA48" i="31" s="1"/>
  <c r="DA66" i="31" s="1"/>
  <c r="DA84" i="31" s="1"/>
  <c r="DA102" i="31" s="1"/>
  <c r="DA126" i="31"/>
  <c r="DB38" i="34"/>
  <c r="DB132" i="34"/>
  <c r="CV129" i="20" l="1"/>
  <c r="DB18" i="31"/>
  <c r="DB11" i="31"/>
  <c r="DC18" i="34"/>
  <c r="DC11" i="34"/>
  <c r="DC132" i="34" l="1"/>
  <c r="DC38" i="34"/>
  <c r="DB133" i="31"/>
  <c r="DB38" i="31"/>
  <c r="DB30" i="31"/>
  <c r="DB48" i="31" s="1"/>
  <c r="DB66" i="31" s="1"/>
  <c r="DB84" i="31" s="1"/>
  <c r="DB102" i="31" s="1"/>
  <c r="DB126" i="31"/>
  <c r="CV141" i="20"/>
  <c r="CV144" i="20" s="1"/>
  <c r="DC5" i="31"/>
  <c r="CV140" i="20"/>
  <c r="CV143" i="20" s="1"/>
  <c r="DD5" i="34"/>
  <c r="DC125" i="34"/>
  <c r="DC30" i="34"/>
  <c r="DC48" i="34" s="1"/>
  <c r="DC66" i="34" s="1"/>
  <c r="DC84" i="34" s="1"/>
  <c r="DC102" i="34" s="1"/>
  <c r="DC11" i="31" l="1"/>
  <c r="DC18" i="31"/>
  <c r="CW129" i="20"/>
  <c r="DD11" i="34"/>
  <c r="DD18" i="34"/>
  <c r="CW141" i="20" l="1"/>
  <c r="CW144" i="20" s="1"/>
  <c r="CW140" i="20"/>
  <c r="CW143" i="20" s="1"/>
  <c r="DE5" i="34"/>
  <c r="DD5" i="31"/>
  <c r="DD132" i="34"/>
  <c r="DD38" i="34"/>
  <c r="DD30" i="34"/>
  <c r="DD48" i="34" s="1"/>
  <c r="DD66" i="34" s="1"/>
  <c r="DD84" i="34" s="1"/>
  <c r="DD102" i="34" s="1"/>
  <c r="DD125" i="34"/>
  <c r="DC38" i="31"/>
  <c r="DC133" i="31"/>
  <c r="DC126" i="31"/>
  <c r="DC30" i="31"/>
  <c r="DC48" i="31" s="1"/>
  <c r="DC66" i="31" s="1"/>
  <c r="DC84" i="31" s="1"/>
  <c r="DC102" i="31" s="1"/>
  <c r="CX129" i="20" l="1"/>
  <c r="DE18" i="34"/>
  <c r="DE11" i="34"/>
  <c r="DD11" i="31"/>
  <c r="DD18" i="31"/>
  <c r="DD133" i="31" l="1"/>
  <c r="DD38" i="31"/>
  <c r="DE38" i="34"/>
  <c r="DE132" i="34"/>
  <c r="DD30" i="31"/>
  <c r="DD48" i="31" s="1"/>
  <c r="DD66" i="31" s="1"/>
  <c r="DD84" i="31" s="1"/>
  <c r="DD102" i="31" s="1"/>
  <c r="DD126" i="31"/>
  <c r="CX140" i="20"/>
  <c r="CX143" i="20" s="1"/>
  <c r="CX141" i="20"/>
  <c r="CX144" i="20" s="1"/>
  <c r="DF5" i="34"/>
  <c r="DE5" i="31"/>
  <c r="DE30" i="34"/>
  <c r="DE48" i="34" s="1"/>
  <c r="DE66" i="34" s="1"/>
  <c r="DE84" i="34" s="1"/>
  <c r="DE102" i="34" s="1"/>
  <c r="DE125" i="34"/>
  <c r="CY129" i="20" l="1"/>
  <c r="DE18" i="31"/>
  <c r="DE11" i="31"/>
  <c r="DF11" i="34"/>
  <c r="DF18" i="34"/>
  <c r="DF125" i="34" l="1"/>
  <c r="DF30" i="34"/>
  <c r="DF48" i="34" s="1"/>
  <c r="DF66" i="34" s="1"/>
  <c r="DF84" i="34" s="1"/>
  <c r="DF102" i="34" s="1"/>
  <c r="DE30" i="31"/>
  <c r="DE48" i="31" s="1"/>
  <c r="DE66" i="31" s="1"/>
  <c r="DE84" i="31" s="1"/>
  <c r="DE102" i="31" s="1"/>
  <c r="DE126" i="31"/>
  <c r="DF5" i="31"/>
  <c r="CY141" i="20"/>
  <c r="CY144" i="20" s="1"/>
  <c r="CY140" i="20"/>
  <c r="CY143" i="20" s="1"/>
  <c r="DG5" i="34"/>
  <c r="DF38" i="34"/>
  <c r="DF132" i="34"/>
  <c r="DE133" i="31"/>
  <c r="DE38" i="31"/>
  <c r="DG11" i="34" l="1"/>
  <c r="DG18" i="34"/>
  <c r="DF11" i="31"/>
  <c r="DF18" i="31"/>
  <c r="V120" i="20" l="1"/>
  <c r="P120" i="20"/>
  <c r="AN120" i="20"/>
  <c r="M60" i="27" s="1"/>
  <c r="AB120" i="20"/>
  <c r="CZ120" i="20"/>
  <c r="DF38" i="31"/>
  <c r="DF133" i="31"/>
  <c r="DF30" i="31"/>
  <c r="DF48" i="31" s="1"/>
  <c r="DF66" i="31" s="1"/>
  <c r="DF84" i="31" s="1"/>
  <c r="DF102" i="31" s="1"/>
  <c r="DF126" i="31"/>
  <c r="DG132" i="34"/>
  <c r="DG38" i="34"/>
  <c r="DG125" i="34"/>
  <c r="DG30" i="34"/>
  <c r="DG48" i="34" s="1"/>
  <c r="DG66" i="34" s="1"/>
  <c r="DG84" i="34" s="1"/>
  <c r="DG102" i="34" s="1"/>
  <c r="I60" i="27" l="1"/>
  <c r="K60" i="27"/>
  <c r="Y60" i="27"/>
  <c r="CZ129" i="20"/>
  <c r="DG5" i="31" l="1"/>
  <c r="CZ140" i="20"/>
  <c r="CZ143" i="20" s="1"/>
  <c r="CZ141" i="20"/>
  <c r="CZ144" i="20" s="1"/>
  <c r="DH5" i="34"/>
  <c r="S62" i="27"/>
  <c r="U62" i="27"/>
  <c r="W62" i="27"/>
  <c r="Y62" i="27"/>
  <c r="DG18" i="31" l="1"/>
  <c r="DG11" i="31"/>
  <c r="DH18" i="34"/>
  <c r="DH11" i="34"/>
  <c r="DH125" i="34" l="1"/>
  <c r="DH30" i="34"/>
  <c r="DH48" i="34" s="1"/>
  <c r="DH66" i="34" s="1"/>
  <c r="DH84" i="34" s="1"/>
  <c r="DH102" i="34" s="1"/>
  <c r="DH38" i="34"/>
  <c r="DH132" i="34"/>
  <c r="DG126" i="31"/>
  <c r="DG30" i="31"/>
  <c r="DG48" i="31" s="1"/>
  <c r="DG66" i="31" s="1"/>
  <c r="DG84" i="31" s="1"/>
  <c r="DG102" i="31" s="1"/>
  <c r="DG38" i="31"/>
  <c r="DG133" i="31"/>
  <c r="K26" i="22" l="1"/>
  <c r="AE28" i="8" s="1"/>
  <c r="J27" i="6" l="1"/>
  <c r="O26" i="22"/>
  <c r="K30" i="22"/>
  <c r="K31" i="39" a="1"/>
  <c r="K31" i="39" s="1"/>
  <c r="P27" i="6" a="1"/>
  <c r="P27" i="6" s="1"/>
  <c r="V27" i="6" a="1"/>
  <c r="V27" i="6" s="1"/>
  <c r="L27" i="6" a="1"/>
  <c r="L27" i="6" s="1"/>
  <c r="R27" i="6" a="1"/>
  <c r="R27" i="6" s="1"/>
  <c r="Z27" i="6" a="1"/>
  <c r="Z27" i="6" s="1"/>
  <c r="N27" i="6" a="1"/>
  <c r="N27" i="6" s="1"/>
  <c r="T27" i="6" a="1"/>
  <c r="T27" i="6" s="1"/>
  <c r="K27" i="6"/>
  <c r="J31" i="6"/>
  <c r="P26" i="22" l="1"/>
  <c r="H82" i="20"/>
  <c r="H86" i="20" s="1"/>
  <c r="H94" i="20" s="1"/>
  <c r="D82" i="20"/>
  <c r="F82" i="20"/>
  <c r="F86" i="20" s="1"/>
  <c r="F94" i="20" s="1"/>
  <c r="I82" i="20"/>
  <c r="I86" i="20" s="1"/>
  <c r="I94" i="20" s="1"/>
  <c r="G82" i="20"/>
  <c r="G86" i="20" s="1"/>
  <c r="G94" i="20" s="1"/>
  <c r="J82" i="20"/>
  <c r="J86" i="20" s="1"/>
  <c r="J94" i="20" s="1"/>
  <c r="K82" i="20"/>
  <c r="K86" i="20" s="1"/>
  <c r="K94" i="20" s="1"/>
  <c r="L82" i="20"/>
  <c r="L86" i="20" s="1"/>
  <c r="L94" i="20" s="1"/>
  <c r="M82" i="20"/>
  <c r="M86" i="20" s="1"/>
  <c r="M94" i="20" s="1"/>
  <c r="N82" i="20"/>
  <c r="N86" i="20" s="1"/>
  <c r="N94" i="20" s="1"/>
  <c r="O82" i="20"/>
  <c r="O86" i="20" s="1"/>
  <c r="O94" i="20" s="1"/>
  <c r="P82" i="20"/>
  <c r="P86" i="20" s="1"/>
  <c r="P94" i="20" s="1"/>
  <c r="Z31" i="6"/>
  <c r="AA27" i="6"/>
  <c r="R31" i="6"/>
  <c r="S27" i="6"/>
  <c r="J39" i="6"/>
  <c r="K31" i="6"/>
  <c r="O27" i="6"/>
  <c r="H25" i="27" s="1"/>
  <c r="H29" i="27" s="1"/>
  <c r="H37" i="27" s="1"/>
  <c r="G25" i="27"/>
  <c r="G29" i="27" s="1"/>
  <c r="G37" i="27" s="1"/>
  <c r="N31" i="6"/>
  <c r="Q57" i="18"/>
  <c r="S57" i="18" s="1"/>
  <c r="L31" i="39"/>
  <c r="K35" i="39"/>
  <c r="L31" i="6"/>
  <c r="M27" i="6"/>
  <c r="W27" i="6"/>
  <c r="V31" i="6"/>
  <c r="AQ27" i="6"/>
  <c r="P31" i="6"/>
  <c r="Q27" i="6"/>
  <c r="T31" i="6"/>
  <c r="U27" i="6"/>
  <c r="L30" i="22"/>
  <c r="K38" i="22"/>
  <c r="K95" i="20" l="1"/>
  <c r="K96" i="20"/>
  <c r="K100" i="20" s="1"/>
  <c r="J95" i="20"/>
  <c r="J96" i="20"/>
  <c r="J100" i="20" s="1"/>
  <c r="G96" i="20"/>
  <c r="G100" i="20" s="1"/>
  <c r="G95" i="20"/>
  <c r="P96" i="20"/>
  <c r="P100" i="20" s="1"/>
  <c r="P95" i="20"/>
  <c r="I95" i="20"/>
  <c r="I96" i="20"/>
  <c r="I100" i="20" s="1"/>
  <c r="O95" i="20"/>
  <c r="O96" i="20"/>
  <c r="O100" i="20" s="1"/>
  <c r="F95" i="20"/>
  <c r="F96" i="20"/>
  <c r="F100" i="20" s="1"/>
  <c r="N95" i="20"/>
  <c r="N96" i="20"/>
  <c r="N100" i="20" s="1"/>
  <c r="E82" i="20"/>
  <c r="D86" i="20"/>
  <c r="D94" i="20" s="1"/>
  <c r="M95" i="20"/>
  <c r="M96" i="20"/>
  <c r="M100" i="20" s="1"/>
  <c r="H95" i="20"/>
  <c r="H96" i="20"/>
  <c r="H100" i="20" s="1"/>
  <c r="L95" i="20"/>
  <c r="L96" i="20"/>
  <c r="L100" i="20" s="1"/>
  <c r="Q26" i="22"/>
  <c r="Q82" i="20"/>
  <c r="R82" i="20"/>
  <c r="R86" i="20" s="1"/>
  <c r="R94" i="20" s="1"/>
  <c r="S82" i="20"/>
  <c r="S86" i="20" s="1"/>
  <c r="S94" i="20" s="1"/>
  <c r="T82" i="20"/>
  <c r="T86" i="20" s="1"/>
  <c r="T94" i="20" s="1"/>
  <c r="U82" i="20"/>
  <c r="U86" i="20" s="1"/>
  <c r="U94" i="20" s="1"/>
  <c r="V82" i="20"/>
  <c r="V86" i="20" s="1"/>
  <c r="V94" i="20" s="1"/>
  <c r="W82" i="20"/>
  <c r="W86" i="20" s="1"/>
  <c r="W94" i="20" s="1"/>
  <c r="X82" i="20"/>
  <c r="X86" i="20" s="1"/>
  <c r="X94" i="20" s="1"/>
  <c r="Y82" i="20"/>
  <c r="Y86" i="20" s="1"/>
  <c r="Y94" i="20" s="1"/>
  <c r="Z82" i="20"/>
  <c r="Z86" i="20" s="1"/>
  <c r="Z94" i="20" s="1"/>
  <c r="AA82" i="20"/>
  <c r="AA86" i="20" s="1"/>
  <c r="AA94" i="20" s="1"/>
  <c r="AB82" i="20"/>
  <c r="AB86" i="20" s="1"/>
  <c r="AB94" i="20" s="1"/>
  <c r="L38" i="22"/>
  <c r="L39" i="22"/>
  <c r="K40" i="22"/>
  <c r="L40" i="22" s="1"/>
  <c r="V39" i="6"/>
  <c r="W31" i="6"/>
  <c r="K40" i="6"/>
  <c r="J41" i="6"/>
  <c r="K39" i="6"/>
  <c r="T39" i="6"/>
  <c r="U31" i="6"/>
  <c r="R39" i="6"/>
  <c r="S31" i="6"/>
  <c r="P39" i="6"/>
  <c r="Q31" i="6"/>
  <c r="H38" i="27"/>
  <c r="G39" i="27"/>
  <c r="L39" i="6"/>
  <c r="M31" i="6"/>
  <c r="L35" i="39"/>
  <c r="K43" i="39"/>
  <c r="AQ31" i="6"/>
  <c r="AR27" i="6"/>
  <c r="N39" i="6"/>
  <c r="O31" i="6"/>
  <c r="Q61" i="18"/>
  <c r="S61" i="18" s="1"/>
  <c r="AA31" i="6"/>
  <c r="W96" i="20" l="1"/>
  <c r="W100" i="20" s="1"/>
  <c r="W95" i="20"/>
  <c r="L101" i="20"/>
  <c r="L108" i="20"/>
  <c r="N108" i="20"/>
  <c r="N101" i="20"/>
  <c r="V96" i="20"/>
  <c r="V100" i="20" s="1"/>
  <c r="V95" i="20"/>
  <c r="P101" i="20"/>
  <c r="P108" i="20"/>
  <c r="U96" i="20"/>
  <c r="U100" i="20" s="1"/>
  <c r="U95" i="20"/>
  <c r="H101" i="20"/>
  <c r="H108" i="20"/>
  <c r="F101" i="20"/>
  <c r="F108" i="20"/>
  <c r="AB95" i="20"/>
  <c r="AB96" i="20"/>
  <c r="AB100" i="20" s="1"/>
  <c r="T96" i="20"/>
  <c r="T100" i="20" s="1"/>
  <c r="T95" i="20"/>
  <c r="G108" i="20"/>
  <c r="G101" i="20"/>
  <c r="AA95" i="20"/>
  <c r="AA96" i="20"/>
  <c r="AA100" i="20" s="1"/>
  <c r="S95" i="20"/>
  <c r="S96" i="20"/>
  <c r="S100" i="20" s="1"/>
  <c r="M101" i="20"/>
  <c r="M108" i="20"/>
  <c r="O108" i="20"/>
  <c r="O101" i="20"/>
  <c r="J101" i="20"/>
  <c r="J108" i="20"/>
  <c r="Z96" i="20"/>
  <c r="Z100" i="20" s="1"/>
  <c r="Z95" i="20"/>
  <c r="R95" i="20"/>
  <c r="R96" i="20"/>
  <c r="R100" i="20" s="1"/>
  <c r="Y95" i="20"/>
  <c r="Y96" i="20"/>
  <c r="Y100" i="20" s="1"/>
  <c r="K25" i="27"/>
  <c r="Q86" i="20"/>
  <c r="Q94" i="20" s="1"/>
  <c r="I108" i="20"/>
  <c r="I101" i="20"/>
  <c r="K108" i="20"/>
  <c r="K101" i="20"/>
  <c r="X95" i="20"/>
  <c r="X96" i="20"/>
  <c r="X100" i="20" s="1"/>
  <c r="R26" i="22"/>
  <c r="AC82" i="20"/>
  <c r="AD82" i="20"/>
  <c r="AD86" i="20" s="1"/>
  <c r="AD94" i="20" s="1"/>
  <c r="AE82" i="20"/>
  <c r="AE86" i="20" s="1"/>
  <c r="AE94" i="20" s="1"/>
  <c r="AF82" i="20"/>
  <c r="AF86" i="20" s="1"/>
  <c r="AF94" i="20" s="1"/>
  <c r="AG82" i="20"/>
  <c r="AG86" i="20" s="1"/>
  <c r="AG94" i="20" s="1"/>
  <c r="AH82" i="20"/>
  <c r="AH86" i="20" s="1"/>
  <c r="AH94" i="20" s="1"/>
  <c r="AI82" i="20"/>
  <c r="AI86" i="20" s="1"/>
  <c r="AI94" i="20" s="1"/>
  <c r="AJ82" i="20"/>
  <c r="AJ86" i="20" s="1"/>
  <c r="AJ94" i="20" s="1"/>
  <c r="AK82" i="20"/>
  <c r="AK86" i="20" s="1"/>
  <c r="AK94" i="20" s="1"/>
  <c r="AL82" i="20"/>
  <c r="AL86" i="20" s="1"/>
  <c r="AL94" i="20" s="1"/>
  <c r="AM82" i="20"/>
  <c r="AM86" i="20" s="1"/>
  <c r="AM94" i="20" s="1"/>
  <c r="AN82" i="20"/>
  <c r="AN86" i="20" s="1"/>
  <c r="AN94" i="20" s="1"/>
  <c r="I25" i="27"/>
  <c r="E86" i="20"/>
  <c r="E94" i="20" s="1"/>
  <c r="K41" i="6"/>
  <c r="K44" i="6" s="1"/>
  <c r="J44" i="6"/>
  <c r="J45" i="6"/>
  <c r="L43" i="39"/>
  <c r="K45" i="39"/>
  <c r="L45" i="39" s="1"/>
  <c r="L44" i="39"/>
  <c r="W40" i="6"/>
  <c r="W39" i="6"/>
  <c r="V41" i="6"/>
  <c r="H39" i="27"/>
  <c r="H43" i="27" s="1"/>
  <c r="G43" i="27"/>
  <c r="G49" i="27" s="1"/>
  <c r="G62" i="27" s="1"/>
  <c r="AG47" i="6"/>
  <c r="AJ48" i="6"/>
  <c r="AH49" i="6"/>
  <c r="AK50" i="6"/>
  <c r="AG52" i="6"/>
  <c r="AJ53" i="6"/>
  <c r="AG54" i="6"/>
  <c r="AI47" i="6"/>
  <c r="AJ49" i="6"/>
  <c r="AI52" i="6"/>
  <c r="AI54" i="6"/>
  <c r="AJ47" i="6"/>
  <c r="AK47" i="6"/>
  <c r="AG50" i="6"/>
  <c r="AH51" i="6"/>
  <c r="AK52" i="6"/>
  <c r="AK54" i="6"/>
  <c r="Q40" i="6"/>
  <c r="AG48" i="6"/>
  <c r="AH50" i="6"/>
  <c r="AH48" i="6"/>
  <c r="AI51" i="6"/>
  <c r="AK53" i="6"/>
  <c r="AI48" i="6"/>
  <c r="AG49" i="6"/>
  <c r="AJ51" i="6"/>
  <c r="AK48" i="6"/>
  <c r="AI49" i="6"/>
  <c r="AK51" i="6"/>
  <c r="AH54" i="6"/>
  <c r="Q39" i="6"/>
  <c r="AK49" i="6"/>
  <c r="AH52" i="6"/>
  <c r="AJ54" i="6"/>
  <c r="AI50" i="6"/>
  <c r="AJ52" i="6"/>
  <c r="P41" i="6"/>
  <c r="AJ50" i="6"/>
  <c r="AG53" i="6"/>
  <c r="AH53" i="6"/>
  <c r="AH47" i="6"/>
  <c r="AG51" i="6"/>
  <c r="AI53" i="6"/>
  <c r="O40" i="6"/>
  <c r="O39" i="6"/>
  <c r="N41" i="6"/>
  <c r="M17" i="11"/>
  <c r="Q69" i="18"/>
  <c r="S69" i="18" s="1"/>
  <c r="R41" i="6"/>
  <c r="S40" i="6"/>
  <c r="S39" i="6"/>
  <c r="AQ39" i="6"/>
  <c r="AR31" i="6"/>
  <c r="M39" i="6"/>
  <c r="M40" i="6"/>
  <c r="L41" i="6"/>
  <c r="U39" i="6"/>
  <c r="T41" i="6"/>
  <c r="U40" i="6"/>
  <c r="AK95" i="20" l="1"/>
  <c r="AK96" i="20"/>
  <c r="AK100" i="20" s="1"/>
  <c r="M25" i="27"/>
  <c r="AC86" i="20"/>
  <c r="AC94" i="20" s="1"/>
  <c r="Q95" i="20"/>
  <c r="Q96" i="20"/>
  <c r="Q100" i="20" s="1"/>
  <c r="J109" i="20"/>
  <c r="AA101" i="20"/>
  <c r="AA108" i="20"/>
  <c r="F109" i="20"/>
  <c r="AJ96" i="20"/>
  <c r="AJ100" i="20" s="1"/>
  <c r="AJ95" i="20"/>
  <c r="S26" i="22"/>
  <c r="AO82" i="20"/>
  <c r="AP82" i="20"/>
  <c r="AP86" i="20" s="1"/>
  <c r="AP94" i="20" s="1"/>
  <c r="AQ82" i="20"/>
  <c r="AQ86" i="20" s="1"/>
  <c r="AQ94" i="20" s="1"/>
  <c r="AR82" i="20"/>
  <c r="AR86" i="20" s="1"/>
  <c r="AR94" i="20" s="1"/>
  <c r="AS82" i="20"/>
  <c r="AS86" i="20" s="1"/>
  <c r="AS94" i="20" s="1"/>
  <c r="AT82" i="20"/>
  <c r="AT86" i="20" s="1"/>
  <c r="AT94" i="20" s="1"/>
  <c r="AU82" i="20"/>
  <c r="AU86" i="20" s="1"/>
  <c r="AU94" i="20" s="1"/>
  <c r="AV82" i="20"/>
  <c r="AV86" i="20" s="1"/>
  <c r="AV94" i="20" s="1"/>
  <c r="AW82" i="20"/>
  <c r="AW86" i="20" s="1"/>
  <c r="AW94" i="20" s="1"/>
  <c r="AX82" i="20"/>
  <c r="AX86" i="20" s="1"/>
  <c r="AX94" i="20" s="1"/>
  <c r="AY82" i="20"/>
  <c r="AY86" i="20" s="1"/>
  <c r="AY94" i="20" s="1"/>
  <c r="AZ82" i="20"/>
  <c r="AZ86" i="20" s="1"/>
  <c r="AZ94" i="20" s="1"/>
  <c r="L25" i="27"/>
  <c r="L29" i="27" s="1"/>
  <c r="L37" i="27" s="1"/>
  <c r="K29" i="27"/>
  <c r="K37" i="27" s="1"/>
  <c r="V101" i="20"/>
  <c r="V108" i="20"/>
  <c r="AI96" i="20"/>
  <c r="AI100" i="20" s="1"/>
  <c r="AI95" i="20"/>
  <c r="X101" i="20"/>
  <c r="X108" i="20"/>
  <c r="Y101" i="20"/>
  <c r="Y108" i="20"/>
  <c r="H109" i="20"/>
  <c r="E96" i="20"/>
  <c r="E100" i="20" s="1"/>
  <c r="E95" i="20"/>
  <c r="AH95" i="20"/>
  <c r="AH96" i="20"/>
  <c r="AH100" i="20" s="1"/>
  <c r="O109" i="20"/>
  <c r="G109" i="20"/>
  <c r="N109" i="20"/>
  <c r="J25" i="27"/>
  <c r="J29" i="27" s="1"/>
  <c r="J37" i="27" s="1"/>
  <c r="I29" i="27"/>
  <c r="I37" i="27" s="1"/>
  <c r="AG95" i="20"/>
  <c r="AG96" i="20"/>
  <c r="AG100" i="20" s="1"/>
  <c r="R108" i="20"/>
  <c r="R101" i="20"/>
  <c r="M109" i="20"/>
  <c r="L109" i="20"/>
  <c r="AN95" i="20"/>
  <c r="AN96" i="20"/>
  <c r="AN100" i="20" s="1"/>
  <c r="AF95" i="20"/>
  <c r="AF96" i="20"/>
  <c r="AF100" i="20" s="1"/>
  <c r="K109" i="20"/>
  <c r="T108" i="20"/>
  <c r="T101" i="20"/>
  <c r="U101" i="20"/>
  <c r="U108" i="20"/>
  <c r="AM95" i="20"/>
  <c r="AM96" i="20"/>
  <c r="AM100" i="20" s="1"/>
  <c r="AE95" i="20"/>
  <c r="AE96" i="20"/>
  <c r="AE100" i="20" s="1"/>
  <c r="S101" i="20"/>
  <c r="S108" i="20"/>
  <c r="AB108" i="20"/>
  <c r="AB101" i="20"/>
  <c r="P109" i="20"/>
  <c r="AL96" i="20"/>
  <c r="AL100" i="20" s="1"/>
  <c r="AL95" i="20"/>
  <c r="AD95" i="20"/>
  <c r="AD96" i="20"/>
  <c r="AD100" i="20" s="1"/>
  <c r="I109" i="20"/>
  <c r="Z101" i="20"/>
  <c r="Z108" i="20"/>
  <c r="W101" i="20"/>
  <c r="W108" i="20"/>
  <c r="AR40" i="6"/>
  <c r="AQ41" i="6"/>
  <c r="AR39" i="6"/>
  <c r="M18" i="11"/>
  <c r="S70" i="18"/>
  <c r="T45" i="6"/>
  <c r="T44" i="6"/>
  <c r="U41" i="6"/>
  <c r="U44" i="6" s="1"/>
  <c r="Q41" i="6"/>
  <c r="Q44" i="6" s="1"/>
  <c r="P45" i="6"/>
  <c r="P44" i="6"/>
  <c r="R45" i="6"/>
  <c r="S41" i="6"/>
  <c r="S44" i="6" s="1"/>
  <c r="R44" i="6"/>
  <c r="L45" i="6"/>
  <c r="M41" i="6"/>
  <c r="M44" i="6" s="1"/>
  <c r="L44" i="6"/>
  <c r="O41" i="6"/>
  <c r="O44" i="6" s="1"/>
  <c r="N45" i="6"/>
  <c r="L30" i="19"/>
  <c r="N44" i="6"/>
  <c r="M19" i="11"/>
  <c r="Q71" i="18"/>
  <c r="W41" i="6"/>
  <c r="W44" i="6" s="1"/>
  <c r="V45" i="6"/>
  <c r="V44" i="6"/>
  <c r="AM108" i="20" l="1"/>
  <c r="AM101" i="20"/>
  <c r="AU96" i="20"/>
  <c r="AU100" i="20" s="1"/>
  <c r="AU95" i="20"/>
  <c r="AF101" i="20"/>
  <c r="AF108" i="20"/>
  <c r="Y109" i="20"/>
  <c r="L38" i="27"/>
  <c r="K39" i="27"/>
  <c r="AT96" i="20"/>
  <c r="AT100" i="20" s="1"/>
  <c r="AT95" i="20"/>
  <c r="AJ101" i="20"/>
  <c r="AJ108" i="20"/>
  <c r="AH101" i="20"/>
  <c r="AH108" i="20"/>
  <c r="AS95" i="20"/>
  <c r="AS96" i="20"/>
  <c r="AS100" i="20" s="1"/>
  <c r="Q108" i="20"/>
  <c r="Q101" i="20"/>
  <c r="AD101" i="20"/>
  <c r="AD108" i="20"/>
  <c r="AB109" i="20"/>
  <c r="AN101" i="20"/>
  <c r="AN108" i="20"/>
  <c r="X109" i="20"/>
  <c r="AZ95" i="20"/>
  <c r="AZ96" i="20"/>
  <c r="AR95" i="20"/>
  <c r="AR96" i="20"/>
  <c r="AR100" i="20" s="1"/>
  <c r="W109" i="20"/>
  <c r="S109" i="20"/>
  <c r="R109" i="20"/>
  <c r="AY95" i="20"/>
  <c r="AY96" i="20"/>
  <c r="AY100" i="20" s="1"/>
  <c r="AQ95" i="20"/>
  <c r="AQ96" i="20"/>
  <c r="AQ100" i="20" s="1"/>
  <c r="AC95" i="20"/>
  <c r="AC96" i="20"/>
  <c r="AC100" i="20" s="1"/>
  <c r="U109" i="20"/>
  <c r="AG108" i="20"/>
  <c r="AG101" i="20"/>
  <c r="E101" i="20"/>
  <c r="E108" i="20"/>
  <c r="AP95" i="20"/>
  <c r="AP96" i="20"/>
  <c r="AP100" i="20" s="1"/>
  <c r="AA109" i="20"/>
  <c r="N25" i="27"/>
  <c r="N29" i="27" s="1"/>
  <c r="N37" i="27" s="1"/>
  <c r="M29" i="27"/>
  <c r="M37" i="27" s="1"/>
  <c r="AX96" i="20"/>
  <c r="AX100" i="20" s="1"/>
  <c r="AX95" i="20"/>
  <c r="Z109" i="20"/>
  <c r="AL101" i="20"/>
  <c r="AL108" i="20"/>
  <c r="AE101" i="20"/>
  <c r="AE108" i="20"/>
  <c r="AI101" i="20"/>
  <c r="AI108" i="20"/>
  <c r="AW96" i="20"/>
  <c r="AW100" i="20" s="1"/>
  <c r="AW95" i="20"/>
  <c r="O25" i="27"/>
  <c r="AO86" i="20"/>
  <c r="AO94" i="20" s="1"/>
  <c r="AK108" i="20"/>
  <c r="AK101" i="20"/>
  <c r="T109" i="20"/>
  <c r="I39" i="27"/>
  <c r="J38" i="27"/>
  <c r="V109" i="20"/>
  <c r="AV95" i="20"/>
  <c r="AV96" i="20"/>
  <c r="AV100" i="20" s="1"/>
  <c r="T26" i="22"/>
  <c r="BA82" i="20"/>
  <c r="BB82" i="20"/>
  <c r="BB86" i="20" s="1"/>
  <c r="BC82" i="20"/>
  <c r="BC86" i="20" s="1"/>
  <c r="BD82" i="20"/>
  <c r="BD86" i="20" s="1"/>
  <c r="BE82" i="20"/>
  <c r="BE86" i="20" s="1"/>
  <c r="BF82" i="20"/>
  <c r="BF86" i="20" s="1"/>
  <c r="BG82" i="20"/>
  <c r="BG86" i="20" s="1"/>
  <c r="BH82" i="20"/>
  <c r="BH86" i="20" s="1"/>
  <c r="BI82" i="20"/>
  <c r="BI86" i="20" s="1"/>
  <c r="BJ82" i="20"/>
  <c r="BJ86" i="20" s="1"/>
  <c r="BK82" i="20"/>
  <c r="BK86" i="20" s="1"/>
  <c r="BL82" i="20"/>
  <c r="BL86" i="20" s="1"/>
  <c r="G12" i="18"/>
  <c r="G13" i="18" s="1"/>
  <c r="K12" i="18"/>
  <c r="K13" i="18" s="1"/>
  <c r="S71" i="18"/>
  <c r="R84" i="6"/>
  <c r="R100" i="6"/>
  <c r="R68" i="6"/>
  <c r="R69" i="6"/>
  <c r="R70" i="6"/>
  <c r="R85" i="6"/>
  <c r="R99" i="6"/>
  <c r="R71" i="6"/>
  <c r="R42" i="6" s="1"/>
  <c r="R86" i="6"/>
  <c r="R83" i="6"/>
  <c r="N68" i="6"/>
  <c r="N98" i="6" s="1"/>
  <c r="N69" i="6"/>
  <c r="N70" i="6"/>
  <c r="N86" i="6"/>
  <c r="N71" i="6"/>
  <c r="N42" i="6" s="1"/>
  <c r="N84" i="6"/>
  <c r="N100" i="6"/>
  <c r="N83" i="6"/>
  <c r="N85" i="6"/>
  <c r="N99" i="6"/>
  <c r="P83" i="6"/>
  <c r="P99" i="6"/>
  <c r="P71" i="6"/>
  <c r="P68" i="6"/>
  <c r="P84" i="6"/>
  <c r="P86" i="6"/>
  <c r="P70" i="6"/>
  <c r="P100" i="6"/>
  <c r="P69" i="6"/>
  <c r="P85" i="6"/>
  <c r="G22" i="38"/>
  <c r="AR41" i="6"/>
  <c r="AR44" i="6" s="1"/>
  <c r="AQ44" i="6"/>
  <c r="AQ45" i="6"/>
  <c r="T85" i="6"/>
  <c r="T83" i="6"/>
  <c r="T99" i="6"/>
  <c r="T71" i="6"/>
  <c r="T42" i="6" s="1"/>
  <c r="T69" i="6"/>
  <c r="T68" i="6"/>
  <c r="T84" i="6"/>
  <c r="T70" i="6"/>
  <c r="T86" i="6"/>
  <c r="T100" i="6"/>
  <c r="W68" i="6"/>
  <c r="W58" i="6" s="1"/>
  <c r="L71" i="6"/>
  <c r="L42" i="6" s="1"/>
  <c r="L85" i="6"/>
  <c r="L68" i="6"/>
  <c r="L98" i="6" s="1"/>
  <c r="L84" i="6"/>
  <c r="L86" i="6"/>
  <c r="L100" i="6"/>
  <c r="L70" i="6"/>
  <c r="L83" i="6"/>
  <c r="L69" i="6"/>
  <c r="L99" i="6"/>
  <c r="AZ100" i="20" l="1"/>
  <c r="W69" i="6"/>
  <c r="N38" i="27"/>
  <c r="M39" i="27"/>
  <c r="AQ101" i="20"/>
  <c r="AQ108" i="20"/>
  <c r="AO95" i="20"/>
  <c r="AO96" i="20"/>
  <c r="AO100" i="20" s="1"/>
  <c r="AL109" i="20"/>
  <c r="AD109" i="20"/>
  <c r="AJ109" i="20"/>
  <c r="P25" i="27"/>
  <c r="P29" i="27" s="1"/>
  <c r="P37" i="27" s="1"/>
  <c r="O29" i="27"/>
  <c r="O37" i="27" s="1"/>
  <c r="AG109" i="20"/>
  <c r="AY101" i="20"/>
  <c r="AY108" i="20"/>
  <c r="AF109" i="20"/>
  <c r="Q25" i="27"/>
  <c r="BA86" i="20"/>
  <c r="I65" i="27"/>
  <c r="I66" i="27"/>
  <c r="I67" i="27"/>
  <c r="I43" i="27"/>
  <c r="I49" i="27" s="1"/>
  <c r="I64" i="27"/>
  <c r="J39" i="27"/>
  <c r="J43" i="27" s="1"/>
  <c r="U26" i="22"/>
  <c r="BM82" i="20"/>
  <c r="BN82" i="20"/>
  <c r="BN86" i="20" s="1"/>
  <c r="BO82" i="20"/>
  <c r="BO86" i="20" s="1"/>
  <c r="BP82" i="20"/>
  <c r="BP86" i="20" s="1"/>
  <c r="BQ82" i="20"/>
  <c r="BQ86" i="20" s="1"/>
  <c r="BR82" i="20"/>
  <c r="BR86" i="20" s="1"/>
  <c r="BS82" i="20"/>
  <c r="BS86" i="20" s="1"/>
  <c r="BT82" i="20"/>
  <c r="BT86" i="20" s="1"/>
  <c r="BU82" i="20"/>
  <c r="BU86" i="20" s="1"/>
  <c r="BV82" i="20"/>
  <c r="BV86" i="20" s="1"/>
  <c r="BW82" i="20"/>
  <c r="BW86" i="20" s="1"/>
  <c r="BX82" i="20"/>
  <c r="BX86" i="20" s="1"/>
  <c r="AW101" i="20"/>
  <c r="AW108" i="20"/>
  <c r="AN109" i="20"/>
  <c r="Q109" i="20"/>
  <c r="AT101" i="20"/>
  <c r="AT108" i="20"/>
  <c r="AV108" i="20"/>
  <c r="AV101" i="20"/>
  <c r="AI109" i="20"/>
  <c r="AP101" i="20"/>
  <c r="AP108" i="20"/>
  <c r="AR101" i="20"/>
  <c r="AR108" i="20"/>
  <c r="AS108" i="20"/>
  <c r="AS101" i="20"/>
  <c r="K67" i="27"/>
  <c r="K43" i="27"/>
  <c r="K49" i="27" s="1"/>
  <c r="K65" i="27"/>
  <c r="L39" i="27"/>
  <c r="L43" i="27" s="1"/>
  <c r="K66" i="27"/>
  <c r="K64" i="27"/>
  <c r="AU101" i="20"/>
  <c r="AU108" i="20"/>
  <c r="AC108" i="20"/>
  <c r="AC101" i="20"/>
  <c r="AK109" i="20"/>
  <c r="AE109" i="20"/>
  <c r="AX101" i="20"/>
  <c r="AX108" i="20"/>
  <c r="E109" i="20"/>
  <c r="E113" i="20"/>
  <c r="E112" i="20"/>
  <c r="AZ101" i="20"/>
  <c r="AZ108" i="20"/>
  <c r="AH109" i="20"/>
  <c r="AM109" i="20"/>
  <c r="AQ68" i="6"/>
  <c r="AQ69" i="6"/>
  <c r="AQ85" i="6"/>
  <c r="AQ83" i="6"/>
  <c r="AQ99" i="6"/>
  <c r="AQ71" i="6"/>
  <c r="AQ42" i="6" s="1"/>
  <c r="AQ84" i="6"/>
  <c r="AQ86" i="6"/>
  <c r="AQ100" i="6"/>
  <c r="AQ70" i="6"/>
  <c r="R98" i="6"/>
  <c r="P98" i="6"/>
  <c r="T98" i="6"/>
  <c r="W59" i="6"/>
  <c r="AE15" i="38"/>
  <c r="AE22" i="38"/>
  <c r="AI22" i="38"/>
  <c r="K22" i="38"/>
  <c r="K13" i="38" s="1"/>
  <c r="K15" i="38" s="1"/>
  <c r="K24" i="38" s="1"/>
  <c r="O22" i="38"/>
  <c r="O13" i="38" s="1"/>
  <c r="O15" i="38" s="1"/>
  <c r="O24" i="38" s="1"/>
  <c r="G13" i="38"/>
  <c r="G15" i="38" s="1"/>
  <c r="G24" i="38" s="1"/>
  <c r="S22" i="38"/>
  <c r="S13" i="38" s="1"/>
  <c r="S15" i="38" s="1"/>
  <c r="S24" i="38" s="1"/>
  <c r="W22" i="38"/>
  <c r="W13" i="38" s="1"/>
  <c r="W15" i="38" s="1"/>
  <c r="W24" i="38" s="1"/>
  <c r="AA22" i="38"/>
  <c r="AA13" i="38" s="1"/>
  <c r="AA15" i="38" s="1"/>
  <c r="AA24" i="38" s="1"/>
  <c r="P42" i="6"/>
  <c r="H15" i="19"/>
  <c r="W71" i="6"/>
  <c r="V42" i="6" s="1"/>
  <c r="AP109" i="20" l="1"/>
  <c r="S25" i="27"/>
  <c r="BM86" i="20"/>
  <c r="E117" i="20"/>
  <c r="E129" i="20"/>
  <c r="V26" i="22"/>
  <c r="BY82" i="20"/>
  <c r="BZ82" i="20"/>
  <c r="BZ86" i="20" s="1"/>
  <c r="CA82" i="20"/>
  <c r="CA86" i="20" s="1"/>
  <c r="CB82" i="20"/>
  <c r="CB86" i="20" s="1"/>
  <c r="CC82" i="20"/>
  <c r="CC86" i="20" s="1"/>
  <c r="CD82" i="20"/>
  <c r="CD86" i="20" s="1"/>
  <c r="CE82" i="20"/>
  <c r="CE86" i="20" s="1"/>
  <c r="CF82" i="20"/>
  <c r="CF86" i="20" s="1"/>
  <c r="CG82" i="20"/>
  <c r="CG86" i="20" s="1"/>
  <c r="CH82" i="20"/>
  <c r="CH86" i="20" s="1"/>
  <c r="CI82" i="20"/>
  <c r="CI86" i="20" s="1"/>
  <c r="CJ82" i="20"/>
  <c r="CJ86" i="20" s="1"/>
  <c r="AY109" i="20"/>
  <c r="AQ109" i="20"/>
  <c r="AZ109" i="20"/>
  <c r="AT109" i="20"/>
  <c r="AW109" i="20"/>
  <c r="AX109" i="20"/>
  <c r="AU109" i="20"/>
  <c r="R25" i="27"/>
  <c r="R29" i="27" s="1"/>
  <c r="Q29" i="27"/>
  <c r="AO101" i="20"/>
  <c r="AO108" i="20"/>
  <c r="M66" i="27"/>
  <c r="N39" i="27"/>
  <c r="N43" i="27" s="1"/>
  <c r="L33" i="19"/>
  <c r="M67" i="27"/>
  <c r="M64" i="27"/>
  <c r="M43" i="27"/>
  <c r="M49" i="27" s="1"/>
  <c r="M65" i="27"/>
  <c r="AS109" i="20"/>
  <c r="AR109" i="20"/>
  <c r="AV109" i="20"/>
  <c r="AC109" i="20"/>
  <c r="P38" i="27"/>
  <c r="O39" i="27"/>
  <c r="AO109" i="20" l="1"/>
  <c r="L5" i="31"/>
  <c r="M5" i="34"/>
  <c r="E141" i="20"/>
  <c r="E144" i="20" s="1"/>
  <c r="E140" i="20"/>
  <c r="E143" i="20" s="1"/>
  <c r="F111" i="20"/>
  <c r="F115" i="20"/>
  <c r="F116" i="20" s="1"/>
  <c r="U25" i="27"/>
  <c r="BY86" i="20"/>
  <c r="W26" i="22"/>
  <c r="CK82" i="20"/>
  <c r="CL82" i="20"/>
  <c r="CL86" i="20" s="1"/>
  <c r="CM82" i="20"/>
  <c r="CM86" i="20" s="1"/>
  <c r="CN82" i="20"/>
  <c r="CN86" i="20" s="1"/>
  <c r="CO82" i="20"/>
  <c r="CO86" i="20" s="1"/>
  <c r="CP82" i="20"/>
  <c r="CP86" i="20" s="1"/>
  <c r="CQ82" i="20"/>
  <c r="CQ86" i="20" s="1"/>
  <c r="CR82" i="20"/>
  <c r="CR86" i="20" s="1"/>
  <c r="CS82" i="20"/>
  <c r="CS86" i="20" s="1"/>
  <c r="CT82" i="20"/>
  <c r="CT86" i="20" s="1"/>
  <c r="CU82" i="20"/>
  <c r="CU86" i="20" s="1"/>
  <c r="CV82" i="20"/>
  <c r="CV86" i="20" s="1"/>
  <c r="O43" i="27"/>
  <c r="O49" i="27" s="1"/>
  <c r="O64" i="27"/>
  <c r="O65" i="27"/>
  <c r="O66" i="27"/>
  <c r="P39" i="27"/>
  <c r="P43" i="27" s="1"/>
  <c r="O67" i="27"/>
  <c r="T25" i="27"/>
  <c r="T29" i="27" s="1"/>
  <c r="S29" i="27"/>
  <c r="W25" i="27" l="1"/>
  <c r="CK86" i="20"/>
  <c r="F112" i="20"/>
  <c r="F113" i="20"/>
  <c r="M11" i="34"/>
  <c r="M18" i="34"/>
  <c r="X26" i="22"/>
  <c r="CW82" i="20"/>
  <c r="CX82" i="20"/>
  <c r="CX86" i="20" s="1"/>
  <c r="CY82" i="20"/>
  <c r="CY86" i="20" s="1"/>
  <c r="CZ82" i="20"/>
  <c r="CZ86" i="20" s="1"/>
  <c r="DA82" i="20"/>
  <c r="DA86" i="20" s="1"/>
  <c r="DB82" i="20"/>
  <c r="DB86" i="20" s="1"/>
  <c r="DC82" i="20"/>
  <c r="DC86" i="20" s="1"/>
  <c r="DD82" i="20"/>
  <c r="DD86" i="20" s="1"/>
  <c r="DE82" i="20"/>
  <c r="DE86" i="20" s="1"/>
  <c r="DF82" i="20"/>
  <c r="DF86" i="20" s="1"/>
  <c r="DG82" i="20"/>
  <c r="DG86" i="20" s="1"/>
  <c r="DH82" i="20"/>
  <c r="DH86" i="20" s="1"/>
  <c r="L18" i="31"/>
  <c r="L11" i="31"/>
  <c r="V25" i="27"/>
  <c r="V29" i="27" s="1"/>
  <c r="U29" i="27"/>
  <c r="L38" i="31" l="1"/>
  <c r="L133" i="31"/>
  <c r="Y25" i="27"/>
  <c r="CW86" i="20"/>
  <c r="Y26" i="22"/>
  <c r="Z26" i="22" s="1"/>
  <c r="DI82" i="20"/>
  <c r="DI86" i="20" s="1"/>
  <c r="DJ82" i="20"/>
  <c r="DJ86" i="20" s="1"/>
  <c r="DK82" i="20"/>
  <c r="DK86" i="20" s="1"/>
  <c r="DL82" i="20"/>
  <c r="DL86" i="20" s="1"/>
  <c r="DM82" i="20"/>
  <c r="DM86" i="20" s="1"/>
  <c r="DN82" i="20"/>
  <c r="DN86" i="20" s="1"/>
  <c r="DO82" i="20"/>
  <c r="DO86" i="20" s="1"/>
  <c r="DP82" i="20"/>
  <c r="DP86" i="20" s="1"/>
  <c r="DQ82" i="20"/>
  <c r="DQ86" i="20" s="1"/>
  <c r="DR82" i="20"/>
  <c r="DR86" i="20" s="1"/>
  <c r="DS82" i="20"/>
  <c r="DS86" i="20" s="1"/>
  <c r="DT82" i="20"/>
  <c r="F117" i="20"/>
  <c r="F129" i="20"/>
  <c r="X25" i="27"/>
  <c r="X29" i="27" s="1"/>
  <c r="W29" i="27"/>
  <c r="M132" i="34"/>
  <c r="M38" i="34"/>
  <c r="L126" i="31"/>
  <c r="L30" i="31"/>
  <c r="L48" i="31" s="1"/>
  <c r="L66" i="31" s="1"/>
  <c r="L84" i="31" s="1"/>
  <c r="L102" i="31" s="1"/>
  <c r="M30" i="34"/>
  <c r="M48" i="34" s="1"/>
  <c r="M66" i="34" s="1"/>
  <c r="M84" i="34" s="1"/>
  <c r="M102" i="34" s="1"/>
  <c r="M125" i="34"/>
  <c r="AA25" i="27" l="1"/>
  <c r="DT86" i="20"/>
  <c r="Z25" i="27"/>
  <c r="Z29" i="27" s="1"/>
  <c r="Y29" i="27"/>
  <c r="M5" i="31"/>
  <c r="F140" i="20"/>
  <c r="F143" i="20" s="1"/>
  <c r="F141" i="20"/>
  <c r="F144" i="20" s="1"/>
  <c r="N5" i="34"/>
  <c r="G111" i="20"/>
  <c r="G115" i="20"/>
  <c r="G116" i="20" s="1"/>
  <c r="G113" i="20" l="1"/>
  <c r="G112" i="20"/>
  <c r="M11" i="31"/>
  <c r="M18" i="31"/>
  <c r="N18" i="34"/>
  <c r="N11" i="34"/>
  <c r="AB25" i="27"/>
  <c r="AB29" i="27" s="1"/>
  <c r="AA29" i="27"/>
  <c r="N38" i="34" l="1"/>
  <c r="N132" i="34"/>
  <c r="G129" i="20"/>
  <c r="G117" i="20"/>
  <c r="N125" i="34"/>
  <c r="N30" i="34"/>
  <c r="N48" i="34" s="1"/>
  <c r="N66" i="34" s="1"/>
  <c r="N84" i="34" s="1"/>
  <c r="N102" i="34" s="1"/>
  <c r="M133" i="31"/>
  <c r="M38" i="31"/>
  <c r="M30" i="31"/>
  <c r="M48" i="31" s="1"/>
  <c r="M66" i="31" s="1"/>
  <c r="M84" i="31" s="1"/>
  <c r="M102" i="31" s="1"/>
  <c r="M126" i="31"/>
  <c r="H111" i="20" l="1"/>
  <c r="H115" i="20"/>
  <c r="H116" i="20" s="1"/>
  <c r="N5" i="31"/>
  <c r="O5" i="34"/>
  <c r="G141" i="20"/>
  <c r="G144" i="20" s="1"/>
  <c r="G140" i="20"/>
  <c r="G143" i="20" s="1"/>
  <c r="O11" i="34" l="1"/>
  <c r="O18" i="34"/>
  <c r="N18" i="31"/>
  <c r="N11" i="31"/>
  <c r="H112" i="20"/>
  <c r="H113" i="20"/>
  <c r="H129" i="20" l="1"/>
  <c r="H117" i="20"/>
  <c r="N30" i="31"/>
  <c r="N48" i="31" s="1"/>
  <c r="N66" i="31" s="1"/>
  <c r="N84" i="31" s="1"/>
  <c r="N102" i="31" s="1"/>
  <c r="N126" i="31"/>
  <c r="N38" i="31"/>
  <c r="N133" i="31"/>
  <c r="O38" i="34"/>
  <c r="O132" i="34"/>
  <c r="O30" i="34"/>
  <c r="O48" i="34" s="1"/>
  <c r="O66" i="34" s="1"/>
  <c r="O84" i="34" s="1"/>
  <c r="O102" i="34" s="1"/>
  <c r="O125" i="34"/>
  <c r="I111" i="20" l="1"/>
  <c r="I115" i="20"/>
  <c r="I116" i="20" s="1"/>
  <c r="H140" i="20"/>
  <c r="H143" i="20" s="1"/>
  <c r="O5" i="31"/>
  <c r="P5" i="34"/>
  <c r="H141" i="20"/>
  <c r="H144" i="20" s="1"/>
  <c r="O18" i="31" l="1"/>
  <c r="O11" i="31"/>
  <c r="P11" i="34"/>
  <c r="P18" i="34"/>
  <c r="I112" i="20"/>
  <c r="I113" i="20"/>
  <c r="I129" i="20" l="1"/>
  <c r="I117" i="20"/>
  <c r="O30" i="31"/>
  <c r="O48" i="31" s="1"/>
  <c r="O66" i="31" s="1"/>
  <c r="O84" i="31" s="1"/>
  <c r="O102" i="31" s="1"/>
  <c r="O126" i="31"/>
  <c r="P38" i="34"/>
  <c r="P132" i="34"/>
  <c r="P30" i="34"/>
  <c r="P48" i="34" s="1"/>
  <c r="P66" i="34" s="1"/>
  <c r="P84" i="34" s="1"/>
  <c r="P102" i="34" s="1"/>
  <c r="P125" i="34"/>
  <c r="O133" i="31"/>
  <c r="O38" i="31"/>
  <c r="J111" i="20" l="1"/>
  <c r="J115" i="20"/>
  <c r="J116" i="20" s="1"/>
  <c r="P5" i="31"/>
  <c r="Q5" i="34"/>
  <c r="I140" i="20"/>
  <c r="I143" i="20" s="1"/>
  <c r="I141" i="20"/>
  <c r="I144" i="20" s="1"/>
  <c r="P11" i="31" l="1"/>
  <c r="P18" i="31"/>
  <c r="Q18" i="34"/>
  <c r="Q11" i="34"/>
  <c r="J112" i="20"/>
  <c r="J113" i="20"/>
  <c r="P38" i="31" l="1"/>
  <c r="P133" i="31"/>
  <c r="J129" i="20"/>
  <c r="J117" i="20"/>
  <c r="Q30" i="34"/>
  <c r="Q48" i="34" s="1"/>
  <c r="Q66" i="34" s="1"/>
  <c r="Q84" i="34" s="1"/>
  <c r="Q102" i="34" s="1"/>
  <c r="Q125" i="34"/>
  <c r="Q38" i="34"/>
  <c r="Q132" i="34"/>
  <c r="P30" i="31"/>
  <c r="P48" i="31" s="1"/>
  <c r="P66" i="31" s="1"/>
  <c r="P84" i="31" s="1"/>
  <c r="P102" i="31" s="1"/>
  <c r="P126" i="31"/>
  <c r="K111" i="20" l="1"/>
  <c r="K115" i="20"/>
  <c r="K116" i="20" s="1"/>
  <c r="J140" i="20"/>
  <c r="J143" i="20" s="1"/>
  <c r="J141" i="20"/>
  <c r="J144" i="20" s="1"/>
  <c r="R5" i="34"/>
  <c r="Q5" i="31"/>
  <c r="R11" i="34" l="1"/>
  <c r="R18" i="34"/>
  <c r="Q11" i="31"/>
  <c r="Q18" i="31"/>
  <c r="K112" i="20"/>
  <c r="K113" i="20"/>
  <c r="R38" i="34" l="1"/>
  <c r="R132" i="34"/>
  <c r="K117" i="20"/>
  <c r="K129" i="20"/>
  <c r="Q38" i="31"/>
  <c r="Q133" i="31"/>
  <c r="Q30" i="31"/>
  <c r="Q48" i="31" s="1"/>
  <c r="Q66" i="31" s="1"/>
  <c r="Q84" i="31" s="1"/>
  <c r="Q102" i="31" s="1"/>
  <c r="Q126" i="31"/>
  <c r="R125" i="34"/>
  <c r="R30" i="34"/>
  <c r="R48" i="34" s="1"/>
  <c r="R66" i="34" s="1"/>
  <c r="R84" i="34" s="1"/>
  <c r="R102" i="34" s="1"/>
  <c r="K140" i="20" l="1"/>
  <c r="K143" i="20" s="1"/>
  <c r="K141" i="20"/>
  <c r="K144" i="20" s="1"/>
  <c r="R5" i="31"/>
  <c r="S5" i="34"/>
  <c r="L115" i="20"/>
  <c r="L116" i="20" s="1"/>
  <c r="L111" i="20"/>
  <c r="S11" i="34" l="1"/>
  <c r="S18" i="34"/>
  <c r="R18" i="31"/>
  <c r="R11" i="31"/>
  <c r="L112" i="20"/>
  <c r="L113" i="20"/>
  <c r="S38" i="34" l="1"/>
  <c r="S132" i="34"/>
  <c r="L129" i="20"/>
  <c r="L117" i="20"/>
  <c r="R30" i="31"/>
  <c r="R48" i="31" s="1"/>
  <c r="R66" i="31" s="1"/>
  <c r="R84" i="31" s="1"/>
  <c r="R102" i="31" s="1"/>
  <c r="R126" i="31"/>
  <c r="R38" i="31"/>
  <c r="R133" i="31"/>
  <c r="S30" i="34"/>
  <c r="S48" i="34" s="1"/>
  <c r="S66" i="34" s="1"/>
  <c r="S84" i="34" s="1"/>
  <c r="S102" i="34" s="1"/>
  <c r="S125" i="34"/>
  <c r="M115" i="20" l="1"/>
  <c r="M116" i="20" s="1"/>
  <c r="M111" i="20"/>
  <c r="L141" i="20"/>
  <c r="L144" i="20" s="1"/>
  <c r="T5" i="34"/>
  <c r="S5" i="31"/>
  <c r="L140" i="20"/>
  <c r="L143" i="20" s="1"/>
  <c r="S11" i="31" l="1"/>
  <c r="S18" i="31"/>
  <c r="M112" i="20"/>
  <c r="M113" i="20"/>
  <c r="T18" i="34"/>
  <c r="T11" i="34"/>
  <c r="T30" i="34" l="1"/>
  <c r="T48" i="34" s="1"/>
  <c r="T66" i="34" s="1"/>
  <c r="T84" i="34" s="1"/>
  <c r="T102" i="34" s="1"/>
  <c r="T125" i="34"/>
  <c r="T38" i="34"/>
  <c r="T132" i="34"/>
  <c r="M117" i="20"/>
  <c r="M129" i="20"/>
  <c r="S38" i="31"/>
  <c r="S133" i="31"/>
  <c r="S30" i="31"/>
  <c r="S48" i="31" s="1"/>
  <c r="S66" i="31" s="1"/>
  <c r="S84" i="31" s="1"/>
  <c r="S102" i="31" s="1"/>
  <c r="S126" i="31"/>
  <c r="M141" i="20" l="1"/>
  <c r="M144" i="20" s="1"/>
  <c r="M140" i="20"/>
  <c r="M143" i="20" s="1"/>
  <c r="T5" i="31"/>
  <c r="U5" i="34"/>
  <c r="N115" i="20"/>
  <c r="N116" i="20" s="1"/>
  <c r="N111" i="20"/>
  <c r="U11" i="34" l="1"/>
  <c r="U18" i="34"/>
  <c r="N113" i="20"/>
  <c r="N112" i="20"/>
  <c r="T18" i="31"/>
  <c r="T11" i="31"/>
  <c r="N129" i="20" l="1"/>
  <c r="N117" i="20"/>
  <c r="U38" i="34"/>
  <c r="U132" i="34"/>
  <c r="T126" i="31"/>
  <c r="T30" i="31"/>
  <c r="T48" i="31" s="1"/>
  <c r="T66" i="31" s="1"/>
  <c r="T84" i="31" s="1"/>
  <c r="T102" i="31" s="1"/>
  <c r="T38" i="31"/>
  <c r="T133" i="31"/>
  <c r="U30" i="34"/>
  <c r="U48" i="34" s="1"/>
  <c r="U66" i="34" s="1"/>
  <c r="U84" i="34" s="1"/>
  <c r="U102" i="34" s="1"/>
  <c r="U125" i="34"/>
  <c r="O115" i="20" l="1"/>
  <c r="O116" i="20" s="1"/>
  <c r="O111" i="20"/>
  <c r="N141" i="20"/>
  <c r="N144" i="20" s="1"/>
  <c r="V5" i="34"/>
  <c r="U5" i="31"/>
  <c r="N140" i="20"/>
  <c r="N143" i="20" s="1"/>
  <c r="U11" i="31" l="1"/>
  <c r="U18" i="31"/>
  <c r="V11" i="34"/>
  <c r="V18" i="34"/>
  <c r="O112" i="20"/>
  <c r="O113" i="20"/>
  <c r="O117" i="20" l="1"/>
  <c r="O129" i="20"/>
  <c r="V132" i="34"/>
  <c r="V38" i="34"/>
  <c r="V125" i="34"/>
  <c r="V30" i="34"/>
  <c r="V48" i="34" s="1"/>
  <c r="V66" i="34" s="1"/>
  <c r="V84" i="34" s="1"/>
  <c r="V102" i="34" s="1"/>
  <c r="U38" i="31"/>
  <c r="U133" i="31"/>
  <c r="U30" i="31"/>
  <c r="U48" i="31" s="1"/>
  <c r="U66" i="31" s="1"/>
  <c r="U84" i="31" s="1"/>
  <c r="U102" i="31" s="1"/>
  <c r="U126" i="31"/>
  <c r="O141" i="20" l="1"/>
  <c r="O144" i="20" s="1"/>
  <c r="O140" i="20"/>
  <c r="O143" i="20" s="1"/>
  <c r="V5" i="31"/>
  <c r="W5" i="34"/>
  <c r="P111" i="20"/>
  <c r="P115" i="20"/>
  <c r="P116" i="20" s="1"/>
  <c r="P113" i="20" l="1"/>
  <c r="P112" i="20"/>
  <c r="W18" i="34"/>
  <c r="W11" i="34"/>
  <c r="V18" i="31"/>
  <c r="V11" i="31"/>
  <c r="V133" i="31" l="1"/>
  <c r="V38" i="31"/>
  <c r="W30" i="34"/>
  <c r="W48" i="34" s="1"/>
  <c r="W66" i="34" s="1"/>
  <c r="W84" i="34" s="1"/>
  <c r="W102" i="34" s="1"/>
  <c r="W125" i="34"/>
  <c r="V126" i="31"/>
  <c r="V30" i="31"/>
  <c r="V48" i="31" s="1"/>
  <c r="V66" i="31" s="1"/>
  <c r="V84" i="31" s="1"/>
  <c r="V102" i="31" s="1"/>
  <c r="W38" i="34"/>
  <c r="W132" i="34"/>
  <c r="P117" i="20"/>
  <c r="P129" i="20"/>
  <c r="W5" i="31" l="1"/>
  <c r="P140" i="20"/>
  <c r="P143" i="20" s="1"/>
  <c r="P141" i="20"/>
  <c r="P144" i="20" s="1"/>
  <c r="X5" i="34"/>
  <c r="Q111" i="20"/>
  <c r="Q115" i="20"/>
  <c r="Q116" i="20" s="1"/>
  <c r="I57" i="27"/>
  <c r="K55" i="27" s="1"/>
  <c r="X11" i="34" l="1"/>
  <c r="X18" i="34"/>
  <c r="Q112" i="20"/>
  <c r="Q113" i="20"/>
  <c r="W18" i="31"/>
  <c r="W11" i="31"/>
  <c r="W133" i="31" l="1"/>
  <c r="W38" i="31"/>
  <c r="W30" i="31"/>
  <c r="W48" i="31" s="1"/>
  <c r="W66" i="31" s="1"/>
  <c r="W84" i="31" s="1"/>
  <c r="W102" i="31" s="1"/>
  <c r="W126" i="31"/>
  <c r="Q129" i="20"/>
  <c r="Q117" i="20"/>
  <c r="X38" i="34"/>
  <c r="X132" i="34"/>
  <c r="X30" i="34"/>
  <c r="X48" i="34" s="1"/>
  <c r="X66" i="34" s="1"/>
  <c r="X84" i="34" s="1"/>
  <c r="X102" i="34" s="1"/>
  <c r="X125" i="34"/>
  <c r="R111" i="20" l="1"/>
  <c r="R115" i="20"/>
  <c r="R116" i="20" s="1"/>
  <c r="X5" i="31"/>
  <c r="Q140" i="20"/>
  <c r="Q143" i="20" s="1"/>
  <c r="Q141" i="20"/>
  <c r="Q144" i="20" s="1"/>
  <c r="Y5" i="34"/>
  <c r="X11" i="31" l="1"/>
  <c r="X18" i="31"/>
  <c r="Y11" i="34"/>
  <c r="Y18" i="34"/>
  <c r="R113" i="20"/>
  <c r="R112" i="20"/>
  <c r="Y125" i="34" l="1"/>
  <c r="Y30" i="34"/>
  <c r="Y48" i="34" s="1"/>
  <c r="Y66" i="34" s="1"/>
  <c r="Y84" i="34" s="1"/>
  <c r="Y102" i="34" s="1"/>
  <c r="R129" i="20"/>
  <c r="R117" i="20"/>
  <c r="Y38" i="34"/>
  <c r="Y132" i="34"/>
  <c r="X38" i="31"/>
  <c r="X133" i="31"/>
  <c r="X126" i="31"/>
  <c r="X30" i="31"/>
  <c r="X48" i="31" s="1"/>
  <c r="X66" i="31" s="1"/>
  <c r="X84" i="31" s="1"/>
  <c r="X102" i="31" s="1"/>
  <c r="Y5" i="31" l="1"/>
  <c r="R140" i="20"/>
  <c r="R143" i="20" s="1"/>
  <c r="Z5" i="34"/>
  <c r="R141" i="20"/>
  <c r="R144" i="20" s="1"/>
  <c r="S111" i="20"/>
  <c r="S115" i="20"/>
  <c r="S116" i="20" s="1"/>
  <c r="S112" i="20" l="1"/>
  <c r="S113" i="20"/>
  <c r="Z18" i="34"/>
  <c r="Z11" i="34"/>
  <c r="Y11" i="31"/>
  <c r="Y18" i="31"/>
  <c r="Y133" i="31" l="1"/>
  <c r="Y38" i="31"/>
  <c r="Y126" i="31"/>
  <c r="Y30" i="31"/>
  <c r="Y48" i="31" s="1"/>
  <c r="Y66" i="31" s="1"/>
  <c r="Y84" i="31" s="1"/>
  <c r="Y102" i="31" s="1"/>
  <c r="Z30" i="34"/>
  <c r="Z48" i="34" s="1"/>
  <c r="Z66" i="34" s="1"/>
  <c r="Z84" i="34" s="1"/>
  <c r="Z102" i="34" s="1"/>
  <c r="Z125" i="34"/>
  <c r="Z132" i="34"/>
  <c r="Z38" i="34"/>
  <c r="S129" i="20"/>
  <c r="S117" i="20"/>
  <c r="T115" i="20" l="1"/>
  <c r="T116" i="20" s="1"/>
  <c r="T111" i="20"/>
  <c r="Z5" i="31"/>
  <c r="AA5" i="34"/>
  <c r="S141" i="20"/>
  <c r="S144" i="20" s="1"/>
  <c r="S140" i="20"/>
  <c r="S143" i="20" s="1"/>
  <c r="AA18" i="34" l="1"/>
  <c r="AA11" i="34"/>
  <c r="Z18" i="31"/>
  <c r="Z11" i="31"/>
  <c r="T112" i="20"/>
  <c r="T113" i="20"/>
  <c r="Z38" i="31" l="1"/>
  <c r="Z133" i="31"/>
  <c r="T117" i="20"/>
  <c r="T129" i="20"/>
  <c r="AA125" i="34"/>
  <c r="AA30" i="34"/>
  <c r="AA48" i="34" s="1"/>
  <c r="AA66" i="34" s="1"/>
  <c r="AA84" i="34" s="1"/>
  <c r="AA102" i="34" s="1"/>
  <c r="Z30" i="31"/>
  <c r="Z48" i="31" s="1"/>
  <c r="Z66" i="31" s="1"/>
  <c r="Z84" i="31" s="1"/>
  <c r="Z102" i="31" s="1"/>
  <c r="Z126" i="31"/>
  <c r="AA38" i="34"/>
  <c r="AA132" i="34"/>
  <c r="T140" i="20" l="1"/>
  <c r="T143" i="20" s="1"/>
  <c r="AA5" i="31"/>
  <c r="AB5" i="34"/>
  <c r="T141" i="20"/>
  <c r="T144" i="20" s="1"/>
  <c r="U111" i="20"/>
  <c r="U115" i="20"/>
  <c r="U116" i="20" s="1"/>
  <c r="AB11" i="34" l="1"/>
  <c r="AB18" i="34"/>
  <c r="U112" i="20"/>
  <c r="U113" i="20"/>
  <c r="AA11" i="31"/>
  <c r="AA18" i="31"/>
  <c r="U129" i="20" l="1"/>
  <c r="U117" i="20"/>
  <c r="AA30" i="31"/>
  <c r="AA48" i="31" s="1"/>
  <c r="AA66" i="31" s="1"/>
  <c r="AA84" i="31" s="1"/>
  <c r="AA102" i="31" s="1"/>
  <c r="AA126" i="31"/>
  <c r="AB38" i="34"/>
  <c r="AB132" i="34"/>
  <c r="AA38" i="31"/>
  <c r="AA133" i="31"/>
  <c r="AB30" i="34"/>
  <c r="AB48" i="34" s="1"/>
  <c r="AB66" i="34" s="1"/>
  <c r="AB84" i="34" s="1"/>
  <c r="AB102" i="34" s="1"/>
  <c r="AB125" i="34"/>
  <c r="V111" i="20" l="1"/>
  <c r="V115" i="20"/>
  <c r="V116" i="20" s="1"/>
  <c r="AB5" i="31"/>
  <c r="AC5" i="34"/>
  <c r="U141" i="20"/>
  <c r="U144" i="20" s="1"/>
  <c r="U140" i="20"/>
  <c r="U143" i="20" s="1"/>
  <c r="AB11" i="31" l="1"/>
  <c r="AB18" i="31"/>
  <c r="AC18" i="34"/>
  <c r="AC11" i="34"/>
  <c r="V112" i="20"/>
  <c r="V113" i="20"/>
  <c r="AC38" i="34" l="1"/>
  <c r="AC132" i="34"/>
  <c r="V117" i="20"/>
  <c r="V129" i="20"/>
  <c r="AB38" i="31"/>
  <c r="AB133" i="31"/>
  <c r="AC30" i="34"/>
  <c r="AC48" i="34" s="1"/>
  <c r="AC66" i="34" s="1"/>
  <c r="AC84" i="34" s="1"/>
  <c r="AC102" i="34" s="1"/>
  <c r="AC125" i="34"/>
  <c r="AB30" i="31"/>
  <c r="AB48" i="31" s="1"/>
  <c r="AB66" i="31" s="1"/>
  <c r="AB84" i="31" s="1"/>
  <c r="AB102" i="31" s="1"/>
  <c r="AB126" i="31"/>
  <c r="AC5" i="31" l="1"/>
  <c r="V141" i="20"/>
  <c r="V144" i="20" s="1"/>
  <c r="V140" i="20"/>
  <c r="V143" i="20" s="1"/>
  <c r="AD5" i="34"/>
  <c r="W111" i="20"/>
  <c r="W115" i="20"/>
  <c r="W116" i="20" s="1"/>
  <c r="W112" i="20" l="1"/>
  <c r="W113" i="20"/>
  <c r="AD18" i="34"/>
  <c r="AD11" i="34"/>
  <c r="AC11" i="31"/>
  <c r="AC18" i="31"/>
  <c r="AC30" i="31" l="1"/>
  <c r="AC48" i="31" s="1"/>
  <c r="AC66" i="31" s="1"/>
  <c r="AC84" i="31" s="1"/>
  <c r="AC102" i="31" s="1"/>
  <c r="AC126" i="31"/>
  <c r="AD125" i="34"/>
  <c r="AD30" i="34"/>
  <c r="AD48" i="34" s="1"/>
  <c r="AD66" i="34" s="1"/>
  <c r="AD84" i="34" s="1"/>
  <c r="AD102" i="34" s="1"/>
  <c r="AC38" i="31"/>
  <c r="AC133" i="31"/>
  <c r="AD132" i="34"/>
  <c r="AD38" i="34"/>
  <c r="W117" i="20"/>
  <c r="W129" i="20"/>
  <c r="AD5" i="31" l="1"/>
  <c r="W141" i="20"/>
  <c r="W144" i="20" s="1"/>
  <c r="AE5" i="34"/>
  <c r="W140" i="20"/>
  <c r="W143" i="20" s="1"/>
  <c r="X111" i="20"/>
  <c r="X115" i="20"/>
  <c r="X116" i="20" s="1"/>
  <c r="X112" i="20" l="1"/>
  <c r="X113" i="20"/>
  <c r="AE18" i="34"/>
  <c r="AE11" i="34"/>
  <c r="AD11" i="31"/>
  <c r="AD18" i="31"/>
  <c r="AD30" i="31" l="1"/>
  <c r="AD48" i="31" s="1"/>
  <c r="AD66" i="31" s="1"/>
  <c r="AD84" i="31" s="1"/>
  <c r="AD102" i="31" s="1"/>
  <c r="AD126" i="31"/>
  <c r="AE125" i="34"/>
  <c r="AE30" i="34"/>
  <c r="AE48" i="34" s="1"/>
  <c r="AE66" i="34" s="1"/>
  <c r="AE84" i="34" s="1"/>
  <c r="AE102" i="34" s="1"/>
  <c r="AD38" i="31"/>
  <c r="AD133" i="31"/>
  <c r="AE38" i="34"/>
  <c r="AE132" i="34"/>
  <c r="X117" i="20"/>
  <c r="X129" i="20"/>
  <c r="AE5" i="31" l="1"/>
  <c r="X140" i="20"/>
  <c r="X143" i="20" s="1"/>
  <c r="AF5" i="34"/>
  <c r="X141" i="20"/>
  <c r="X144" i="20" s="1"/>
  <c r="Y111" i="20"/>
  <c r="Y115" i="20"/>
  <c r="Y116" i="20" s="1"/>
  <c r="AF18" i="34" l="1"/>
  <c r="AF11" i="34"/>
  <c r="Y112" i="20"/>
  <c r="Y113" i="20"/>
  <c r="AE18" i="31"/>
  <c r="AE11" i="31"/>
  <c r="AE30" i="31" l="1"/>
  <c r="AE48" i="31" s="1"/>
  <c r="AE66" i="31" s="1"/>
  <c r="AE84" i="31" s="1"/>
  <c r="AE102" i="31" s="1"/>
  <c r="AE126" i="31"/>
  <c r="Y129" i="20"/>
  <c r="Y117" i="20"/>
  <c r="AE38" i="31"/>
  <c r="AE133" i="31"/>
  <c r="AF125" i="34"/>
  <c r="AF30" i="34"/>
  <c r="AF48" i="34" s="1"/>
  <c r="AF66" i="34" s="1"/>
  <c r="AF84" i="34" s="1"/>
  <c r="AF102" i="34" s="1"/>
  <c r="AF38" i="34"/>
  <c r="AF132" i="34"/>
  <c r="Z115" i="20" l="1"/>
  <c r="Z116" i="20" s="1"/>
  <c r="Z111" i="20"/>
  <c r="AG5" i="34"/>
  <c r="AF5" i="31"/>
  <c r="Y140" i="20"/>
  <c r="Y143" i="20" s="1"/>
  <c r="Y141" i="20"/>
  <c r="Y144" i="20" s="1"/>
  <c r="AG11" i="34" l="1"/>
  <c r="AG18" i="34"/>
  <c r="Z113" i="20"/>
  <c r="Z112" i="20"/>
  <c r="AF11" i="31"/>
  <c r="AF18" i="31"/>
  <c r="AF30" i="31" l="1"/>
  <c r="AF48" i="31" s="1"/>
  <c r="AF66" i="31" s="1"/>
  <c r="AF84" i="31" s="1"/>
  <c r="AF102" i="31" s="1"/>
  <c r="AF126" i="31"/>
  <c r="AG38" i="34"/>
  <c r="AG132" i="34"/>
  <c r="AF38" i="31"/>
  <c r="AF133" i="31"/>
  <c r="Z117" i="20"/>
  <c r="Z129" i="20"/>
  <c r="AG30" i="34"/>
  <c r="AG48" i="34" s="1"/>
  <c r="AG66" i="34" s="1"/>
  <c r="AG84" i="34" s="1"/>
  <c r="AG102" i="34" s="1"/>
  <c r="AG125" i="34"/>
  <c r="AH5" i="34" l="1"/>
  <c r="AG5" i="31"/>
  <c r="Z140" i="20"/>
  <c r="Z143" i="20" s="1"/>
  <c r="Z141" i="20"/>
  <c r="Z144" i="20" s="1"/>
  <c r="AA115" i="20"/>
  <c r="AA116" i="20" s="1"/>
  <c r="AA111" i="20"/>
  <c r="AG11" i="31" l="1"/>
  <c r="AG18" i="31"/>
  <c r="AA113" i="20"/>
  <c r="AA112" i="20"/>
  <c r="AH11" i="34"/>
  <c r="AH18" i="34"/>
  <c r="AH125" i="34" l="1"/>
  <c r="AH30" i="34"/>
  <c r="AH48" i="34" s="1"/>
  <c r="AH66" i="34" s="1"/>
  <c r="AH84" i="34" s="1"/>
  <c r="AH102" i="34" s="1"/>
  <c r="AG38" i="31"/>
  <c r="AG133" i="31"/>
  <c r="AH38" i="34"/>
  <c r="AH132" i="34"/>
  <c r="AA129" i="20"/>
  <c r="AA117" i="20"/>
  <c r="AG30" i="31"/>
  <c r="AG48" i="31" s="1"/>
  <c r="AG66" i="31" s="1"/>
  <c r="AG84" i="31" s="1"/>
  <c r="AG102" i="31" s="1"/>
  <c r="AG126" i="31"/>
  <c r="AB111" i="20" l="1"/>
  <c r="AB115" i="20"/>
  <c r="AB116" i="20" s="1"/>
  <c r="AI5" i="34"/>
  <c r="AA141" i="20"/>
  <c r="AA144" i="20" s="1"/>
  <c r="AA140" i="20"/>
  <c r="AA143" i="20" s="1"/>
  <c r="AH5" i="31"/>
  <c r="AH11" i="31" l="1"/>
  <c r="AH18" i="31"/>
  <c r="AI11" i="34"/>
  <c r="AI18" i="34"/>
  <c r="AB113" i="20"/>
  <c r="AB112" i="20"/>
  <c r="AH133" i="31" l="1"/>
  <c r="AH38" i="31"/>
  <c r="AB117" i="20"/>
  <c r="AB129" i="20"/>
  <c r="AI38" i="34"/>
  <c r="AI132" i="34"/>
  <c r="AI30" i="34"/>
  <c r="AI48" i="34" s="1"/>
  <c r="AI66" i="34" s="1"/>
  <c r="AI84" i="34" s="1"/>
  <c r="AI102" i="34" s="1"/>
  <c r="AI125" i="34"/>
  <c r="AH30" i="31"/>
  <c r="AH48" i="31" s="1"/>
  <c r="AH66" i="31" s="1"/>
  <c r="AH84" i="31" s="1"/>
  <c r="AH102" i="31" s="1"/>
  <c r="AH126" i="31"/>
  <c r="K57" i="27" l="1"/>
  <c r="M55" i="27" s="1"/>
  <c r="AC111" i="20"/>
  <c r="AC115" i="20"/>
  <c r="AC116" i="20" s="1"/>
  <c r="AB141" i="20"/>
  <c r="AB144" i="20" s="1"/>
  <c r="AJ5" i="34"/>
  <c r="AB140" i="20"/>
  <c r="AB143" i="20" s="1"/>
  <c r="AI5" i="31"/>
  <c r="AI11" i="31" l="1"/>
  <c r="AI18" i="31"/>
  <c r="AJ18" i="34"/>
  <c r="AJ11" i="34"/>
  <c r="AC113" i="20"/>
  <c r="AC112" i="20"/>
  <c r="AC129" i="20" l="1"/>
  <c r="AC117" i="20"/>
  <c r="AI133" i="31"/>
  <c r="AI38" i="31"/>
  <c r="AJ38" i="34"/>
  <c r="AJ132" i="34"/>
  <c r="AI30" i="31"/>
  <c r="AI48" i="31" s="1"/>
  <c r="AI66" i="31" s="1"/>
  <c r="AI84" i="31" s="1"/>
  <c r="AI102" i="31" s="1"/>
  <c r="AI126" i="31"/>
  <c r="AJ30" i="34"/>
  <c r="AJ48" i="34" s="1"/>
  <c r="AJ66" i="34" s="1"/>
  <c r="AJ84" i="34" s="1"/>
  <c r="AJ102" i="34" s="1"/>
  <c r="AJ125" i="34"/>
  <c r="AD111" i="20" l="1"/>
  <c r="AD115" i="20"/>
  <c r="AD116" i="20" s="1"/>
  <c r="AJ5" i="31"/>
  <c r="AC140" i="20"/>
  <c r="AC143" i="20" s="1"/>
  <c r="AC141" i="20"/>
  <c r="AC144" i="20" s="1"/>
  <c r="AK5" i="34"/>
  <c r="AJ11" i="31" l="1"/>
  <c r="AJ18" i="31"/>
  <c r="AK11" i="34"/>
  <c r="AK18" i="34"/>
  <c r="AD112" i="20"/>
  <c r="AD113" i="20"/>
  <c r="AD117" i="20" l="1"/>
  <c r="AD129" i="20"/>
  <c r="AK38" i="34"/>
  <c r="AK132" i="34"/>
  <c r="AK125" i="34"/>
  <c r="AK30" i="34"/>
  <c r="AK48" i="34" s="1"/>
  <c r="AK66" i="34" s="1"/>
  <c r="AK84" i="34" s="1"/>
  <c r="AK102" i="34" s="1"/>
  <c r="AJ38" i="31"/>
  <c r="AJ133" i="31"/>
  <c r="AJ30" i="31"/>
  <c r="AJ48" i="31" s="1"/>
  <c r="AJ66" i="31" s="1"/>
  <c r="AJ84" i="31" s="1"/>
  <c r="AJ102" i="31" s="1"/>
  <c r="AJ126" i="31"/>
  <c r="AK5" i="31" l="1"/>
  <c r="AD141" i="20"/>
  <c r="AD144" i="20" s="1"/>
  <c r="AL5" i="34"/>
  <c r="AD140" i="20"/>
  <c r="AD143" i="20" s="1"/>
  <c r="AE111" i="20"/>
  <c r="AE115" i="20"/>
  <c r="AE116" i="20" s="1"/>
  <c r="AE113" i="20" l="1"/>
  <c r="AE112" i="20"/>
  <c r="AL11" i="34"/>
  <c r="AL18" i="34"/>
  <c r="AK11" i="31"/>
  <c r="AK18" i="31"/>
  <c r="AK30" i="31" l="1"/>
  <c r="AK48" i="31" s="1"/>
  <c r="AK66" i="31" s="1"/>
  <c r="AK84" i="31" s="1"/>
  <c r="AK102" i="31" s="1"/>
  <c r="AK126" i="31"/>
  <c r="AK38" i="31"/>
  <c r="AK133" i="31"/>
  <c r="AE129" i="20"/>
  <c r="AE117" i="20"/>
  <c r="AL132" i="34"/>
  <c r="AL38" i="34"/>
  <c r="AL125" i="34"/>
  <c r="AL30" i="34"/>
  <c r="AL48" i="34" s="1"/>
  <c r="AL66" i="34" s="1"/>
  <c r="AL84" i="34" s="1"/>
  <c r="AL102" i="34" s="1"/>
  <c r="AL5" i="31" l="1"/>
  <c r="AE141" i="20"/>
  <c r="AE144" i="20" s="1"/>
  <c r="AM5" i="34"/>
  <c r="AE140" i="20"/>
  <c r="AE143" i="20" s="1"/>
  <c r="AF111" i="20"/>
  <c r="AF115" i="20"/>
  <c r="AF116" i="20" s="1"/>
  <c r="AM11" i="34" l="1"/>
  <c r="AM18" i="34"/>
  <c r="AF113" i="20"/>
  <c r="AF112" i="20"/>
  <c r="AL11" i="31"/>
  <c r="AL18" i="31"/>
  <c r="AL38" i="31" l="1"/>
  <c r="AL133" i="31"/>
  <c r="AF117" i="20"/>
  <c r="AF129" i="20"/>
  <c r="AM38" i="34"/>
  <c r="AM132" i="34"/>
  <c r="AL30" i="31"/>
  <c r="AL48" i="31" s="1"/>
  <c r="AL66" i="31" s="1"/>
  <c r="AL84" i="31" s="1"/>
  <c r="AL102" i="31" s="1"/>
  <c r="AL126" i="31"/>
  <c r="AM30" i="34"/>
  <c r="AM48" i="34" s="1"/>
  <c r="AM66" i="34" s="1"/>
  <c r="AM84" i="34" s="1"/>
  <c r="AM102" i="34" s="1"/>
  <c r="AM125" i="34"/>
  <c r="AF140" i="20" l="1"/>
  <c r="AF143" i="20" s="1"/>
  <c r="AF141" i="20"/>
  <c r="AF144" i="20" s="1"/>
  <c r="AN5" i="34"/>
  <c r="AM5" i="31"/>
  <c r="AG111" i="20"/>
  <c r="AG115" i="20"/>
  <c r="AG116" i="20" s="1"/>
  <c r="AN18" i="34" l="1"/>
  <c r="AN11" i="34"/>
  <c r="AG112" i="20"/>
  <c r="AG113" i="20"/>
  <c r="AM11" i="31"/>
  <c r="AM18" i="31"/>
  <c r="AM38" i="31" l="1"/>
  <c r="AM133" i="31"/>
  <c r="AM30" i="31"/>
  <c r="AM48" i="31" s="1"/>
  <c r="AM66" i="31" s="1"/>
  <c r="AM84" i="31" s="1"/>
  <c r="AM102" i="31" s="1"/>
  <c r="AM126" i="31"/>
  <c r="AN30" i="34"/>
  <c r="AN48" i="34" s="1"/>
  <c r="AN66" i="34" s="1"/>
  <c r="AN84" i="34" s="1"/>
  <c r="AN102" i="34" s="1"/>
  <c r="AN125" i="34"/>
  <c r="AG129" i="20"/>
  <c r="AG117" i="20"/>
  <c r="AN38" i="34"/>
  <c r="AN132" i="34"/>
  <c r="AN5" i="31" l="1"/>
  <c r="AG140" i="20"/>
  <c r="AG143" i="20" s="1"/>
  <c r="AO5" i="34"/>
  <c r="AG141" i="20"/>
  <c r="AG144" i="20" s="1"/>
  <c r="AH115" i="20"/>
  <c r="AH116" i="20" s="1"/>
  <c r="AH111" i="20"/>
  <c r="AO11" i="34" l="1"/>
  <c r="AO18" i="34"/>
  <c r="AH112" i="20"/>
  <c r="AH113" i="20"/>
  <c r="AN11" i="31"/>
  <c r="AN18" i="31"/>
  <c r="AN38" i="31" l="1"/>
  <c r="AN133" i="31"/>
  <c r="AH129" i="20"/>
  <c r="AH117" i="20"/>
  <c r="AN30" i="31"/>
  <c r="AN48" i="31" s="1"/>
  <c r="AN66" i="31" s="1"/>
  <c r="AN84" i="31" s="1"/>
  <c r="AN102" i="31" s="1"/>
  <c r="AN126" i="31"/>
  <c r="AO132" i="34"/>
  <c r="AO38" i="34"/>
  <c r="AO125" i="34"/>
  <c r="AO30" i="34"/>
  <c r="AO48" i="34" s="1"/>
  <c r="AO66" i="34" s="1"/>
  <c r="AO84" i="34" s="1"/>
  <c r="AO102" i="34" s="1"/>
  <c r="AH140" i="20" l="1"/>
  <c r="AH143" i="20" s="1"/>
  <c r="AO5" i="31"/>
  <c r="AH141" i="20"/>
  <c r="AH144" i="20" s="1"/>
  <c r="AP5" i="34"/>
  <c r="AI111" i="20"/>
  <c r="AI115" i="20"/>
  <c r="AI116" i="20" s="1"/>
  <c r="AP18" i="34" l="1"/>
  <c r="AP11" i="34"/>
  <c r="AO11" i="31"/>
  <c r="AO18" i="31"/>
  <c r="AI112" i="20"/>
  <c r="AI113" i="20"/>
  <c r="AO30" i="31" l="1"/>
  <c r="AO48" i="31" s="1"/>
  <c r="AO66" i="31" s="1"/>
  <c r="AO84" i="31" s="1"/>
  <c r="AO102" i="31" s="1"/>
  <c r="AO126" i="31"/>
  <c r="AO38" i="31"/>
  <c r="AO133" i="31"/>
  <c r="AP30" i="34"/>
  <c r="AP48" i="34" s="1"/>
  <c r="AP66" i="34" s="1"/>
  <c r="AP84" i="34" s="1"/>
  <c r="AP102" i="34" s="1"/>
  <c r="AP125" i="34"/>
  <c r="AI117" i="20"/>
  <c r="AI129" i="20"/>
  <c r="AP132" i="34"/>
  <c r="AP38" i="34"/>
  <c r="AI140" i="20" l="1"/>
  <c r="AI143" i="20" s="1"/>
  <c r="AI141" i="20"/>
  <c r="AI144" i="20" s="1"/>
  <c r="AP5" i="31"/>
  <c r="AQ5" i="34"/>
  <c r="AJ111" i="20"/>
  <c r="AJ115" i="20"/>
  <c r="AJ116" i="20" s="1"/>
  <c r="AQ11" i="34" l="1"/>
  <c r="AQ18" i="34"/>
  <c r="AJ113" i="20"/>
  <c r="AJ112" i="20"/>
  <c r="AP11" i="31"/>
  <c r="AP18" i="31"/>
  <c r="AP38" i="31" l="1"/>
  <c r="AP133" i="31"/>
  <c r="AP30" i="31"/>
  <c r="AP48" i="31" s="1"/>
  <c r="AP66" i="31" s="1"/>
  <c r="AP84" i="31" s="1"/>
  <c r="AP102" i="31" s="1"/>
  <c r="AP126" i="31"/>
  <c r="AQ132" i="34"/>
  <c r="AQ38" i="34"/>
  <c r="AJ117" i="20"/>
  <c r="AJ129" i="20"/>
  <c r="AQ30" i="34"/>
  <c r="AQ48" i="34" s="1"/>
  <c r="AQ66" i="34" s="1"/>
  <c r="AQ84" i="34" s="1"/>
  <c r="AQ102" i="34" s="1"/>
  <c r="AQ125" i="34"/>
  <c r="AJ141" i="20" l="1"/>
  <c r="AJ144" i="20" s="1"/>
  <c r="AR5" i="34"/>
  <c r="AQ5" i="31"/>
  <c r="AJ140" i="20"/>
  <c r="AJ143" i="20" s="1"/>
  <c r="AK111" i="20"/>
  <c r="AK115" i="20"/>
  <c r="AK116" i="20" s="1"/>
  <c r="AK112" i="20" l="1"/>
  <c r="AK113" i="20"/>
  <c r="AR11" i="34"/>
  <c r="AR18" i="34"/>
  <c r="AQ11" i="31"/>
  <c r="AQ18" i="31"/>
  <c r="AQ38" i="31" l="1"/>
  <c r="AQ133" i="31"/>
  <c r="AR38" i="34"/>
  <c r="AR132" i="34"/>
  <c r="AQ30" i="31"/>
  <c r="AQ48" i="31" s="1"/>
  <c r="AQ66" i="31" s="1"/>
  <c r="AQ84" i="31" s="1"/>
  <c r="AQ102" i="31" s="1"/>
  <c r="AQ126" i="31"/>
  <c r="AR125" i="34"/>
  <c r="AR30" i="34"/>
  <c r="AR48" i="34" s="1"/>
  <c r="AR66" i="34" s="1"/>
  <c r="AR84" i="34" s="1"/>
  <c r="AR102" i="34" s="1"/>
  <c r="AK129" i="20"/>
  <c r="AK117" i="20"/>
  <c r="AL111" i="20" l="1"/>
  <c r="AL115" i="20"/>
  <c r="AL116" i="20" s="1"/>
  <c r="AK140" i="20"/>
  <c r="AK143" i="20" s="1"/>
  <c r="AR5" i="31"/>
  <c r="AK141" i="20"/>
  <c r="AK144" i="20" s="1"/>
  <c r="AS5" i="34"/>
  <c r="AS11" i="34" l="1"/>
  <c r="AS18" i="34"/>
  <c r="AR11" i="31"/>
  <c r="AR18" i="31"/>
  <c r="AL112" i="20"/>
  <c r="AL113" i="20"/>
  <c r="AR126" i="31" l="1"/>
  <c r="AR30" i="31"/>
  <c r="AR48" i="31" s="1"/>
  <c r="AR66" i="31" s="1"/>
  <c r="AR84" i="31" s="1"/>
  <c r="AR102" i="31" s="1"/>
  <c r="AS38" i="34"/>
  <c r="AS132" i="34"/>
  <c r="AL117" i="20"/>
  <c r="AL129" i="20"/>
  <c r="AR38" i="31"/>
  <c r="AR133" i="31"/>
  <c r="AS125" i="34"/>
  <c r="AS30" i="34"/>
  <c r="AS48" i="34" s="1"/>
  <c r="AS66" i="34" s="1"/>
  <c r="AS84" i="34" s="1"/>
  <c r="AS102" i="34" s="1"/>
  <c r="AM111" i="20" l="1"/>
  <c r="AM115" i="20"/>
  <c r="AM116" i="20" s="1"/>
  <c r="AS5" i="31"/>
  <c r="AT5" i="34"/>
  <c r="AL140" i="20"/>
  <c r="AL143" i="20" s="1"/>
  <c r="AL141" i="20"/>
  <c r="AL144" i="20" s="1"/>
  <c r="AT11" i="34" l="1"/>
  <c r="AT18" i="34"/>
  <c r="AS18" i="31"/>
  <c r="AS11" i="31"/>
  <c r="AM112" i="20"/>
  <c r="AM113" i="20"/>
  <c r="AS38" i="31" l="1"/>
  <c r="AS133" i="31"/>
  <c r="AM117" i="20"/>
  <c r="AM129" i="20"/>
  <c r="AT38" i="34"/>
  <c r="AT132" i="34"/>
  <c r="AS30" i="31"/>
  <c r="AS48" i="31" s="1"/>
  <c r="AS66" i="31" s="1"/>
  <c r="AS84" i="31" s="1"/>
  <c r="AS102" i="31" s="1"/>
  <c r="AS126" i="31"/>
  <c r="AT125" i="34"/>
  <c r="AT30" i="34"/>
  <c r="AT48" i="34" s="1"/>
  <c r="AT66" i="34" s="1"/>
  <c r="AT84" i="34" s="1"/>
  <c r="AT102" i="34" s="1"/>
  <c r="AN111" i="20" l="1"/>
  <c r="AN115" i="20"/>
  <c r="AN116" i="20" s="1"/>
  <c r="AM141" i="20"/>
  <c r="AM144" i="20" s="1"/>
  <c r="AU5" i="34"/>
  <c r="AT5" i="31"/>
  <c r="AM140" i="20"/>
  <c r="AM143" i="20" s="1"/>
  <c r="AT11" i="31" l="1"/>
  <c r="AT18" i="31"/>
  <c r="AU11" i="34"/>
  <c r="AU18" i="34"/>
  <c r="AN112" i="20"/>
  <c r="AN113" i="20"/>
  <c r="AU30" i="34" l="1"/>
  <c r="AU48" i="34" s="1"/>
  <c r="AU66" i="34" s="1"/>
  <c r="AU84" i="34" s="1"/>
  <c r="AU102" i="34" s="1"/>
  <c r="AU125" i="34"/>
  <c r="AU38" i="34"/>
  <c r="AU132" i="34"/>
  <c r="AT133" i="31"/>
  <c r="AT38" i="31"/>
  <c r="AN117" i="20"/>
  <c r="AN129" i="20"/>
  <c r="AT30" i="31"/>
  <c r="AT48" i="31" s="1"/>
  <c r="AT66" i="31" s="1"/>
  <c r="AT84" i="31" s="1"/>
  <c r="AT102" i="31" s="1"/>
  <c r="AT126" i="31"/>
  <c r="M57" i="27" l="1"/>
  <c r="O55" i="27" s="1"/>
  <c r="AO111" i="20"/>
  <c r="AO115" i="20"/>
  <c r="AO116" i="20" s="1"/>
  <c r="AU5" i="31"/>
  <c r="AN140" i="20"/>
  <c r="AN143" i="20" s="1"/>
  <c r="AV5" i="34"/>
  <c r="AN141" i="20"/>
  <c r="AN144" i="20" s="1"/>
  <c r="AV18" i="34" l="1"/>
  <c r="AV11" i="34"/>
  <c r="AU18" i="31"/>
  <c r="AU11" i="31"/>
  <c r="AO112" i="20"/>
  <c r="AO113" i="20"/>
  <c r="AO129" i="20" l="1"/>
  <c r="AO117" i="20"/>
  <c r="AU30" i="31"/>
  <c r="AU48" i="31" s="1"/>
  <c r="AU66" i="31" s="1"/>
  <c r="AU84" i="31" s="1"/>
  <c r="AU102" i="31" s="1"/>
  <c r="AU126" i="31"/>
  <c r="AV125" i="34"/>
  <c r="AV30" i="34"/>
  <c r="AV48" i="34" s="1"/>
  <c r="AV66" i="34" s="1"/>
  <c r="AV84" i="34" s="1"/>
  <c r="AV102" i="34" s="1"/>
  <c r="AU38" i="31"/>
  <c r="AU133" i="31"/>
  <c r="AV132" i="34"/>
  <c r="AV38" i="34"/>
  <c r="AP115" i="20" l="1"/>
  <c r="AP116" i="20" s="1"/>
  <c r="AP111" i="20"/>
  <c r="AV5" i="31"/>
  <c r="AO141" i="20"/>
  <c r="AO144" i="20" s="1"/>
  <c r="AW5" i="34"/>
  <c r="AO140" i="20"/>
  <c r="AO143" i="20" s="1"/>
  <c r="AV11" i="31" l="1"/>
  <c r="AV18" i="31"/>
  <c r="AW11" i="34"/>
  <c r="AW18" i="34"/>
  <c r="AP112" i="20"/>
  <c r="AP113" i="20"/>
  <c r="AW132" i="34" l="1"/>
  <c r="AW38" i="34"/>
  <c r="AV38" i="31"/>
  <c r="AV133" i="31"/>
  <c r="AP129" i="20"/>
  <c r="AP117" i="20"/>
  <c r="AW30" i="34"/>
  <c r="AW48" i="34" s="1"/>
  <c r="AW66" i="34" s="1"/>
  <c r="AW84" i="34" s="1"/>
  <c r="AW102" i="34" s="1"/>
  <c r="AW125" i="34"/>
  <c r="AV30" i="31"/>
  <c r="AV48" i="31" s="1"/>
  <c r="AV66" i="31" s="1"/>
  <c r="AV84" i="31" s="1"/>
  <c r="AV102" i="31" s="1"/>
  <c r="AV126" i="31"/>
  <c r="AW5" i="31" l="1"/>
  <c r="AP140" i="20"/>
  <c r="AP143" i="20" s="1"/>
  <c r="AX5" i="34"/>
  <c r="AP141" i="20"/>
  <c r="AP144" i="20" s="1"/>
  <c r="AQ111" i="20"/>
  <c r="AQ115" i="20"/>
  <c r="AQ116" i="20" s="1"/>
  <c r="AQ113" i="20" l="1"/>
  <c r="AQ112" i="20"/>
  <c r="AX18" i="34"/>
  <c r="AX11" i="34"/>
  <c r="AW11" i="31"/>
  <c r="AW18" i="31"/>
  <c r="AW133" i="31" l="1"/>
  <c r="AW38" i="31"/>
  <c r="AQ129" i="20"/>
  <c r="AQ117" i="20"/>
  <c r="AW126" i="31"/>
  <c r="AW30" i="31"/>
  <c r="AW48" i="31" s="1"/>
  <c r="AW66" i="31" s="1"/>
  <c r="AW84" i="31" s="1"/>
  <c r="AW102" i="31" s="1"/>
  <c r="AX30" i="34"/>
  <c r="AX48" i="34" s="1"/>
  <c r="AX66" i="34" s="1"/>
  <c r="AX84" i="34" s="1"/>
  <c r="AX102" i="34" s="1"/>
  <c r="AX125" i="34"/>
  <c r="AX38" i="34"/>
  <c r="AX132" i="34"/>
  <c r="AX5" i="31" l="1"/>
  <c r="AY5" i="34"/>
  <c r="AQ141" i="20"/>
  <c r="AQ144" i="20" s="1"/>
  <c r="AQ140" i="20"/>
  <c r="AQ143" i="20" s="1"/>
  <c r="AR111" i="20"/>
  <c r="AR115" i="20"/>
  <c r="AR116" i="20" s="1"/>
  <c r="AY11" i="34" l="1"/>
  <c r="AY18" i="34"/>
  <c r="AR113" i="20"/>
  <c r="AR112" i="20"/>
  <c r="AX18" i="31"/>
  <c r="AX11" i="31"/>
  <c r="AX126" i="31" l="1"/>
  <c r="AX30" i="31"/>
  <c r="AX48" i="31" s="1"/>
  <c r="AX66" i="31" s="1"/>
  <c r="AX84" i="31" s="1"/>
  <c r="AX102" i="31" s="1"/>
  <c r="AR117" i="20"/>
  <c r="AR129" i="20"/>
  <c r="AY38" i="34"/>
  <c r="AY132" i="34"/>
  <c r="AX38" i="31"/>
  <c r="AX133" i="31"/>
  <c r="AY30" i="34"/>
  <c r="AY48" i="34" s="1"/>
  <c r="AY66" i="34" s="1"/>
  <c r="AY84" i="34" s="1"/>
  <c r="AY102" i="34" s="1"/>
  <c r="AY125" i="34"/>
  <c r="AZ5" i="34" l="1"/>
  <c r="AR141" i="20"/>
  <c r="AR144" i="20" s="1"/>
  <c r="AR140" i="20"/>
  <c r="AR143" i="20" s="1"/>
  <c r="AY5" i="31"/>
  <c r="AS111" i="20"/>
  <c r="AS115" i="20"/>
  <c r="AS116" i="20" s="1"/>
  <c r="AS112" i="20" l="1"/>
  <c r="AS113" i="20"/>
  <c r="AY11" i="31"/>
  <c r="AY18" i="31"/>
  <c r="AZ11" i="34"/>
  <c r="AZ18" i="34"/>
  <c r="AZ38" i="34" l="1"/>
  <c r="AZ132" i="34"/>
  <c r="AY38" i="31"/>
  <c r="AY133" i="31"/>
  <c r="AZ125" i="34"/>
  <c r="AZ30" i="34"/>
  <c r="AZ48" i="34" s="1"/>
  <c r="AZ66" i="34" s="1"/>
  <c r="AZ84" i="34" s="1"/>
  <c r="AZ102" i="34" s="1"/>
  <c r="AY126" i="31"/>
  <c r="AY30" i="31"/>
  <c r="AY48" i="31" s="1"/>
  <c r="AY66" i="31" s="1"/>
  <c r="AY84" i="31" s="1"/>
  <c r="AY102" i="31" s="1"/>
  <c r="AS117" i="20"/>
  <c r="AS129" i="20"/>
  <c r="AZ5" i="31" l="1"/>
  <c r="BA5" i="34"/>
  <c r="AS141" i="20"/>
  <c r="AS144" i="20" s="1"/>
  <c r="AS140" i="20"/>
  <c r="AS143" i="20" s="1"/>
  <c r="AT111" i="20"/>
  <c r="AT115" i="20"/>
  <c r="AT116" i="20" s="1"/>
  <c r="AT113" i="20" l="1"/>
  <c r="AT112" i="20"/>
  <c r="BA11" i="34"/>
  <c r="BA18" i="34"/>
  <c r="AZ18" i="31"/>
  <c r="AZ11" i="31"/>
  <c r="BA30" i="34" l="1"/>
  <c r="BA48" i="34" s="1"/>
  <c r="BA66" i="34" s="1"/>
  <c r="BA84" i="34" s="1"/>
  <c r="BA102" i="34" s="1"/>
  <c r="BA125" i="34"/>
  <c r="AZ30" i="31"/>
  <c r="AZ48" i="31" s="1"/>
  <c r="AZ66" i="31" s="1"/>
  <c r="AZ84" i="31" s="1"/>
  <c r="AZ102" i="31" s="1"/>
  <c r="AZ126" i="31"/>
  <c r="AZ133" i="31"/>
  <c r="AZ38" i="31"/>
  <c r="AT129" i="20"/>
  <c r="AT117" i="20"/>
  <c r="BA132" i="34"/>
  <c r="BA38" i="34"/>
  <c r="BA5" i="31" l="1"/>
  <c r="BB5" i="34"/>
  <c r="AT141" i="20"/>
  <c r="AT144" i="20" s="1"/>
  <c r="AT140" i="20"/>
  <c r="AT143" i="20" s="1"/>
  <c r="AU115" i="20"/>
  <c r="AU116" i="20" s="1"/>
  <c r="AU111" i="20"/>
  <c r="AU112" i="20" l="1"/>
  <c r="AU113" i="20"/>
  <c r="BB11" i="34"/>
  <c r="BB18" i="34"/>
  <c r="BA18" i="31"/>
  <c r="BA11" i="31"/>
  <c r="BA38" i="31" l="1"/>
  <c r="BA133" i="31"/>
  <c r="BB132" i="34"/>
  <c r="BB38" i="34"/>
  <c r="BA30" i="31"/>
  <c r="BA48" i="31" s="1"/>
  <c r="BA66" i="31" s="1"/>
  <c r="BA84" i="31" s="1"/>
  <c r="BA102" i="31" s="1"/>
  <c r="BA126" i="31"/>
  <c r="BB125" i="34"/>
  <c r="BB30" i="34"/>
  <c r="BB48" i="34" s="1"/>
  <c r="BB66" i="34" s="1"/>
  <c r="BB84" i="34" s="1"/>
  <c r="BB102" i="34" s="1"/>
  <c r="AU117" i="20"/>
  <c r="AU129" i="20"/>
  <c r="BB5" i="31" l="1"/>
  <c r="AU141" i="20"/>
  <c r="AU144" i="20" s="1"/>
  <c r="BC5" i="34"/>
  <c r="AU140" i="20"/>
  <c r="AU143" i="20" s="1"/>
  <c r="AV111" i="20"/>
  <c r="AV115" i="20"/>
  <c r="AV116" i="20" s="1"/>
  <c r="BC11" i="34" l="1"/>
  <c r="BC18" i="34"/>
  <c r="AV113" i="20"/>
  <c r="AV112" i="20"/>
  <c r="BB11" i="31"/>
  <c r="BB18" i="31"/>
  <c r="BB30" i="31" l="1"/>
  <c r="BB48" i="31" s="1"/>
  <c r="BB66" i="31" s="1"/>
  <c r="BB84" i="31" s="1"/>
  <c r="BB102" i="31" s="1"/>
  <c r="BB126" i="31"/>
  <c r="AV117" i="20"/>
  <c r="AV129" i="20"/>
  <c r="BC38" i="34"/>
  <c r="BC132" i="34"/>
  <c r="BB38" i="31"/>
  <c r="BB133" i="31"/>
  <c r="BC30" i="34"/>
  <c r="BC48" i="34" s="1"/>
  <c r="BC66" i="34" s="1"/>
  <c r="BC84" i="34" s="1"/>
  <c r="BC102" i="34" s="1"/>
  <c r="BC125" i="34"/>
  <c r="BD5" i="34" l="1"/>
  <c r="AV140" i="20"/>
  <c r="AV143" i="20" s="1"/>
  <c r="AV141" i="20"/>
  <c r="AV144" i="20" s="1"/>
  <c r="BC5" i="31"/>
  <c r="AW111" i="20"/>
  <c r="AW115" i="20"/>
  <c r="AW116" i="20" s="1"/>
  <c r="BC11" i="31" l="1"/>
  <c r="BC18" i="31"/>
  <c r="AW113" i="20"/>
  <c r="AW112" i="20"/>
  <c r="BD18" i="34"/>
  <c r="BD11" i="34"/>
  <c r="BD30" i="34" l="1"/>
  <c r="BD48" i="34" s="1"/>
  <c r="BD66" i="34" s="1"/>
  <c r="BD84" i="34" s="1"/>
  <c r="BD102" i="34" s="1"/>
  <c r="BD125" i="34"/>
  <c r="AW129" i="20"/>
  <c r="AW117" i="20"/>
  <c r="BD38" i="34"/>
  <c r="BD132" i="34"/>
  <c r="BC38" i="31"/>
  <c r="BC133" i="31"/>
  <c r="BC30" i="31"/>
  <c r="BC48" i="31" s="1"/>
  <c r="BC66" i="31" s="1"/>
  <c r="BC84" i="31" s="1"/>
  <c r="BC102" i="31" s="1"/>
  <c r="BC126" i="31"/>
  <c r="AX111" i="20" l="1"/>
  <c r="AX115" i="20"/>
  <c r="AX116" i="20" s="1"/>
  <c r="BD5" i="31"/>
  <c r="AW141" i="20"/>
  <c r="AW144" i="20" s="1"/>
  <c r="BE5" i="34"/>
  <c r="AW140" i="20"/>
  <c r="AW143" i="20" s="1"/>
  <c r="BD11" i="31" l="1"/>
  <c r="BD18" i="31"/>
  <c r="BE11" i="34"/>
  <c r="BE18" i="34"/>
  <c r="AX112" i="20"/>
  <c r="AX113" i="20"/>
  <c r="BE30" i="34" l="1"/>
  <c r="BE48" i="34" s="1"/>
  <c r="BE66" i="34" s="1"/>
  <c r="BE84" i="34" s="1"/>
  <c r="BE102" i="34" s="1"/>
  <c r="BE125" i="34"/>
  <c r="BD133" i="31"/>
  <c r="BD38" i="31"/>
  <c r="AX129" i="20"/>
  <c r="AX117" i="20"/>
  <c r="BE38" i="34"/>
  <c r="BE132" i="34"/>
  <c r="BD30" i="31"/>
  <c r="BD48" i="31" s="1"/>
  <c r="BD66" i="31" s="1"/>
  <c r="BD84" i="31" s="1"/>
  <c r="BD102" i="31" s="1"/>
  <c r="BD126" i="31"/>
  <c r="AY111" i="20" l="1"/>
  <c r="AY115" i="20"/>
  <c r="AY116" i="20" s="1"/>
  <c r="AX140" i="20"/>
  <c r="AX143" i="20" s="1"/>
  <c r="AX141" i="20"/>
  <c r="AX144" i="20" s="1"/>
  <c r="BE5" i="31"/>
  <c r="BF5" i="34"/>
  <c r="BF11" i="34" l="1"/>
  <c r="BF18" i="34"/>
  <c r="BE11" i="31"/>
  <c r="BE18" i="31"/>
  <c r="AY112" i="20"/>
  <c r="AY113" i="20"/>
  <c r="BE30" i="31" l="1"/>
  <c r="BE48" i="31" s="1"/>
  <c r="BE66" i="31" s="1"/>
  <c r="BE84" i="31" s="1"/>
  <c r="BE102" i="31" s="1"/>
  <c r="BE126" i="31"/>
  <c r="BF38" i="34"/>
  <c r="BF132" i="34"/>
  <c r="AY129" i="20"/>
  <c r="AY117" i="20"/>
  <c r="BE38" i="31"/>
  <c r="BE133" i="31"/>
  <c r="BF125" i="34"/>
  <c r="BF30" i="34"/>
  <c r="BF48" i="34" s="1"/>
  <c r="BF66" i="34" s="1"/>
  <c r="BF84" i="34" s="1"/>
  <c r="BF102" i="34" s="1"/>
  <c r="AZ111" i="20" l="1"/>
  <c r="AZ115" i="20"/>
  <c r="AZ116" i="20" s="1"/>
  <c r="BG5" i="34"/>
  <c r="BF5" i="31"/>
  <c r="AY141" i="20"/>
  <c r="AY144" i="20" s="1"/>
  <c r="AY140" i="20"/>
  <c r="AY143" i="20" s="1"/>
  <c r="BF11" i="31" l="1"/>
  <c r="BF18" i="31"/>
  <c r="BG11" i="34"/>
  <c r="BG18" i="34"/>
  <c r="AZ113" i="20"/>
  <c r="AZ112" i="20"/>
  <c r="AZ117" i="20" l="1"/>
  <c r="BF38" i="31"/>
  <c r="BF133" i="31"/>
  <c r="BG38" i="34"/>
  <c r="BG132" i="34"/>
  <c r="BG125" i="34"/>
  <c r="BG30" i="34"/>
  <c r="BG48" i="34" s="1"/>
  <c r="BG66" i="34" s="1"/>
  <c r="BG84" i="34" s="1"/>
  <c r="BG102" i="34" s="1"/>
  <c r="BF126" i="31"/>
  <c r="BF30" i="31"/>
  <c r="BF48" i="31" s="1"/>
  <c r="BF66" i="31" s="1"/>
  <c r="BF84" i="31" s="1"/>
  <c r="BF102" i="31" s="1"/>
  <c r="BA115" i="20" l="1"/>
  <c r="BA116" i="20" s="1"/>
  <c r="O57" i="27"/>
  <c r="Q55" i="27" s="1"/>
  <c r="BA111" i="20"/>
  <c r="BA129" i="20" l="1"/>
  <c r="BH5" i="31" l="1"/>
  <c r="BA141" i="20"/>
  <c r="BA144" i="20" s="1"/>
  <c r="BI5" i="34"/>
  <c r="BA140" i="20"/>
  <c r="BA143" i="20" s="1"/>
  <c r="BI18" i="34" l="1"/>
  <c r="BI11" i="34"/>
  <c r="BH11" i="31"/>
  <c r="BH18" i="31"/>
  <c r="BH30" i="31" l="1"/>
  <c r="BH48" i="31" s="1"/>
  <c r="BH66" i="31" s="1"/>
  <c r="BH84" i="31" s="1"/>
  <c r="BH102" i="31" s="1"/>
  <c r="BH126" i="31"/>
  <c r="BI38" i="34"/>
  <c r="BI132" i="34"/>
  <c r="BB129" i="20"/>
  <c r="BH133" i="31"/>
  <c r="BH38" i="31"/>
  <c r="BI30" i="34"/>
  <c r="BI48" i="34" s="1"/>
  <c r="BI66" i="34" s="1"/>
  <c r="BI84" i="34" s="1"/>
  <c r="BI102" i="34" s="1"/>
  <c r="BI125" i="34"/>
  <c r="BB141" i="20" l="1"/>
  <c r="BB144" i="20" s="1"/>
  <c r="BB140" i="20"/>
  <c r="BB143" i="20" s="1"/>
  <c r="BI5" i="31"/>
  <c r="BJ5" i="34"/>
  <c r="BJ11" i="34" l="1"/>
  <c r="BJ18" i="34"/>
  <c r="BI11" i="31"/>
  <c r="BI18" i="31"/>
  <c r="BI126" i="31" l="1"/>
  <c r="BI30" i="31"/>
  <c r="BI48" i="31" s="1"/>
  <c r="BI66" i="31" s="1"/>
  <c r="BI84" i="31" s="1"/>
  <c r="BI102" i="31" s="1"/>
  <c r="BC129" i="20"/>
  <c r="BJ132" i="34"/>
  <c r="BJ38" i="34"/>
  <c r="BI133" i="31"/>
  <c r="BI38" i="31"/>
  <c r="BJ30" i="34"/>
  <c r="BJ48" i="34" s="1"/>
  <c r="BJ66" i="34" s="1"/>
  <c r="BJ84" i="34" s="1"/>
  <c r="BJ102" i="34" s="1"/>
  <c r="BJ125" i="34"/>
  <c r="BJ5" i="31" l="1"/>
  <c r="BC141" i="20"/>
  <c r="BC144" i="20" s="1"/>
  <c r="BK5" i="34"/>
  <c r="BC140" i="20"/>
  <c r="BC143" i="20" s="1"/>
  <c r="BK11" i="34" l="1"/>
  <c r="BK18" i="34"/>
  <c r="BJ11" i="31"/>
  <c r="BJ18" i="31"/>
  <c r="BJ38" i="31" l="1"/>
  <c r="BJ133" i="31"/>
  <c r="BJ30" i="31"/>
  <c r="BJ48" i="31" s="1"/>
  <c r="BJ66" i="31" s="1"/>
  <c r="BJ84" i="31" s="1"/>
  <c r="BJ102" i="31" s="1"/>
  <c r="BJ126" i="31"/>
  <c r="BK132" i="34"/>
  <c r="BK38" i="34"/>
  <c r="BK30" i="34"/>
  <c r="BK48" i="34" s="1"/>
  <c r="BK66" i="34" s="1"/>
  <c r="BK84" i="34" s="1"/>
  <c r="BK102" i="34" s="1"/>
  <c r="BK125" i="34"/>
  <c r="BD129" i="20"/>
  <c r="BK5" i="31" l="1"/>
  <c r="BD140" i="20"/>
  <c r="BD143" i="20" s="1"/>
  <c r="BD141" i="20"/>
  <c r="BD144" i="20" s="1"/>
  <c r="BL5" i="34"/>
  <c r="BL18" i="34" l="1"/>
  <c r="BL11" i="34"/>
  <c r="BK11" i="31"/>
  <c r="BK18" i="31"/>
  <c r="BK38" i="31" l="1"/>
  <c r="BK133" i="31"/>
  <c r="BE129" i="20"/>
  <c r="BK30" i="31"/>
  <c r="BK48" i="31" s="1"/>
  <c r="BK66" i="31" s="1"/>
  <c r="BK84" i="31" s="1"/>
  <c r="BK102" i="31" s="1"/>
  <c r="BK126" i="31"/>
  <c r="BL30" i="34"/>
  <c r="BL48" i="34" s="1"/>
  <c r="BL66" i="34" s="1"/>
  <c r="BL84" i="34" s="1"/>
  <c r="BL102" i="34" s="1"/>
  <c r="BL125" i="34"/>
  <c r="BL38" i="34"/>
  <c r="BL132" i="34"/>
  <c r="BE141" i="20" l="1"/>
  <c r="BE144" i="20" s="1"/>
  <c r="BM5" i="34"/>
  <c r="BL5" i="31"/>
  <c r="BE140" i="20"/>
  <c r="BE143" i="20" s="1"/>
  <c r="BM11" i="34" l="1"/>
  <c r="BM18" i="34"/>
  <c r="BL11" i="31"/>
  <c r="BL18" i="31"/>
  <c r="BL133" i="31" l="1"/>
  <c r="BL38" i="31"/>
  <c r="BM38" i="34"/>
  <c r="BM132" i="34"/>
  <c r="BF129" i="20"/>
  <c r="BL30" i="31"/>
  <c r="BL48" i="31" s="1"/>
  <c r="BL66" i="31" s="1"/>
  <c r="BL84" i="31" s="1"/>
  <c r="BL102" i="31" s="1"/>
  <c r="BL126" i="31"/>
  <c r="BM125" i="34"/>
  <c r="BM30" i="34"/>
  <c r="BM48" i="34" s="1"/>
  <c r="BM66" i="34" s="1"/>
  <c r="BM84" i="34" s="1"/>
  <c r="BM102" i="34" s="1"/>
  <c r="BM5" i="31" l="1"/>
  <c r="BN5" i="34"/>
  <c r="BF140" i="20"/>
  <c r="BF143" i="20" s="1"/>
  <c r="BF141" i="20"/>
  <c r="BF144" i="20" s="1"/>
  <c r="BM18" i="31" l="1"/>
  <c r="BM11" i="31"/>
  <c r="BN11" i="34"/>
  <c r="BN18" i="34"/>
  <c r="BM30" i="31" l="1"/>
  <c r="BM48" i="31" s="1"/>
  <c r="BM66" i="31" s="1"/>
  <c r="BM84" i="31" s="1"/>
  <c r="BM102" i="31" s="1"/>
  <c r="BM126" i="31"/>
  <c r="BG129" i="20"/>
  <c r="BN132" i="34"/>
  <c r="BN38" i="34"/>
  <c r="BN125" i="34"/>
  <c r="BN30" i="34"/>
  <c r="BN48" i="34" s="1"/>
  <c r="BN66" i="34" s="1"/>
  <c r="BN84" i="34" s="1"/>
  <c r="BN102" i="34" s="1"/>
  <c r="BM38" i="31"/>
  <c r="BM133" i="31"/>
  <c r="BN5" i="31" l="1"/>
  <c r="BG140" i="20"/>
  <c r="BG143" i="20" s="1"/>
  <c r="BG141" i="20"/>
  <c r="BG144" i="20" s="1"/>
  <c r="BO5" i="34"/>
  <c r="BO11" i="34" l="1"/>
  <c r="BO18" i="34"/>
  <c r="BN11" i="31"/>
  <c r="BN18" i="31"/>
  <c r="BN133" i="31" l="1"/>
  <c r="BN38" i="31"/>
  <c r="BO38" i="34"/>
  <c r="BO132" i="34"/>
  <c r="BN126" i="31"/>
  <c r="BN30" i="31"/>
  <c r="BN48" i="31" s="1"/>
  <c r="BN66" i="31" s="1"/>
  <c r="BN84" i="31" s="1"/>
  <c r="BN102" i="31" s="1"/>
  <c r="BO30" i="34"/>
  <c r="BO48" i="34" s="1"/>
  <c r="BO66" i="34" s="1"/>
  <c r="BO84" i="34" s="1"/>
  <c r="BO102" i="34" s="1"/>
  <c r="BO125" i="34"/>
  <c r="BH129" i="20"/>
  <c r="BP5" i="34" l="1"/>
  <c r="BH140" i="20"/>
  <c r="BH143" i="20" s="1"/>
  <c r="BO5" i="31"/>
  <c r="BH141" i="20"/>
  <c r="BH144" i="20" s="1"/>
  <c r="BO11" i="31" l="1"/>
  <c r="BO18" i="31"/>
  <c r="BP18" i="34"/>
  <c r="BP11" i="34"/>
  <c r="BP30" i="34" l="1"/>
  <c r="BP48" i="34" s="1"/>
  <c r="BP66" i="34" s="1"/>
  <c r="BP84" i="34" s="1"/>
  <c r="BP102" i="34" s="1"/>
  <c r="BP125" i="34"/>
  <c r="BI129" i="20"/>
  <c r="BP132" i="34"/>
  <c r="BP38" i="34"/>
  <c r="BO38" i="31"/>
  <c r="BO133" i="31"/>
  <c r="BO30" i="31"/>
  <c r="BO48" i="31" s="1"/>
  <c r="BO66" i="31" s="1"/>
  <c r="BO84" i="31" s="1"/>
  <c r="BO102" i="31" s="1"/>
  <c r="BO126" i="31"/>
  <c r="BI140" i="20" l="1"/>
  <c r="BI143" i="20" s="1"/>
  <c r="BP5" i="31"/>
  <c r="BI141" i="20"/>
  <c r="BI144" i="20" s="1"/>
  <c r="BQ5" i="34"/>
  <c r="BP11" i="31" l="1"/>
  <c r="BP18" i="31"/>
  <c r="BQ11" i="34"/>
  <c r="BQ18" i="34"/>
  <c r="BQ38" i="34" l="1"/>
  <c r="BQ132" i="34"/>
  <c r="BJ129" i="20"/>
  <c r="BQ125" i="34"/>
  <c r="BQ30" i="34"/>
  <c r="BQ48" i="34" s="1"/>
  <c r="BQ66" i="34" s="1"/>
  <c r="BQ84" i="34" s="1"/>
  <c r="BQ102" i="34" s="1"/>
  <c r="BP133" i="31"/>
  <c r="BP38" i="31"/>
  <c r="BP30" i="31"/>
  <c r="BP48" i="31" s="1"/>
  <c r="BP66" i="31" s="1"/>
  <c r="BP84" i="31" s="1"/>
  <c r="BP102" i="31" s="1"/>
  <c r="BP126" i="31"/>
  <c r="BQ5" i="31" l="1"/>
  <c r="BJ141" i="20"/>
  <c r="BJ144" i="20" s="1"/>
  <c r="BR5" i="34"/>
  <c r="BJ140" i="20"/>
  <c r="BJ143" i="20" s="1"/>
  <c r="BR11" i="34" l="1"/>
  <c r="BR18" i="34"/>
  <c r="BQ11" i="31"/>
  <c r="BQ18" i="31"/>
  <c r="BR132" i="34" l="1"/>
  <c r="BR38" i="34"/>
  <c r="BQ38" i="31"/>
  <c r="BQ133" i="31"/>
  <c r="BQ30" i="31"/>
  <c r="BQ48" i="31" s="1"/>
  <c r="BQ66" i="31" s="1"/>
  <c r="BQ84" i="31" s="1"/>
  <c r="BQ102" i="31" s="1"/>
  <c r="BQ126" i="31"/>
  <c r="BR30" i="34"/>
  <c r="BR48" i="34" s="1"/>
  <c r="BR66" i="34" s="1"/>
  <c r="BR84" i="34" s="1"/>
  <c r="BR102" i="34" s="1"/>
  <c r="BR125" i="34"/>
  <c r="BK129" i="20"/>
  <c r="BR5" i="31" l="1"/>
  <c r="BS5" i="34"/>
  <c r="BK140" i="20"/>
  <c r="BK143" i="20" s="1"/>
  <c r="BK141" i="20"/>
  <c r="BK144" i="20" s="1"/>
  <c r="BS18" i="34" l="1"/>
  <c r="BS11" i="34"/>
  <c r="BR11" i="31"/>
  <c r="BR18" i="31"/>
  <c r="BS30" i="34" l="1"/>
  <c r="BS48" i="34" s="1"/>
  <c r="BS66" i="34" s="1"/>
  <c r="BS84" i="34" s="1"/>
  <c r="BS102" i="34" s="1"/>
  <c r="BS125" i="34"/>
  <c r="BR38" i="31"/>
  <c r="BR133" i="31"/>
  <c r="BR30" i="31"/>
  <c r="BR48" i="31" s="1"/>
  <c r="BR66" i="31" s="1"/>
  <c r="BR84" i="31" s="1"/>
  <c r="BR102" i="31" s="1"/>
  <c r="BR126" i="31"/>
  <c r="BS132" i="34"/>
  <c r="BS38" i="34"/>
  <c r="P14" i="19" l="1" a="1"/>
  <c r="P14" i="19" s="1"/>
  <c r="BL120" i="20" l="1"/>
  <c r="Q60" i="27"/>
  <c r="BL129" i="20"/>
  <c r="BS5" i="31" l="1"/>
  <c r="BL140" i="20"/>
  <c r="BL143" i="20" s="1"/>
  <c r="BL141" i="20"/>
  <c r="BL144" i="20" s="1"/>
  <c r="BT5" i="34"/>
  <c r="I62" i="27"/>
  <c r="K62" i="27"/>
  <c r="M62" i="27"/>
  <c r="Q62" i="27"/>
  <c r="BT18" i="34" l="1"/>
  <c r="BT11" i="34"/>
  <c r="BS11" i="31"/>
  <c r="BS18" i="31"/>
  <c r="BS38" i="31" l="1"/>
  <c r="BS133" i="31"/>
  <c r="BT125" i="34"/>
  <c r="BT30" i="34"/>
  <c r="BT48" i="34" s="1"/>
  <c r="BT66" i="34" s="1"/>
  <c r="BT84" i="34" s="1"/>
  <c r="BT102" i="34" s="1"/>
  <c r="BS30" i="31"/>
  <c r="BS48" i="31" s="1"/>
  <c r="BS66" i="31" s="1"/>
  <c r="BS84" i="31" s="1"/>
  <c r="BS102" i="31" s="1"/>
  <c r="BS126" i="31"/>
  <c r="BT132" i="34"/>
  <c r="BT38" i="34"/>
  <c r="I56" i="27" l="1"/>
  <c r="I55" i="27" s="1"/>
  <c r="K56" i="27"/>
  <c r="M56" i="27"/>
  <c r="O56" i="27"/>
  <c r="I51" i="27"/>
  <c r="I52" i="27" s="1"/>
  <c r="K51" i="27"/>
  <c r="K52" i="27" s="1"/>
  <c r="M51" i="27"/>
  <c r="O51" i="27"/>
  <c r="O52" i="27" s="1"/>
  <c r="L34" i="19" l="1"/>
  <c r="M52" i="27"/>
  <c r="M63" i="6" l="1"/>
  <c r="O63" i="6"/>
  <c r="Q63" i="6"/>
  <c r="S63" i="6"/>
  <c r="U63" i="6"/>
  <c r="AA63" i="6"/>
  <c r="AR63" i="6"/>
  <c r="D10" i="18"/>
  <c r="D10" i="38"/>
  <c r="C16" i="38"/>
  <c r="P6" i="9"/>
  <c r="O9" i="9"/>
  <c r="O13" i="9" s="1"/>
  <c r="O14" i="9" s="1"/>
  <c r="BB90" i="20" l="1" a="1"/>
  <c r="BB90" i="20" s="1"/>
  <c r="BB93" i="20" s="1"/>
  <c r="BB94" i="20" s="1"/>
  <c r="BF90" i="20" a="1"/>
  <c r="BF90" i="20" s="1"/>
  <c r="BF93" i="20" s="1"/>
  <c r="BF94" i="20" s="1"/>
  <c r="BC90" i="20" a="1"/>
  <c r="BC90" i="20" s="1"/>
  <c r="BC93" i="20" s="1"/>
  <c r="BC94" i="20" s="1"/>
  <c r="BG90" i="20" a="1"/>
  <c r="BG90" i="20" s="1"/>
  <c r="BG93" i="20" s="1"/>
  <c r="BG94" i="20" s="1"/>
  <c r="BA90" i="20" a="1"/>
  <c r="BA90" i="20" s="1"/>
  <c r="BN90" i="20" a="1"/>
  <c r="BN90" i="20" s="1"/>
  <c r="BN93" i="20" s="1"/>
  <c r="BN94" i="20" s="1"/>
  <c r="CD90" i="20" a="1"/>
  <c r="CD90" i="20" s="1"/>
  <c r="CD93" i="20" s="1"/>
  <c r="CD94" i="20" s="1"/>
  <c r="CT90" i="20" a="1"/>
  <c r="CT90" i="20" s="1"/>
  <c r="CT93" i="20" s="1"/>
  <c r="CT94" i="20" s="1"/>
  <c r="BI90" i="20" a="1"/>
  <c r="BI90" i="20" s="1"/>
  <c r="BI93" i="20" s="1"/>
  <c r="BI94" i="20" s="1"/>
  <c r="BO90" i="20" a="1"/>
  <c r="BO90" i="20" s="1"/>
  <c r="BO93" i="20" s="1"/>
  <c r="BO94" i="20" s="1"/>
  <c r="BT90" i="20" a="1"/>
  <c r="BT90" i="20" s="1"/>
  <c r="BT93" i="20" s="1"/>
  <c r="BT94" i="20" s="1"/>
  <c r="BY90" i="20" a="1"/>
  <c r="BY90" i="20" s="1"/>
  <c r="CE90" i="20" a="1"/>
  <c r="CE90" i="20" s="1"/>
  <c r="CE93" i="20" s="1"/>
  <c r="CE94" i="20" s="1"/>
  <c r="CJ90" i="20" a="1"/>
  <c r="CJ90" i="20" s="1"/>
  <c r="CJ93" i="20" s="1"/>
  <c r="CJ94" i="20" s="1"/>
  <c r="CO90" i="20" a="1"/>
  <c r="CO90" i="20" s="1"/>
  <c r="CO93" i="20" s="1"/>
  <c r="CO94" i="20" s="1"/>
  <c r="CU90" i="20" a="1"/>
  <c r="CU90" i="20" s="1"/>
  <c r="CU93" i="20" s="1"/>
  <c r="CU94" i="20" s="1"/>
  <c r="CZ90" i="20" a="1"/>
  <c r="CZ90" i="20" s="1"/>
  <c r="CZ93" i="20" s="1"/>
  <c r="CZ94" i="20" s="1"/>
  <c r="DE90" i="20" a="1"/>
  <c r="DE90" i="20" s="1"/>
  <c r="DE93" i="20" s="1"/>
  <c r="DE94" i="20" s="1"/>
  <c r="DJ90" i="20" a="1"/>
  <c r="DJ90" i="20" s="1"/>
  <c r="DJ93" i="20" s="1"/>
  <c r="DJ94" i="20" s="1"/>
  <c r="DN90" i="20" a="1"/>
  <c r="DN90" i="20" s="1"/>
  <c r="DN93" i="20" s="1"/>
  <c r="DN94" i="20" s="1"/>
  <c r="DR90" i="20" a="1"/>
  <c r="DR90" i="20" s="1"/>
  <c r="DR93" i="20" s="1"/>
  <c r="DR94" i="20" s="1"/>
  <c r="BJ90" i="20" a="1"/>
  <c r="BJ90" i="20" s="1"/>
  <c r="BJ93" i="20" s="1"/>
  <c r="BJ94" i="20" s="1"/>
  <c r="BZ90" i="20" a="1"/>
  <c r="BZ90" i="20" s="1"/>
  <c r="BZ93" i="20" s="1"/>
  <c r="BZ94" i="20" s="1"/>
  <c r="CP90" i="20" a="1"/>
  <c r="CP90" i="20" s="1"/>
  <c r="CP93" i="20" s="1"/>
  <c r="CP94" i="20" s="1"/>
  <c r="DF90" i="20" a="1"/>
  <c r="DF90" i="20" s="1"/>
  <c r="DF93" i="20" s="1"/>
  <c r="DF94" i="20" s="1"/>
  <c r="BD90" i="20" a="1"/>
  <c r="BD90" i="20" s="1"/>
  <c r="BD93" i="20" s="1"/>
  <c r="BD94" i="20" s="1"/>
  <c r="BK90" i="20" a="1"/>
  <c r="BK90" i="20" s="1"/>
  <c r="BK93" i="20" s="1"/>
  <c r="BK94" i="20" s="1"/>
  <c r="BP90" i="20" a="1"/>
  <c r="BP90" i="20" s="1"/>
  <c r="BP93" i="20" s="1"/>
  <c r="BP94" i="20" s="1"/>
  <c r="BU90" i="20" a="1"/>
  <c r="BU90" i="20" s="1"/>
  <c r="BU93" i="20" s="1"/>
  <c r="BU94" i="20" s="1"/>
  <c r="CA90" i="20" a="1"/>
  <c r="CA90" i="20" s="1"/>
  <c r="CA93" i="20" s="1"/>
  <c r="CA94" i="20" s="1"/>
  <c r="CF90" i="20" a="1"/>
  <c r="CF90" i="20" s="1"/>
  <c r="CF93" i="20" s="1"/>
  <c r="CF94" i="20" s="1"/>
  <c r="CK90" i="20" a="1"/>
  <c r="CK90" i="20" s="1"/>
  <c r="CQ90" i="20" a="1"/>
  <c r="CQ90" i="20" s="1"/>
  <c r="CQ93" i="20" s="1"/>
  <c r="CQ94" i="20" s="1"/>
  <c r="CV90" i="20" a="1"/>
  <c r="CV90" i="20" s="1"/>
  <c r="CV93" i="20" s="1"/>
  <c r="CV94" i="20" s="1"/>
  <c r="DA90" i="20" a="1"/>
  <c r="DA90" i="20" s="1"/>
  <c r="DA93" i="20" s="1"/>
  <c r="DA94" i="20" s="1"/>
  <c r="DG90" i="20" a="1"/>
  <c r="DG90" i="20" s="1"/>
  <c r="DG93" i="20" s="1"/>
  <c r="DG94" i="20" s="1"/>
  <c r="DK90" i="20" a="1"/>
  <c r="DK90" i="20" s="1"/>
  <c r="DK93" i="20" s="1"/>
  <c r="DK94" i="20" s="1"/>
  <c r="DO90" i="20" a="1"/>
  <c r="DO90" i="20" s="1"/>
  <c r="DO93" i="20" s="1"/>
  <c r="DO94" i="20" s="1"/>
  <c r="DS90" i="20" a="1"/>
  <c r="DS90" i="20" s="1"/>
  <c r="DS93" i="20" s="1"/>
  <c r="DS94" i="20" s="1"/>
  <c r="BV90" i="20" a="1"/>
  <c r="BV90" i="20" s="1"/>
  <c r="BV93" i="20" s="1"/>
  <c r="BV94" i="20" s="1"/>
  <c r="CL90" i="20" a="1"/>
  <c r="CL90" i="20" s="1"/>
  <c r="CL93" i="20" s="1"/>
  <c r="CL94" i="20" s="1"/>
  <c r="DB90" i="20" a="1"/>
  <c r="DB90" i="20" s="1"/>
  <c r="DB93" i="20" s="1"/>
  <c r="DB94" i="20" s="1"/>
  <c r="BE90" i="20" a="1"/>
  <c r="BE90" i="20" s="1"/>
  <c r="BE93" i="20" s="1"/>
  <c r="BE94" i="20" s="1"/>
  <c r="BL90" i="20" a="1"/>
  <c r="BL90" i="20" s="1"/>
  <c r="BL93" i="20" s="1"/>
  <c r="BL94" i="20" s="1"/>
  <c r="BQ90" i="20" a="1"/>
  <c r="BQ90" i="20" s="1"/>
  <c r="BQ93" i="20" s="1"/>
  <c r="BQ94" i="20" s="1"/>
  <c r="BW90" i="20" a="1"/>
  <c r="BW90" i="20" s="1"/>
  <c r="BW93" i="20" s="1"/>
  <c r="BW94" i="20" s="1"/>
  <c r="CB90" i="20" a="1"/>
  <c r="CB90" i="20" s="1"/>
  <c r="CB93" i="20" s="1"/>
  <c r="CB94" i="20" s="1"/>
  <c r="CG90" i="20" a="1"/>
  <c r="CG90" i="20" s="1"/>
  <c r="CG93" i="20" s="1"/>
  <c r="CG94" i="20" s="1"/>
  <c r="CM90" i="20" a="1"/>
  <c r="CM90" i="20" s="1"/>
  <c r="CM93" i="20" s="1"/>
  <c r="CM94" i="20" s="1"/>
  <c r="CR90" i="20" a="1"/>
  <c r="CR90" i="20" s="1"/>
  <c r="CR93" i="20" s="1"/>
  <c r="CR94" i="20" s="1"/>
  <c r="CW90" i="20" a="1"/>
  <c r="CW90" i="20" s="1"/>
  <c r="DC90" i="20" a="1"/>
  <c r="DC90" i="20" s="1"/>
  <c r="DC93" i="20" s="1"/>
  <c r="DC94" i="20" s="1"/>
  <c r="DH90" i="20" a="1"/>
  <c r="DH90" i="20" s="1"/>
  <c r="DH93" i="20" s="1"/>
  <c r="DH94" i="20" s="1"/>
  <c r="DL90" i="20" a="1"/>
  <c r="DL90" i="20" s="1"/>
  <c r="DL93" i="20" s="1"/>
  <c r="DL94" i="20" s="1"/>
  <c r="DP90" i="20" a="1"/>
  <c r="DP90" i="20" s="1"/>
  <c r="DP93" i="20" s="1"/>
  <c r="DP94" i="20" s="1"/>
  <c r="DT90" i="20" a="1"/>
  <c r="DT90" i="20" s="1"/>
  <c r="DT93" i="20" s="1"/>
  <c r="DT94" i="20" s="1"/>
  <c r="BR90" i="20" a="1"/>
  <c r="BR90" i="20" s="1"/>
  <c r="BR93" i="20" s="1"/>
  <c r="BR94" i="20" s="1"/>
  <c r="CH90" i="20" a="1"/>
  <c r="CH90" i="20" s="1"/>
  <c r="CH93" i="20" s="1"/>
  <c r="CH94" i="20" s="1"/>
  <c r="CX90" i="20" a="1"/>
  <c r="CX90" i="20" s="1"/>
  <c r="CX93" i="20" s="1"/>
  <c r="CX94" i="20" s="1"/>
  <c r="BH90" i="20" a="1"/>
  <c r="BH90" i="20" s="1"/>
  <c r="BH93" i="20" s="1"/>
  <c r="BH94" i="20" s="1"/>
  <c r="BM90" i="20" a="1"/>
  <c r="BM90" i="20" s="1"/>
  <c r="BS90" i="20" a="1"/>
  <c r="BS90" i="20" s="1"/>
  <c r="BS93" i="20" s="1"/>
  <c r="BS94" i="20" s="1"/>
  <c r="BX90" i="20" a="1"/>
  <c r="BX90" i="20" s="1"/>
  <c r="BX93" i="20" s="1"/>
  <c r="BX94" i="20" s="1"/>
  <c r="CC90" i="20" a="1"/>
  <c r="CC90" i="20" s="1"/>
  <c r="CC93" i="20" s="1"/>
  <c r="CC94" i="20" s="1"/>
  <c r="CI90" i="20" a="1"/>
  <c r="CI90" i="20" s="1"/>
  <c r="CI93" i="20" s="1"/>
  <c r="CI94" i="20" s="1"/>
  <c r="CN90" i="20" a="1"/>
  <c r="CN90" i="20" s="1"/>
  <c r="CN93" i="20" s="1"/>
  <c r="CN94" i="20" s="1"/>
  <c r="CS90" i="20" a="1"/>
  <c r="CS90" i="20" s="1"/>
  <c r="CS93" i="20" s="1"/>
  <c r="CS94" i="20" s="1"/>
  <c r="CY90" i="20" a="1"/>
  <c r="CY90" i="20" s="1"/>
  <c r="CY93" i="20" s="1"/>
  <c r="CY94" i="20" s="1"/>
  <c r="DD90" i="20" a="1"/>
  <c r="DD90" i="20" s="1"/>
  <c r="DD93" i="20" s="1"/>
  <c r="DD94" i="20" s="1"/>
  <c r="DI90" i="20" a="1"/>
  <c r="DI90" i="20" s="1"/>
  <c r="DM90" i="20" a="1"/>
  <c r="DM90" i="20" s="1"/>
  <c r="DM93" i="20" s="1"/>
  <c r="DM94" i="20" s="1"/>
  <c r="DQ90" i="20" a="1"/>
  <c r="DQ90" i="20" s="1"/>
  <c r="DQ93" i="20" s="1"/>
  <c r="DQ94" i="20" s="1"/>
  <c r="DQ95" i="20" l="1"/>
  <c r="DQ96" i="20"/>
  <c r="DQ100" i="20" s="1"/>
  <c r="CC95" i="20"/>
  <c r="CC96" i="20"/>
  <c r="CC100" i="20" s="1"/>
  <c r="DT95" i="20"/>
  <c r="DT96" i="20"/>
  <c r="DT100" i="20" s="1"/>
  <c r="CG95" i="20"/>
  <c r="CG96" i="20"/>
  <c r="CG100" i="20" s="1"/>
  <c r="BV95" i="20"/>
  <c r="BV96" i="20"/>
  <c r="BV100" i="20" s="1"/>
  <c r="W33" i="27"/>
  <c r="CK93" i="20"/>
  <c r="CK94" i="20" s="1"/>
  <c r="CP95" i="20"/>
  <c r="CP96" i="20"/>
  <c r="CP100" i="20" s="1"/>
  <c r="CU95" i="20"/>
  <c r="CU96" i="20"/>
  <c r="CU100" i="20" s="1"/>
  <c r="CT95" i="20"/>
  <c r="CT96" i="20"/>
  <c r="CT100" i="20" s="1"/>
  <c r="DP95" i="20"/>
  <c r="DP96" i="20"/>
  <c r="DP100" i="20" s="1"/>
  <c r="CB95" i="20"/>
  <c r="CB96" i="20"/>
  <c r="CB100" i="20" s="1"/>
  <c r="DS95" i="20"/>
  <c r="DS96" i="20"/>
  <c r="DS100" i="20" s="1"/>
  <c r="CF95" i="20"/>
  <c r="CF96" i="20"/>
  <c r="CF100" i="20" s="1"/>
  <c r="BZ95" i="20"/>
  <c r="BZ96" i="20"/>
  <c r="BZ100" i="20" s="1"/>
  <c r="CO95" i="20"/>
  <c r="CO96" i="20"/>
  <c r="CO100" i="20" s="1"/>
  <c r="CD95" i="20"/>
  <c r="CD96" i="20"/>
  <c r="CD100" i="20" s="1"/>
  <c r="BS95" i="20"/>
  <c r="BS96" i="20"/>
  <c r="BS100" i="20" s="1"/>
  <c r="DL95" i="20"/>
  <c r="DL96" i="20"/>
  <c r="DL100" i="20" s="1"/>
  <c r="BW95" i="20"/>
  <c r="BW96" i="20"/>
  <c r="BW100" i="20" s="1"/>
  <c r="DO95" i="20"/>
  <c r="DO96" i="20"/>
  <c r="DO100" i="20" s="1"/>
  <c r="CA95" i="20"/>
  <c r="CA96" i="20"/>
  <c r="CA100" i="20" s="1"/>
  <c r="BJ95" i="20"/>
  <c r="BJ96" i="20"/>
  <c r="BJ100" i="20" s="1"/>
  <c r="CJ95" i="20"/>
  <c r="CJ96" i="20"/>
  <c r="CJ100" i="20" s="1"/>
  <c r="BN95" i="20"/>
  <c r="BN96" i="20"/>
  <c r="BN100" i="20" s="1"/>
  <c r="BX95" i="20"/>
  <c r="BX96" i="20"/>
  <c r="BX100" i="20" s="1"/>
  <c r="DD95" i="20"/>
  <c r="DD96" i="20"/>
  <c r="DD100" i="20" s="1"/>
  <c r="S33" i="27"/>
  <c r="BM93" i="20"/>
  <c r="BM94" i="20" s="1"/>
  <c r="DH95" i="20"/>
  <c r="DH96" i="20"/>
  <c r="DH100" i="20" s="1"/>
  <c r="BQ95" i="20"/>
  <c r="BQ96" i="20"/>
  <c r="BQ100" i="20" s="1"/>
  <c r="DK95" i="20"/>
  <c r="DK96" i="20"/>
  <c r="DK100" i="20" s="1"/>
  <c r="BU95" i="20"/>
  <c r="BU96" i="20"/>
  <c r="BU100" i="20" s="1"/>
  <c r="DR95" i="20"/>
  <c r="DR96" i="20"/>
  <c r="DR100" i="20" s="1"/>
  <c r="CE95" i="20"/>
  <c r="CE96" i="20"/>
  <c r="CE100" i="20" s="1"/>
  <c r="Q33" i="27"/>
  <c r="BA93" i="20"/>
  <c r="BA94" i="20" s="1"/>
  <c r="DM95" i="20"/>
  <c r="DM96" i="20"/>
  <c r="DM100" i="20" s="1"/>
  <c r="CY95" i="20"/>
  <c r="CY96" i="20"/>
  <c r="CY100" i="20" s="1"/>
  <c r="BH95" i="20"/>
  <c r="BH96" i="20"/>
  <c r="BH100" i="20" s="1"/>
  <c r="DC95" i="20"/>
  <c r="DC96" i="20"/>
  <c r="DC100" i="20" s="1"/>
  <c r="BL95" i="20"/>
  <c r="BL96" i="20"/>
  <c r="BL100" i="20" s="1"/>
  <c r="DG95" i="20"/>
  <c r="DG96" i="20"/>
  <c r="DG100" i="20" s="1"/>
  <c r="BP95" i="20"/>
  <c r="BP96" i="20"/>
  <c r="BP100" i="20" s="1"/>
  <c r="DN95" i="20"/>
  <c r="DN96" i="20"/>
  <c r="DN100" i="20" s="1"/>
  <c r="U33" i="27"/>
  <c r="BY93" i="20"/>
  <c r="BY94" i="20" s="1"/>
  <c r="BG95" i="20"/>
  <c r="BG96" i="20"/>
  <c r="BG100" i="20" s="1"/>
  <c r="AA33" i="27"/>
  <c r="DI93" i="20"/>
  <c r="DI94" i="20" s="1"/>
  <c r="CS95" i="20"/>
  <c r="CS96" i="20"/>
  <c r="CS100" i="20" s="1"/>
  <c r="CX95" i="20"/>
  <c r="CX96" i="20"/>
  <c r="CX100" i="20" s="1"/>
  <c r="Y33" i="27"/>
  <c r="CW93" i="20"/>
  <c r="CW94" i="20" s="1"/>
  <c r="BE95" i="20"/>
  <c r="BE96" i="20"/>
  <c r="BE100" i="20" s="1"/>
  <c r="DA95" i="20"/>
  <c r="DA96" i="20"/>
  <c r="DA100" i="20" s="1"/>
  <c r="BK95" i="20"/>
  <c r="BK96" i="20"/>
  <c r="BK100" i="20" s="1"/>
  <c r="DJ95" i="20"/>
  <c r="DJ96" i="20"/>
  <c r="DJ100" i="20" s="1"/>
  <c r="BT95" i="20"/>
  <c r="BT96" i="20"/>
  <c r="BT100" i="20" s="1"/>
  <c r="BC95" i="20"/>
  <c r="BC96" i="20"/>
  <c r="BC100" i="20" s="1"/>
  <c r="CN95" i="20"/>
  <c r="CN96" i="20"/>
  <c r="CN100" i="20" s="1"/>
  <c r="CH95" i="20"/>
  <c r="CH96" i="20"/>
  <c r="CH100" i="20" s="1"/>
  <c r="CR95" i="20"/>
  <c r="CR96" i="20"/>
  <c r="CR100" i="20" s="1"/>
  <c r="DB95" i="20"/>
  <c r="DB96" i="20"/>
  <c r="DB100" i="20" s="1"/>
  <c r="CV95" i="20"/>
  <c r="CV96" i="20"/>
  <c r="CV100" i="20" s="1"/>
  <c r="BD95" i="20"/>
  <c r="BD96" i="20"/>
  <c r="BD100" i="20" s="1"/>
  <c r="DE95" i="20"/>
  <c r="DE96" i="20"/>
  <c r="DE100" i="20" s="1"/>
  <c r="BO95" i="20"/>
  <c r="BO96" i="20"/>
  <c r="BO100" i="20" s="1"/>
  <c r="BF95" i="20"/>
  <c r="BF96" i="20"/>
  <c r="BF100" i="20" s="1"/>
  <c r="CI95" i="20"/>
  <c r="CI96" i="20"/>
  <c r="CI100" i="20" s="1"/>
  <c r="BR95" i="20"/>
  <c r="BR96" i="20"/>
  <c r="BR100" i="20" s="1"/>
  <c r="CM95" i="20"/>
  <c r="CM96" i="20"/>
  <c r="CM100" i="20" s="1"/>
  <c r="CL95" i="20"/>
  <c r="CL96" i="20"/>
  <c r="CL100" i="20" s="1"/>
  <c r="CQ95" i="20"/>
  <c r="CQ96" i="20"/>
  <c r="CQ100" i="20" s="1"/>
  <c r="DF95" i="20"/>
  <c r="DF96" i="20"/>
  <c r="DF100" i="20" s="1"/>
  <c r="CZ95" i="20"/>
  <c r="CZ96" i="20"/>
  <c r="CZ100" i="20" s="1"/>
  <c r="BI95" i="20"/>
  <c r="BI96" i="20"/>
  <c r="BI100" i="20" s="1"/>
  <c r="BB95" i="20"/>
  <c r="BB96" i="20"/>
  <c r="BB100" i="20" s="1"/>
  <c r="BI101" i="20" l="1"/>
  <c r="BI108" i="20"/>
  <c r="CL101" i="20"/>
  <c r="CL108" i="20"/>
  <c r="BF101" i="20"/>
  <c r="BF108" i="20"/>
  <c r="CV101" i="20"/>
  <c r="CV108" i="20"/>
  <c r="CN101" i="20"/>
  <c r="CN108" i="20"/>
  <c r="DJ101" i="20"/>
  <c r="DJ108" i="20"/>
  <c r="CW95" i="20"/>
  <c r="CW96" i="20"/>
  <c r="CW100" i="20" s="1"/>
  <c r="BG101" i="20"/>
  <c r="BG108" i="20"/>
  <c r="DG101" i="20"/>
  <c r="DG108" i="20"/>
  <c r="CY101" i="20"/>
  <c r="CY108" i="20"/>
  <c r="DR101" i="20"/>
  <c r="DR108" i="20"/>
  <c r="DH101" i="20"/>
  <c r="DH108" i="20"/>
  <c r="BN101" i="20"/>
  <c r="BN108" i="20"/>
  <c r="DO101" i="20"/>
  <c r="DO108" i="20"/>
  <c r="CD101" i="20"/>
  <c r="CD108" i="20"/>
  <c r="DS101" i="20"/>
  <c r="DS108" i="20"/>
  <c r="CU101" i="20"/>
  <c r="CU108" i="20"/>
  <c r="CG101" i="20"/>
  <c r="CG108" i="20"/>
  <c r="Z33" i="27"/>
  <c r="Y36" i="27"/>
  <c r="DB101" i="20"/>
  <c r="DB108" i="20"/>
  <c r="BK101" i="20"/>
  <c r="BK108" i="20"/>
  <c r="CX101" i="20"/>
  <c r="CX108" i="20"/>
  <c r="BY95" i="20"/>
  <c r="BY96" i="20"/>
  <c r="BY100" i="20" s="1"/>
  <c r="BL101" i="20"/>
  <c r="BL108" i="20"/>
  <c r="DM101" i="20"/>
  <c r="DM108" i="20"/>
  <c r="BU101" i="20"/>
  <c r="BU108" i="20"/>
  <c r="BM95" i="20"/>
  <c r="BM96" i="20"/>
  <c r="BM100" i="20" s="1"/>
  <c r="CJ101" i="20"/>
  <c r="CJ108" i="20"/>
  <c r="BW101" i="20"/>
  <c r="BW108" i="20"/>
  <c r="CO101" i="20"/>
  <c r="CO108" i="20"/>
  <c r="CB101" i="20"/>
  <c r="CB108" i="20"/>
  <c r="CP101" i="20"/>
  <c r="CP108" i="20"/>
  <c r="DT101" i="20"/>
  <c r="DT108" i="20"/>
  <c r="T33" i="27"/>
  <c r="S36" i="27"/>
  <c r="U36" i="27"/>
  <c r="V33" i="27"/>
  <c r="DF101" i="20"/>
  <c r="DF108" i="20"/>
  <c r="BR101" i="20"/>
  <c r="BR108" i="20"/>
  <c r="DE101" i="20"/>
  <c r="DE108" i="20"/>
  <c r="CR101" i="20"/>
  <c r="CR108" i="20"/>
  <c r="BC101" i="20"/>
  <c r="BC108" i="20"/>
  <c r="DA101" i="20"/>
  <c r="DA108" i="20"/>
  <c r="CS101" i="20"/>
  <c r="CS108" i="20"/>
  <c r="DN101" i="20"/>
  <c r="DN108" i="20"/>
  <c r="DC101" i="20"/>
  <c r="DC108" i="20"/>
  <c r="BA95" i="20"/>
  <c r="BA96" i="20"/>
  <c r="DK101" i="20"/>
  <c r="DK108" i="20"/>
  <c r="DD101" i="20"/>
  <c r="DD108" i="20"/>
  <c r="BJ101" i="20"/>
  <c r="BJ108" i="20"/>
  <c r="DL101" i="20"/>
  <c r="DL108" i="20"/>
  <c r="BZ101" i="20"/>
  <c r="BZ108" i="20"/>
  <c r="DP101" i="20"/>
  <c r="DP108" i="20"/>
  <c r="CK95" i="20"/>
  <c r="CK96" i="20"/>
  <c r="CK100" i="20" s="1"/>
  <c r="CC101" i="20"/>
  <c r="CC108" i="20"/>
  <c r="CZ101" i="20"/>
  <c r="CZ108" i="20"/>
  <c r="BO101" i="20"/>
  <c r="BO108" i="20"/>
  <c r="X33" i="27"/>
  <c r="W36" i="27"/>
  <c r="CM101" i="20"/>
  <c r="CM108" i="20"/>
  <c r="BB101" i="20"/>
  <c r="BB108" i="20"/>
  <c r="CQ101" i="20"/>
  <c r="CQ108" i="20"/>
  <c r="CI101" i="20"/>
  <c r="CI108" i="20"/>
  <c r="BD101" i="20"/>
  <c r="BD108" i="20"/>
  <c r="CH101" i="20"/>
  <c r="CH108" i="20"/>
  <c r="BT101" i="20"/>
  <c r="BT108" i="20"/>
  <c r="BE101" i="20"/>
  <c r="BE108" i="20"/>
  <c r="DI95" i="20"/>
  <c r="DI96" i="20"/>
  <c r="DI100" i="20" s="1"/>
  <c r="BP101" i="20"/>
  <c r="BP108" i="20"/>
  <c r="BH101" i="20"/>
  <c r="BH108" i="20"/>
  <c r="CE101" i="20"/>
  <c r="CE108" i="20"/>
  <c r="BQ101" i="20"/>
  <c r="BQ108" i="20"/>
  <c r="BX101" i="20"/>
  <c r="BX108" i="20"/>
  <c r="CA101" i="20"/>
  <c r="CA108" i="20"/>
  <c r="BS101" i="20"/>
  <c r="BS108" i="20"/>
  <c r="CF101" i="20"/>
  <c r="CF108" i="20"/>
  <c r="CT101" i="20"/>
  <c r="CT108" i="20"/>
  <c r="BV101" i="20"/>
  <c r="BV108" i="20"/>
  <c r="DQ101" i="20"/>
  <c r="DQ108" i="20"/>
  <c r="R33" i="27"/>
  <c r="Q36" i="27"/>
  <c r="AB33" i="27"/>
  <c r="AA36" i="27"/>
  <c r="DQ109" i="20" l="1"/>
  <c r="CI109" i="20"/>
  <c r="X36" i="27"/>
  <c r="X37" i="27" s="1"/>
  <c r="W37" i="27"/>
  <c r="CK101" i="20"/>
  <c r="CK108" i="20"/>
  <c r="BJ109" i="20"/>
  <c r="DC109" i="20"/>
  <c r="BC109" i="20"/>
  <c r="DF109" i="20"/>
  <c r="CP109" i="20"/>
  <c r="CJ109" i="20"/>
  <c r="BL109" i="20"/>
  <c r="DB109" i="20"/>
  <c r="DS109" i="20"/>
  <c r="DH109" i="20"/>
  <c r="BG109" i="20"/>
  <c r="CV109" i="20"/>
  <c r="BS109" i="20"/>
  <c r="BH109" i="20"/>
  <c r="DP109" i="20"/>
  <c r="CR109" i="20"/>
  <c r="BY101" i="20"/>
  <c r="BY108" i="20"/>
  <c r="Y37" i="27"/>
  <c r="Z36" i="27"/>
  <c r="Z37" i="27" s="1"/>
  <c r="CD109" i="20"/>
  <c r="DR109" i="20"/>
  <c r="CW101" i="20"/>
  <c r="CW108" i="20"/>
  <c r="BF109" i="20"/>
  <c r="V36" i="27"/>
  <c r="V37" i="27" s="1"/>
  <c r="U37" i="27"/>
  <c r="CA109" i="20"/>
  <c r="DD109" i="20"/>
  <c r="BZ109" i="20"/>
  <c r="T36" i="27"/>
  <c r="T37" i="27" s="1"/>
  <c r="S37" i="27"/>
  <c r="CO109" i="20"/>
  <c r="BU109" i="20"/>
  <c r="CX109" i="20"/>
  <c r="CG109" i="20"/>
  <c r="DO109" i="20"/>
  <c r="CY109" i="20"/>
  <c r="DJ109" i="20"/>
  <c r="CL109" i="20"/>
  <c r="CE109" i="20"/>
  <c r="BT109" i="20"/>
  <c r="DN109" i="20"/>
  <c r="AB36" i="27"/>
  <c r="AB37" i="27" s="1"/>
  <c r="AA37" i="27"/>
  <c r="BP109" i="20"/>
  <c r="CS109" i="20"/>
  <c r="BO109" i="20"/>
  <c r="BM101" i="20"/>
  <c r="BM108" i="20"/>
  <c r="BB109" i="20"/>
  <c r="Q37" i="27"/>
  <c r="R36" i="27"/>
  <c r="R37" i="27" s="1"/>
  <c r="CF109" i="20"/>
  <c r="BQ109" i="20"/>
  <c r="DI101" i="20"/>
  <c r="DI108" i="20"/>
  <c r="CM109" i="20"/>
  <c r="CC109" i="20"/>
  <c r="DL109" i="20"/>
  <c r="P7" i="19"/>
  <c r="P8" i="19" s="1"/>
  <c r="BA100" i="20"/>
  <c r="DA109" i="20"/>
  <c r="BR109" i="20"/>
  <c r="DT109" i="20"/>
  <c r="BW109" i="20"/>
  <c r="DM109" i="20"/>
  <c r="BK109" i="20"/>
  <c r="CU109" i="20"/>
  <c r="BN109" i="20"/>
  <c r="DG109" i="20"/>
  <c r="CN109" i="20"/>
  <c r="BI109" i="20"/>
  <c r="BE109" i="20"/>
  <c r="BV109" i="20"/>
  <c r="CQ109" i="20"/>
  <c r="CB109" i="20"/>
  <c r="CT109" i="20"/>
  <c r="BX109" i="20"/>
  <c r="CH109" i="20"/>
  <c r="CZ109" i="20"/>
  <c r="DK109" i="20"/>
  <c r="DE109" i="20"/>
  <c r="BD109" i="20"/>
  <c r="X38" i="27" l="1"/>
  <c r="W39" i="27"/>
  <c r="Q39" i="27"/>
  <c r="R38" i="27"/>
  <c r="S39" i="27"/>
  <c r="T38" i="27"/>
  <c r="CW109" i="20"/>
  <c r="Z38" i="27"/>
  <c r="Y39" i="27"/>
  <c r="BA101" i="20"/>
  <c r="D101" i="20" s="1"/>
  <c r="BA108" i="20"/>
  <c r="BM109" i="20"/>
  <c r="BY109" i="20"/>
  <c r="O8" i="19"/>
  <c r="P10" i="19"/>
  <c r="P15" i="19"/>
  <c r="P16" i="19" s="1"/>
  <c r="AZ120" i="20" s="1"/>
  <c r="V38" i="27"/>
  <c r="U39" i="27"/>
  <c r="CK109" i="20"/>
  <c r="DI109" i="20"/>
  <c r="AB38" i="27"/>
  <c r="AA39" i="27"/>
  <c r="O60" i="27" l="1"/>
  <c r="AZ129" i="20"/>
  <c r="Q64" i="27"/>
  <c r="Q67" i="27"/>
  <c r="R39" i="27"/>
  <c r="R43" i="27" s="1"/>
  <c r="Q66" i="27"/>
  <c r="Q43" i="27"/>
  <c r="Q49" i="27" s="1"/>
  <c r="Q65" i="27"/>
  <c r="BA112" i="20"/>
  <c r="BA117" i="20" s="1"/>
  <c r="BA109" i="20"/>
  <c r="D109" i="20" s="1"/>
  <c r="D32" i="19" s="1"/>
  <c r="BA113" i="20"/>
  <c r="S65" i="27"/>
  <c r="S43" i="27"/>
  <c r="S49" i="27" s="1"/>
  <c r="S64" i="27"/>
  <c r="S67" i="27"/>
  <c r="T39" i="27"/>
  <c r="T43" i="27" s="1"/>
  <c r="S66" i="27"/>
  <c r="Y66" i="27"/>
  <c r="Y65" i="27"/>
  <c r="Z39" i="27"/>
  <c r="Z43" i="27" s="1"/>
  <c r="Y64" i="27"/>
  <c r="Y43" i="27"/>
  <c r="Y49" i="27" s="1"/>
  <c r="Y67" i="27"/>
  <c r="W66" i="27"/>
  <c r="X39" i="27"/>
  <c r="X43" i="27" s="1"/>
  <c r="W65" i="27"/>
  <c r="W64" i="27"/>
  <c r="W43" i="27"/>
  <c r="W49" i="27" s="1"/>
  <c r="W67" i="27"/>
  <c r="AA67" i="27"/>
  <c r="AA43" i="27"/>
  <c r="AA49" i="27" s="1"/>
  <c r="AA66" i="27"/>
  <c r="AA65" i="27"/>
  <c r="AB39" i="27"/>
  <c r="AB43" i="27" s="1"/>
  <c r="AA64" i="27"/>
  <c r="V39" i="27"/>
  <c r="V43" i="27" s="1"/>
  <c r="U65" i="27"/>
  <c r="U43" i="27"/>
  <c r="U49" i="27" s="1"/>
  <c r="U64" i="27"/>
  <c r="U67" i="27"/>
  <c r="U66" i="27"/>
  <c r="O62" i="27" l="1"/>
  <c r="BG5" i="31"/>
  <c r="AZ140" i="20"/>
  <c r="AZ143" i="20" s="1"/>
  <c r="AZ141" i="20"/>
  <c r="AZ144" i="20" s="1"/>
  <c r="BH5" i="34"/>
  <c r="BB111" i="20"/>
  <c r="BB115" i="20"/>
  <c r="BB116" i="20" s="1"/>
  <c r="BB113" i="20" l="1"/>
  <c r="BB112" i="20"/>
  <c r="BB117" i="20" s="1"/>
  <c r="BH18" i="34"/>
  <c r="BH11" i="34"/>
  <c r="BG11" i="31"/>
  <c r="BG18" i="31"/>
  <c r="BH38" i="34" l="1"/>
  <c r="BH132" i="34"/>
  <c r="BC111" i="20"/>
  <c r="BC115" i="20"/>
  <c r="BC116" i="20" s="1"/>
  <c r="BH30" i="34"/>
  <c r="BH125" i="34"/>
  <c r="BG38" i="31"/>
  <c r="BG133" i="31"/>
  <c r="BG30" i="31"/>
  <c r="BG126" i="31"/>
  <c r="BG48" i="31" l="1"/>
  <c r="BC112" i="20"/>
  <c r="BC117" i="20" s="1"/>
  <c r="BC113" i="20"/>
  <c r="BH48" i="34"/>
  <c r="BH66" i="34" l="1"/>
  <c r="BD111" i="20"/>
  <c r="BD115" i="20"/>
  <c r="BD116" i="20" s="1"/>
  <c r="BG66" i="31"/>
  <c r="BD112" i="20" l="1"/>
  <c r="BD117" i="20" s="1"/>
  <c r="BD113" i="20"/>
  <c r="BH84" i="34"/>
  <c r="BG84" i="31"/>
  <c r="BH102" i="34" l="1"/>
  <c r="BE111" i="20"/>
  <c r="BE115" i="20"/>
  <c r="BE116" i="20" s="1"/>
  <c r="BG102" i="31"/>
  <c r="BE113" i="20" l="1"/>
  <c r="BE112" i="20"/>
  <c r="BE117" i="20" s="1"/>
  <c r="BF111" i="20" l="1"/>
  <c r="BF115" i="20"/>
  <c r="BF116" i="20" s="1"/>
  <c r="BF113" i="20" l="1"/>
  <c r="BF112" i="20"/>
  <c r="BF117" i="20" s="1"/>
  <c r="BG111" i="20" l="1"/>
  <c r="BG115" i="20"/>
  <c r="BG116" i="20" s="1"/>
  <c r="BG112" i="20" l="1"/>
  <c r="BG117" i="20" s="1"/>
  <c r="BG113" i="20"/>
  <c r="BH111" i="20" l="1"/>
  <c r="BH115" i="20"/>
  <c r="BH116" i="20" s="1"/>
  <c r="BH113" i="20" l="1"/>
  <c r="BH112" i="20"/>
  <c r="BH117" i="20" s="1"/>
  <c r="BI111" i="20" l="1"/>
  <c r="BI115" i="20"/>
  <c r="BI116" i="20" s="1"/>
  <c r="BI112" i="20" l="1"/>
  <c r="BI117" i="20" s="1"/>
  <c r="BI113" i="20"/>
  <c r="BJ111" i="20" l="1"/>
  <c r="BJ115" i="20"/>
  <c r="BJ116" i="20" s="1"/>
  <c r="BJ112" i="20" l="1"/>
  <c r="BJ117" i="20" s="1"/>
  <c r="BJ113" i="20"/>
  <c r="BK111" i="20" l="1"/>
  <c r="BK115" i="20"/>
  <c r="BK116" i="20" s="1"/>
  <c r="BK112" i="20" l="1"/>
  <c r="BK117" i="20" s="1"/>
  <c r="BK113" i="20"/>
  <c r="BL111" i="20" l="1"/>
  <c r="BL115" i="20"/>
  <c r="BL116" i="20" s="1"/>
  <c r="BL112" i="20" l="1"/>
  <c r="BL117" i="20" s="1"/>
  <c r="BL113" i="20"/>
  <c r="Q57" i="27" l="1"/>
  <c r="S55" i="27" s="1"/>
  <c r="BM111" i="20"/>
  <c r="BM115" i="20"/>
  <c r="BM116" i="20" s="1"/>
  <c r="BM112" i="20" l="1"/>
  <c r="BM117" i="20" s="1"/>
  <c r="BM113" i="20"/>
  <c r="BN111" i="20" l="1"/>
  <c r="BN115" i="20"/>
  <c r="BN116" i="20" s="1"/>
  <c r="BN112" i="20" l="1"/>
  <c r="BN117" i="20" s="1"/>
  <c r="BN113" i="20"/>
  <c r="BO111" i="20" l="1"/>
  <c r="BO115" i="20"/>
  <c r="BO116" i="20" s="1"/>
  <c r="BO113" i="20" l="1"/>
  <c r="BO112" i="20"/>
  <c r="BO117" i="20" s="1"/>
  <c r="BP111" i="20" l="1"/>
  <c r="BP115" i="20"/>
  <c r="BP116" i="20" s="1"/>
  <c r="BP113" i="20" l="1"/>
  <c r="BP112" i="20"/>
  <c r="BP117" i="20" s="1"/>
  <c r="BQ111" i="20" l="1"/>
  <c r="BQ115" i="20"/>
  <c r="BQ116" i="20" s="1"/>
  <c r="BQ112" i="20" l="1"/>
  <c r="BQ117" i="20" s="1"/>
  <c r="BQ113" i="20"/>
  <c r="BR111" i="20" l="1"/>
  <c r="BR115" i="20"/>
  <c r="BR116" i="20" s="1"/>
  <c r="BR113" i="20" l="1"/>
  <c r="BR112" i="20"/>
  <c r="BR117" i="20" s="1"/>
  <c r="BS111" i="20" l="1"/>
  <c r="BS115" i="20"/>
  <c r="BS116" i="20" s="1"/>
  <c r="BS113" i="20" l="1"/>
  <c r="BS112" i="20"/>
  <c r="BS117" i="20" s="1"/>
  <c r="BT111" i="20" l="1"/>
  <c r="BT115" i="20"/>
  <c r="BT116" i="20" s="1"/>
  <c r="BT112" i="20" l="1"/>
  <c r="BT117" i="20" s="1"/>
  <c r="BT113" i="20"/>
  <c r="BU111" i="20" l="1"/>
  <c r="BU115" i="20"/>
  <c r="BU116" i="20" s="1"/>
  <c r="BU112" i="20" l="1"/>
  <c r="BU117" i="20" s="1"/>
  <c r="BU113" i="20"/>
  <c r="BV111" i="20" l="1"/>
  <c r="BV115" i="20"/>
  <c r="BV116" i="20" s="1"/>
  <c r="BV112" i="20" l="1"/>
  <c r="BV117" i="20" s="1"/>
  <c r="BV113" i="20"/>
  <c r="BW111" i="20" l="1"/>
  <c r="BW115" i="20"/>
  <c r="BW116" i="20" s="1"/>
  <c r="BW113" i="20" l="1"/>
  <c r="BW112" i="20"/>
  <c r="BW117" i="20" s="1"/>
  <c r="BX111" i="20" l="1"/>
  <c r="BX115" i="20"/>
  <c r="BX116" i="20" s="1"/>
  <c r="BX112" i="20" l="1"/>
  <c r="BX117" i="20" s="1"/>
  <c r="BX113" i="20"/>
  <c r="S57" i="27" l="1"/>
  <c r="U55" i="27" s="1"/>
  <c r="BY111" i="20"/>
  <c r="BY115" i="20"/>
  <c r="BY116" i="20" s="1"/>
  <c r="BY112" i="20" l="1"/>
  <c r="BY117" i="20" s="1"/>
  <c r="BY113" i="20"/>
  <c r="BZ111" i="20" l="1"/>
  <c r="BZ115" i="20"/>
  <c r="BZ116" i="20" s="1"/>
  <c r="BZ112" i="20" l="1"/>
  <c r="BZ117" i="20" s="1"/>
  <c r="BZ113" i="20"/>
  <c r="CA111" i="20" l="1"/>
  <c r="CA115" i="20"/>
  <c r="CA116" i="20" s="1"/>
  <c r="CA112" i="20" l="1"/>
  <c r="CA117" i="20" s="1"/>
  <c r="CA113" i="20"/>
  <c r="CB111" i="20" l="1"/>
  <c r="CB115" i="20"/>
  <c r="CB116" i="20" s="1"/>
  <c r="CB113" i="20" l="1"/>
  <c r="CB112" i="20"/>
  <c r="CB117" i="20" s="1"/>
  <c r="CC111" i="20" l="1"/>
  <c r="CC115" i="20"/>
  <c r="CC116" i="20" s="1"/>
  <c r="CC113" i="20" l="1"/>
  <c r="CC112" i="20"/>
  <c r="CC117" i="20" s="1"/>
  <c r="CD111" i="20" l="1"/>
  <c r="CD115" i="20"/>
  <c r="CD116" i="20" s="1"/>
  <c r="CD113" i="20" l="1"/>
  <c r="CD112" i="20"/>
  <c r="CD117" i="20" s="1"/>
  <c r="CE111" i="20" l="1"/>
  <c r="CE115" i="20"/>
  <c r="CE116" i="20" s="1"/>
  <c r="CE113" i="20" l="1"/>
  <c r="CE112" i="20"/>
  <c r="CE117" i="20" s="1"/>
  <c r="CF111" i="20" l="1"/>
  <c r="CF115" i="20"/>
  <c r="CF116" i="20" s="1"/>
  <c r="CF113" i="20" l="1"/>
  <c r="CF112" i="20"/>
  <c r="CF117" i="20" s="1"/>
  <c r="CG111" i="20" l="1"/>
  <c r="CG115" i="20"/>
  <c r="CG116" i="20" s="1"/>
  <c r="CG113" i="20" l="1"/>
  <c r="CG112" i="20"/>
  <c r="CG117" i="20" s="1"/>
  <c r="CH111" i="20" l="1"/>
  <c r="CH115" i="20"/>
  <c r="CH116" i="20" s="1"/>
  <c r="CH113" i="20" l="1"/>
  <c r="CH112" i="20"/>
  <c r="CH117" i="20" s="1"/>
  <c r="CI111" i="20" l="1"/>
  <c r="CI115" i="20"/>
  <c r="CI116" i="20" s="1"/>
  <c r="CI112" i="20" l="1"/>
  <c r="CI117" i="20" s="1"/>
  <c r="CI113" i="20"/>
  <c r="CJ111" i="20" l="1"/>
  <c r="CJ115" i="20"/>
  <c r="CJ116" i="20" s="1"/>
  <c r="CJ112" i="20" l="1"/>
  <c r="CJ117" i="20" s="1"/>
  <c r="CJ113" i="20"/>
  <c r="U57" i="27" l="1"/>
  <c r="W55" i="27" s="1"/>
  <c r="CK111" i="20"/>
  <c r="CK115" i="20"/>
  <c r="CK116" i="20" s="1"/>
  <c r="CK113" i="20" l="1"/>
  <c r="CK112" i="20"/>
  <c r="CK117" i="20" s="1"/>
  <c r="CL111" i="20" l="1"/>
  <c r="CL115" i="20"/>
  <c r="CL116" i="20" s="1"/>
  <c r="CL112" i="20" l="1"/>
  <c r="CL117" i="20" s="1"/>
  <c r="CL113" i="20"/>
  <c r="CM111" i="20" l="1"/>
  <c r="CM115" i="20"/>
  <c r="CM116" i="20" s="1"/>
  <c r="CM112" i="20" l="1"/>
  <c r="CM117" i="20" s="1"/>
  <c r="CM113" i="20"/>
  <c r="CN111" i="20" l="1"/>
  <c r="CN115" i="20"/>
  <c r="CN116" i="20" s="1"/>
  <c r="CN113" i="20" l="1"/>
  <c r="CN112" i="20"/>
  <c r="CN117" i="20" s="1"/>
  <c r="CO111" i="20" l="1"/>
  <c r="CO115" i="20"/>
  <c r="CO116" i="20" s="1"/>
  <c r="CO113" i="20" l="1"/>
  <c r="CO112" i="20"/>
  <c r="CO117" i="20" s="1"/>
  <c r="CP111" i="20" l="1"/>
  <c r="CP115" i="20"/>
  <c r="CP116" i="20" s="1"/>
  <c r="CP113" i="20" l="1"/>
  <c r="CP112" i="20"/>
  <c r="CP117" i="20" s="1"/>
  <c r="CQ111" i="20" l="1"/>
  <c r="CQ115" i="20"/>
  <c r="CQ116" i="20" s="1"/>
  <c r="CQ113" i="20" l="1"/>
  <c r="CQ112" i="20"/>
  <c r="CQ117" i="20" s="1"/>
  <c r="CR111" i="20" l="1"/>
  <c r="CR115" i="20"/>
  <c r="CR116" i="20" s="1"/>
  <c r="CR113" i="20" l="1"/>
  <c r="CR112" i="20"/>
  <c r="CR117" i="20" s="1"/>
  <c r="CS111" i="20" l="1"/>
  <c r="CS115" i="20"/>
  <c r="CS116" i="20" s="1"/>
  <c r="CS112" i="20" l="1"/>
  <c r="CS117" i="20" s="1"/>
  <c r="CS113" i="20"/>
  <c r="CT111" i="20" l="1"/>
  <c r="CT115" i="20"/>
  <c r="CT116" i="20" s="1"/>
  <c r="CT112" i="20" l="1"/>
  <c r="CT117" i="20" s="1"/>
  <c r="CT113" i="20"/>
  <c r="CU111" i="20" l="1"/>
  <c r="CU115" i="20"/>
  <c r="CU116" i="20" s="1"/>
  <c r="CU113" i="20" l="1"/>
  <c r="CU112" i="20"/>
  <c r="CU117" i="20" s="1"/>
  <c r="CV111" i="20" l="1"/>
  <c r="CV115" i="20"/>
  <c r="CV116" i="20" s="1"/>
  <c r="CV113" i="20" l="1"/>
  <c r="CV112" i="20"/>
  <c r="CV117" i="20" s="1"/>
  <c r="W57" i="27" l="1"/>
  <c r="Y55" i="27" s="1"/>
  <c r="CW111" i="20"/>
  <c r="CW115" i="20"/>
  <c r="CW116" i="20" s="1"/>
  <c r="CW113" i="20" l="1"/>
  <c r="CW112" i="20"/>
  <c r="CW117" i="20" s="1"/>
  <c r="CX111" i="20" l="1"/>
  <c r="CX115" i="20"/>
  <c r="CX116" i="20" s="1"/>
  <c r="CX112" i="20" l="1"/>
  <c r="CX117" i="20" s="1"/>
  <c r="CX113" i="20"/>
  <c r="CY111" i="20" l="1"/>
  <c r="CY115" i="20"/>
  <c r="CY116" i="20" s="1"/>
  <c r="CY113" i="20" l="1"/>
  <c r="CY112" i="20"/>
  <c r="CY117" i="20" s="1"/>
  <c r="CZ111" i="20" l="1"/>
  <c r="CZ115" i="20"/>
  <c r="CZ116" i="20" s="1"/>
  <c r="CZ112" i="20" l="1"/>
  <c r="CZ117" i="20" s="1"/>
  <c r="CZ113" i="20"/>
  <c r="DA111" i="20" l="1"/>
  <c r="DA115" i="20"/>
  <c r="DA116" i="20" s="1"/>
  <c r="DA112" i="20" l="1"/>
  <c r="DA117" i="20" s="1"/>
  <c r="DA113" i="20"/>
  <c r="DB111" i="20" l="1"/>
  <c r="DB115" i="20"/>
  <c r="DB116" i="20" s="1"/>
  <c r="DB113" i="20" l="1"/>
  <c r="DB112" i="20"/>
  <c r="DB117" i="20" s="1"/>
  <c r="DC111" i="20" l="1"/>
  <c r="DC115" i="20"/>
  <c r="DC116" i="20" s="1"/>
  <c r="DC112" i="20" l="1"/>
  <c r="DC117" i="20" s="1"/>
  <c r="DC113" i="20"/>
  <c r="DD111" i="20" l="1"/>
  <c r="DD115" i="20"/>
  <c r="DD116" i="20" s="1"/>
  <c r="DD112" i="20" l="1"/>
  <c r="DD117" i="20" s="1"/>
  <c r="DD113" i="20"/>
  <c r="DE111" i="20" l="1"/>
  <c r="DE115" i="20"/>
  <c r="DE116" i="20" s="1"/>
  <c r="DE112" i="20" l="1"/>
  <c r="DE117" i="20" s="1"/>
  <c r="DE113" i="20"/>
  <c r="DF111" i="20" l="1"/>
  <c r="DF115" i="20"/>
  <c r="DF116" i="20" s="1"/>
  <c r="DF112" i="20" l="1"/>
  <c r="DF117" i="20" s="1"/>
  <c r="DF113" i="20"/>
  <c r="DG111" i="20" l="1"/>
  <c r="DG115" i="20"/>
  <c r="DG116" i="20" s="1"/>
  <c r="DG113" i="20" l="1"/>
  <c r="DG112" i="20"/>
  <c r="DG117" i="20" s="1"/>
  <c r="DH111" i="20" l="1"/>
  <c r="DH115" i="20"/>
  <c r="DH116" i="20" s="1"/>
  <c r="DH112" i="20" l="1"/>
  <c r="DH117" i="20" s="1"/>
  <c r="DH113" i="20"/>
  <c r="Y57" i="27" l="1"/>
  <c r="AA55" i="27" s="1"/>
  <c r="DI111" i="20"/>
  <c r="DI115" i="20"/>
  <c r="DI116" i="20" s="1"/>
  <c r="DI113" i="20" l="1"/>
  <c r="DI112" i="20"/>
  <c r="DI117" i="20" s="1"/>
  <c r="DJ111" i="20" l="1"/>
  <c r="DJ115" i="20"/>
  <c r="DJ116" i="20" s="1"/>
  <c r="DJ112" i="20" l="1"/>
  <c r="DJ117" i="20" s="1"/>
  <c r="DJ113" i="20"/>
  <c r="DK111" i="20" l="1"/>
  <c r="DK115" i="20"/>
  <c r="DK116" i="20" s="1"/>
  <c r="DK113" i="20" l="1"/>
  <c r="DK112" i="20"/>
  <c r="DK117" i="20" s="1"/>
  <c r="DL111" i="20" l="1"/>
  <c r="DL115" i="20"/>
  <c r="DL116" i="20" s="1"/>
  <c r="DL113" i="20" l="1"/>
  <c r="DL112" i="20"/>
  <c r="DL117" i="20" s="1"/>
  <c r="DM111" i="20" l="1"/>
  <c r="DM115" i="20"/>
  <c r="DM116" i="20" s="1"/>
  <c r="DM112" i="20" l="1"/>
  <c r="DM117" i="20" s="1"/>
  <c r="DM113" i="20"/>
  <c r="DN111" i="20" l="1"/>
  <c r="DN115" i="20"/>
  <c r="DN116" i="20" s="1"/>
  <c r="DN112" i="20" l="1"/>
  <c r="DN117" i="20" s="1"/>
  <c r="DN113" i="20"/>
  <c r="DO111" i="20" l="1"/>
  <c r="DO115" i="20"/>
  <c r="DO116" i="20" s="1"/>
  <c r="DO112" i="20" l="1"/>
  <c r="DO117" i="20" s="1"/>
  <c r="DO113" i="20"/>
  <c r="DP111" i="20" l="1"/>
  <c r="DP115" i="20"/>
  <c r="DP116" i="20" s="1"/>
  <c r="DP112" i="20" l="1"/>
  <c r="DP117" i="20" s="1"/>
  <c r="DP113" i="20"/>
  <c r="DQ111" i="20" l="1"/>
  <c r="DQ115" i="20"/>
  <c r="DQ116" i="20" s="1"/>
  <c r="DQ112" i="20" l="1"/>
  <c r="DQ117" i="20" s="1"/>
  <c r="DQ113" i="20"/>
  <c r="DR111" i="20" l="1"/>
  <c r="DR115" i="20"/>
  <c r="DR116" i="20" s="1"/>
  <c r="DR112" i="20" l="1"/>
  <c r="DR117" i="20" s="1"/>
  <c r="DR113" i="20"/>
  <c r="DS111" i="20" l="1"/>
  <c r="DS115" i="20"/>
  <c r="DS116" i="20" s="1"/>
  <c r="DS112" i="20" l="1"/>
  <c r="DS117" i="20" s="1"/>
  <c r="DS113" i="20"/>
  <c r="DT111" i="20" l="1"/>
  <c r="DT115" i="20"/>
  <c r="DT116" i="20" s="1"/>
  <c r="Q56" i="27" l="1"/>
  <c r="S56" i="27"/>
  <c r="U56" i="27"/>
  <c r="W56" i="27"/>
  <c r="Y56" i="27"/>
  <c r="AA56" i="27"/>
  <c r="DT113" i="20"/>
  <c r="D113" i="20" s="1"/>
  <c r="D33" i="19" s="1"/>
  <c r="DT112" i="20"/>
  <c r="DT117" i="20" s="1"/>
  <c r="AA57" i="27" s="1"/>
  <c r="Q51" i="27"/>
  <c r="Q52" i="27" s="1"/>
  <c r="S51" i="27"/>
  <c r="S52" i="27" s="1"/>
  <c r="U51" i="27"/>
  <c r="U52" i="27" s="1"/>
  <c r="W51" i="27"/>
  <c r="W52" i="27" s="1"/>
  <c r="Y51" i="27"/>
  <c r="Y52" i="27" s="1"/>
  <c r="AA51" i="27"/>
  <c r="AA52" i="27" s="1"/>
  <c r="D62" i="27" l="1"/>
  <c r="I68" i="27" a="1"/>
  <c r="I68" i="27"/>
  <c r="K68" i="27" a="1"/>
  <c r="K68" i="27"/>
  <c r="M68" i="27" a="1"/>
  <c r="M68" i="27"/>
  <c r="O68" i="27" a="1"/>
  <c r="O68" i="27"/>
  <c r="Q68" i="27" a="1"/>
  <c r="Q68" i="27"/>
  <c r="S68" i="27" a="1"/>
  <c r="S68" i="27"/>
  <c r="U68" i="27" a="1"/>
  <c r="U68" i="27"/>
  <c r="W68" i="27" a="1"/>
  <c r="W68" i="27"/>
  <c r="Y68" i="27" a="1"/>
  <c r="Y68" i="27"/>
  <c r="AA68" i="27" a="1"/>
  <c r="AA68" i="27"/>
  <c r="I69" i="27"/>
  <c r="I70" i="27"/>
  <c r="I71" i="27"/>
  <c r="G4" i="39"/>
  <c r="Z37" i="6"/>
  <c r="AA37" i="6"/>
  <c r="Z38" i="6"/>
  <c r="AA38" i="6"/>
  <c r="Z39" i="6"/>
  <c r="AA39" i="6"/>
  <c r="AA40" i="6"/>
  <c r="Z41" i="6"/>
  <c r="AA41" i="6"/>
  <c r="Z42" i="6"/>
  <c r="Z44" i="6"/>
  <c r="AA44" i="6"/>
  <c r="Z45" i="6"/>
  <c r="L49" i="6"/>
  <c r="M49" i="6"/>
  <c r="N49" i="6"/>
  <c r="O49" i="6"/>
  <c r="P49" i="6"/>
  <c r="Q49" i="6"/>
  <c r="R49" i="6"/>
  <c r="S49" i="6"/>
  <c r="T49" i="6"/>
  <c r="U49" i="6"/>
  <c r="V49" i="6"/>
  <c r="W49" i="6"/>
  <c r="Z49" i="6"/>
  <c r="AQ49" i="6"/>
  <c r="AR49" i="6"/>
  <c r="L50" i="6"/>
  <c r="M50" i="6"/>
  <c r="N50" i="6"/>
  <c r="O50" i="6"/>
  <c r="P50" i="6"/>
  <c r="Q50" i="6"/>
  <c r="R50" i="6"/>
  <c r="S50" i="6"/>
  <c r="T50" i="6"/>
  <c r="U50" i="6"/>
  <c r="V50" i="6"/>
  <c r="W50" i="6"/>
  <c r="Z50" i="6"/>
  <c r="AA50" i="6"/>
  <c r="AQ50" i="6"/>
  <c r="AR50" i="6"/>
  <c r="L54" i="6"/>
  <c r="M54" i="6"/>
  <c r="N54" i="6"/>
  <c r="O54" i="6"/>
  <c r="P54" i="6"/>
  <c r="Q54" i="6"/>
  <c r="R54" i="6"/>
  <c r="S54" i="6"/>
  <c r="T54" i="6"/>
  <c r="U54" i="6"/>
  <c r="V54" i="6"/>
  <c r="W54" i="6"/>
  <c r="Z54" i="6"/>
  <c r="AA54" i="6"/>
  <c r="AQ54" i="6"/>
  <c r="AR54" i="6"/>
  <c r="L55" i="6"/>
  <c r="M55" i="6"/>
  <c r="N55" i="6"/>
  <c r="O55" i="6"/>
  <c r="P55" i="6"/>
  <c r="Q55" i="6"/>
  <c r="R55" i="6"/>
  <c r="S55" i="6"/>
  <c r="T55" i="6"/>
  <c r="U55" i="6"/>
  <c r="V55" i="6"/>
  <c r="W55" i="6"/>
  <c r="Z55" i="6"/>
  <c r="AA55" i="6"/>
  <c r="AQ55" i="6"/>
  <c r="AR55" i="6"/>
  <c r="Z68" i="6"/>
  <c r="Z69" i="6"/>
  <c r="Z70" i="6"/>
  <c r="Z71" i="6"/>
  <c r="L80" i="6"/>
  <c r="N80" i="6"/>
  <c r="P80" i="6"/>
  <c r="R80" i="6"/>
  <c r="T80" i="6"/>
  <c r="Z80" i="6"/>
  <c r="AQ80" i="6"/>
  <c r="L81" i="6"/>
  <c r="N81" i="6"/>
  <c r="P81" i="6"/>
  <c r="R81" i="6"/>
  <c r="T81" i="6"/>
  <c r="Z81" i="6"/>
  <c r="AQ81" i="6"/>
  <c r="Z83" i="6"/>
  <c r="Z84" i="6"/>
  <c r="Z85" i="6"/>
  <c r="Z86" i="6"/>
  <c r="L92" i="6"/>
  <c r="N92" i="6"/>
  <c r="P92" i="6"/>
  <c r="R92" i="6"/>
  <c r="T92" i="6"/>
  <c r="Z92" i="6"/>
  <c r="AQ92" i="6"/>
  <c r="Z99" i="6"/>
  <c r="Z100" i="6"/>
  <c r="H6" i="19"/>
  <c r="H7" i="19"/>
  <c r="H8" i="19"/>
  <c r="H14" i="19"/>
  <c r="P21" i="19"/>
  <c r="D22" i="19"/>
  <c r="P22" i="19"/>
  <c r="P23" i="19"/>
  <c r="P24" i="19"/>
  <c r="P25" i="19"/>
  <c r="H26" i="19"/>
  <c r="P26" i="19"/>
  <c r="H27" i="19"/>
  <c r="L27" i="19"/>
  <c r="P27" i="19"/>
  <c r="G28" i="19"/>
  <c r="H28" i="19"/>
  <c r="P28" i="19"/>
  <c r="G29" i="19"/>
  <c r="H29" i="19"/>
  <c r="P29" i="19"/>
  <c r="L31" i="19"/>
  <c r="H32" i="19"/>
  <c r="L32" i="19"/>
  <c r="H33" i="19"/>
  <c r="G34" i="19"/>
  <c r="H34" i="19"/>
  <c r="G35" i="19"/>
  <c r="H35" i="19"/>
  <c r="C41" i="19"/>
  <c r="D41" i="19"/>
  <c r="C42" i="19"/>
  <c r="D42" i="19"/>
  <c r="D44" i="19"/>
  <c r="K5" i="31"/>
  <c r="C8" i="31"/>
  <c r="D8" i="31"/>
  <c r="E8" i="31"/>
  <c r="C9" i="31"/>
  <c r="D9" i="31"/>
  <c r="E9" i="31"/>
  <c r="L9" i="31"/>
  <c r="M9" i="31"/>
  <c r="N9" i="31"/>
  <c r="O9" i="31"/>
  <c r="P9" i="31"/>
  <c r="Q9" i="31"/>
  <c r="R9" i="31"/>
  <c r="S9" i="31"/>
  <c r="T9" i="31"/>
  <c r="U9" i="31"/>
  <c r="V9" i="31"/>
  <c r="W9" i="31"/>
  <c r="X9" i="31"/>
  <c r="Y9" i="31"/>
  <c r="Z9" i="31"/>
  <c r="AA9" i="31"/>
  <c r="AB9" i="31"/>
  <c r="AC9" i="31"/>
  <c r="AD9" i="31"/>
  <c r="AE9" i="31"/>
  <c r="AF9" i="31"/>
  <c r="AG9" i="31"/>
  <c r="AH9" i="31"/>
  <c r="AI9" i="31"/>
  <c r="AJ9" i="31"/>
  <c r="AK9" i="31"/>
  <c r="AL9" i="31"/>
  <c r="AM9" i="31"/>
  <c r="AN9" i="31"/>
  <c r="AO9" i="31"/>
  <c r="AP9" i="31"/>
  <c r="AQ9" i="31"/>
  <c r="AR9" i="31"/>
  <c r="AS9" i="31"/>
  <c r="AT9" i="31"/>
  <c r="AU9" i="31"/>
  <c r="AV9" i="31"/>
  <c r="AW9" i="31"/>
  <c r="AX9" i="31"/>
  <c r="AY9" i="31"/>
  <c r="AZ9" i="31"/>
  <c r="BA9" i="31"/>
  <c r="BB9" i="31"/>
  <c r="BC9" i="31"/>
  <c r="BD9" i="31"/>
  <c r="BE9" i="31"/>
  <c r="BF9" i="31"/>
  <c r="BG9" i="31"/>
  <c r="BH9" i="31"/>
  <c r="BI9" i="31"/>
  <c r="BJ9" i="31"/>
  <c r="BK9" i="31"/>
  <c r="BL9" i="31"/>
  <c r="BM9" i="31"/>
  <c r="BN9" i="31"/>
  <c r="BO9" i="31"/>
  <c r="BP9" i="31"/>
  <c r="BQ9" i="31"/>
  <c r="BR9" i="31"/>
  <c r="BS9" i="31"/>
  <c r="BT9" i="31"/>
  <c r="BU9" i="31"/>
  <c r="BV9" i="31"/>
  <c r="BW9" i="31"/>
  <c r="BX9" i="31"/>
  <c r="BY9" i="31"/>
  <c r="BZ9" i="31"/>
  <c r="CA9" i="31"/>
  <c r="CB9" i="31"/>
  <c r="CC9" i="31"/>
  <c r="CD9" i="31"/>
  <c r="CE9" i="31"/>
  <c r="CF9" i="31"/>
  <c r="CG9" i="31"/>
  <c r="CH9" i="31"/>
  <c r="CI9" i="31"/>
  <c r="CJ9" i="31"/>
  <c r="CK9" i="31"/>
  <c r="CL9" i="31"/>
  <c r="CM9" i="31"/>
  <c r="CN9" i="31"/>
  <c r="CO9" i="31"/>
  <c r="CP9" i="31"/>
  <c r="CQ9" i="31"/>
  <c r="CR9" i="31"/>
  <c r="CS9" i="31"/>
  <c r="CT9" i="31"/>
  <c r="CU9" i="31"/>
  <c r="CV9" i="31"/>
  <c r="CW9" i="31"/>
  <c r="CX9" i="31"/>
  <c r="CY9" i="31"/>
  <c r="CZ9" i="31"/>
  <c r="DA9" i="31"/>
  <c r="DB9" i="31"/>
  <c r="DC9" i="31"/>
  <c r="DD9" i="31"/>
  <c r="DE9" i="31"/>
  <c r="DF9" i="31"/>
  <c r="DG9" i="31"/>
  <c r="DH9" i="31"/>
  <c r="DI9" i="31"/>
  <c r="DJ9" i="31"/>
  <c r="DK9" i="31"/>
  <c r="DL9" i="31"/>
  <c r="DM9" i="31"/>
  <c r="DN9" i="31"/>
  <c r="DO9" i="31"/>
  <c r="DP9" i="31"/>
  <c r="DQ9" i="31"/>
  <c r="DR9" i="31"/>
  <c r="DS9" i="31"/>
  <c r="DT9" i="31"/>
  <c r="DU9" i="31"/>
  <c r="DV9" i="31"/>
  <c r="DW9" i="31"/>
  <c r="DX9" i="31"/>
  <c r="DY9" i="31"/>
  <c r="DZ9" i="31"/>
  <c r="EA9" i="31"/>
  <c r="C10" i="31"/>
  <c r="D10" i="31"/>
  <c r="E10" i="31"/>
  <c r="L10" i="31"/>
  <c r="M10" i="31"/>
  <c r="N10" i="31"/>
  <c r="O10" i="31"/>
  <c r="P10" i="31"/>
  <c r="Q10" i="31"/>
  <c r="R10" i="31"/>
  <c r="S10" i="31"/>
  <c r="T10" i="31"/>
  <c r="U10" i="31"/>
  <c r="V10" i="31"/>
  <c r="W10" i="31"/>
  <c r="X10" i="31"/>
  <c r="Y10" i="31"/>
  <c r="Z10" i="31"/>
  <c r="AA10" i="31"/>
  <c r="AB10" i="31"/>
  <c r="AC10" i="31"/>
  <c r="AD10" i="31"/>
  <c r="AE10" i="31"/>
  <c r="AF10" i="31"/>
  <c r="AG10" i="31"/>
  <c r="AH10" i="31"/>
  <c r="AI10" i="31"/>
  <c r="AJ10" i="31"/>
  <c r="AK10" i="31"/>
  <c r="AL10" i="31"/>
  <c r="AM10" i="31"/>
  <c r="AN10" i="31"/>
  <c r="AO10" i="31"/>
  <c r="AP10" i="31"/>
  <c r="AQ10" i="31"/>
  <c r="AR10" i="31"/>
  <c r="AS10" i="31"/>
  <c r="AT10" i="31"/>
  <c r="AU10" i="31"/>
  <c r="AV10" i="31"/>
  <c r="AW10" i="31"/>
  <c r="AX10" i="31"/>
  <c r="AY10" i="31"/>
  <c r="AZ10" i="31"/>
  <c r="BA10" i="31"/>
  <c r="BB10" i="31"/>
  <c r="BC10" i="31"/>
  <c r="BD10" i="31"/>
  <c r="BE10" i="31"/>
  <c r="BF10" i="31"/>
  <c r="BG10" i="31"/>
  <c r="BH10" i="31"/>
  <c r="BI10" i="31"/>
  <c r="BJ10" i="31"/>
  <c r="BK10" i="31"/>
  <c r="BL10" i="31"/>
  <c r="BM10" i="31"/>
  <c r="BN10" i="31"/>
  <c r="BO10" i="31"/>
  <c r="BP10" i="31"/>
  <c r="BQ10" i="31"/>
  <c r="BR10" i="31"/>
  <c r="BS10" i="31"/>
  <c r="BT10" i="31"/>
  <c r="BU10" i="31"/>
  <c r="BV10" i="31"/>
  <c r="BW10" i="31"/>
  <c r="BX10" i="31"/>
  <c r="BY10" i="31"/>
  <c r="BZ10" i="31"/>
  <c r="CA10" i="31"/>
  <c r="CB10" i="31"/>
  <c r="CC10" i="31"/>
  <c r="CD10" i="31"/>
  <c r="CE10" i="31"/>
  <c r="CF10" i="31"/>
  <c r="CG10" i="31"/>
  <c r="CH10" i="31"/>
  <c r="CI10" i="31"/>
  <c r="CJ10" i="31"/>
  <c r="CK10" i="31"/>
  <c r="CL10" i="31"/>
  <c r="CM10" i="31"/>
  <c r="CN10" i="31"/>
  <c r="CO10" i="31"/>
  <c r="CP10" i="31"/>
  <c r="CQ10" i="31"/>
  <c r="CR10" i="31"/>
  <c r="CS10" i="31"/>
  <c r="CT10" i="31"/>
  <c r="CU10" i="31"/>
  <c r="CV10" i="31"/>
  <c r="CW10" i="31"/>
  <c r="CX10" i="31"/>
  <c r="CY10" i="31"/>
  <c r="CZ10" i="31"/>
  <c r="DA10" i="31"/>
  <c r="DB10" i="31"/>
  <c r="DC10" i="31"/>
  <c r="DD10" i="31"/>
  <c r="DE10" i="31"/>
  <c r="DF10" i="31"/>
  <c r="DG10" i="31"/>
  <c r="DH10" i="31"/>
  <c r="DI10" i="31"/>
  <c r="DJ10" i="31"/>
  <c r="DK10" i="31"/>
  <c r="DL10" i="31"/>
  <c r="DM10" i="31"/>
  <c r="DN10" i="31"/>
  <c r="DO10" i="31"/>
  <c r="DP10" i="31"/>
  <c r="DQ10" i="31"/>
  <c r="DR10" i="31"/>
  <c r="DS10" i="31"/>
  <c r="DT10" i="31"/>
  <c r="DU10" i="31"/>
  <c r="DV10" i="31"/>
  <c r="DW10" i="31"/>
  <c r="DX10" i="31"/>
  <c r="DY10" i="31"/>
  <c r="DZ10" i="31"/>
  <c r="EA10" i="31"/>
  <c r="K11" i="31"/>
  <c r="K12" i="31"/>
  <c r="L12" i="31"/>
  <c r="M12" i="31"/>
  <c r="N12" i="31"/>
  <c r="O12" i="31"/>
  <c r="P12" i="31"/>
  <c r="Q12" i="31"/>
  <c r="R12" i="31"/>
  <c r="S12" i="31"/>
  <c r="T12" i="31"/>
  <c r="U12" i="31"/>
  <c r="V12" i="31"/>
  <c r="W12" i="31"/>
  <c r="X12" i="31"/>
  <c r="Y12" i="31"/>
  <c r="Z12" i="31"/>
  <c r="AA12" i="31"/>
  <c r="AB12" i="31"/>
  <c r="AC12" i="31"/>
  <c r="AD12" i="31"/>
  <c r="AE12" i="31"/>
  <c r="AF12" i="31"/>
  <c r="AG12" i="31"/>
  <c r="AH12" i="31"/>
  <c r="AI12" i="31"/>
  <c r="AJ12" i="31"/>
  <c r="AK12" i="31"/>
  <c r="AL12" i="31"/>
  <c r="AM12" i="31"/>
  <c r="AN12" i="31"/>
  <c r="AO12" i="31"/>
  <c r="AP12" i="31"/>
  <c r="AQ12" i="31"/>
  <c r="AR12" i="31"/>
  <c r="AS12" i="31"/>
  <c r="AT12" i="31"/>
  <c r="AU12" i="31"/>
  <c r="AV12" i="31"/>
  <c r="AW12" i="31"/>
  <c r="AX12" i="31"/>
  <c r="AY12" i="31"/>
  <c r="AZ12" i="31"/>
  <c r="BA12" i="31"/>
  <c r="BB12" i="31"/>
  <c r="BC12" i="31"/>
  <c r="BD12" i="31"/>
  <c r="BE12" i="31"/>
  <c r="BF12" i="31"/>
  <c r="BG12" i="31"/>
  <c r="BH12" i="31"/>
  <c r="BI12" i="31"/>
  <c r="BJ12" i="31"/>
  <c r="BK12" i="31"/>
  <c r="BL12" i="31"/>
  <c r="BM12" i="31"/>
  <c r="BN12" i="31"/>
  <c r="BO12" i="31"/>
  <c r="BP12" i="31"/>
  <c r="BQ12" i="31"/>
  <c r="BR12" i="31"/>
  <c r="BS12" i="31"/>
  <c r="BT12" i="31"/>
  <c r="BU12" i="31"/>
  <c r="BV12" i="31"/>
  <c r="BW12" i="31"/>
  <c r="BX12" i="31"/>
  <c r="BY12" i="31"/>
  <c r="BZ12" i="31"/>
  <c r="CA12" i="31"/>
  <c r="CB12" i="31"/>
  <c r="CC12" i="31"/>
  <c r="CD12" i="31"/>
  <c r="CE12" i="31"/>
  <c r="CF12" i="31"/>
  <c r="CG12" i="31"/>
  <c r="CH12" i="31"/>
  <c r="CI12" i="31"/>
  <c r="CJ12" i="31"/>
  <c r="CK12" i="31"/>
  <c r="CL12" i="31"/>
  <c r="CM12" i="31"/>
  <c r="CN12" i="31"/>
  <c r="CO12" i="31"/>
  <c r="CP12" i="31"/>
  <c r="CQ12" i="31"/>
  <c r="CR12" i="31"/>
  <c r="CS12" i="31"/>
  <c r="CT12" i="31"/>
  <c r="CU12" i="31"/>
  <c r="CV12" i="31"/>
  <c r="CW12" i="31"/>
  <c r="CX12" i="31"/>
  <c r="CY12" i="31"/>
  <c r="CZ12" i="31"/>
  <c r="DA12" i="31"/>
  <c r="DB12" i="31"/>
  <c r="DC12" i="31"/>
  <c r="DD12" i="31"/>
  <c r="DE12" i="31"/>
  <c r="DF12" i="31"/>
  <c r="DG12" i="31"/>
  <c r="DH12" i="31"/>
  <c r="DI12" i="31"/>
  <c r="DJ12" i="31"/>
  <c r="DK12" i="31"/>
  <c r="DL12" i="31"/>
  <c r="DM12" i="31"/>
  <c r="DN12" i="31"/>
  <c r="DO12" i="31"/>
  <c r="DP12" i="31"/>
  <c r="DQ12" i="31"/>
  <c r="DR12" i="31"/>
  <c r="DS12" i="31"/>
  <c r="DT12" i="31"/>
  <c r="DU12" i="31"/>
  <c r="DV12" i="31"/>
  <c r="DW12" i="31"/>
  <c r="DX12" i="31"/>
  <c r="DY12" i="31"/>
  <c r="DZ12" i="31"/>
  <c r="EA12" i="31"/>
  <c r="K13" i="31"/>
  <c r="L13" i="31"/>
  <c r="M13" i="31"/>
  <c r="N13" i="31"/>
  <c r="O13" i="31"/>
  <c r="P13" i="31"/>
  <c r="Q13" i="31"/>
  <c r="R13" i="31"/>
  <c r="S13" i="31"/>
  <c r="T13" i="31"/>
  <c r="U13" i="31"/>
  <c r="V13" i="31"/>
  <c r="W13" i="31"/>
  <c r="X13" i="31"/>
  <c r="Y13" i="31"/>
  <c r="Z13" i="31"/>
  <c r="AA13" i="31"/>
  <c r="AB13" i="31"/>
  <c r="AC13" i="31"/>
  <c r="AD13" i="31"/>
  <c r="AE13" i="31"/>
  <c r="AF13" i="31"/>
  <c r="AG13" i="31"/>
  <c r="AH13" i="31"/>
  <c r="AI13" i="31"/>
  <c r="AJ13" i="31"/>
  <c r="AK13" i="31"/>
  <c r="AL13" i="31"/>
  <c r="AM13" i="31"/>
  <c r="AN13" i="31"/>
  <c r="AO13" i="31"/>
  <c r="AP13" i="31"/>
  <c r="AQ13" i="31"/>
  <c r="AR13" i="31"/>
  <c r="AS13" i="31"/>
  <c r="AT13" i="31"/>
  <c r="AU13" i="31"/>
  <c r="AV13" i="31"/>
  <c r="AW13" i="31"/>
  <c r="AX13" i="31"/>
  <c r="AY13" i="31"/>
  <c r="AZ13" i="31"/>
  <c r="BA13" i="31"/>
  <c r="BB13" i="31"/>
  <c r="BC13" i="31"/>
  <c r="BD13" i="31"/>
  <c r="BE13" i="31"/>
  <c r="BF13" i="31"/>
  <c r="BG13" i="31"/>
  <c r="BH13" i="31"/>
  <c r="BI13" i="31"/>
  <c r="BJ13" i="31"/>
  <c r="BK13" i="31"/>
  <c r="BL13" i="31"/>
  <c r="BM13" i="31"/>
  <c r="BN13" i="31"/>
  <c r="BO13" i="31"/>
  <c r="BP13" i="31"/>
  <c r="BQ13" i="31"/>
  <c r="BR13" i="31"/>
  <c r="BS13" i="31"/>
  <c r="BT13" i="31"/>
  <c r="BU13" i="31"/>
  <c r="BV13" i="31"/>
  <c r="BW13" i="31"/>
  <c r="BX13" i="31"/>
  <c r="BY13" i="31"/>
  <c r="BZ13" i="31"/>
  <c r="CA13" i="31"/>
  <c r="CB13" i="31"/>
  <c r="CC13" i="31"/>
  <c r="CD13" i="31"/>
  <c r="CE13" i="31"/>
  <c r="CF13" i="31"/>
  <c r="CG13" i="31"/>
  <c r="CH13" i="31"/>
  <c r="CI13" i="31"/>
  <c r="CJ13" i="31"/>
  <c r="CK13" i="31"/>
  <c r="CL13" i="31"/>
  <c r="CM13" i="31"/>
  <c r="CN13" i="31"/>
  <c r="CO13" i="31"/>
  <c r="CP13" i="31"/>
  <c r="CQ13" i="31"/>
  <c r="CR13" i="31"/>
  <c r="CS13" i="31"/>
  <c r="CT13" i="31"/>
  <c r="CU13" i="31"/>
  <c r="CV13" i="31"/>
  <c r="CW13" i="31"/>
  <c r="CX13" i="31"/>
  <c r="CY13" i="31"/>
  <c r="CZ13" i="31"/>
  <c r="DA13" i="31"/>
  <c r="DB13" i="31"/>
  <c r="DC13" i="31"/>
  <c r="DD13" i="31"/>
  <c r="DE13" i="31"/>
  <c r="DF13" i="31"/>
  <c r="DG13" i="31"/>
  <c r="DH13" i="31"/>
  <c r="DI13" i="31"/>
  <c r="DJ13" i="31"/>
  <c r="DK13" i="31"/>
  <c r="DL13" i="31"/>
  <c r="DM13" i="31"/>
  <c r="DN13" i="31"/>
  <c r="DO13" i="31"/>
  <c r="DP13" i="31"/>
  <c r="DQ13" i="31"/>
  <c r="DR13" i="31"/>
  <c r="DS13" i="31"/>
  <c r="DT13" i="31"/>
  <c r="DU13" i="31"/>
  <c r="DV13" i="31"/>
  <c r="DW13" i="31"/>
  <c r="DX13" i="31"/>
  <c r="DY13" i="31"/>
  <c r="DZ13" i="31"/>
  <c r="EA13" i="31"/>
  <c r="K14" i="31"/>
  <c r="L14" i="31"/>
  <c r="M14" i="31"/>
  <c r="N14" i="31"/>
  <c r="O14" i="31"/>
  <c r="P14" i="31"/>
  <c r="Q14" i="31"/>
  <c r="R14" i="31"/>
  <c r="S14" i="31"/>
  <c r="T14" i="31"/>
  <c r="U14" i="31"/>
  <c r="V14" i="31"/>
  <c r="W14" i="31"/>
  <c r="X14" i="31"/>
  <c r="Y14" i="31"/>
  <c r="Z14" i="31"/>
  <c r="AA14" i="31"/>
  <c r="AB14" i="31"/>
  <c r="AC14" i="31"/>
  <c r="AD14" i="31"/>
  <c r="AE14" i="31"/>
  <c r="AF14" i="31"/>
  <c r="AG14" i="31"/>
  <c r="AH14" i="31"/>
  <c r="AI14" i="31"/>
  <c r="AJ14" i="31"/>
  <c r="AK14" i="31"/>
  <c r="AL14" i="31"/>
  <c r="AM14" i="31"/>
  <c r="AN14" i="31"/>
  <c r="AO14" i="31"/>
  <c r="AP14" i="31"/>
  <c r="AQ14" i="31"/>
  <c r="AR14" i="31"/>
  <c r="AS14" i="31"/>
  <c r="AT14" i="31"/>
  <c r="AU14" i="31"/>
  <c r="AV14" i="31"/>
  <c r="AW14" i="31"/>
  <c r="AX14" i="31"/>
  <c r="AY14" i="31"/>
  <c r="AZ14" i="31"/>
  <c r="BA14" i="31"/>
  <c r="BB14" i="31"/>
  <c r="BC14" i="31"/>
  <c r="BD14" i="31"/>
  <c r="BE14" i="31"/>
  <c r="BF14" i="31"/>
  <c r="BG14" i="31"/>
  <c r="BH14" i="31"/>
  <c r="BI14" i="31"/>
  <c r="BJ14" i="31"/>
  <c r="BK14" i="31"/>
  <c r="BL14" i="31"/>
  <c r="BM14" i="31"/>
  <c r="BN14" i="31"/>
  <c r="BO14" i="31"/>
  <c r="BP14" i="31"/>
  <c r="BQ14" i="31"/>
  <c r="BR14" i="31"/>
  <c r="BS14" i="31"/>
  <c r="BT14" i="31"/>
  <c r="BU14" i="31"/>
  <c r="BV14" i="31"/>
  <c r="BW14" i="31"/>
  <c r="BX14" i="31"/>
  <c r="BY14" i="31"/>
  <c r="BZ14" i="31"/>
  <c r="CA14" i="31"/>
  <c r="CB14" i="31"/>
  <c r="CC14" i="31"/>
  <c r="CD14" i="31"/>
  <c r="CE14" i="31"/>
  <c r="CF14" i="31"/>
  <c r="CG14" i="31"/>
  <c r="CH14" i="31"/>
  <c r="CI14" i="31"/>
  <c r="CJ14" i="31"/>
  <c r="CK14" i="31"/>
  <c r="CL14" i="31"/>
  <c r="CM14" i="31"/>
  <c r="CN14" i="31"/>
  <c r="CO14" i="31"/>
  <c r="CP14" i="31"/>
  <c r="CQ14" i="31"/>
  <c r="CR14" i="31"/>
  <c r="CS14" i="31"/>
  <c r="CT14" i="31"/>
  <c r="CU14" i="31"/>
  <c r="CV14" i="31"/>
  <c r="CW14" i="31"/>
  <c r="CX14" i="31"/>
  <c r="CY14" i="31"/>
  <c r="CZ14" i="31"/>
  <c r="DA14" i="31"/>
  <c r="DB14" i="31"/>
  <c r="DC14" i="31"/>
  <c r="DD14" i="31"/>
  <c r="DE14" i="31"/>
  <c r="DF14" i="31"/>
  <c r="DG14" i="31"/>
  <c r="DH14" i="31"/>
  <c r="DI14" i="31"/>
  <c r="DJ14" i="31"/>
  <c r="DK14" i="31"/>
  <c r="DL14" i="31"/>
  <c r="DM14" i="31"/>
  <c r="DN14" i="31"/>
  <c r="DO14" i="31"/>
  <c r="DP14" i="31"/>
  <c r="DQ14" i="31"/>
  <c r="DR14" i="31"/>
  <c r="DS14" i="31"/>
  <c r="DT14" i="31"/>
  <c r="DU14" i="31"/>
  <c r="DV14" i="31"/>
  <c r="DW14" i="31"/>
  <c r="DX14" i="31"/>
  <c r="DY14" i="31"/>
  <c r="DZ14" i="31"/>
  <c r="EA14" i="31"/>
  <c r="I15" i="31"/>
  <c r="I16" i="31"/>
  <c r="K18" i="31"/>
  <c r="K19" i="31"/>
  <c r="L19" i="31"/>
  <c r="M19" i="31"/>
  <c r="N19" i="31"/>
  <c r="O19" i="31"/>
  <c r="P19" i="31"/>
  <c r="Q19" i="31"/>
  <c r="R19" i="31"/>
  <c r="S19" i="31"/>
  <c r="T19" i="31"/>
  <c r="U19" i="31"/>
  <c r="V19" i="31"/>
  <c r="W19" i="31"/>
  <c r="X19" i="31"/>
  <c r="Y19" i="31"/>
  <c r="Z19" i="31"/>
  <c r="AA19" i="31"/>
  <c r="AB19" i="31"/>
  <c r="AC19" i="31"/>
  <c r="AD19" i="31"/>
  <c r="AE19" i="31"/>
  <c r="AF19" i="31"/>
  <c r="AG19" i="31"/>
  <c r="AH19" i="31"/>
  <c r="AI19" i="31"/>
  <c r="AJ19" i="31"/>
  <c r="AK19" i="31"/>
  <c r="AL19" i="31"/>
  <c r="AM19" i="31"/>
  <c r="AN19" i="31"/>
  <c r="AO19" i="31"/>
  <c r="AP19" i="31"/>
  <c r="AQ19" i="31"/>
  <c r="AR19" i="31"/>
  <c r="AS19" i="31"/>
  <c r="AT19" i="31"/>
  <c r="AU19" i="31"/>
  <c r="AV19" i="31"/>
  <c r="AW19" i="31"/>
  <c r="AX19" i="31"/>
  <c r="AY19" i="31"/>
  <c r="AZ19" i="31"/>
  <c r="BA19" i="31"/>
  <c r="BB19" i="31"/>
  <c r="BC19" i="31"/>
  <c r="BD19" i="31"/>
  <c r="BE19" i="31"/>
  <c r="BF19" i="31"/>
  <c r="BG19" i="31"/>
  <c r="BH19" i="31"/>
  <c r="BI19" i="31"/>
  <c r="BJ19" i="31"/>
  <c r="BK19" i="31"/>
  <c r="BL19" i="31"/>
  <c r="BM19" i="31"/>
  <c r="BN19" i="31"/>
  <c r="BO19" i="31"/>
  <c r="BP19" i="31"/>
  <c r="BQ19" i="31"/>
  <c r="BR19" i="31"/>
  <c r="BS19" i="31"/>
  <c r="BT19" i="31"/>
  <c r="BU19" i="31"/>
  <c r="BV19" i="31"/>
  <c r="BW19" i="31"/>
  <c r="BX19" i="31"/>
  <c r="BY19" i="31"/>
  <c r="BZ19" i="31"/>
  <c r="CA19" i="31"/>
  <c r="CB19" i="31"/>
  <c r="CC19" i="31"/>
  <c r="CD19" i="31"/>
  <c r="CE19" i="31"/>
  <c r="CF19" i="31"/>
  <c r="CG19" i="31"/>
  <c r="CH19" i="31"/>
  <c r="CI19" i="31"/>
  <c r="CJ19" i="31"/>
  <c r="CK19" i="31"/>
  <c r="CL19" i="31"/>
  <c r="CM19" i="31"/>
  <c r="CN19" i="31"/>
  <c r="CO19" i="31"/>
  <c r="CP19" i="31"/>
  <c r="CQ19" i="31"/>
  <c r="CR19" i="31"/>
  <c r="CS19" i="31"/>
  <c r="CT19" i="31"/>
  <c r="CU19" i="31"/>
  <c r="CV19" i="31"/>
  <c r="CW19" i="31"/>
  <c r="CX19" i="31"/>
  <c r="CY19" i="31"/>
  <c r="CZ19" i="31"/>
  <c r="DA19" i="31"/>
  <c r="DB19" i="31"/>
  <c r="DC19" i="31"/>
  <c r="DD19" i="31"/>
  <c r="DE19" i="31"/>
  <c r="DF19" i="31"/>
  <c r="DG19" i="31"/>
  <c r="DH19" i="31"/>
  <c r="DI19" i="31"/>
  <c r="DJ19" i="31"/>
  <c r="DK19" i="31"/>
  <c r="DL19" i="31"/>
  <c r="DM19" i="31"/>
  <c r="DN19" i="31"/>
  <c r="DO19" i="31"/>
  <c r="DP19" i="31"/>
  <c r="DQ19" i="31"/>
  <c r="DR19" i="31"/>
  <c r="DS19" i="31"/>
  <c r="DT19" i="31"/>
  <c r="DU19" i="31"/>
  <c r="DV19" i="31"/>
  <c r="DW19" i="31"/>
  <c r="DX19" i="31"/>
  <c r="DY19" i="31"/>
  <c r="DZ19" i="31"/>
  <c r="EA19" i="31"/>
  <c r="K20" i="31"/>
  <c r="L20" i="31"/>
  <c r="M20" i="31"/>
  <c r="N20" i="31"/>
  <c r="O20" i="31"/>
  <c r="P20" i="31"/>
  <c r="Q20" i="31"/>
  <c r="R20" i="31"/>
  <c r="S20" i="31"/>
  <c r="T20" i="31"/>
  <c r="U20" i="31"/>
  <c r="V20" i="31"/>
  <c r="W20" i="31"/>
  <c r="X20" i="31"/>
  <c r="Y20" i="31"/>
  <c r="Z20" i="31"/>
  <c r="AA20" i="31"/>
  <c r="AB20" i="31"/>
  <c r="AC20" i="31"/>
  <c r="AD20" i="31"/>
  <c r="AE20" i="31"/>
  <c r="AF20" i="31"/>
  <c r="AG20" i="31"/>
  <c r="AH20" i="31"/>
  <c r="AI20" i="31"/>
  <c r="AJ20" i="31"/>
  <c r="AK20" i="31"/>
  <c r="AL20" i="31"/>
  <c r="AM20" i="31"/>
  <c r="AN20" i="31"/>
  <c r="AO20" i="31"/>
  <c r="AP20" i="31"/>
  <c r="AQ20" i="31"/>
  <c r="AR20" i="31"/>
  <c r="AS20" i="31"/>
  <c r="AT20" i="31"/>
  <c r="AU20" i="31"/>
  <c r="AV20" i="31"/>
  <c r="AW20" i="31"/>
  <c r="AX20" i="31"/>
  <c r="AY20" i="31"/>
  <c r="AZ20" i="31"/>
  <c r="BA20" i="31"/>
  <c r="BB20" i="31"/>
  <c r="BC20" i="31"/>
  <c r="BD20" i="31"/>
  <c r="BE20" i="31"/>
  <c r="BF20" i="31"/>
  <c r="BG20" i="31"/>
  <c r="BH20" i="31"/>
  <c r="BI20" i="31"/>
  <c r="BJ20" i="31"/>
  <c r="BK20" i="31"/>
  <c r="BL20" i="31"/>
  <c r="BM20" i="31"/>
  <c r="BN20" i="31"/>
  <c r="BO20" i="31"/>
  <c r="BP20" i="31"/>
  <c r="BQ20" i="31"/>
  <c r="BR20" i="31"/>
  <c r="BS20" i="31"/>
  <c r="BT20" i="31"/>
  <c r="BU20" i="31"/>
  <c r="BV20" i="31"/>
  <c r="BW20" i="31"/>
  <c r="BX20" i="31"/>
  <c r="BY20" i="31"/>
  <c r="BZ20" i="31"/>
  <c r="CA20" i="31"/>
  <c r="CB20" i="31"/>
  <c r="CC20" i="31"/>
  <c r="CD20" i="31"/>
  <c r="CE20" i="31"/>
  <c r="CF20" i="31"/>
  <c r="CG20" i="31"/>
  <c r="CH20" i="31"/>
  <c r="CI20" i="31"/>
  <c r="CJ20" i="31"/>
  <c r="CK20" i="31"/>
  <c r="CL20" i="31"/>
  <c r="CM20" i="31"/>
  <c r="CN20" i="31"/>
  <c r="CO20" i="31"/>
  <c r="CP20" i="31"/>
  <c r="CQ20" i="31"/>
  <c r="CR20" i="31"/>
  <c r="CS20" i="31"/>
  <c r="CT20" i="31"/>
  <c r="CU20" i="31"/>
  <c r="CV20" i="31"/>
  <c r="CW20" i="31"/>
  <c r="CX20" i="31"/>
  <c r="CY20" i="31"/>
  <c r="CZ20" i="31"/>
  <c r="DA20" i="31"/>
  <c r="DB20" i="31"/>
  <c r="DC20" i="31"/>
  <c r="DD20" i="31"/>
  <c r="DE20" i="31"/>
  <c r="DF20" i="31"/>
  <c r="DG20" i="31"/>
  <c r="DH20" i="31"/>
  <c r="DI20" i="31"/>
  <c r="DJ20" i="31"/>
  <c r="DK20" i="31"/>
  <c r="DL20" i="31"/>
  <c r="DM20" i="31"/>
  <c r="DN20" i="31"/>
  <c r="DO20" i="31"/>
  <c r="DP20" i="31"/>
  <c r="DQ20" i="31"/>
  <c r="DR20" i="31"/>
  <c r="DS20" i="31"/>
  <c r="DT20" i="31"/>
  <c r="DU20" i="31"/>
  <c r="DV20" i="31"/>
  <c r="DW20" i="31"/>
  <c r="DX20" i="31"/>
  <c r="DY20" i="31"/>
  <c r="DZ20" i="31"/>
  <c r="EA20" i="31"/>
  <c r="I21" i="31"/>
  <c r="C22" i="31"/>
  <c r="C23" i="31"/>
  <c r="K23" i="31"/>
  <c r="L23" i="31"/>
  <c r="M23" i="31"/>
  <c r="N23" i="31"/>
  <c r="O23" i="31"/>
  <c r="P23" i="31"/>
  <c r="Q23" i="31"/>
  <c r="R23" i="31"/>
  <c r="S23" i="31"/>
  <c r="T23" i="31"/>
  <c r="U23" i="31"/>
  <c r="V23" i="31"/>
  <c r="W23" i="31"/>
  <c r="X23" i="31"/>
  <c r="Y23" i="31"/>
  <c r="Z23" i="31"/>
  <c r="AA23" i="31"/>
  <c r="AB23" i="31"/>
  <c r="AC23" i="31"/>
  <c r="AD23" i="31"/>
  <c r="AE23" i="31"/>
  <c r="AF23" i="31"/>
  <c r="AG23" i="31"/>
  <c r="AH23" i="31"/>
  <c r="AI23" i="31"/>
  <c r="AJ23" i="31"/>
  <c r="AK23" i="31"/>
  <c r="AL23" i="31"/>
  <c r="AM23" i="31"/>
  <c r="AN23" i="31"/>
  <c r="AO23" i="31"/>
  <c r="AP23" i="31"/>
  <c r="AQ23" i="31"/>
  <c r="AR23" i="31"/>
  <c r="AS23" i="31"/>
  <c r="AT23" i="31"/>
  <c r="AU23" i="31"/>
  <c r="AV23" i="31"/>
  <c r="AW23" i="31"/>
  <c r="AX23" i="31"/>
  <c r="AY23" i="31"/>
  <c r="AZ23" i="31"/>
  <c r="BA23" i="31"/>
  <c r="BB23" i="31"/>
  <c r="BC23" i="31"/>
  <c r="BD23" i="31"/>
  <c r="BE23" i="31"/>
  <c r="BF23" i="31"/>
  <c r="BG23" i="31"/>
  <c r="BH23" i="31"/>
  <c r="BI23" i="31"/>
  <c r="BJ23" i="31"/>
  <c r="BK23" i="31"/>
  <c r="BL23" i="31"/>
  <c r="BM23" i="31"/>
  <c r="BN23" i="31"/>
  <c r="BO23" i="31"/>
  <c r="BP23" i="31"/>
  <c r="BQ23" i="31"/>
  <c r="BR23" i="31"/>
  <c r="BS23" i="31"/>
  <c r="BT23" i="31"/>
  <c r="BU23" i="31"/>
  <c r="BV23" i="31"/>
  <c r="BW23" i="31"/>
  <c r="BX23" i="31"/>
  <c r="BY23" i="31"/>
  <c r="BZ23" i="31"/>
  <c r="CA23" i="31"/>
  <c r="CB23" i="31"/>
  <c r="CC23" i="31"/>
  <c r="CD23" i="31"/>
  <c r="CE23" i="31"/>
  <c r="CF23" i="31"/>
  <c r="CG23" i="31"/>
  <c r="CH23" i="31"/>
  <c r="CI23" i="31"/>
  <c r="CJ23" i="31"/>
  <c r="CK23" i="31"/>
  <c r="CL23" i="31"/>
  <c r="CM23" i="31"/>
  <c r="CN23" i="31"/>
  <c r="CO23" i="31"/>
  <c r="CP23" i="31"/>
  <c r="CQ23" i="31"/>
  <c r="CR23" i="31"/>
  <c r="CS23" i="31"/>
  <c r="CT23" i="31"/>
  <c r="CU23" i="31"/>
  <c r="CV23" i="31"/>
  <c r="CW23" i="31"/>
  <c r="CX23" i="31"/>
  <c r="CY23" i="31"/>
  <c r="CZ23" i="31"/>
  <c r="DA23" i="31"/>
  <c r="DB23" i="31"/>
  <c r="DC23" i="31"/>
  <c r="DD23" i="31"/>
  <c r="DE23" i="31"/>
  <c r="DF23" i="31"/>
  <c r="DG23" i="31"/>
  <c r="DH23" i="31"/>
  <c r="DI23" i="31"/>
  <c r="DJ23" i="31"/>
  <c r="DK23" i="31"/>
  <c r="DL23" i="31"/>
  <c r="DM23" i="31"/>
  <c r="DN23" i="31"/>
  <c r="DO23" i="31"/>
  <c r="DP23" i="31"/>
  <c r="DQ23" i="31"/>
  <c r="DR23" i="31"/>
  <c r="DS23" i="31"/>
  <c r="DT23" i="31"/>
  <c r="DU23" i="31"/>
  <c r="DV23" i="31"/>
  <c r="DW23" i="31"/>
  <c r="DX23" i="31"/>
  <c r="DY23" i="31"/>
  <c r="DZ23" i="31"/>
  <c r="EA23" i="31"/>
  <c r="C24" i="31"/>
  <c r="K24" i="31"/>
  <c r="L24" i="31"/>
  <c r="M24" i="31"/>
  <c r="N24" i="31"/>
  <c r="O24" i="31"/>
  <c r="P24" i="31"/>
  <c r="Q24" i="31"/>
  <c r="R24" i="31"/>
  <c r="S24" i="31"/>
  <c r="T24" i="31"/>
  <c r="U24" i="31"/>
  <c r="V24" i="31"/>
  <c r="W24" i="31"/>
  <c r="X24" i="31"/>
  <c r="Y24" i="31"/>
  <c r="Z24" i="31"/>
  <c r="AA24" i="31"/>
  <c r="AB24" i="31"/>
  <c r="AC24" i="31"/>
  <c r="AD24" i="31"/>
  <c r="AE24" i="31"/>
  <c r="AF24" i="31"/>
  <c r="AG24" i="31"/>
  <c r="AH24" i="31"/>
  <c r="AI24" i="31"/>
  <c r="AJ24" i="31"/>
  <c r="AK24" i="31"/>
  <c r="AL24" i="31"/>
  <c r="AM24" i="31"/>
  <c r="AN24" i="31"/>
  <c r="AO24" i="31"/>
  <c r="AP24" i="31"/>
  <c r="AQ24" i="31"/>
  <c r="AR24" i="31"/>
  <c r="AS24" i="31"/>
  <c r="AT24" i="31"/>
  <c r="AU24" i="31"/>
  <c r="AV24" i="31"/>
  <c r="AW24" i="31"/>
  <c r="AX24" i="31"/>
  <c r="AY24" i="31"/>
  <c r="AZ24" i="31"/>
  <c r="BA24" i="31"/>
  <c r="BB24" i="31"/>
  <c r="BC24" i="31"/>
  <c r="BD24" i="31"/>
  <c r="BE24" i="31"/>
  <c r="BF24" i="31"/>
  <c r="BG24" i="31"/>
  <c r="BH24" i="31"/>
  <c r="BI24" i="31"/>
  <c r="BJ24" i="31"/>
  <c r="BK24" i="31"/>
  <c r="BL24" i="31"/>
  <c r="BM24" i="31"/>
  <c r="BN24" i="31"/>
  <c r="BO24" i="31"/>
  <c r="BP24" i="31"/>
  <c r="BQ24" i="31"/>
  <c r="BR24" i="31"/>
  <c r="BS24" i="31"/>
  <c r="BT24" i="31"/>
  <c r="BU24" i="31"/>
  <c r="BV24" i="31"/>
  <c r="BW24" i="31"/>
  <c r="BX24" i="31"/>
  <c r="BY24" i="31"/>
  <c r="BZ24" i="31"/>
  <c r="CA24" i="31"/>
  <c r="CB24" i="31"/>
  <c r="CC24" i="31"/>
  <c r="CD24" i="31"/>
  <c r="CE24" i="31"/>
  <c r="CF24" i="31"/>
  <c r="CG24" i="31"/>
  <c r="CH24" i="31"/>
  <c r="CI24" i="31"/>
  <c r="CJ24" i="31"/>
  <c r="CK24" i="31"/>
  <c r="CL24" i="31"/>
  <c r="CM24" i="31"/>
  <c r="CN24" i="31"/>
  <c r="CO24" i="31"/>
  <c r="CP24" i="31"/>
  <c r="CQ24" i="31"/>
  <c r="CR24" i="31"/>
  <c r="CS24" i="31"/>
  <c r="CT24" i="31"/>
  <c r="CU24" i="31"/>
  <c r="CV24" i="31"/>
  <c r="CW24" i="31"/>
  <c r="CX24" i="31"/>
  <c r="CY24" i="31"/>
  <c r="CZ24" i="31"/>
  <c r="DA24" i="31"/>
  <c r="DB24" i="31"/>
  <c r="DC24" i="31"/>
  <c r="DD24" i="31"/>
  <c r="DE24" i="31"/>
  <c r="DF24" i="31"/>
  <c r="DG24" i="31"/>
  <c r="DH24" i="31"/>
  <c r="DI24" i="31"/>
  <c r="DJ24" i="31"/>
  <c r="DK24" i="31"/>
  <c r="DL24" i="31"/>
  <c r="DM24" i="31"/>
  <c r="DN24" i="31"/>
  <c r="DO24" i="31"/>
  <c r="DP24" i="31"/>
  <c r="DQ24" i="31"/>
  <c r="DR24" i="31"/>
  <c r="DS24" i="31"/>
  <c r="DT24" i="31"/>
  <c r="DU24" i="31"/>
  <c r="DV24" i="31"/>
  <c r="DW24" i="31"/>
  <c r="DX24" i="31"/>
  <c r="DY24" i="31"/>
  <c r="DZ24" i="31"/>
  <c r="EA24" i="31"/>
  <c r="L28" i="31"/>
  <c r="M28" i="31"/>
  <c r="N28" i="31"/>
  <c r="O28" i="31"/>
  <c r="P28" i="31"/>
  <c r="Q28" i="31"/>
  <c r="R28" i="31"/>
  <c r="S28" i="31"/>
  <c r="T28" i="31"/>
  <c r="U28" i="31"/>
  <c r="V28" i="31"/>
  <c r="W28" i="31"/>
  <c r="X28" i="31"/>
  <c r="Y28" i="31"/>
  <c r="Z28" i="31"/>
  <c r="AA28" i="31"/>
  <c r="AB28" i="31"/>
  <c r="AC28" i="31"/>
  <c r="AD28" i="31"/>
  <c r="AE28" i="31"/>
  <c r="AF28" i="31"/>
  <c r="AG28" i="31"/>
  <c r="AH28" i="31"/>
  <c r="AI28" i="31"/>
  <c r="AJ28" i="31"/>
  <c r="AK28" i="31"/>
  <c r="AL28" i="31"/>
  <c r="AM28" i="31"/>
  <c r="AN28" i="31"/>
  <c r="AO28" i="31"/>
  <c r="AP28" i="31"/>
  <c r="AQ28" i="31"/>
  <c r="AR28" i="31"/>
  <c r="AS28" i="31"/>
  <c r="AT28" i="31"/>
  <c r="AU28" i="31"/>
  <c r="AV28" i="31"/>
  <c r="AW28" i="31"/>
  <c r="AX28" i="31"/>
  <c r="AY28" i="31"/>
  <c r="AZ28" i="31"/>
  <c r="BA28" i="31"/>
  <c r="BB28" i="31"/>
  <c r="BC28" i="31"/>
  <c r="BD28" i="31"/>
  <c r="BE28" i="31"/>
  <c r="BF28" i="31"/>
  <c r="BG28" i="31"/>
  <c r="BH28" i="31"/>
  <c r="BI28" i="31"/>
  <c r="BJ28" i="31"/>
  <c r="BK28" i="31"/>
  <c r="BL28" i="31"/>
  <c r="BM28" i="31"/>
  <c r="BN28" i="31"/>
  <c r="BO28" i="31"/>
  <c r="BP28" i="31"/>
  <c r="BQ28" i="31"/>
  <c r="BR28" i="31"/>
  <c r="BS28" i="31"/>
  <c r="BT28" i="31"/>
  <c r="BU28" i="31"/>
  <c r="BV28" i="31"/>
  <c r="BW28" i="31"/>
  <c r="BX28" i="31"/>
  <c r="BY28" i="31"/>
  <c r="BZ28" i="31"/>
  <c r="CA28" i="31"/>
  <c r="CB28" i="31"/>
  <c r="CC28" i="31"/>
  <c r="CD28" i="31"/>
  <c r="CE28" i="31"/>
  <c r="CF28" i="31"/>
  <c r="CG28" i="31"/>
  <c r="CH28" i="31"/>
  <c r="CI28" i="31"/>
  <c r="CJ28" i="31"/>
  <c r="CK28" i="31"/>
  <c r="CL28" i="31"/>
  <c r="CM28" i="31"/>
  <c r="CN28" i="31"/>
  <c r="CO28" i="31"/>
  <c r="CP28" i="31"/>
  <c r="CQ28" i="31"/>
  <c r="CR28" i="31"/>
  <c r="CS28" i="31"/>
  <c r="CT28" i="31"/>
  <c r="CU28" i="31"/>
  <c r="CV28" i="31"/>
  <c r="CW28" i="31"/>
  <c r="CX28" i="31"/>
  <c r="CY28" i="31"/>
  <c r="CZ28" i="31"/>
  <c r="DA28" i="31"/>
  <c r="DB28" i="31"/>
  <c r="DC28" i="31"/>
  <c r="DD28" i="31"/>
  <c r="DE28" i="31"/>
  <c r="DF28" i="31"/>
  <c r="DG28" i="31"/>
  <c r="DH28" i="31"/>
  <c r="DI28" i="31"/>
  <c r="DJ28" i="31"/>
  <c r="DK28" i="31"/>
  <c r="DL28" i="31"/>
  <c r="DM28" i="31"/>
  <c r="DN28" i="31"/>
  <c r="DO28" i="31"/>
  <c r="DP28" i="31"/>
  <c r="DQ28" i="31"/>
  <c r="DR28" i="31"/>
  <c r="DS28" i="31"/>
  <c r="DT28" i="31"/>
  <c r="DU28" i="31"/>
  <c r="DV28" i="31"/>
  <c r="DW28" i="31"/>
  <c r="DX28" i="31"/>
  <c r="DY28" i="31"/>
  <c r="DZ28" i="31"/>
  <c r="EA28" i="31"/>
  <c r="L29" i="31"/>
  <c r="M29" i="31"/>
  <c r="N29" i="31"/>
  <c r="O29" i="31"/>
  <c r="P29" i="31"/>
  <c r="Q29" i="31"/>
  <c r="R29" i="31"/>
  <c r="S29" i="31"/>
  <c r="T29" i="31"/>
  <c r="U29" i="31"/>
  <c r="V29" i="31"/>
  <c r="W29" i="31"/>
  <c r="X29" i="31"/>
  <c r="Y29" i="31"/>
  <c r="Z29" i="31"/>
  <c r="AA29" i="31"/>
  <c r="AB29" i="31"/>
  <c r="AC29" i="31"/>
  <c r="AD29" i="31"/>
  <c r="AE29" i="31"/>
  <c r="AF29" i="31"/>
  <c r="AG29" i="31"/>
  <c r="AH29" i="31"/>
  <c r="AI29" i="31"/>
  <c r="AJ29" i="31"/>
  <c r="AK29" i="31"/>
  <c r="AL29" i="31"/>
  <c r="AM29" i="31"/>
  <c r="AN29" i="31"/>
  <c r="AO29" i="31"/>
  <c r="AP29" i="31"/>
  <c r="AQ29" i="31"/>
  <c r="AR29" i="31"/>
  <c r="AS29" i="31"/>
  <c r="AT29" i="31"/>
  <c r="AU29" i="31"/>
  <c r="AV29" i="31"/>
  <c r="AW29" i="31"/>
  <c r="AX29" i="31"/>
  <c r="AY29" i="31"/>
  <c r="AZ29" i="31"/>
  <c r="BA29" i="31"/>
  <c r="BB29" i="31"/>
  <c r="BC29" i="31"/>
  <c r="BD29" i="31"/>
  <c r="BE29" i="31"/>
  <c r="BF29" i="31"/>
  <c r="BG29" i="31"/>
  <c r="BH29" i="31"/>
  <c r="BI29" i="31"/>
  <c r="BJ29" i="31"/>
  <c r="BK29" i="31"/>
  <c r="BL29" i="31"/>
  <c r="BM29" i="31"/>
  <c r="BN29" i="31"/>
  <c r="BO29" i="31"/>
  <c r="BP29" i="31"/>
  <c r="BQ29" i="31"/>
  <c r="BR29" i="31"/>
  <c r="BS29" i="31"/>
  <c r="BT29" i="31"/>
  <c r="BU29" i="31"/>
  <c r="BV29" i="31"/>
  <c r="BW29" i="31"/>
  <c r="BX29" i="31"/>
  <c r="BY29" i="31"/>
  <c r="BZ29" i="31"/>
  <c r="CA29" i="31"/>
  <c r="CB29" i="31"/>
  <c r="CC29" i="31"/>
  <c r="CD29" i="31"/>
  <c r="CE29" i="31"/>
  <c r="CF29" i="31"/>
  <c r="CG29" i="31"/>
  <c r="CH29" i="31"/>
  <c r="CI29" i="31"/>
  <c r="CJ29" i="31"/>
  <c r="CK29" i="31"/>
  <c r="CL29" i="31"/>
  <c r="CM29" i="31"/>
  <c r="CN29" i="31"/>
  <c r="CO29" i="31"/>
  <c r="CP29" i="31"/>
  <c r="CQ29" i="31"/>
  <c r="CR29" i="31"/>
  <c r="CS29" i="31"/>
  <c r="CT29" i="31"/>
  <c r="CU29" i="31"/>
  <c r="CV29" i="31"/>
  <c r="CW29" i="31"/>
  <c r="CX29" i="31"/>
  <c r="CY29" i="31"/>
  <c r="CZ29" i="31"/>
  <c r="DA29" i="31"/>
  <c r="DB29" i="31"/>
  <c r="DC29" i="31"/>
  <c r="DD29" i="31"/>
  <c r="DE29" i="31"/>
  <c r="DF29" i="31"/>
  <c r="DG29" i="31"/>
  <c r="DH29" i="31"/>
  <c r="DI29" i="31"/>
  <c r="DJ29" i="31"/>
  <c r="DK29" i="31"/>
  <c r="DL29" i="31"/>
  <c r="DM29" i="31"/>
  <c r="DN29" i="31"/>
  <c r="DO29" i="31"/>
  <c r="DP29" i="31"/>
  <c r="DQ29" i="31"/>
  <c r="DR29" i="31"/>
  <c r="DS29" i="31"/>
  <c r="DT29" i="31"/>
  <c r="DU29" i="31"/>
  <c r="DV29" i="31"/>
  <c r="DW29" i="31"/>
  <c r="DX29" i="31"/>
  <c r="DY29" i="31"/>
  <c r="DZ29" i="31"/>
  <c r="EA29" i="31"/>
  <c r="K30" i="31"/>
  <c r="K31" i="31"/>
  <c r="L31" i="31"/>
  <c r="M31" i="31"/>
  <c r="N31" i="31"/>
  <c r="O31" i="31"/>
  <c r="P31" i="31"/>
  <c r="Q31" i="31"/>
  <c r="R31" i="31"/>
  <c r="S31" i="31"/>
  <c r="T31" i="31"/>
  <c r="U31" i="31"/>
  <c r="V31" i="31"/>
  <c r="W31" i="31"/>
  <c r="X31" i="31"/>
  <c r="Y31" i="31"/>
  <c r="Z31" i="31"/>
  <c r="AA31" i="31"/>
  <c r="AB31" i="31"/>
  <c r="AC31" i="31"/>
  <c r="AD31" i="31"/>
  <c r="AE31" i="31"/>
  <c r="AF31" i="31"/>
  <c r="AG31" i="31"/>
  <c r="AH31" i="31"/>
  <c r="AI31" i="31"/>
  <c r="AJ31" i="31"/>
  <c r="AK31" i="31"/>
  <c r="AL31" i="31"/>
  <c r="AM31" i="31"/>
  <c r="AN31" i="31"/>
  <c r="AO31" i="31"/>
  <c r="AP31" i="31"/>
  <c r="AQ31" i="31"/>
  <c r="AR31" i="31"/>
  <c r="AS31" i="31"/>
  <c r="AT31" i="31"/>
  <c r="AU31" i="31"/>
  <c r="AV31" i="31"/>
  <c r="AW31" i="31"/>
  <c r="AX31" i="31"/>
  <c r="AY31" i="31"/>
  <c r="AZ31" i="31"/>
  <c r="BA31" i="31"/>
  <c r="BB31" i="31"/>
  <c r="BC31" i="31"/>
  <c r="BD31" i="31"/>
  <c r="BE31" i="31"/>
  <c r="BF31" i="31"/>
  <c r="BG31" i="31"/>
  <c r="BH31" i="31"/>
  <c r="BI31" i="31"/>
  <c r="BJ31" i="31"/>
  <c r="BK31" i="31"/>
  <c r="BL31" i="31"/>
  <c r="BM31" i="31"/>
  <c r="BN31" i="31"/>
  <c r="BO31" i="31"/>
  <c r="BP31" i="31"/>
  <c r="BQ31" i="31"/>
  <c r="BR31" i="31"/>
  <c r="BS31" i="31"/>
  <c r="BT31" i="31"/>
  <c r="BU31" i="31"/>
  <c r="BV31" i="31"/>
  <c r="BW31" i="31"/>
  <c r="BX31" i="31"/>
  <c r="BY31" i="31"/>
  <c r="BZ31" i="31"/>
  <c r="CA31" i="31"/>
  <c r="CB31" i="31"/>
  <c r="CC31" i="31"/>
  <c r="CD31" i="31"/>
  <c r="CE31" i="31"/>
  <c r="CF31" i="31"/>
  <c r="CG31" i="31"/>
  <c r="CH31" i="31"/>
  <c r="CI31" i="31"/>
  <c r="CJ31" i="31"/>
  <c r="CK31" i="31"/>
  <c r="CL31" i="31"/>
  <c r="CM31" i="31"/>
  <c r="CN31" i="31"/>
  <c r="CO31" i="31"/>
  <c r="CP31" i="31"/>
  <c r="CQ31" i="31"/>
  <c r="CR31" i="31"/>
  <c r="CS31" i="31"/>
  <c r="CT31" i="31"/>
  <c r="CU31" i="31"/>
  <c r="CV31" i="31"/>
  <c r="CW31" i="31"/>
  <c r="CX31" i="31"/>
  <c r="CY31" i="31"/>
  <c r="CZ31" i="31"/>
  <c r="DA31" i="31"/>
  <c r="DB31" i="31"/>
  <c r="DC31" i="31"/>
  <c r="DD31" i="31"/>
  <c r="DE31" i="31"/>
  <c r="DF31" i="31"/>
  <c r="DG31" i="31"/>
  <c r="DH31" i="31"/>
  <c r="DI31" i="31"/>
  <c r="DJ31" i="31"/>
  <c r="DK31" i="31"/>
  <c r="DL31" i="31"/>
  <c r="DM31" i="31"/>
  <c r="DN31" i="31"/>
  <c r="DO31" i="31"/>
  <c r="DP31" i="31"/>
  <c r="DQ31" i="31"/>
  <c r="DR31" i="31"/>
  <c r="DS31" i="31"/>
  <c r="DT31" i="31"/>
  <c r="DU31" i="31"/>
  <c r="DV31" i="31"/>
  <c r="DW31" i="31"/>
  <c r="DX31" i="31"/>
  <c r="DY31" i="31"/>
  <c r="DZ31" i="31"/>
  <c r="EA31" i="31"/>
  <c r="K32" i="31"/>
  <c r="L32" i="31"/>
  <c r="M32" i="31"/>
  <c r="N32" i="31"/>
  <c r="O32" i="31"/>
  <c r="P32" i="31"/>
  <c r="Q32" i="31"/>
  <c r="R32" i="31"/>
  <c r="S32" i="31"/>
  <c r="T32" i="31"/>
  <c r="U32" i="31"/>
  <c r="V32" i="31"/>
  <c r="W32" i="31"/>
  <c r="X32" i="31"/>
  <c r="Y32" i="31"/>
  <c r="Z32" i="31"/>
  <c r="AA32" i="31"/>
  <c r="AB32" i="31"/>
  <c r="AC32" i="31"/>
  <c r="AD32" i="31"/>
  <c r="AE32" i="31"/>
  <c r="AF32" i="31"/>
  <c r="AG32" i="31"/>
  <c r="AH32" i="31"/>
  <c r="AI32" i="31"/>
  <c r="AJ32" i="31"/>
  <c r="AK32" i="31"/>
  <c r="AL32" i="31"/>
  <c r="AM32" i="31"/>
  <c r="AN32" i="31"/>
  <c r="AO32" i="31"/>
  <c r="AP32" i="31"/>
  <c r="AQ32" i="31"/>
  <c r="AR32" i="31"/>
  <c r="AS32" i="31"/>
  <c r="AT32" i="31"/>
  <c r="AU32" i="31"/>
  <c r="AV32" i="31"/>
  <c r="AW32" i="31"/>
  <c r="AX32" i="31"/>
  <c r="AY32" i="31"/>
  <c r="AZ32" i="31"/>
  <c r="BA32" i="31"/>
  <c r="BB32" i="31"/>
  <c r="BC32" i="31"/>
  <c r="BD32" i="31"/>
  <c r="BE32" i="31"/>
  <c r="BF32" i="31"/>
  <c r="BG32" i="31"/>
  <c r="BH32" i="31"/>
  <c r="BI32" i="31"/>
  <c r="BJ32" i="31"/>
  <c r="BK32" i="31"/>
  <c r="BL32" i="31"/>
  <c r="BM32" i="31"/>
  <c r="BN32" i="31"/>
  <c r="BO32" i="31"/>
  <c r="BP32" i="31"/>
  <c r="BQ32" i="31"/>
  <c r="BR32" i="31"/>
  <c r="BS32" i="31"/>
  <c r="BT32" i="31"/>
  <c r="BU32" i="31"/>
  <c r="BV32" i="31"/>
  <c r="BW32" i="31"/>
  <c r="BX32" i="31"/>
  <c r="BY32" i="31"/>
  <c r="BZ32" i="31"/>
  <c r="CA32" i="31"/>
  <c r="CB32" i="31"/>
  <c r="CC32" i="31"/>
  <c r="CD32" i="31"/>
  <c r="CE32" i="31"/>
  <c r="CF32" i="31"/>
  <c r="CG32" i="31"/>
  <c r="CH32" i="31"/>
  <c r="CI32" i="31"/>
  <c r="CJ32" i="31"/>
  <c r="CK32" i="31"/>
  <c r="CL32" i="31"/>
  <c r="CM32" i="31"/>
  <c r="CN32" i="31"/>
  <c r="CO32" i="31"/>
  <c r="CP32" i="31"/>
  <c r="CQ32" i="31"/>
  <c r="CR32" i="31"/>
  <c r="CS32" i="31"/>
  <c r="CT32" i="31"/>
  <c r="CU32" i="31"/>
  <c r="CV32" i="31"/>
  <c r="CW32" i="31"/>
  <c r="CX32" i="31"/>
  <c r="CY32" i="31"/>
  <c r="CZ32" i="31"/>
  <c r="DA32" i="31"/>
  <c r="DB32" i="31"/>
  <c r="DC32" i="31"/>
  <c r="DD32" i="31"/>
  <c r="DE32" i="31"/>
  <c r="DF32" i="31"/>
  <c r="DG32" i="31"/>
  <c r="DH32" i="31"/>
  <c r="DI32" i="31"/>
  <c r="DJ32" i="31"/>
  <c r="DK32" i="31"/>
  <c r="DL32" i="31"/>
  <c r="DM32" i="31"/>
  <c r="DN32" i="31"/>
  <c r="DO32" i="31"/>
  <c r="DP32" i="31"/>
  <c r="DQ32" i="31"/>
  <c r="DR32" i="31"/>
  <c r="DS32" i="31"/>
  <c r="DT32" i="31"/>
  <c r="DU32" i="31"/>
  <c r="DV32" i="31"/>
  <c r="DW32" i="31"/>
  <c r="DX32" i="31"/>
  <c r="DY32" i="31"/>
  <c r="DZ32" i="31"/>
  <c r="EA32" i="31"/>
  <c r="K33" i="31"/>
  <c r="L33" i="31"/>
  <c r="M33" i="31"/>
  <c r="N33" i="31"/>
  <c r="O33" i="31"/>
  <c r="P33" i="31"/>
  <c r="Q33" i="31"/>
  <c r="R33" i="31"/>
  <c r="S33" i="31"/>
  <c r="T33" i="31"/>
  <c r="U33" i="31"/>
  <c r="V33" i="31"/>
  <c r="W33" i="31"/>
  <c r="X33" i="31"/>
  <c r="Y33" i="31"/>
  <c r="Z33" i="31"/>
  <c r="AA33" i="31"/>
  <c r="AB33" i="31"/>
  <c r="AC33" i="31"/>
  <c r="AD33" i="31"/>
  <c r="AE33" i="31"/>
  <c r="AF33" i="31"/>
  <c r="AG33" i="31"/>
  <c r="AH33" i="31"/>
  <c r="AI33" i="31"/>
  <c r="AJ33" i="31"/>
  <c r="AK33" i="31"/>
  <c r="AL33" i="31"/>
  <c r="AM33" i="31"/>
  <c r="AN33" i="31"/>
  <c r="AO33" i="31"/>
  <c r="AP33" i="31"/>
  <c r="AQ33" i="31"/>
  <c r="AR33" i="31"/>
  <c r="AS33" i="31"/>
  <c r="AT33" i="31"/>
  <c r="AU33" i="31"/>
  <c r="AV33" i="31"/>
  <c r="AW33" i="31"/>
  <c r="AX33" i="31"/>
  <c r="AY33" i="31"/>
  <c r="AZ33" i="31"/>
  <c r="BA33" i="31"/>
  <c r="BB33" i="31"/>
  <c r="BC33" i="31"/>
  <c r="BD33" i="31"/>
  <c r="BE33" i="31"/>
  <c r="BF33" i="31"/>
  <c r="BG33" i="31"/>
  <c r="BH33" i="31"/>
  <c r="BI33" i="31"/>
  <c r="BJ33" i="31"/>
  <c r="BK33" i="31"/>
  <c r="BL33" i="31"/>
  <c r="BM33" i="31"/>
  <c r="BN33" i="31"/>
  <c r="BO33" i="31"/>
  <c r="BP33" i="31"/>
  <c r="BQ33" i="31"/>
  <c r="BR33" i="31"/>
  <c r="BS33" i="31"/>
  <c r="BT33" i="31"/>
  <c r="BU33" i="31"/>
  <c r="BV33" i="31"/>
  <c r="BW33" i="31"/>
  <c r="BX33" i="31"/>
  <c r="BY33" i="31"/>
  <c r="BZ33" i="31"/>
  <c r="CA33" i="31"/>
  <c r="CB33" i="31"/>
  <c r="CC33" i="31"/>
  <c r="CD33" i="31"/>
  <c r="CE33" i="31"/>
  <c r="CF33" i="31"/>
  <c r="CG33" i="31"/>
  <c r="CH33" i="31"/>
  <c r="CI33" i="31"/>
  <c r="CJ33" i="31"/>
  <c r="CK33" i="31"/>
  <c r="CL33" i="31"/>
  <c r="CM33" i="31"/>
  <c r="CN33" i="31"/>
  <c r="CO33" i="31"/>
  <c r="CP33" i="31"/>
  <c r="CQ33" i="31"/>
  <c r="CR33" i="31"/>
  <c r="CS33" i="31"/>
  <c r="CT33" i="31"/>
  <c r="CU33" i="31"/>
  <c r="CV33" i="31"/>
  <c r="CW33" i="31"/>
  <c r="CX33" i="31"/>
  <c r="CY33" i="31"/>
  <c r="CZ33" i="31"/>
  <c r="DA33" i="31"/>
  <c r="DB33" i="31"/>
  <c r="DC33" i="31"/>
  <c r="DD33" i="31"/>
  <c r="DE33" i="31"/>
  <c r="DF33" i="31"/>
  <c r="DG33" i="31"/>
  <c r="DH33" i="31"/>
  <c r="DI33" i="31"/>
  <c r="DJ33" i="31"/>
  <c r="DK33" i="31"/>
  <c r="DL33" i="31"/>
  <c r="DM33" i="31"/>
  <c r="DN33" i="31"/>
  <c r="DO33" i="31"/>
  <c r="DP33" i="31"/>
  <c r="DQ33" i="31"/>
  <c r="DR33" i="31"/>
  <c r="DS33" i="31"/>
  <c r="DT33" i="31"/>
  <c r="DU33" i="31"/>
  <c r="DV33" i="31"/>
  <c r="DW33" i="31"/>
  <c r="DX33" i="31"/>
  <c r="DY33" i="31"/>
  <c r="DZ33" i="31"/>
  <c r="EA33" i="31"/>
  <c r="K34" i="31"/>
  <c r="L34" i="31"/>
  <c r="M34" i="31"/>
  <c r="N34" i="31"/>
  <c r="O34" i="31"/>
  <c r="P34" i="31"/>
  <c r="Q34" i="31"/>
  <c r="R34" i="31"/>
  <c r="S34" i="31"/>
  <c r="T34" i="31"/>
  <c r="U34" i="31"/>
  <c r="V34" i="31"/>
  <c r="W34" i="31"/>
  <c r="X34" i="31"/>
  <c r="Y34" i="31"/>
  <c r="Z34" i="31"/>
  <c r="AA34" i="31"/>
  <c r="AB34" i="31"/>
  <c r="AC34" i="31"/>
  <c r="AD34" i="31"/>
  <c r="AE34" i="31"/>
  <c r="AF34" i="31"/>
  <c r="AG34" i="31"/>
  <c r="AH34" i="31"/>
  <c r="AI34" i="31"/>
  <c r="AJ34" i="31"/>
  <c r="AK34" i="31"/>
  <c r="AL34" i="31"/>
  <c r="AM34" i="31"/>
  <c r="AN34" i="31"/>
  <c r="AO34" i="31"/>
  <c r="AP34" i="31"/>
  <c r="AQ34" i="31"/>
  <c r="AR34" i="31"/>
  <c r="AS34" i="31"/>
  <c r="AT34" i="31"/>
  <c r="AU34" i="31"/>
  <c r="AV34" i="31"/>
  <c r="AW34" i="31"/>
  <c r="AX34" i="31"/>
  <c r="AY34" i="31"/>
  <c r="AZ34" i="31"/>
  <c r="BA34" i="31"/>
  <c r="BB34" i="31"/>
  <c r="BC34" i="31"/>
  <c r="BD34" i="31"/>
  <c r="BE34" i="31"/>
  <c r="BF34" i="31"/>
  <c r="BG34" i="31"/>
  <c r="BH34" i="31"/>
  <c r="BI34" i="31"/>
  <c r="BJ34" i="31"/>
  <c r="BK34" i="31"/>
  <c r="BL34" i="31"/>
  <c r="BM34" i="31"/>
  <c r="BN34" i="31"/>
  <c r="BO34" i="31"/>
  <c r="BP34" i="31"/>
  <c r="BQ34" i="31"/>
  <c r="BR34" i="31"/>
  <c r="BS34" i="31"/>
  <c r="BT34" i="31"/>
  <c r="BU34" i="31"/>
  <c r="BV34" i="31"/>
  <c r="BW34" i="31"/>
  <c r="BX34" i="31"/>
  <c r="BY34" i="31"/>
  <c r="BZ34" i="31"/>
  <c r="CA34" i="31"/>
  <c r="CB34" i="31"/>
  <c r="CC34" i="31"/>
  <c r="CD34" i="31"/>
  <c r="CE34" i="31"/>
  <c r="CF34" i="31"/>
  <c r="CG34" i="31"/>
  <c r="CH34" i="31"/>
  <c r="CI34" i="31"/>
  <c r="CJ34" i="31"/>
  <c r="CK34" i="31"/>
  <c r="CL34" i="31"/>
  <c r="CM34" i="31"/>
  <c r="CN34" i="31"/>
  <c r="CO34" i="31"/>
  <c r="CP34" i="31"/>
  <c r="CQ34" i="31"/>
  <c r="CR34" i="31"/>
  <c r="CS34" i="31"/>
  <c r="CT34" i="31"/>
  <c r="CU34" i="31"/>
  <c r="CV34" i="31"/>
  <c r="CW34" i="31"/>
  <c r="CX34" i="31"/>
  <c r="CY34" i="31"/>
  <c r="CZ34" i="31"/>
  <c r="DA34" i="31"/>
  <c r="DB34" i="31"/>
  <c r="DC34" i="31"/>
  <c r="DD34" i="31"/>
  <c r="DE34" i="31"/>
  <c r="DF34" i="31"/>
  <c r="DG34" i="31"/>
  <c r="DH34" i="31"/>
  <c r="DI34" i="31"/>
  <c r="DJ34" i="31"/>
  <c r="DK34" i="31"/>
  <c r="DL34" i="31"/>
  <c r="DM34" i="31"/>
  <c r="DN34" i="31"/>
  <c r="DO34" i="31"/>
  <c r="DP34" i="31"/>
  <c r="DQ34" i="31"/>
  <c r="DR34" i="31"/>
  <c r="DS34" i="31"/>
  <c r="DT34" i="31"/>
  <c r="DU34" i="31"/>
  <c r="DV34" i="31"/>
  <c r="DW34" i="31"/>
  <c r="DX34" i="31"/>
  <c r="DY34" i="31"/>
  <c r="DZ34" i="31"/>
  <c r="EA34" i="31"/>
  <c r="I35" i="31"/>
  <c r="I36" i="31"/>
  <c r="K38" i="31"/>
  <c r="K39" i="31"/>
  <c r="L39" i="31"/>
  <c r="M39" i="31"/>
  <c r="N39" i="31"/>
  <c r="O39" i="31"/>
  <c r="P39" i="31"/>
  <c r="Q39" i="31"/>
  <c r="R39" i="31"/>
  <c r="S39" i="31"/>
  <c r="T39" i="31"/>
  <c r="U39" i="31"/>
  <c r="V39" i="31"/>
  <c r="W39" i="31"/>
  <c r="X39" i="31"/>
  <c r="Y39" i="31"/>
  <c r="Z39" i="31"/>
  <c r="AA39" i="31"/>
  <c r="AB39" i="31"/>
  <c r="AC39" i="31"/>
  <c r="AD39" i="31"/>
  <c r="AE39" i="31"/>
  <c r="AF39" i="31"/>
  <c r="AG39" i="31"/>
  <c r="AH39" i="31"/>
  <c r="AI39" i="31"/>
  <c r="AJ39" i="31"/>
  <c r="AK39" i="31"/>
  <c r="AL39" i="31"/>
  <c r="AM39" i="31"/>
  <c r="AN39" i="31"/>
  <c r="AO39" i="31"/>
  <c r="AP39" i="31"/>
  <c r="AQ39" i="31"/>
  <c r="AR39" i="31"/>
  <c r="AS39" i="31"/>
  <c r="AT39" i="31"/>
  <c r="AU39" i="31"/>
  <c r="AV39" i="31"/>
  <c r="AW39" i="31"/>
  <c r="AX39" i="31"/>
  <c r="AY39" i="31"/>
  <c r="AZ39" i="31"/>
  <c r="BA39" i="31"/>
  <c r="BB39" i="31"/>
  <c r="BC39" i="31"/>
  <c r="BD39" i="31"/>
  <c r="BE39" i="31"/>
  <c r="BF39" i="31"/>
  <c r="BG39" i="31"/>
  <c r="BH39" i="31"/>
  <c r="BI39" i="31"/>
  <c r="BJ39" i="31"/>
  <c r="BK39" i="31"/>
  <c r="BL39" i="31"/>
  <c r="BM39" i="31"/>
  <c r="BN39" i="31"/>
  <c r="BO39" i="31"/>
  <c r="BP39" i="31"/>
  <c r="BQ39" i="31"/>
  <c r="BR39" i="31"/>
  <c r="BS39" i="31"/>
  <c r="BT39" i="31"/>
  <c r="BU39" i="31"/>
  <c r="BV39" i="31"/>
  <c r="BW39" i="31"/>
  <c r="BX39" i="31"/>
  <c r="BY39" i="31"/>
  <c r="BZ39" i="31"/>
  <c r="CA39" i="31"/>
  <c r="CB39" i="31"/>
  <c r="CC39" i="31"/>
  <c r="CD39" i="31"/>
  <c r="CE39" i="31"/>
  <c r="CF39" i="31"/>
  <c r="CG39" i="31"/>
  <c r="CH39" i="31"/>
  <c r="CI39" i="31"/>
  <c r="CJ39" i="31"/>
  <c r="CK39" i="31"/>
  <c r="CL39" i="31"/>
  <c r="CM39" i="31"/>
  <c r="CN39" i="31"/>
  <c r="CO39" i="31"/>
  <c r="CP39" i="31"/>
  <c r="CQ39" i="31"/>
  <c r="CR39" i="31"/>
  <c r="CS39" i="31"/>
  <c r="CT39" i="31"/>
  <c r="CU39" i="31"/>
  <c r="CV39" i="31"/>
  <c r="CW39" i="31"/>
  <c r="CX39" i="31"/>
  <c r="CY39" i="31"/>
  <c r="CZ39" i="31"/>
  <c r="DA39" i="31"/>
  <c r="DB39" i="31"/>
  <c r="DC39" i="31"/>
  <c r="DD39" i="31"/>
  <c r="DE39" i="31"/>
  <c r="DF39" i="31"/>
  <c r="DG39" i="31"/>
  <c r="DH39" i="31"/>
  <c r="DI39" i="31"/>
  <c r="DJ39" i="31"/>
  <c r="DK39" i="31"/>
  <c r="DL39" i="31"/>
  <c r="DM39" i="31"/>
  <c r="DN39" i="31"/>
  <c r="DO39" i="31"/>
  <c r="DP39" i="31"/>
  <c r="DQ39" i="31"/>
  <c r="DR39" i="31"/>
  <c r="DS39" i="31"/>
  <c r="DT39" i="31"/>
  <c r="DU39" i="31"/>
  <c r="DV39" i="31"/>
  <c r="DW39" i="31"/>
  <c r="DX39" i="31"/>
  <c r="DY39" i="31"/>
  <c r="DZ39" i="31"/>
  <c r="EA39" i="31"/>
  <c r="K41" i="31"/>
  <c r="L41" i="31"/>
  <c r="M41" i="31"/>
  <c r="N41" i="31"/>
  <c r="O41" i="31"/>
  <c r="P41" i="31"/>
  <c r="Q41" i="31"/>
  <c r="R41" i="31"/>
  <c r="S41" i="31"/>
  <c r="T41" i="31"/>
  <c r="U41" i="31"/>
  <c r="V41" i="31"/>
  <c r="W41" i="31"/>
  <c r="X41" i="31"/>
  <c r="Y41" i="31"/>
  <c r="Z41" i="31"/>
  <c r="AA41" i="31"/>
  <c r="AB41" i="31"/>
  <c r="AC41" i="31"/>
  <c r="AD41" i="31"/>
  <c r="AE41" i="31"/>
  <c r="AF41" i="31"/>
  <c r="AG41" i="31"/>
  <c r="AH41" i="31"/>
  <c r="AI41" i="31"/>
  <c r="AJ41" i="31"/>
  <c r="AK41" i="31"/>
  <c r="AL41" i="31"/>
  <c r="AM41" i="31"/>
  <c r="AN41" i="31"/>
  <c r="AO41" i="31"/>
  <c r="AP41" i="31"/>
  <c r="AQ41" i="31"/>
  <c r="AR41" i="31"/>
  <c r="AS41" i="31"/>
  <c r="AT41" i="31"/>
  <c r="AU41" i="31"/>
  <c r="AV41" i="31"/>
  <c r="AW41" i="31"/>
  <c r="AX41" i="31"/>
  <c r="AY41" i="31"/>
  <c r="AZ41" i="31"/>
  <c r="BA41" i="31"/>
  <c r="BB41" i="31"/>
  <c r="BC41" i="31"/>
  <c r="BD41" i="31"/>
  <c r="BE41" i="31"/>
  <c r="BF41" i="31"/>
  <c r="BG41" i="31"/>
  <c r="BH41" i="31"/>
  <c r="BI41" i="31"/>
  <c r="BJ41" i="31"/>
  <c r="BK41" i="31"/>
  <c r="BL41" i="31"/>
  <c r="BM41" i="31"/>
  <c r="BN41" i="31"/>
  <c r="BO41" i="31"/>
  <c r="BP41" i="31"/>
  <c r="BQ41" i="31"/>
  <c r="BR41" i="31"/>
  <c r="BS41" i="31"/>
  <c r="BT41" i="31"/>
  <c r="BU41" i="31"/>
  <c r="BV41" i="31"/>
  <c r="BW41" i="31"/>
  <c r="BX41" i="31"/>
  <c r="BY41" i="31"/>
  <c r="BZ41" i="31"/>
  <c r="CA41" i="31"/>
  <c r="CB41" i="31"/>
  <c r="CC41" i="31"/>
  <c r="CD41" i="31"/>
  <c r="CE41" i="31"/>
  <c r="CF41" i="31"/>
  <c r="CG41" i="31"/>
  <c r="CH41" i="31"/>
  <c r="CI41" i="31"/>
  <c r="CJ41" i="31"/>
  <c r="CK41" i="31"/>
  <c r="CL41" i="31"/>
  <c r="CM41" i="31"/>
  <c r="CN41" i="31"/>
  <c r="CO41" i="31"/>
  <c r="CP41" i="31"/>
  <c r="CQ41" i="31"/>
  <c r="CR41" i="31"/>
  <c r="CS41" i="31"/>
  <c r="CT41" i="31"/>
  <c r="CU41" i="31"/>
  <c r="CV41" i="31"/>
  <c r="CW41" i="31"/>
  <c r="CX41" i="31"/>
  <c r="CY41" i="31"/>
  <c r="CZ41" i="31"/>
  <c r="DA41" i="31"/>
  <c r="DB41" i="31"/>
  <c r="DC41" i="31"/>
  <c r="DD41" i="31"/>
  <c r="DE41" i="31"/>
  <c r="DF41" i="31"/>
  <c r="DG41" i="31"/>
  <c r="DH41" i="31"/>
  <c r="DI41" i="31"/>
  <c r="DJ41" i="31"/>
  <c r="DK41" i="31"/>
  <c r="DL41" i="31"/>
  <c r="DM41" i="31"/>
  <c r="DN41" i="31"/>
  <c r="DO41" i="31"/>
  <c r="DP41" i="31"/>
  <c r="DQ41" i="31"/>
  <c r="DR41" i="31"/>
  <c r="DS41" i="31"/>
  <c r="DT41" i="31"/>
  <c r="DU41" i="31"/>
  <c r="DV41" i="31"/>
  <c r="DW41" i="31"/>
  <c r="DX41" i="31"/>
  <c r="DY41" i="31"/>
  <c r="DZ41" i="31"/>
  <c r="EA41" i="31"/>
  <c r="K42" i="31"/>
  <c r="L42" i="31"/>
  <c r="M42" i="31"/>
  <c r="N42" i="31"/>
  <c r="O42" i="31"/>
  <c r="P42" i="31"/>
  <c r="Q42" i="31"/>
  <c r="R42" i="31"/>
  <c r="S42" i="31"/>
  <c r="T42" i="31"/>
  <c r="U42" i="31"/>
  <c r="V42" i="31"/>
  <c r="W42" i="31"/>
  <c r="X42" i="31"/>
  <c r="Y42" i="31"/>
  <c r="Z42" i="31"/>
  <c r="AA42" i="31"/>
  <c r="AB42" i="31"/>
  <c r="AC42" i="31"/>
  <c r="AD42" i="31"/>
  <c r="AE42" i="31"/>
  <c r="AF42" i="31"/>
  <c r="AG42" i="31"/>
  <c r="AH42" i="31"/>
  <c r="AI42" i="31"/>
  <c r="AJ42" i="31"/>
  <c r="AK42" i="31"/>
  <c r="AL42" i="31"/>
  <c r="AM42" i="31"/>
  <c r="AN42" i="31"/>
  <c r="AO42" i="31"/>
  <c r="AP42" i="31"/>
  <c r="AQ42" i="31"/>
  <c r="AR42" i="31"/>
  <c r="AS42" i="31"/>
  <c r="AT42" i="31"/>
  <c r="AU42" i="31"/>
  <c r="AV42" i="31"/>
  <c r="AW42" i="31"/>
  <c r="AX42" i="31"/>
  <c r="AY42" i="31"/>
  <c r="AZ42" i="31"/>
  <c r="BA42" i="31"/>
  <c r="BB42" i="31"/>
  <c r="BC42" i="31"/>
  <c r="BD42" i="31"/>
  <c r="BE42" i="31"/>
  <c r="BF42" i="31"/>
  <c r="BG42" i="31"/>
  <c r="BH42" i="31"/>
  <c r="BI42" i="31"/>
  <c r="BJ42" i="31"/>
  <c r="BK42" i="31"/>
  <c r="BL42" i="31"/>
  <c r="BM42" i="31"/>
  <c r="BN42" i="31"/>
  <c r="BO42" i="31"/>
  <c r="BP42" i="31"/>
  <c r="BQ42" i="31"/>
  <c r="BR42" i="31"/>
  <c r="BS42" i="31"/>
  <c r="BT42" i="31"/>
  <c r="BU42" i="31"/>
  <c r="BV42" i="31"/>
  <c r="BW42" i="31"/>
  <c r="BX42" i="31"/>
  <c r="BY42" i="31"/>
  <c r="BZ42" i="31"/>
  <c r="CA42" i="31"/>
  <c r="CB42" i="31"/>
  <c r="CC42" i="31"/>
  <c r="CD42" i="31"/>
  <c r="CE42" i="31"/>
  <c r="CF42" i="31"/>
  <c r="CG42" i="31"/>
  <c r="CH42" i="31"/>
  <c r="CI42" i="31"/>
  <c r="CJ42" i="31"/>
  <c r="CK42" i="31"/>
  <c r="CL42" i="31"/>
  <c r="CM42" i="31"/>
  <c r="CN42" i="31"/>
  <c r="CO42" i="31"/>
  <c r="CP42" i="31"/>
  <c r="CQ42" i="31"/>
  <c r="CR42" i="31"/>
  <c r="CS42" i="31"/>
  <c r="CT42" i="31"/>
  <c r="CU42" i="31"/>
  <c r="CV42" i="31"/>
  <c r="CW42" i="31"/>
  <c r="CX42" i="31"/>
  <c r="CY42" i="31"/>
  <c r="CZ42" i="31"/>
  <c r="DA42" i="31"/>
  <c r="DB42" i="31"/>
  <c r="DC42" i="31"/>
  <c r="DD42" i="31"/>
  <c r="DE42" i="31"/>
  <c r="DF42" i="31"/>
  <c r="DG42" i="31"/>
  <c r="DH42" i="31"/>
  <c r="DI42" i="31"/>
  <c r="DJ42" i="31"/>
  <c r="DK42" i="31"/>
  <c r="DL42" i="31"/>
  <c r="DM42" i="31"/>
  <c r="DN42" i="31"/>
  <c r="DO42" i="31"/>
  <c r="DP42" i="31"/>
  <c r="DQ42" i="31"/>
  <c r="DR42" i="31"/>
  <c r="DS42" i="31"/>
  <c r="DT42" i="31"/>
  <c r="DU42" i="31"/>
  <c r="DV42" i="31"/>
  <c r="DW42" i="31"/>
  <c r="DX42" i="31"/>
  <c r="DY42" i="31"/>
  <c r="DZ42" i="31"/>
  <c r="EA42" i="31"/>
  <c r="L46" i="31"/>
  <c r="M46" i="31"/>
  <c r="N46" i="31"/>
  <c r="O46" i="31"/>
  <c r="P46" i="31"/>
  <c r="Q46" i="31"/>
  <c r="R46" i="31"/>
  <c r="S46" i="31"/>
  <c r="T46" i="31"/>
  <c r="U46" i="31"/>
  <c r="V46" i="31"/>
  <c r="W46" i="31"/>
  <c r="X46" i="31"/>
  <c r="Y46" i="31"/>
  <c r="Z46" i="31"/>
  <c r="AA46" i="31"/>
  <c r="AB46" i="31"/>
  <c r="AC46" i="31"/>
  <c r="AD46" i="31"/>
  <c r="AE46" i="31"/>
  <c r="AF46" i="31"/>
  <c r="AG46" i="31"/>
  <c r="AH46" i="31"/>
  <c r="AI46" i="31"/>
  <c r="AJ46" i="31"/>
  <c r="AK46" i="31"/>
  <c r="AL46" i="31"/>
  <c r="AM46" i="31"/>
  <c r="AN46" i="31"/>
  <c r="AO46" i="31"/>
  <c r="AP46" i="31"/>
  <c r="AQ46" i="31"/>
  <c r="AR46" i="31"/>
  <c r="AS46" i="31"/>
  <c r="AT46" i="31"/>
  <c r="AU46" i="31"/>
  <c r="AV46" i="31"/>
  <c r="AW46" i="31"/>
  <c r="AX46" i="31"/>
  <c r="AY46" i="31"/>
  <c r="AZ46" i="31"/>
  <c r="BA46" i="31"/>
  <c r="BB46" i="31"/>
  <c r="BC46" i="31"/>
  <c r="BD46" i="31"/>
  <c r="BE46" i="31"/>
  <c r="BF46" i="31"/>
  <c r="BG46" i="31"/>
  <c r="BH46" i="31"/>
  <c r="BI46" i="31"/>
  <c r="BJ46" i="31"/>
  <c r="BK46" i="31"/>
  <c r="BL46" i="31"/>
  <c r="BM46" i="31"/>
  <c r="BN46" i="31"/>
  <c r="BO46" i="31"/>
  <c r="BP46" i="31"/>
  <c r="BQ46" i="31"/>
  <c r="BR46" i="31"/>
  <c r="BS46" i="31"/>
  <c r="BT46" i="31"/>
  <c r="BU46" i="31"/>
  <c r="BV46" i="31"/>
  <c r="BW46" i="31"/>
  <c r="BX46" i="31"/>
  <c r="BY46" i="31"/>
  <c r="BZ46" i="31"/>
  <c r="CA46" i="31"/>
  <c r="CB46" i="31"/>
  <c r="CC46" i="31"/>
  <c r="CD46" i="31"/>
  <c r="CE46" i="31"/>
  <c r="CF46" i="31"/>
  <c r="CG46" i="31"/>
  <c r="CH46" i="31"/>
  <c r="CI46" i="31"/>
  <c r="CJ46" i="31"/>
  <c r="CK46" i="31"/>
  <c r="CL46" i="31"/>
  <c r="CM46" i="31"/>
  <c r="CN46" i="31"/>
  <c r="CO46" i="31"/>
  <c r="CP46" i="31"/>
  <c r="CQ46" i="31"/>
  <c r="CR46" i="31"/>
  <c r="CS46" i="31"/>
  <c r="CT46" i="31"/>
  <c r="CU46" i="31"/>
  <c r="CV46" i="31"/>
  <c r="CW46" i="31"/>
  <c r="CX46" i="31"/>
  <c r="CY46" i="31"/>
  <c r="CZ46" i="31"/>
  <c r="DA46" i="31"/>
  <c r="DB46" i="31"/>
  <c r="DC46" i="31"/>
  <c r="DD46" i="31"/>
  <c r="DE46" i="31"/>
  <c r="DF46" i="31"/>
  <c r="DG46" i="31"/>
  <c r="DH46" i="31"/>
  <c r="DI46" i="31"/>
  <c r="DJ46" i="31"/>
  <c r="DK46" i="31"/>
  <c r="DL46" i="31"/>
  <c r="DM46" i="31"/>
  <c r="DN46" i="31"/>
  <c r="DO46" i="31"/>
  <c r="DP46" i="31"/>
  <c r="DQ46" i="31"/>
  <c r="DR46" i="31"/>
  <c r="DS46" i="31"/>
  <c r="DT46" i="31"/>
  <c r="DU46" i="31"/>
  <c r="DV46" i="31"/>
  <c r="DW46" i="31"/>
  <c r="DX46" i="31"/>
  <c r="DY46" i="31"/>
  <c r="DZ46" i="31"/>
  <c r="EA46" i="31"/>
  <c r="L47" i="31"/>
  <c r="M47" i="31"/>
  <c r="N47" i="31"/>
  <c r="O47" i="31"/>
  <c r="P47" i="31"/>
  <c r="Q47" i="31"/>
  <c r="R47" i="31"/>
  <c r="S47" i="31"/>
  <c r="T47" i="31"/>
  <c r="U47" i="31"/>
  <c r="V47" i="31"/>
  <c r="W47" i="31"/>
  <c r="X47" i="31"/>
  <c r="Y47" i="31"/>
  <c r="Z47" i="31"/>
  <c r="AA47" i="31"/>
  <c r="AB47" i="31"/>
  <c r="AC47" i="31"/>
  <c r="AD47" i="31"/>
  <c r="AE47" i="31"/>
  <c r="AF47" i="31"/>
  <c r="AG47" i="31"/>
  <c r="AH47" i="31"/>
  <c r="AI47" i="31"/>
  <c r="AJ47" i="31"/>
  <c r="AK47" i="31"/>
  <c r="AL47" i="31"/>
  <c r="AM47" i="31"/>
  <c r="AN47" i="31"/>
  <c r="AO47" i="31"/>
  <c r="AP47" i="31"/>
  <c r="AQ47" i="31"/>
  <c r="AR47" i="31"/>
  <c r="AS47" i="31"/>
  <c r="AT47" i="31"/>
  <c r="AU47" i="31"/>
  <c r="AV47" i="31"/>
  <c r="AW47" i="31"/>
  <c r="AX47" i="31"/>
  <c r="AY47" i="31"/>
  <c r="AZ47" i="31"/>
  <c r="BA47" i="31"/>
  <c r="BB47" i="31"/>
  <c r="BC47" i="31"/>
  <c r="BD47" i="31"/>
  <c r="BE47" i="31"/>
  <c r="BF47" i="31"/>
  <c r="BG47" i="31"/>
  <c r="BH47" i="31"/>
  <c r="BI47" i="31"/>
  <c r="BJ47" i="31"/>
  <c r="BK47" i="31"/>
  <c r="BL47" i="31"/>
  <c r="BM47" i="31"/>
  <c r="BN47" i="31"/>
  <c r="BO47" i="31"/>
  <c r="BP47" i="31"/>
  <c r="BQ47" i="31"/>
  <c r="BR47" i="31"/>
  <c r="BS47" i="31"/>
  <c r="BT47" i="31"/>
  <c r="BU47" i="31"/>
  <c r="BV47" i="31"/>
  <c r="BW47" i="31"/>
  <c r="BX47" i="31"/>
  <c r="BY47" i="31"/>
  <c r="BZ47" i="31"/>
  <c r="CA47" i="31"/>
  <c r="CB47" i="31"/>
  <c r="CC47" i="31"/>
  <c r="CD47" i="31"/>
  <c r="CE47" i="31"/>
  <c r="CF47" i="31"/>
  <c r="CG47" i="31"/>
  <c r="CH47" i="31"/>
  <c r="CI47" i="31"/>
  <c r="CJ47" i="31"/>
  <c r="CK47" i="31"/>
  <c r="CL47" i="31"/>
  <c r="CM47" i="31"/>
  <c r="CN47" i="31"/>
  <c r="CO47" i="31"/>
  <c r="CP47" i="31"/>
  <c r="CQ47" i="31"/>
  <c r="CR47" i="31"/>
  <c r="CS47" i="31"/>
  <c r="CT47" i="31"/>
  <c r="CU47" i="31"/>
  <c r="CV47" i="31"/>
  <c r="CW47" i="31"/>
  <c r="CX47" i="31"/>
  <c r="CY47" i="31"/>
  <c r="CZ47" i="31"/>
  <c r="DA47" i="31"/>
  <c r="DB47" i="31"/>
  <c r="DC47" i="31"/>
  <c r="DD47" i="31"/>
  <c r="DE47" i="31"/>
  <c r="DF47" i="31"/>
  <c r="DG47" i="31"/>
  <c r="DH47" i="31"/>
  <c r="DI47" i="31"/>
  <c r="DJ47" i="31"/>
  <c r="DK47" i="31"/>
  <c r="DL47" i="31"/>
  <c r="DM47" i="31"/>
  <c r="DN47" i="31"/>
  <c r="DO47" i="31"/>
  <c r="DP47" i="31"/>
  <c r="DQ47" i="31"/>
  <c r="DR47" i="31"/>
  <c r="DS47" i="31"/>
  <c r="DT47" i="31"/>
  <c r="DU47" i="31"/>
  <c r="DV47" i="31"/>
  <c r="DW47" i="31"/>
  <c r="DX47" i="31"/>
  <c r="DY47" i="31"/>
  <c r="DZ47" i="31"/>
  <c r="EA47" i="31"/>
  <c r="K48" i="31"/>
  <c r="K49" i="31"/>
  <c r="L49" i="31"/>
  <c r="M49" i="31"/>
  <c r="N49" i="31"/>
  <c r="O49" i="31"/>
  <c r="P49" i="31"/>
  <c r="Q49" i="31"/>
  <c r="R49" i="31"/>
  <c r="S49" i="31"/>
  <c r="T49" i="31"/>
  <c r="U49" i="31"/>
  <c r="V49" i="31"/>
  <c r="W49" i="31"/>
  <c r="X49" i="31"/>
  <c r="Y49" i="31"/>
  <c r="Z49" i="31"/>
  <c r="AA49" i="31"/>
  <c r="AB49" i="31"/>
  <c r="AC49" i="31"/>
  <c r="AD49" i="31"/>
  <c r="AE49" i="31"/>
  <c r="AF49" i="31"/>
  <c r="AG49" i="31"/>
  <c r="AH49" i="31"/>
  <c r="AI49" i="31"/>
  <c r="AJ49" i="31"/>
  <c r="AK49" i="31"/>
  <c r="AL49" i="31"/>
  <c r="AM49" i="31"/>
  <c r="AN49" i="31"/>
  <c r="AO49" i="31"/>
  <c r="AP49" i="31"/>
  <c r="AQ49" i="31"/>
  <c r="AR49" i="31"/>
  <c r="AS49" i="31"/>
  <c r="AT49" i="31"/>
  <c r="AU49" i="31"/>
  <c r="AV49" i="31"/>
  <c r="AW49" i="31"/>
  <c r="AX49" i="31"/>
  <c r="AY49" i="31"/>
  <c r="AZ49" i="31"/>
  <c r="BA49" i="31"/>
  <c r="BB49" i="31"/>
  <c r="BC49" i="31"/>
  <c r="BD49" i="31"/>
  <c r="BE49" i="31"/>
  <c r="BF49" i="31"/>
  <c r="BG49" i="31"/>
  <c r="BH49" i="31"/>
  <c r="BI49" i="31"/>
  <c r="BJ49" i="31"/>
  <c r="BK49" i="31"/>
  <c r="BL49" i="31"/>
  <c r="BM49" i="31"/>
  <c r="BN49" i="31"/>
  <c r="BO49" i="31"/>
  <c r="BP49" i="31"/>
  <c r="BQ49" i="31"/>
  <c r="BR49" i="31"/>
  <c r="BS49" i="31"/>
  <c r="BT49" i="31"/>
  <c r="BU49" i="31"/>
  <c r="BV49" i="31"/>
  <c r="BW49" i="31"/>
  <c r="BX49" i="31"/>
  <c r="BY49" i="31"/>
  <c r="BZ49" i="31"/>
  <c r="CA49" i="31"/>
  <c r="CB49" i="31"/>
  <c r="CC49" i="31"/>
  <c r="CD49" i="31"/>
  <c r="CE49" i="31"/>
  <c r="CF49" i="31"/>
  <c r="CG49" i="31"/>
  <c r="CH49" i="31"/>
  <c r="CI49" i="31"/>
  <c r="CJ49" i="31"/>
  <c r="CK49" i="31"/>
  <c r="CL49" i="31"/>
  <c r="CM49" i="31"/>
  <c r="CN49" i="31"/>
  <c r="CO49" i="31"/>
  <c r="CP49" i="31"/>
  <c r="CQ49" i="31"/>
  <c r="CR49" i="31"/>
  <c r="CS49" i="31"/>
  <c r="CT49" i="31"/>
  <c r="CU49" i="31"/>
  <c r="CV49" i="31"/>
  <c r="CW49" i="31"/>
  <c r="CX49" i="31"/>
  <c r="CY49" i="31"/>
  <c r="CZ49" i="31"/>
  <c r="DA49" i="31"/>
  <c r="DB49" i="31"/>
  <c r="DC49" i="31"/>
  <c r="DD49" i="31"/>
  <c r="DE49" i="31"/>
  <c r="DF49" i="31"/>
  <c r="DG49" i="31"/>
  <c r="DH49" i="31"/>
  <c r="DI49" i="31"/>
  <c r="DJ49" i="31"/>
  <c r="DK49" i="31"/>
  <c r="DL49" i="31"/>
  <c r="DM49" i="31"/>
  <c r="DN49" i="31"/>
  <c r="DO49" i="31"/>
  <c r="DP49" i="31"/>
  <c r="DQ49" i="31"/>
  <c r="DR49" i="31"/>
  <c r="DS49" i="31"/>
  <c r="DT49" i="31"/>
  <c r="DU49" i="31"/>
  <c r="DV49" i="31"/>
  <c r="DW49" i="31"/>
  <c r="DX49" i="31"/>
  <c r="DY49" i="31"/>
  <c r="DZ49" i="31"/>
  <c r="EA49" i="31"/>
  <c r="K50" i="31"/>
  <c r="L50" i="31"/>
  <c r="M50" i="31"/>
  <c r="N50" i="31"/>
  <c r="O50" i="31"/>
  <c r="P50" i="31"/>
  <c r="Q50" i="31"/>
  <c r="R50" i="31"/>
  <c r="S50" i="31"/>
  <c r="T50" i="31"/>
  <c r="U50" i="31"/>
  <c r="V50" i="31"/>
  <c r="W50" i="31"/>
  <c r="X50" i="31"/>
  <c r="Y50" i="31"/>
  <c r="Z50" i="31"/>
  <c r="AA50" i="31"/>
  <c r="AB50" i="31"/>
  <c r="AC50" i="31"/>
  <c r="AD50" i="31"/>
  <c r="AE50" i="31"/>
  <c r="AF50" i="31"/>
  <c r="AG50" i="31"/>
  <c r="AH50" i="31"/>
  <c r="AI50" i="31"/>
  <c r="AJ50" i="31"/>
  <c r="AK50" i="31"/>
  <c r="AL50" i="31"/>
  <c r="AM50" i="31"/>
  <c r="AN50" i="31"/>
  <c r="AO50" i="31"/>
  <c r="AP50" i="31"/>
  <c r="AQ50" i="31"/>
  <c r="AR50" i="31"/>
  <c r="AS50" i="31"/>
  <c r="AT50" i="31"/>
  <c r="AU50" i="31"/>
  <c r="AV50" i="31"/>
  <c r="AW50" i="31"/>
  <c r="AX50" i="31"/>
  <c r="AY50" i="31"/>
  <c r="AZ50" i="31"/>
  <c r="BA50" i="31"/>
  <c r="BB50" i="31"/>
  <c r="BC50" i="31"/>
  <c r="BD50" i="31"/>
  <c r="BE50" i="31"/>
  <c r="BF50" i="31"/>
  <c r="BG50" i="31"/>
  <c r="BH50" i="31"/>
  <c r="BI50" i="31"/>
  <c r="BJ50" i="31"/>
  <c r="BK50" i="31"/>
  <c r="BL50" i="31"/>
  <c r="BM50" i="31"/>
  <c r="BN50" i="31"/>
  <c r="BO50" i="31"/>
  <c r="BP50" i="31"/>
  <c r="BQ50" i="31"/>
  <c r="BR50" i="31"/>
  <c r="BS50" i="31"/>
  <c r="BT50" i="31"/>
  <c r="BU50" i="31"/>
  <c r="BV50" i="31"/>
  <c r="BW50" i="31"/>
  <c r="BX50" i="31"/>
  <c r="BY50" i="31"/>
  <c r="BZ50" i="31"/>
  <c r="CA50" i="31"/>
  <c r="CB50" i="31"/>
  <c r="CC50" i="31"/>
  <c r="CD50" i="31"/>
  <c r="CE50" i="31"/>
  <c r="CF50" i="31"/>
  <c r="CG50" i="31"/>
  <c r="CH50" i="31"/>
  <c r="CI50" i="31"/>
  <c r="CJ50" i="31"/>
  <c r="CK50" i="31"/>
  <c r="CL50" i="31"/>
  <c r="CM50" i="31"/>
  <c r="CN50" i="31"/>
  <c r="CO50" i="31"/>
  <c r="CP50" i="31"/>
  <c r="CQ50" i="31"/>
  <c r="CR50" i="31"/>
  <c r="CS50" i="31"/>
  <c r="CT50" i="31"/>
  <c r="CU50" i="31"/>
  <c r="CV50" i="31"/>
  <c r="CW50" i="31"/>
  <c r="CX50" i="31"/>
  <c r="CY50" i="31"/>
  <c r="CZ50" i="31"/>
  <c r="DA50" i="31"/>
  <c r="DB50" i="31"/>
  <c r="DC50" i="31"/>
  <c r="DD50" i="31"/>
  <c r="DE50" i="31"/>
  <c r="DF50" i="31"/>
  <c r="DG50" i="31"/>
  <c r="DH50" i="31"/>
  <c r="DI50" i="31"/>
  <c r="DJ50" i="31"/>
  <c r="DK50" i="31"/>
  <c r="DL50" i="31"/>
  <c r="DM50" i="31"/>
  <c r="DN50" i="31"/>
  <c r="DO50" i="31"/>
  <c r="DP50" i="31"/>
  <c r="DQ50" i="31"/>
  <c r="DR50" i="31"/>
  <c r="DS50" i="31"/>
  <c r="DT50" i="31"/>
  <c r="DU50" i="31"/>
  <c r="DV50" i="31"/>
  <c r="DW50" i="31"/>
  <c r="DX50" i="31"/>
  <c r="DY50" i="31"/>
  <c r="DZ50" i="31"/>
  <c r="EA50" i="31"/>
  <c r="K51" i="31"/>
  <c r="L51" i="31"/>
  <c r="M51" i="31"/>
  <c r="N51" i="31"/>
  <c r="O51" i="31"/>
  <c r="P51" i="31"/>
  <c r="Q51" i="31"/>
  <c r="R51" i="31"/>
  <c r="S51" i="31"/>
  <c r="T51" i="31"/>
  <c r="U51" i="31"/>
  <c r="V51" i="31"/>
  <c r="W51" i="31"/>
  <c r="X51" i="31"/>
  <c r="Y51" i="31"/>
  <c r="Z51" i="31"/>
  <c r="AA51" i="31"/>
  <c r="AB51" i="31"/>
  <c r="AC51" i="31"/>
  <c r="AD51" i="31"/>
  <c r="AE51" i="31"/>
  <c r="AF51" i="31"/>
  <c r="AG51" i="31"/>
  <c r="AH51" i="31"/>
  <c r="AI51" i="31"/>
  <c r="AJ51" i="31"/>
  <c r="AK51" i="31"/>
  <c r="AL51" i="31"/>
  <c r="AM51" i="31"/>
  <c r="AN51" i="31"/>
  <c r="AO51" i="31"/>
  <c r="AP51" i="31"/>
  <c r="AQ51" i="31"/>
  <c r="AR51" i="31"/>
  <c r="AS51" i="31"/>
  <c r="AT51" i="31"/>
  <c r="AU51" i="31"/>
  <c r="AV51" i="31"/>
  <c r="AW51" i="31"/>
  <c r="AX51" i="31"/>
  <c r="AY51" i="31"/>
  <c r="AZ51" i="31"/>
  <c r="BA51" i="31"/>
  <c r="BB51" i="31"/>
  <c r="BC51" i="31"/>
  <c r="BD51" i="31"/>
  <c r="BE51" i="31"/>
  <c r="BF51" i="31"/>
  <c r="BG51" i="31"/>
  <c r="BH51" i="31"/>
  <c r="BI51" i="31"/>
  <c r="BJ51" i="31"/>
  <c r="BK51" i="31"/>
  <c r="BL51" i="31"/>
  <c r="BM51" i="31"/>
  <c r="BN51" i="31"/>
  <c r="BO51" i="31"/>
  <c r="BP51" i="31"/>
  <c r="BQ51" i="31"/>
  <c r="BR51" i="31"/>
  <c r="BS51" i="31"/>
  <c r="BT51" i="31"/>
  <c r="BU51" i="31"/>
  <c r="BV51" i="31"/>
  <c r="BW51" i="31"/>
  <c r="BX51" i="31"/>
  <c r="BY51" i="31"/>
  <c r="BZ51" i="31"/>
  <c r="CA51" i="31"/>
  <c r="CB51" i="31"/>
  <c r="CC51" i="31"/>
  <c r="CD51" i="31"/>
  <c r="CE51" i="31"/>
  <c r="CF51" i="31"/>
  <c r="CG51" i="31"/>
  <c r="CH51" i="31"/>
  <c r="CI51" i="31"/>
  <c r="CJ51" i="31"/>
  <c r="CK51" i="31"/>
  <c r="CL51" i="31"/>
  <c r="CM51" i="31"/>
  <c r="CN51" i="31"/>
  <c r="CO51" i="31"/>
  <c r="CP51" i="31"/>
  <c r="CQ51" i="31"/>
  <c r="CR51" i="31"/>
  <c r="CS51" i="31"/>
  <c r="CT51" i="31"/>
  <c r="CU51" i="31"/>
  <c r="CV51" i="31"/>
  <c r="CW51" i="31"/>
  <c r="CX51" i="31"/>
  <c r="CY51" i="31"/>
  <c r="CZ51" i="31"/>
  <c r="DA51" i="31"/>
  <c r="DB51" i="31"/>
  <c r="DC51" i="31"/>
  <c r="DD51" i="31"/>
  <c r="DE51" i="31"/>
  <c r="DF51" i="31"/>
  <c r="DG51" i="31"/>
  <c r="DH51" i="31"/>
  <c r="DI51" i="31"/>
  <c r="DJ51" i="31"/>
  <c r="DK51" i="31"/>
  <c r="DL51" i="31"/>
  <c r="DM51" i="31"/>
  <c r="DN51" i="31"/>
  <c r="DO51" i="31"/>
  <c r="DP51" i="31"/>
  <c r="DQ51" i="31"/>
  <c r="DR51" i="31"/>
  <c r="DS51" i="31"/>
  <c r="DT51" i="31"/>
  <c r="DU51" i="31"/>
  <c r="DV51" i="31"/>
  <c r="DW51" i="31"/>
  <c r="DX51" i="31"/>
  <c r="DY51" i="31"/>
  <c r="DZ51" i="31"/>
  <c r="EA51" i="31"/>
  <c r="K52" i="31"/>
  <c r="L52" i="31"/>
  <c r="M52" i="31"/>
  <c r="N52" i="31"/>
  <c r="O52" i="31"/>
  <c r="P52" i="31"/>
  <c r="Q52" i="31"/>
  <c r="R52" i="31"/>
  <c r="S52" i="31"/>
  <c r="T52" i="31"/>
  <c r="U52" i="31"/>
  <c r="V52" i="31"/>
  <c r="W52" i="31"/>
  <c r="X52" i="31"/>
  <c r="Y52" i="31"/>
  <c r="Z52" i="31"/>
  <c r="AA52" i="31"/>
  <c r="AB52" i="31"/>
  <c r="AC52" i="31"/>
  <c r="AD52" i="31"/>
  <c r="AE52" i="31"/>
  <c r="AF52" i="31"/>
  <c r="AG52" i="31"/>
  <c r="AH52" i="31"/>
  <c r="AI52" i="31"/>
  <c r="AJ52" i="31"/>
  <c r="AK52" i="31"/>
  <c r="AL52" i="31"/>
  <c r="AM52" i="31"/>
  <c r="AN52" i="31"/>
  <c r="AO52" i="31"/>
  <c r="AP52" i="31"/>
  <c r="AQ52" i="31"/>
  <c r="AR52" i="31"/>
  <c r="AS52" i="31"/>
  <c r="AT52" i="31"/>
  <c r="AU52" i="31"/>
  <c r="AV52" i="31"/>
  <c r="AW52" i="31"/>
  <c r="AX52" i="31"/>
  <c r="AY52" i="31"/>
  <c r="AZ52" i="31"/>
  <c r="BA52" i="31"/>
  <c r="BB52" i="31"/>
  <c r="BC52" i="31"/>
  <c r="BD52" i="31"/>
  <c r="BE52" i="31"/>
  <c r="BF52" i="31"/>
  <c r="BG52" i="31"/>
  <c r="BH52" i="31"/>
  <c r="BI52" i="31"/>
  <c r="BJ52" i="31"/>
  <c r="BK52" i="31"/>
  <c r="BL52" i="31"/>
  <c r="BM52" i="31"/>
  <c r="BN52" i="31"/>
  <c r="BO52" i="31"/>
  <c r="BP52" i="31"/>
  <c r="BQ52" i="31"/>
  <c r="BR52" i="31"/>
  <c r="BS52" i="31"/>
  <c r="BT52" i="31"/>
  <c r="BU52" i="31"/>
  <c r="BV52" i="31"/>
  <c r="BW52" i="31"/>
  <c r="BX52" i="31"/>
  <c r="BY52" i="31"/>
  <c r="BZ52" i="31"/>
  <c r="CA52" i="31"/>
  <c r="CB52" i="31"/>
  <c r="CC52" i="31"/>
  <c r="CD52" i="31"/>
  <c r="CE52" i="31"/>
  <c r="CF52" i="31"/>
  <c r="CG52" i="31"/>
  <c r="CH52" i="31"/>
  <c r="CI52" i="31"/>
  <c r="CJ52" i="31"/>
  <c r="CK52" i="31"/>
  <c r="CL52" i="31"/>
  <c r="CM52" i="31"/>
  <c r="CN52" i="31"/>
  <c r="CO52" i="31"/>
  <c r="CP52" i="31"/>
  <c r="CQ52" i="31"/>
  <c r="CR52" i="31"/>
  <c r="CS52" i="31"/>
  <c r="CT52" i="31"/>
  <c r="CU52" i="31"/>
  <c r="CV52" i="31"/>
  <c r="CW52" i="31"/>
  <c r="CX52" i="31"/>
  <c r="CY52" i="31"/>
  <c r="CZ52" i="31"/>
  <c r="DA52" i="31"/>
  <c r="DB52" i="31"/>
  <c r="DC52" i="31"/>
  <c r="DD52" i="31"/>
  <c r="DE52" i="31"/>
  <c r="DF52" i="31"/>
  <c r="DG52" i="31"/>
  <c r="DH52" i="31"/>
  <c r="DI52" i="31"/>
  <c r="DJ52" i="31"/>
  <c r="DK52" i="31"/>
  <c r="DL52" i="31"/>
  <c r="DM52" i="31"/>
  <c r="DN52" i="31"/>
  <c r="DO52" i="31"/>
  <c r="DP52" i="31"/>
  <c r="DQ52" i="31"/>
  <c r="DR52" i="31"/>
  <c r="DS52" i="31"/>
  <c r="DT52" i="31"/>
  <c r="DU52" i="31"/>
  <c r="DV52" i="31"/>
  <c r="DW52" i="31"/>
  <c r="DX52" i="31"/>
  <c r="DY52" i="31"/>
  <c r="DZ52" i="31"/>
  <c r="EA52" i="31"/>
  <c r="I53" i="31"/>
  <c r="I54" i="31"/>
  <c r="K56" i="31"/>
  <c r="K57" i="31"/>
  <c r="L57" i="31"/>
  <c r="M57" i="31"/>
  <c r="N57" i="31"/>
  <c r="O57" i="31"/>
  <c r="P57" i="31"/>
  <c r="Q57" i="31"/>
  <c r="R57" i="31"/>
  <c r="S57" i="31"/>
  <c r="T57" i="31"/>
  <c r="U57" i="31"/>
  <c r="V57" i="31"/>
  <c r="W57" i="31"/>
  <c r="X57" i="31"/>
  <c r="Y57" i="31"/>
  <c r="Z57" i="31"/>
  <c r="AA57" i="31"/>
  <c r="AB57" i="31"/>
  <c r="AC57" i="31"/>
  <c r="AD57" i="31"/>
  <c r="AE57" i="31"/>
  <c r="AF57" i="31"/>
  <c r="AG57" i="31"/>
  <c r="AH57" i="31"/>
  <c r="AI57" i="31"/>
  <c r="AJ57" i="31"/>
  <c r="AK57" i="31"/>
  <c r="AL57" i="31"/>
  <c r="AM57" i="31"/>
  <c r="AN57" i="31"/>
  <c r="AO57" i="31"/>
  <c r="AP57" i="31"/>
  <c r="AQ57" i="31"/>
  <c r="AR57" i="31"/>
  <c r="AS57" i="31"/>
  <c r="AT57" i="31"/>
  <c r="AU57" i="31"/>
  <c r="AV57" i="31"/>
  <c r="AW57" i="31"/>
  <c r="AX57" i="31"/>
  <c r="AY57" i="31"/>
  <c r="AZ57" i="31"/>
  <c r="BA57" i="31"/>
  <c r="BB57" i="31"/>
  <c r="BC57" i="31"/>
  <c r="BD57" i="31"/>
  <c r="BE57" i="31"/>
  <c r="BF57" i="31"/>
  <c r="BG57" i="31"/>
  <c r="BH57" i="31"/>
  <c r="BI57" i="31"/>
  <c r="BJ57" i="31"/>
  <c r="BK57" i="31"/>
  <c r="BL57" i="31"/>
  <c r="BM57" i="31"/>
  <c r="BN57" i="31"/>
  <c r="BO57" i="31"/>
  <c r="BP57" i="31"/>
  <c r="BQ57" i="31"/>
  <c r="BR57" i="31"/>
  <c r="BS57" i="31"/>
  <c r="BT57" i="31"/>
  <c r="BU57" i="31"/>
  <c r="BV57" i="31"/>
  <c r="BW57" i="31"/>
  <c r="BX57" i="31"/>
  <c r="BY57" i="31"/>
  <c r="BZ57" i="31"/>
  <c r="CA57" i="31"/>
  <c r="CB57" i="31"/>
  <c r="CC57" i="31"/>
  <c r="CD57" i="31"/>
  <c r="CE57" i="31"/>
  <c r="CF57" i="31"/>
  <c r="CG57" i="31"/>
  <c r="CH57" i="31"/>
  <c r="CI57" i="31"/>
  <c r="CJ57" i="31"/>
  <c r="CK57" i="31"/>
  <c r="CL57" i="31"/>
  <c r="CM57" i="31"/>
  <c r="CN57" i="31"/>
  <c r="CO57" i="31"/>
  <c r="CP57" i="31"/>
  <c r="CQ57" i="31"/>
  <c r="CR57" i="31"/>
  <c r="CS57" i="31"/>
  <c r="CT57" i="31"/>
  <c r="CU57" i="31"/>
  <c r="CV57" i="31"/>
  <c r="CW57" i="31"/>
  <c r="CX57" i="31"/>
  <c r="CY57" i="31"/>
  <c r="CZ57" i="31"/>
  <c r="DA57" i="31"/>
  <c r="DB57" i="31"/>
  <c r="DC57" i="31"/>
  <c r="DD57" i="31"/>
  <c r="DE57" i="31"/>
  <c r="DF57" i="31"/>
  <c r="DG57" i="31"/>
  <c r="DH57" i="31"/>
  <c r="DI57" i="31"/>
  <c r="DJ57" i="31"/>
  <c r="DK57" i="31"/>
  <c r="DL57" i="31"/>
  <c r="DM57" i="31"/>
  <c r="DN57" i="31"/>
  <c r="DO57" i="31"/>
  <c r="DP57" i="31"/>
  <c r="DQ57" i="31"/>
  <c r="DR57" i="31"/>
  <c r="DS57" i="31"/>
  <c r="DT57" i="31"/>
  <c r="DU57" i="31"/>
  <c r="DV57" i="31"/>
  <c r="DW57" i="31"/>
  <c r="DX57" i="31"/>
  <c r="DY57" i="31"/>
  <c r="DZ57" i="31"/>
  <c r="EA57" i="31"/>
  <c r="K59" i="31"/>
  <c r="L59" i="31"/>
  <c r="M59" i="31"/>
  <c r="N59" i="31"/>
  <c r="O59" i="31"/>
  <c r="P59" i="31"/>
  <c r="Q59" i="31"/>
  <c r="R59" i="31"/>
  <c r="S59" i="31"/>
  <c r="T59" i="31"/>
  <c r="U59" i="31"/>
  <c r="V59" i="31"/>
  <c r="W59" i="31"/>
  <c r="X59" i="31"/>
  <c r="Y59" i="31"/>
  <c r="Z59" i="31"/>
  <c r="AA59" i="31"/>
  <c r="AB59" i="31"/>
  <c r="AC59" i="31"/>
  <c r="AD59" i="31"/>
  <c r="AE59" i="31"/>
  <c r="AF59" i="31"/>
  <c r="AG59" i="31"/>
  <c r="AH59" i="31"/>
  <c r="AI59" i="31"/>
  <c r="AJ59" i="31"/>
  <c r="AK59" i="31"/>
  <c r="AL59" i="31"/>
  <c r="AM59" i="31"/>
  <c r="AN59" i="31"/>
  <c r="AO59" i="31"/>
  <c r="AP59" i="31"/>
  <c r="AQ59" i="31"/>
  <c r="AR59" i="31"/>
  <c r="AS59" i="31"/>
  <c r="AT59" i="31"/>
  <c r="AU59" i="31"/>
  <c r="AV59" i="31"/>
  <c r="AW59" i="31"/>
  <c r="AX59" i="31"/>
  <c r="AY59" i="31"/>
  <c r="AZ59" i="31"/>
  <c r="BA59" i="31"/>
  <c r="BB59" i="31"/>
  <c r="BC59" i="31"/>
  <c r="BD59" i="31"/>
  <c r="BE59" i="31"/>
  <c r="BF59" i="31"/>
  <c r="BG59" i="31"/>
  <c r="BH59" i="31"/>
  <c r="BI59" i="31"/>
  <c r="BJ59" i="31"/>
  <c r="BK59" i="31"/>
  <c r="BL59" i="31"/>
  <c r="BM59" i="31"/>
  <c r="BN59" i="31"/>
  <c r="BO59" i="31"/>
  <c r="BP59" i="31"/>
  <c r="BQ59" i="31"/>
  <c r="BR59" i="31"/>
  <c r="BS59" i="31"/>
  <c r="BT59" i="31"/>
  <c r="BU59" i="31"/>
  <c r="BV59" i="31"/>
  <c r="BW59" i="31"/>
  <c r="BX59" i="31"/>
  <c r="BY59" i="31"/>
  <c r="BZ59" i="31"/>
  <c r="CA59" i="31"/>
  <c r="CB59" i="31"/>
  <c r="CC59" i="31"/>
  <c r="CD59" i="31"/>
  <c r="CE59" i="31"/>
  <c r="CF59" i="31"/>
  <c r="CG59" i="31"/>
  <c r="CH59" i="31"/>
  <c r="CI59" i="31"/>
  <c r="CJ59" i="31"/>
  <c r="CK59" i="31"/>
  <c r="CL59" i="31"/>
  <c r="CM59" i="31"/>
  <c r="CN59" i="31"/>
  <c r="CO59" i="31"/>
  <c r="CP59" i="31"/>
  <c r="CQ59" i="31"/>
  <c r="CR59" i="31"/>
  <c r="CS59" i="31"/>
  <c r="CT59" i="31"/>
  <c r="CU59" i="31"/>
  <c r="CV59" i="31"/>
  <c r="CW59" i="31"/>
  <c r="CX59" i="31"/>
  <c r="CY59" i="31"/>
  <c r="CZ59" i="31"/>
  <c r="DA59" i="31"/>
  <c r="DB59" i="31"/>
  <c r="DC59" i="31"/>
  <c r="DD59" i="31"/>
  <c r="DE59" i="31"/>
  <c r="DF59" i="31"/>
  <c r="DG59" i="31"/>
  <c r="DH59" i="31"/>
  <c r="DI59" i="31"/>
  <c r="DJ59" i="31"/>
  <c r="DK59" i="31"/>
  <c r="DL59" i="31"/>
  <c r="DM59" i="31"/>
  <c r="DN59" i="31"/>
  <c r="DO59" i="31"/>
  <c r="DP59" i="31"/>
  <c r="DQ59" i="31"/>
  <c r="DR59" i="31"/>
  <c r="DS59" i="31"/>
  <c r="DT59" i="31"/>
  <c r="DU59" i="31"/>
  <c r="DV59" i="31"/>
  <c r="DW59" i="31"/>
  <c r="DX59" i="31"/>
  <c r="DY59" i="31"/>
  <c r="DZ59" i="31"/>
  <c r="EA59" i="31"/>
  <c r="K60" i="31"/>
  <c r="L60" i="31"/>
  <c r="M60" i="31"/>
  <c r="N60" i="31"/>
  <c r="O60" i="31"/>
  <c r="P60" i="31"/>
  <c r="Q60" i="31"/>
  <c r="R60" i="31"/>
  <c r="S60" i="31"/>
  <c r="T60" i="31"/>
  <c r="U60" i="31"/>
  <c r="V60" i="31"/>
  <c r="W60" i="31"/>
  <c r="X60" i="31"/>
  <c r="Y60" i="31"/>
  <c r="Z60" i="31"/>
  <c r="AA60" i="31"/>
  <c r="AB60" i="31"/>
  <c r="AC60" i="31"/>
  <c r="AD60" i="31"/>
  <c r="AE60" i="31"/>
  <c r="AF60" i="31"/>
  <c r="AG60" i="31"/>
  <c r="AH60" i="31"/>
  <c r="AI60" i="31"/>
  <c r="AJ60" i="31"/>
  <c r="AK60" i="31"/>
  <c r="AL60" i="31"/>
  <c r="AM60" i="31"/>
  <c r="AN60" i="31"/>
  <c r="AO60" i="31"/>
  <c r="AP60" i="31"/>
  <c r="AQ60" i="31"/>
  <c r="AR60" i="31"/>
  <c r="AS60" i="31"/>
  <c r="AT60" i="31"/>
  <c r="AU60" i="31"/>
  <c r="AV60" i="31"/>
  <c r="AW60" i="31"/>
  <c r="AX60" i="31"/>
  <c r="AY60" i="31"/>
  <c r="AZ60" i="31"/>
  <c r="BA60" i="31"/>
  <c r="BB60" i="31"/>
  <c r="BC60" i="31"/>
  <c r="BD60" i="31"/>
  <c r="BE60" i="31"/>
  <c r="BF60" i="31"/>
  <c r="BG60" i="31"/>
  <c r="BH60" i="31"/>
  <c r="BI60" i="31"/>
  <c r="BJ60" i="31"/>
  <c r="BK60" i="31"/>
  <c r="BL60" i="31"/>
  <c r="BM60" i="31"/>
  <c r="BN60" i="31"/>
  <c r="BO60" i="31"/>
  <c r="BP60" i="31"/>
  <c r="BQ60" i="31"/>
  <c r="BR60" i="31"/>
  <c r="BS60" i="31"/>
  <c r="BT60" i="31"/>
  <c r="BU60" i="31"/>
  <c r="BV60" i="31"/>
  <c r="BW60" i="31"/>
  <c r="BX60" i="31"/>
  <c r="BY60" i="31"/>
  <c r="BZ60" i="31"/>
  <c r="CA60" i="31"/>
  <c r="CB60" i="31"/>
  <c r="CC60" i="31"/>
  <c r="CD60" i="31"/>
  <c r="CE60" i="31"/>
  <c r="CF60" i="31"/>
  <c r="CG60" i="31"/>
  <c r="CH60" i="31"/>
  <c r="CI60" i="31"/>
  <c r="CJ60" i="31"/>
  <c r="CK60" i="31"/>
  <c r="CL60" i="31"/>
  <c r="CM60" i="31"/>
  <c r="CN60" i="31"/>
  <c r="CO60" i="31"/>
  <c r="CP60" i="31"/>
  <c r="CQ60" i="31"/>
  <c r="CR60" i="31"/>
  <c r="CS60" i="31"/>
  <c r="CT60" i="31"/>
  <c r="CU60" i="31"/>
  <c r="CV60" i="31"/>
  <c r="CW60" i="31"/>
  <c r="CX60" i="31"/>
  <c r="CY60" i="31"/>
  <c r="CZ60" i="31"/>
  <c r="DA60" i="31"/>
  <c r="DB60" i="31"/>
  <c r="DC60" i="31"/>
  <c r="DD60" i="31"/>
  <c r="DE60" i="31"/>
  <c r="DF60" i="31"/>
  <c r="DG60" i="31"/>
  <c r="DH60" i="31"/>
  <c r="DI60" i="31"/>
  <c r="DJ60" i="31"/>
  <c r="DK60" i="31"/>
  <c r="DL60" i="31"/>
  <c r="DM60" i="31"/>
  <c r="DN60" i="31"/>
  <c r="DO60" i="31"/>
  <c r="DP60" i="31"/>
  <c r="DQ60" i="31"/>
  <c r="DR60" i="31"/>
  <c r="DS60" i="31"/>
  <c r="DT60" i="31"/>
  <c r="DU60" i="31"/>
  <c r="DV60" i="31"/>
  <c r="DW60" i="31"/>
  <c r="DX60" i="31"/>
  <c r="DY60" i="31"/>
  <c r="DZ60" i="31"/>
  <c r="EA60" i="31"/>
  <c r="L64" i="31"/>
  <c r="M64" i="31"/>
  <c r="N64" i="31"/>
  <c r="O64" i="31"/>
  <c r="P64" i="31"/>
  <c r="Q64" i="31"/>
  <c r="R64" i="31"/>
  <c r="S64" i="31"/>
  <c r="T64" i="31"/>
  <c r="U64" i="31"/>
  <c r="V64" i="31"/>
  <c r="W64" i="31"/>
  <c r="X64" i="31"/>
  <c r="Y64" i="31"/>
  <c r="Z64" i="31"/>
  <c r="AA64" i="31"/>
  <c r="AB64" i="31"/>
  <c r="AC64" i="31"/>
  <c r="AD64" i="31"/>
  <c r="AE64" i="31"/>
  <c r="AF64" i="31"/>
  <c r="AG64" i="31"/>
  <c r="AH64" i="31"/>
  <c r="AI64" i="31"/>
  <c r="AJ64" i="31"/>
  <c r="AK64" i="31"/>
  <c r="AL64" i="31"/>
  <c r="AM64" i="31"/>
  <c r="AN64" i="31"/>
  <c r="AO64" i="31"/>
  <c r="AP64" i="31"/>
  <c r="AQ64" i="31"/>
  <c r="AR64" i="31"/>
  <c r="AS64" i="31"/>
  <c r="AT64" i="31"/>
  <c r="AU64" i="31"/>
  <c r="AV64" i="31"/>
  <c r="AW64" i="31"/>
  <c r="AX64" i="31"/>
  <c r="AY64" i="31"/>
  <c r="AZ64" i="31"/>
  <c r="BA64" i="31"/>
  <c r="BB64" i="31"/>
  <c r="BC64" i="31"/>
  <c r="BD64" i="31"/>
  <c r="BE64" i="31"/>
  <c r="BF64" i="31"/>
  <c r="BG64" i="31"/>
  <c r="BH64" i="31"/>
  <c r="BI64" i="31"/>
  <c r="BJ64" i="31"/>
  <c r="BK64" i="31"/>
  <c r="BL64" i="31"/>
  <c r="BM64" i="31"/>
  <c r="BN64" i="31"/>
  <c r="BO64" i="31"/>
  <c r="BP64" i="31"/>
  <c r="BQ64" i="31"/>
  <c r="BR64" i="31"/>
  <c r="BS64" i="31"/>
  <c r="BT64" i="31"/>
  <c r="BU64" i="31"/>
  <c r="BV64" i="31"/>
  <c r="BW64" i="31"/>
  <c r="BX64" i="31"/>
  <c r="BY64" i="31"/>
  <c r="BZ64" i="31"/>
  <c r="CA64" i="31"/>
  <c r="CB64" i="31"/>
  <c r="CC64" i="31"/>
  <c r="CD64" i="31"/>
  <c r="CE64" i="31"/>
  <c r="CF64" i="31"/>
  <c r="CG64" i="31"/>
  <c r="CH64" i="31"/>
  <c r="CI64" i="31"/>
  <c r="CJ64" i="31"/>
  <c r="CK64" i="31"/>
  <c r="CL64" i="31"/>
  <c r="CM64" i="31"/>
  <c r="CN64" i="31"/>
  <c r="CO64" i="31"/>
  <c r="CP64" i="31"/>
  <c r="CQ64" i="31"/>
  <c r="CR64" i="31"/>
  <c r="CS64" i="31"/>
  <c r="CT64" i="31"/>
  <c r="CU64" i="31"/>
  <c r="CV64" i="31"/>
  <c r="CW64" i="31"/>
  <c r="CX64" i="31"/>
  <c r="CY64" i="31"/>
  <c r="CZ64" i="31"/>
  <c r="DA64" i="31"/>
  <c r="DB64" i="31"/>
  <c r="DC64" i="31"/>
  <c r="DD64" i="31"/>
  <c r="DE64" i="31"/>
  <c r="DF64" i="31"/>
  <c r="DG64" i="31"/>
  <c r="DH64" i="31"/>
  <c r="DI64" i="31"/>
  <c r="DJ64" i="31"/>
  <c r="DK64" i="31"/>
  <c r="DL64" i="31"/>
  <c r="DM64" i="31"/>
  <c r="DN64" i="31"/>
  <c r="DO64" i="31"/>
  <c r="DP64" i="31"/>
  <c r="DQ64" i="31"/>
  <c r="DR64" i="31"/>
  <c r="DS64" i="31"/>
  <c r="DT64" i="31"/>
  <c r="DU64" i="31"/>
  <c r="DV64" i="31"/>
  <c r="DW64" i="31"/>
  <c r="DX64" i="31"/>
  <c r="DY64" i="31"/>
  <c r="DZ64" i="31"/>
  <c r="EA64" i="31"/>
  <c r="L65" i="31"/>
  <c r="M65" i="31"/>
  <c r="N65" i="31"/>
  <c r="O65" i="31"/>
  <c r="P65" i="31"/>
  <c r="Q65" i="31"/>
  <c r="R65" i="31"/>
  <c r="S65" i="31"/>
  <c r="T65" i="31"/>
  <c r="U65" i="31"/>
  <c r="V65" i="31"/>
  <c r="W65" i="31"/>
  <c r="X65" i="31"/>
  <c r="Y65" i="31"/>
  <c r="Z65" i="31"/>
  <c r="AA65" i="31"/>
  <c r="AB65" i="31"/>
  <c r="AC65" i="31"/>
  <c r="AD65" i="31"/>
  <c r="AE65" i="31"/>
  <c r="AF65" i="31"/>
  <c r="AG65" i="31"/>
  <c r="AH65" i="31"/>
  <c r="AI65" i="31"/>
  <c r="AJ65" i="31"/>
  <c r="AK65" i="31"/>
  <c r="AL65" i="31"/>
  <c r="AM65" i="31"/>
  <c r="AN65" i="31"/>
  <c r="AO65" i="31"/>
  <c r="AP65" i="31"/>
  <c r="AQ65" i="31"/>
  <c r="AR65" i="31"/>
  <c r="AS65" i="31"/>
  <c r="AT65" i="31"/>
  <c r="AU65" i="31"/>
  <c r="AV65" i="31"/>
  <c r="AW65" i="31"/>
  <c r="AX65" i="31"/>
  <c r="AY65" i="31"/>
  <c r="AZ65" i="31"/>
  <c r="BA65" i="31"/>
  <c r="BB65" i="31"/>
  <c r="BC65" i="31"/>
  <c r="BD65" i="31"/>
  <c r="BE65" i="31"/>
  <c r="BF65" i="31"/>
  <c r="BG65" i="31"/>
  <c r="BH65" i="31"/>
  <c r="BI65" i="31"/>
  <c r="BJ65" i="31"/>
  <c r="BK65" i="31"/>
  <c r="BL65" i="31"/>
  <c r="BM65" i="31"/>
  <c r="BN65" i="31"/>
  <c r="BO65" i="31"/>
  <c r="BP65" i="31"/>
  <c r="BQ65" i="31"/>
  <c r="BR65" i="31"/>
  <c r="BS65" i="31"/>
  <c r="BT65" i="31"/>
  <c r="BU65" i="31"/>
  <c r="BV65" i="31"/>
  <c r="BW65" i="31"/>
  <c r="BX65" i="31"/>
  <c r="BY65" i="31"/>
  <c r="BZ65" i="31"/>
  <c r="CA65" i="31"/>
  <c r="CB65" i="31"/>
  <c r="CC65" i="31"/>
  <c r="CD65" i="31"/>
  <c r="CE65" i="31"/>
  <c r="CF65" i="31"/>
  <c r="CG65" i="31"/>
  <c r="CH65" i="31"/>
  <c r="CI65" i="31"/>
  <c r="CJ65" i="31"/>
  <c r="CK65" i="31"/>
  <c r="CL65" i="31"/>
  <c r="CM65" i="31"/>
  <c r="CN65" i="31"/>
  <c r="CO65" i="31"/>
  <c r="CP65" i="31"/>
  <c r="CQ65" i="31"/>
  <c r="CR65" i="31"/>
  <c r="CS65" i="31"/>
  <c r="CT65" i="31"/>
  <c r="CU65" i="31"/>
  <c r="CV65" i="31"/>
  <c r="CW65" i="31"/>
  <c r="CX65" i="31"/>
  <c r="CY65" i="31"/>
  <c r="CZ65" i="31"/>
  <c r="DA65" i="31"/>
  <c r="DB65" i="31"/>
  <c r="DC65" i="31"/>
  <c r="DD65" i="31"/>
  <c r="DE65" i="31"/>
  <c r="DF65" i="31"/>
  <c r="DG65" i="31"/>
  <c r="DH65" i="31"/>
  <c r="DI65" i="31"/>
  <c r="DJ65" i="31"/>
  <c r="DK65" i="31"/>
  <c r="DL65" i="31"/>
  <c r="DM65" i="31"/>
  <c r="DN65" i="31"/>
  <c r="DO65" i="31"/>
  <c r="DP65" i="31"/>
  <c r="DQ65" i="31"/>
  <c r="DR65" i="31"/>
  <c r="DS65" i="31"/>
  <c r="DT65" i="31"/>
  <c r="DU65" i="31"/>
  <c r="DV65" i="31"/>
  <c r="DW65" i="31"/>
  <c r="DX65" i="31"/>
  <c r="DY65" i="31"/>
  <c r="DZ65" i="31"/>
  <c r="EA65" i="31"/>
  <c r="K66" i="31"/>
  <c r="K67" i="31"/>
  <c r="L67" i="31"/>
  <c r="M67" i="31"/>
  <c r="N67" i="31"/>
  <c r="O67" i="31"/>
  <c r="P67" i="31"/>
  <c r="Q67" i="31"/>
  <c r="R67" i="31"/>
  <c r="S67" i="31"/>
  <c r="T67" i="31"/>
  <c r="U67" i="31"/>
  <c r="V67" i="31"/>
  <c r="W67" i="31"/>
  <c r="X67" i="31"/>
  <c r="Y67" i="31"/>
  <c r="Z67" i="31"/>
  <c r="AA67" i="31"/>
  <c r="AB67" i="31"/>
  <c r="AC67" i="31"/>
  <c r="AD67" i="31"/>
  <c r="AE67" i="31"/>
  <c r="AF67" i="31"/>
  <c r="AG67" i="31"/>
  <c r="AH67" i="31"/>
  <c r="AI67" i="31"/>
  <c r="AJ67" i="31"/>
  <c r="AK67" i="31"/>
  <c r="AL67" i="31"/>
  <c r="AM67" i="31"/>
  <c r="AN67" i="31"/>
  <c r="AO67" i="31"/>
  <c r="AP67" i="31"/>
  <c r="AQ67" i="31"/>
  <c r="AR67" i="31"/>
  <c r="AS67" i="31"/>
  <c r="AT67" i="31"/>
  <c r="AU67" i="31"/>
  <c r="AV67" i="31"/>
  <c r="AW67" i="31"/>
  <c r="AX67" i="31"/>
  <c r="AY67" i="31"/>
  <c r="AZ67" i="31"/>
  <c r="BA67" i="31"/>
  <c r="BB67" i="31"/>
  <c r="BC67" i="31"/>
  <c r="BD67" i="31"/>
  <c r="BE67" i="31"/>
  <c r="BF67" i="31"/>
  <c r="BG67" i="31"/>
  <c r="BH67" i="31"/>
  <c r="BI67" i="31"/>
  <c r="BJ67" i="31"/>
  <c r="BK67" i="31"/>
  <c r="BL67" i="31"/>
  <c r="BM67" i="31"/>
  <c r="BN67" i="31"/>
  <c r="BO67" i="31"/>
  <c r="BP67" i="31"/>
  <c r="BQ67" i="31"/>
  <c r="BR67" i="31"/>
  <c r="BS67" i="31"/>
  <c r="BT67" i="31"/>
  <c r="BU67" i="31"/>
  <c r="BV67" i="31"/>
  <c r="BW67" i="31"/>
  <c r="BX67" i="31"/>
  <c r="BY67" i="31"/>
  <c r="BZ67" i="31"/>
  <c r="CA67" i="31"/>
  <c r="CB67" i="31"/>
  <c r="CC67" i="31"/>
  <c r="CD67" i="31"/>
  <c r="CE67" i="31"/>
  <c r="CF67" i="31"/>
  <c r="CG67" i="31"/>
  <c r="CH67" i="31"/>
  <c r="CI67" i="31"/>
  <c r="CJ67" i="31"/>
  <c r="CK67" i="31"/>
  <c r="CL67" i="31"/>
  <c r="CM67" i="31"/>
  <c r="CN67" i="31"/>
  <c r="CO67" i="31"/>
  <c r="CP67" i="31"/>
  <c r="CQ67" i="31"/>
  <c r="CR67" i="31"/>
  <c r="CS67" i="31"/>
  <c r="CT67" i="31"/>
  <c r="CU67" i="31"/>
  <c r="CV67" i="31"/>
  <c r="CW67" i="31"/>
  <c r="CX67" i="31"/>
  <c r="CY67" i="31"/>
  <c r="CZ67" i="31"/>
  <c r="DA67" i="31"/>
  <c r="DB67" i="31"/>
  <c r="DC67" i="31"/>
  <c r="DD67" i="31"/>
  <c r="DE67" i="31"/>
  <c r="DF67" i="31"/>
  <c r="DG67" i="31"/>
  <c r="DH67" i="31"/>
  <c r="DI67" i="31"/>
  <c r="DJ67" i="31"/>
  <c r="DK67" i="31"/>
  <c r="DL67" i="31"/>
  <c r="DM67" i="31"/>
  <c r="DN67" i="31"/>
  <c r="DO67" i="31"/>
  <c r="DP67" i="31"/>
  <c r="DQ67" i="31"/>
  <c r="DR67" i="31"/>
  <c r="DS67" i="31"/>
  <c r="DT67" i="31"/>
  <c r="DU67" i="31"/>
  <c r="DV67" i="31"/>
  <c r="DW67" i="31"/>
  <c r="DX67" i="31"/>
  <c r="DY67" i="31"/>
  <c r="DZ67" i="31"/>
  <c r="EA67" i="31"/>
  <c r="K68" i="31"/>
  <c r="L68" i="31"/>
  <c r="M68" i="31"/>
  <c r="N68" i="31"/>
  <c r="O68" i="31"/>
  <c r="P68" i="31"/>
  <c r="Q68" i="31"/>
  <c r="R68" i="31"/>
  <c r="S68" i="31"/>
  <c r="T68" i="31"/>
  <c r="U68" i="31"/>
  <c r="V68" i="31"/>
  <c r="W68" i="31"/>
  <c r="X68" i="31"/>
  <c r="Y68" i="31"/>
  <c r="Z68" i="31"/>
  <c r="AA68" i="31"/>
  <c r="AB68" i="31"/>
  <c r="AC68" i="31"/>
  <c r="AD68" i="31"/>
  <c r="AE68" i="31"/>
  <c r="AF68" i="31"/>
  <c r="AG68" i="31"/>
  <c r="AH68" i="31"/>
  <c r="AI68" i="31"/>
  <c r="AJ68" i="31"/>
  <c r="AK68" i="31"/>
  <c r="AL68" i="31"/>
  <c r="AM68" i="31"/>
  <c r="AN68" i="31"/>
  <c r="AO68" i="31"/>
  <c r="AP68" i="31"/>
  <c r="AQ68" i="31"/>
  <c r="AR68" i="31"/>
  <c r="AS68" i="31"/>
  <c r="AT68" i="31"/>
  <c r="AU68" i="31"/>
  <c r="AV68" i="31"/>
  <c r="AW68" i="31"/>
  <c r="AX68" i="31"/>
  <c r="AY68" i="31"/>
  <c r="AZ68" i="31"/>
  <c r="BA68" i="31"/>
  <c r="BB68" i="31"/>
  <c r="BC68" i="31"/>
  <c r="BD68" i="31"/>
  <c r="BE68" i="31"/>
  <c r="BF68" i="31"/>
  <c r="BG68" i="31"/>
  <c r="BH68" i="31"/>
  <c r="BI68" i="31"/>
  <c r="BJ68" i="31"/>
  <c r="BK68" i="31"/>
  <c r="BL68" i="31"/>
  <c r="BM68" i="31"/>
  <c r="BN68" i="31"/>
  <c r="BO68" i="31"/>
  <c r="BP68" i="31"/>
  <c r="BQ68" i="31"/>
  <c r="BR68" i="31"/>
  <c r="BS68" i="31"/>
  <c r="BT68" i="31"/>
  <c r="BU68" i="31"/>
  <c r="BV68" i="31"/>
  <c r="BW68" i="31"/>
  <c r="BX68" i="31"/>
  <c r="BY68" i="31"/>
  <c r="BZ68" i="31"/>
  <c r="CA68" i="31"/>
  <c r="CB68" i="31"/>
  <c r="CC68" i="31"/>
  <c r="CD68" i="31"/>
  <c r="CE68" i="31"/>
  <c r="CF68" i="31"/>
  <c r="CG68" i="31"/>
  <c r="CH68" i="31"/>
  <c r="CI68" i="31"/>
  <c r="CJ68" i="31"/>
  <c r="CK68" i="31"/>
  <c r="CL68" i="31"/>
  <c r="CM68" i="31"/>
  <c r="CN68" i="31"/>
  <c r="CO68" i="31"/>
  <c r="CP68" i="31"/>
  <c r="CQ68" i="31"/>
  <c r="CR68" i="31"/>
  <c r="CS68" i="31"/>
  <c r="CT68" i="31"/>
  <c r="CU68" i="31"/>
  <c r="CV68" i="31"/>
  <c r="CW68" i="31"/>
  <c r="CX68" i="31"/>
  <c r="CY68" i="31"/>
  <c r="CZ68" i="31"/>
  <c r="DA68" i="31"/>
  <c r="DB68" i="31"/>
  <c r="DC68" i="31"/>
  <c r="DD68" i="31"/>
  <c r="DE68" i="31"/>
  <c r="DF68" i="31"/>
  <c r="DG68" i="31"/>
  <c r="DH68" i="31"/>
  <c r="DI68" i="31"/>
  <c r="DJ68" i="31"/>
  <c r="DK68" i="31"/>
  <c r="DL68" i="31"/>
  <c r="DM68" i="31"/>
  <c r="DN68" i="31"/>
  <c r="DO68" i="31"/>
  <c r="DP68" i="31"/>
  <c r="DQ68" i="31"/>
  <c r="DR68" i="31"/>
  <c r="DS68" i="31"/>
  <c r="DT68" i="31"/>
  <c r="DU68" i="31"/>
  <c r="DV68" i="31"/>
  <c r="DW68" i="31"/>
  <c r="DX68" i="31"/>
  <c r="DY68" i="31"/>
  <c r="DZ68" i="31"/>
  <c r="EA68" i="31"/>
  <c r="K69" i="31"/>
  <c r="L69" i="31"/>
  <c r="M69" i="31"/>
  <c r="N69" i="31"/>
  <c r="O69" i="31"/>
  <c r="P69" i="31"/>
  <c r="Q69" i="31"/>
  <c r="R69" i="31"/>
  <c r="S69" i="31"/>
  <c r="T69" i="31"/>
  <c r="U69" i="31"/>
  <c r="V69" i="31"/>
  <c r="W69" i="31"/>
  <c r="X69" i="31"/>
  <c r="Y69" i="31"/>
  <c r="Z69" i="31"/>
  <c r="AA69" i="31"/>
  <c r="AB69" i="31"/>
  <c r="AC69" i="31"/>
  <c r="AD69" i="31"/>
  <c r="AE69" i="31"/>
  <c r="AF69" i="31"/>
  <c r="AG69" i="31"/>
  <c r="AH69" i="31"/>
  <c r="AI69" i="31"/>
  <c r="AJ69" i="31"/>
  <c r="AK69" i="31"/>
  <c r="AL69" i="31"/>
  <c r="AM69" i="31"/>
  <c r="AN69" i="31"/>
  <c r="AO69" i="31"/>
  <c r="AP69" i="31"/>
  <c r="AQ69" i="31"/>
  <c r="AR69" i="31"/>
  <c r="AS69" i="31"/>
  <c r="AT69" i="31"/>
  <c r="AU69" i="31"/>
  <c r="AV69" i="31"/>
  <c r="AW69" i="31"/>
  <c r="AX69" i="31"/>
  <c r="AY69" i="31"/>
  <c r="AZ69" i="31"/>
  <c r="BA69" i="31"/>
  <c r="BB69" i="31"/>
  <c r="BC69" i="31"/>
  <c r="BD69" i="31"/>
  <c r="BE69" i="31"/>
  <c r="BF69" i="31"/>
  <c r="BG69" i="31"/>
  <c r="BH69" i="31"/>
  <c r="BI69" i="31"/>
  <c r="BJ69" i="31"/>
  <c r="BK69" i="31"/>
  <c r="BL69" i="31"/>
  <c r="BM69" i="31"/>
  <c r="BN69" i="31"/>
  <c r="BO69" i="31"/>
  <c r="BP69" i="31"/>
  <c r="BQ69" i="31"/>
  <c r="BR69" i="31"/>
  <c r="BS69" i="31"/>
  <c r="BT69" i="31"/>
  <c r="BU69" i="31"/>
  <c r="BV69" i="31"/>
  <c r="BW69" i="31"/>
  <c r="BX69" i="31"/>
  <c r="BY69" i="31"/>
  <c r="BZ69" i="31"/>
  <c r="CA69" i="31"/>
  <c r="CB69" i="31"/>
  <c r="CC69" i="31"/>
  <c r="CD69" i="31"/>
  <c r="CE69" i="31"/>
  <c r="CF69" i="31"/>
  <c r="CG69" i="31"/>
  <c r="CH69" i="31"/>
  <c r="CI69" i="31"/>
  <c r="CJ69" i="31"/>
  <c r="CK69" i="31"/>
  <c r="CL69" i="31"/>
  <c r="CM69" i="31"/>
  <c r="CN69" i="31"/>
  <c r="CO69" i="31"/>
  <c r="CP69" i="31"/>
  <c r="CQ69" i="31"/>
  <c r="CR69" i="31"/>
  <c r="CS69" i="31"/>
  <c r="CT69" i="31"/>
  <c r="CU69" i="31"/>
  <c r="CV69" i="31"/>
  <c r="CW69" i="31"/>
  <c r="CX69" i="31"/>
  <c r="CY69" i="31"/>
  <c r="CZ69" i="31"/>
  <c r="DA69" i="31"/>
  <c r="DB69" i="31"/>
  <c r="DC69" i="31"/>
  <c r="DD69" i="31"/>
  <c r="DE69" i="31"/>
  <c r="DF69" i="31"/>
  <c r="DG69" i="31"/>
  <c r="DH69" i="31"/>
  <c r="DI69" i="31"/>
  <c r="DJ69" i="31"/>
  <c r="DK69" i="31"/>
  <c r="DL69" i="31"/>
  <c r="DM69" i="31"/>
  <c r="DN69" i="31"/>
  <c r="DO69" i="31"/>
  <c r="DP69" i="31"/>
  <c r="DQ69" i="31"/>
  <c r="DR69" i="31"/>
  <c r="DS69" i="31"/>
  <c r="DT69" i="31"/>
  <c r="DU69" i="31"/>
  <c r="DV69" i="31"/>
  <c r="DW69" i="31"/>
  <c r="DX69" i="31"/>
  <c r="DY69" i="31"/>
  <c r="DZ69" i="31"/>
  <c r="EA69" i="31"/>
  <c r="K70" i="31"/>
  <c r="L70" i="31"/>
  <c r="M70" i="31"/>
  <c r="N70" i="31"/>
  <c r="O70" i="31"/>
  <c r="P70" i="31"/>
  <c r="Q70" i="31"/>
  <c r="R70" i="31"/>
  <c r="S70" i="31"/>
  <c r="T70" i="31"/>
  <c r="U70" i="31"/>
  <c r="V70" i="31"/>
  <c r="W70" i="31"/>
  <c r="X70" i="31"/>
  <c r="Y70" i="31"/>
  <c r="Z70" i="31"/>
  <c r="AA70" i="31"/>
  <c r="AB70" i="31"/>
  <c r="AC70" i="31"/>
  <c r="AD70" i="31"/>
  <c r="AE70" i="31"/>
  <c r="AF70" i="31"/>
  <c r="AG70" i="31"/>
  <c r="AH70" i="31"/>
  <c r="AI70" i="31"/>
  <c r="AJ70" i="31"/>
  <c r="AK70" i="31"/>
  <c r="AL70" i="31"/>
  <c r="AM70" i="31"/>
  <c r="AN70" i="31"/>
  <c r="AO70" i="31"/>
  <c r="AP70" i="31"/>
  <c r="AQ70" i="31"/>
  <c r="AR70" i="31"/>
  <c r="AS70" i="31"/>
  <c r="AT70" i="31"/>
  <c r="AU70" i="31"/>
  <c r="AV70" i="31"/>
  <c r="AW70" i="31"/>
  <c r="AX70" i="31"/>
  <c r="AY70" i="31"/>
  <c r="AZ70" i="31"/>
  <c r="BA70" i="31"/>
  <c r="BB70" i="31"/>
  <c r="BC70" i="31"/>
  <c r="BD70" i="31"/>
  <c r="BE70" i="31"/>
  <c r="BF70" i="31"/>
  <c r="BG70" i="31"/>
  <c r="BH70" i="31"/>
  <c r="BI70" i="31"/>
  <c r="BJ70" i="31"/>
  <c r="BK70" i="31"/>
  <c r="BL70" i="31"/>
  <c r="BM70" i="31"/>
  <c r="BN70" i="31"/>
  <c r="BO70" i="31"/>
  <c r="BP70" i="31"/>
  <c r="BQ70" i="31"/>
  <c r="BR70" i="31"/>
  <c r="BS70" i="31"/>
  <c r="BT70" i="31"/>
  <c r="BU70" i="31"/>
  <c r="BV70" i="31"/>
  <c r="BW70" i="31"/>
  <c r="BX70" i="31"/>
  <c r="BY70" i="31"/>
  <c r="BZ70" i="31"/>
  <c r="CA70" i="31"/>
  <c r="CB70" i="31"/>
  <c r="CC70" i="31"/>
  <c r="CD70" i="31"/>
  <c r="CE70" i="31"/>
  <c r="CF70" i="31"/>
  <c r="CG70" i="31"/>
  <c r="CH70" i="31"/>
  <c r="CI70" i="31"/>
  <c r="CJ70" i="31"/>
  <c r="CK70" i="31"/>
  <c r="CL70" i="31"/>
  <c r="CM70" i="31"/>
  <c r="CN70" i="31"/>
  <c r="CO70" i="31"/>
  <c r="CP70" i="31"/>
  <c r="CQ70" i="31"/>
  <c r="CR70" i="31"/>
  <c r="CS70" i="31"/>
  <c r="CT70" i="31"/>
  <c r="CU70" i="31"/>
  <c r="CV70" i="31"/>
  <c r="CW70" i="31"/>
  <c r="CX70" i="31"/>
  <c r="CY70" i="31"/>
  <c r="CZ70" i="31"/>
  <c r="DA70" i="31"/>
  <c r="DB70" i="31"/>
  <c r="DC70" i="31"/>
  <c r="DD70" i="31"/>
  <c r="DE70" i="31"/>
  <c r="DF70" i="31"/>
  <c r="DG70" i="31"/>
  <c r="DH70" i="31"/>
  <c r="DI70" i="31"/>
  <c r="DJ70" i="31"/>
  <c r="DK70" i="31"/>
  <c r="DL70" i="31"/>
  <c r="DM70" i="31"/>
  <c r="DN70" i="31"/>
  <c r="DO70" i="31"/>
  <c r="DP70" i="31"/>
  <c r="DQ70" i="31"/>
  <c r="DR70" i="31"/>
  <c r="DS70" i="31"/>
  <c r="DT70" i="31"/>
  <c r="DU70" i="31"/>
  <c r="DV70" i="31"/>
  <c r="DW70" i="31"/>
  <c r="DX70" i="31"/>
  <c r="DY70" i="31"/>
  <c r="DZ70" i="31"/>
  <c r="EA70" i="31"/>
  <c r="I71" i="31"/>
  <c r="I72" i="31"/>
  <c r="K74" i="31"/>
  <c r="K75" i="31"/>
  <c r="L75" i="31"/>
  <c r="M75" i="31"/>
  <c r="N75" i="31"/>
  <c r="O75" i="31"/>
  <c r="P75" i="31"/>
  <c r="Q75" i="31"/>
  <c r="R75" i="31"/>
  <c r="S75" i="31"/>
  <c r="T75" i="31"/>
  <c r="U75" i="31"/>
  <c r="V75" i="31"/>
  <c r="W75" i="31"/>
  <c r="X75" i="31"/>
  <c r="Y75" i="31"/>
  <c r="Z75" i="31"/>
  <c r="AA75" i="31"/>
  <c r="AB75" i="31"/>
  <c r="AC75" i="31"/>
  <c r="AD75" i="31"/>
  <c r="AE75" i="31"/>
  <c r="AF75" i="31"/>
  <c r="AG75" i="31"/>
  <c r="AH75" i="31"/>
  <c r="AI75" i="31"/>
  <c r="AJ75" i="31"/>
  <c r="AK75" i="31"/>
  <c r="AL75" i="31"/>
  <c r="AM75" i="31"/>
  <c r="AN75" i="31"/>
  <c r="AO75" i="31"/>
  <c r="AP75" i="31"/>
  <c r="AQ75" i="31"/>
  <c r="AR75" i="31"/>
  <c r="AS75" i="31"/>
  <c r="AT75" i="31"/>
  <c r="AU75" i="31"/>
  <c r="AV75" i="31"/>
  <c r="AW75" i="31"/>
  <c r="AX75" i="31"/>
  <c r="AY75" i="31"/>
  <c r="AZ75" i="31"/>
  <c r="BA75" i="31"/>
  <c r="BB75" i="31"/>
  <c r="BC75" i="31"/>
  <c r="BD75" i="31"/>
  <c r="BE75" i="31"/>
  <c r="BF75" i="31"/>
  <c r="BG75" i="31"/>
  <c r="BH75" i="31"/>
  <c r="BI75" i="31"/>
  <c r="BJ75" i="31"/>
  <c r="BK75" i="31"/>
  <c r="BL75" i="31"/>
  <c r="BM75" i="31"/>
  <c r="BN75" i="31"/>
  <c r="BO75" i="31"/>
  <c r="BP75" i="31"/>
  <c r="BQ75" i="31"/>
  <c r="BR75" i="31"/>
  <c r="BS75" i="31"/>
  <c r="BT75" i="31"/>
  <c r="BU75" i="31"/>
  <c r="BV75" i="31"/>
  <c r="BW75" i="31"/>
  <c r="BX75" i="31"/>
  <c r="BY75" i="31"/>
  <c r="BZ75" i="31"/>
  <c r="CA75" i="31"/>
  <c r="CB75" i="31"/>
  <c r="CC75" i="31"/>
  <c r="CD75" i="31"/>
  <c r="CE75" i="31"/>
  <c r="CF75" i="31"/>
  <c r="CG75" i="31"/>
  <c r="CH75" i="31"/>
  <c r="CI75" i="31"/>
  <c r="CJ75" i="31"/>
  <c r="CK75" i="31"/>
  <c r="CL75" i="31"/>
  <c r="CM75" i="31"/>
  <c r="CN75" i="31"/>
  <c r="CO75" i="31"/>
  <c r="CP75" i="31"/>
  <c r="CQ75" i="31"/>
  <c r="CR75" i="31"/>
  <c r="CS75" i="31"/>
  <c r="CT75" i="31"/>
  <c r="CU75" i="31"/>
  <c r="CV75" i="31"/>
  <c r="CW75" i="31"/>
  <c r="CX75" i="31"/>
  <c r="CY75" i="31"/>
  <c r="CZ75" i="31"/>
  <c r="DA75" i="31"/>
  <c r="DB75" i="31"/>
  <c r="DC75" i="31"/>
  <c r="DD75" i="31"/>
  <c r="DE75" i="31"/>
  <c r="DF75" i="31"/>
  <c r="DG75" i="31"/>
  <c r="DH75" i="31"/>
  <c r="DI75" i="31"/>
  <c r="DJ75" i="31"/>
  <c r="DK75" i="31"/>
  <c r="DL75" i="31"/>
  <c r="DM75" i="31"/>
  <c r="DN75" i="31"/>
  <c r="DO75" i="31"/>
  <c r="DP75" i="31"/>
  <c r="DQ75" i="31"/>
  <c r="DR75" i="31"/>
  <c r="DS75" i="31"/>
  <c r="DT75" i="31"/>
  <c r="DU75" i="31"/>
  <c r="DV75" i="31"/>
  <c r="DW75" i="31"/>
  <c r="DX75" i="31"/>
  <c r="DY75" i="31"/>
  <c r="DZ75" i="31"/>
  <c r="EA75" i="31"/>
  <c r="K77" i="31"/>
  <c r="L77" i="31"/>
  <c r="M77" i="31"/>
  <c r="N77" i="31"/>
  <c r="O77" i="31"/>
  <c r="P77" i="31"/>
  <c r="Q77" i="31"/>
  <c r="R77" i="31"/>
  <c r="S77" i="31"/>
  <c r="T77" i="31"/>
  <c r="U77" i="31"/>
  <c r="V77" i="31"/>
  <c r="W77" i="31"/>
  <c r="X77" i="31"/>
  <c r="Y77" i="31"/>
  <c r="Z77" i="31"/>
  <c r="AA77" i="31"/>
  <c r="AB77" i="31"/>
  <c r="AC77" i="31"/>
  <c r="AD77" i="31"/>
  <c r="AE77" i="31"/>
  <c r="AF77" i="31"/>
  <c r="AG77" i="31"/>
  <c r="AH77" i="31"/>
  <c r="AI77" i="31"/>
  <c r="AJ77" i="31"/>
  <c r="AK77" i="31"/>
  <c r="AL77" i="31"/>
  <c r="AM77" i="31"/>
  <c r="AN77" i="31"/>
  <c r="AO77" i="31"/>
  <c r="AP77" i="31"/>
  <c r="AQ77" i="31"/>
  <c r="AR77" i="31"/>
  <c r="AS77" i="31"/>
  <c r="AT77" i="31"/>
  <c r="AU77" i="31"/>
  <c r="AV77" i="31"/>
  <c r="AW77" i="31"/>
  <c r="AX77" i="31"/>
  <c r="AY77" i="31"/>
  <c r="AZ77" i="31"/>
  <c r="BA77" i="31"/>
  <c r="BB77" i="31"/>
  <c r="BC77" i="31"/>
  <c r="BD77" i="31"/>
  <c r="BE77" i="31"/>
  <c r="BF77" i="31"/>
  <c r="BG77" i="31"/>
  <c r="BH77" i="31"/>
  <c r="BI77" i="31"/>
  <c r="BJ77" i="31"/>
  <c r="BK77" i="31"/>
  <c r="BL77" i="31"/>
  <c r="BM77" i="31"/>
  <c r="BN77" i="31"/>
  <c r="BO77" i="31"/>
  <c r="BP77" i="31"/>
  <c r="BQ77" i="31"/>
  <c r="BR77" i="31"/>
  <c r="BS77" i="31"/>
  <c r="BT77" i="31"/>
  <c r="BU77" i="31"/>
  <c r="BV77" i="31"/>
  <c r="BW77" i="31"/>
  <c r="BX77" i="31"/>
  <c r="BY77" i="31"/>
  <c r="BZ77" i="31"/>
  <c r="CA77" i="31"/>
  <c r="CB77" i="31"/>
  <c r="CC77" i="31"/>
  <c r="CD77" i="31"/>
  <c r="CE77" i="31"/>
  <c r="CF77" i="31"/>
  <c r="CG77" i="31"/>
  <c r="CH77" i="31"/>
  <c r="CI77" i="31"/>
  <c r="CJ77" i="31"/>
  <c r="CK77" i="31"/>
  <c r="CL77" i="31"/>
  <c r="CM77" i="31"/>
  <c r="CN77" i="31"/>
  <c r="CO77" i="31"/>
  <c r="CP77" i="31"/>
  <c r="CQ77" i="31"/>
  <c r="CR77" i="31"/>
  <c r="CS77" i="31"/>
  <c r="CT77" i="31"/>
  <c r="CU77" i="31"/>
  <c r="CV77" i="31"/>
  <c r="CW77" i="31"/>
  <c r="CX77" i="31"/>
  <c r="CY77" i="31"/>
  <c r="CZ77" i="31"/>
  <c r="DA77" i="31"/>
  <c r="DB77" i="31"/>
  <c r="DC77" i="31"/>
  <c r="DD77" i="31"/>
  <c r="DE77" i="31"/>
  <c r="DF77" i="31"/>
  <c r="DG77" i="31"/>
  <c r="DH77" i="31"/>
  <c r="DI77" i="31"/>
  <c r="DJ77" i="31"/>
  <c r="DK77" i="31"/>
  <c r="DL77" i="31"/>
  <c r="DM77" i="31"/>
  <c r="DN77" i="31"/>
  <c r="DO77" i="31"/>
  <c r="DP77" i="31"/>
  <c r="DQ77" i="31"/>
  <c r="DR77" i="31"/>
  <c r="DS77" i="31"/>
  <c r="DT77" i="31"/>
  <c r="DU77" i="31"/>
  <c r="DV77" i="31"/>
  <c r="DW77" i="31"/>
  <c r="DX77" i="31"/>
  <c r="DY77" i="31"/>
  <c r="DZ77" i="31"/>
  <c r="EA77" i="31"/>
  <c r="K78" i="31"/>
  <c r="L78" i="31"/>
  <c r="M78" i="31"/>
  <c r="N78" i="31"/>
  <c r="O78" i="31"/>
  <c r="P78" i="31"/>
  <c r="Q78" i="31"/>
  <c r="R78" i="31"/>
  <c r="S78" i="31"/>
  <c r="T78" i="31"/>
  <c r="U78" i="31"/>
  <c r="V78" i="31"/>
  <c r="W78" i="31"/>
  <c r="X78" i="31"/>
  <c r="Y78" i="31"/>
  <c r="Z78" i="31"/>
  <c r="AA78" i="31"/>
  <c r="AB78" i="31"/>
  <c r="AC78" i="31"/>
  <c r="AD78" i="31"/>
  <c r="AE78" i="31"/>
  <c r="AF78" i="31"/>
  <c r="AG78" i="31"/>
  <c r="AH78" i="31"/>
  <c r="AI78" i="31"/>
  <c r="AJ78" i="31"/>
  <c r="AK78" i="31"/>
  <c r="AL78" i="31"/>
  <c r="AM78" i="31"/>
  <c r="AN78" i="31"/>
  <c r="AO78" i="31"/>
  <c r="AP78" i="31"/>
  <c r="AQ78" i="31"/>
  <c r="AR78" i="31"/>
  <c r="AS78" i="31"/>
  <c r="AT78" i="31"/>
  <c r="AU78" i="31"/>
  <c r="AV78" i="31"/>
  <c r="AW78" i="31"/>
  <c r="AX78" i="31"/>
  <c r="AY78" i="31"/>
  <c r="AZ78" i="31"/>
  <c r="BA78" i="31"/>
  <c r="BB78" i="31"/>
  <c r="BC78" i="31"/>
  <c r="BD78" i="31"/>
  <c r="BE78" i="31"/>
  <c r="BF78" i="31"/>
  <c r="BG78" i="31"/>
  <c r="BH78" i="31"/>
  <c r="BI78" i="31"/>
  <c r="BJ78" i="31"/>
  <c r="BK78" i="31"/>
  <c r="BL78" i="31"/>
  <c r="BM78" i="31"/>
  <c r="BN78" i="31"/>
  <c r="BO78" i="31"/>
  <c r="BP78" i="31"/>
  <c r="BQ78" i="31"/>
  <c r="BR78" i="31"/>
  <c r="BS78" i="31"/>
  <c r="BT78" i="31"/>
  <c r="BU78" i="31"/>
  <c r="BV78" i="31"/>
  <c r="BW78" i="31"/>
  <c r="BX78" i="31"/>
  <c r="BY78" i="31"/>
  <c r="BZ78" i="31"/>
  <c r="CA78" i="31"/>
  <c r="CB78" i="31"/>
  <c r="CC78" i="31"/>
  <c r="CD78" i="31"/>
  <c r="CE78" i="31"/>
  <c r="CF78" i="31"/>
  <c r="CG78" i="31"/>
  <c r="CH78" i="31"/>
  <c r="CI78" i="31"/>
  <c r="CJ78" i="31"/>
  <c r="CK78" i="31"/>
  <c r="CL78" i="31"/>
  <c r="CM78" i="31"/>
  <c r="CN78" i="31"/>
  <c r="CO78" i="31"/>
  <c r="CP78" i="31"/>
  <c r="CQ78" i="31"/>
  <c r="CR78" i="31"/>
  <c r="CS78" i="31"/>
  <c r="CT78" i="31"/>
  <c r="CU78" i="31"/>
  <c r="CV78" i="31"/>
  <c r="CW78" i="31"/>
  <c r="CX78" i="31"/>
  <c r="CY78" i="31"/>
  <c r="CZ78" i="31"/>
  <c r="DA78" i="31"/>
  <c r="DB78" i="31"/>
  <c r="DC78" i="31"/>
  <c r="DD78" i="31"/>
  <c r="DE78" i="31"/>
  <c r="DF78" i="31"/>
  <c r="DG78" i="31"/>
  <c r="DH78" i="31"/>
  <c r="DI78" i="31"/>
  <c r="DJ78" i="31"/>
  <c r="DK78" i="31"/>
  <c r="DL78" i="31"/>
  <c r="DM78" i="31"/>
  <c r="DN78" i="31"/>
  <c r="DO78" i="31"/>
  <c r="DP78" i="31"/>
  <c r="DQ78" i="31"/>
  <c r="DR78" i="31"/>
  <c r="DS78" i="31"/>
  <c r="DT78" i="31"/>
  <c r="DU78" i="31"/>
  <c r="DV78" i="31"/>
  <c r="DW78" i="31"/>
  <c r="DX78" i="31"/>
  <c r="DY78" i="31"/>
  <c r="DZ78" i="31"/>
  <c r="EA78" i="31"/>
  <c r="L82" i="31"/>
  <c r="M82" i="31"/>
  <c r="N82" i="31"/>
  <c r="O82" i="31"/>
  <c r="P82" i="31"/>
  <c r="Q82" i="31"/>
  <c r="R82" i="31"/>
  <c r="S82" i="31"/>
  <c r="T82" i="31"/>
  <c r="U82" i="31"/>
  <c r="V82" i="31"/>
  <c r="W82" i="31"/>
  <c r="X82" i="31"/>
  <c r="Y82" i="31"/>
  <c r="Z82" i="31"/>
  <c r="AA82" i="31"/>
  <c r="AB82" i="31"/>
  <c r="AC82" i="31"/>
  <c r="AD82" i="31"/>
  <c r="AE82" i="31"/>
  <c r="AF82" i="31"/>
  <c r="AG82" i="31"/>
  <c r="AH82" i="31"/>
  <c r="AI82" i="31"/>
  <c r="AJ82" i="31"/>
  <c r="AK82" i="31"/>
  <c r="AL82" i="31"/>
  <c r="AM82" i="31"/>
  <c r="AN82" i="31"/>
  <c r="AO82" i="31"/>
  <c r="AP82" i="31"/>
  <c r="AQ82" i="31"/>
  <c r="AR82" i="31"/>
  <c r="AS82" i="31"/>
  <c r="AT82" i="31"/>
  <c r="AU82" i="31"/>
  <c r="AV82" i="31"/>
  <c r="AW82" i="31"/>
  <c r="AX82" i="31"/>
  <c r="AY82" i="31"/>
  <c r="AZ82" i="31"/>
  <c r="BA82" i="31"/>
  <c r="BB82" i="31"/>
  <c r="BC82" i="31"/>
  <c r="BD82" i="31"/>
  <c r="BE82" i="31"/>
  <c r="BF82" i="31"/>
  <c r="BG82" i="31"/>
  <c r="BH82" i="31"/>
  <c r="BI82" i="31"/>
  <c r="BJ82" i="31"/>
  <c r="BK82" i="31"/>
  <c r="BL82" i="31"/>
  <c r="BM82" i="31"/>
  <c r="BN82" i="31"/>
  <c r="BO82" i="31"/>
  <c r="BP82" i="31"/>
  <c r="BQ82" i="31"/>
  <c r="BR82" i="31"/>
  <c r="BS82" i="31"/>
  <c r="BT82" i="31"/>
  <c r="BU82" i="31"/>
  <c r="BV82" i="31"/>
  <c r="BW82" i="31"/>
  <c r="BX82" i="31"/>
  <c r="BY82" i="31"/>
  <c r="BZ82" i="31"/>
  <c r="CA82" i="31"/>
  <c r="CB82" i="31"/>
  <c r="CC82" i="31"/>
  <c r="CD82" i="31"/>
  <c r="CE82" i="31"/>
  <c r="CF82" i="31"/>
  <c r="CG82" i="31"/>
  <c r="CH82" i="31"/>
  <c r="CI82" i="31"/>
  <c r="CJ82" i="31"/>
  <c r="CK82" i="31"/>
  <c r="CL82" i="31"/>
  <c r="CM82" i="31"/>
  <c r="CN82" i="31"/>
  <c r="CO82" i="31"/>
  <c r="CP82" i="31"/>
  <c r="CQ82" i="31"/>
  <c r="CR82" i="31"/>
  <c r="CS82" i="31"/>
  <c r="CT82" i="31"/>
  <c r="CU82" i="31"/>
  <c r="CV82" i="31"/>
  <c r="CW82" i="31"/>
  <c r="CX82" i="31"/>
  <c r="CY82" i="31"/>
  <c r="CZ82" i="31"/>
  <c r="DA82" i="31"/>
  <c r="DB82" i="31"/>
  <c r="DC82" i="31"/>
  <c r="DD82" i="31"/>
  <c r="DE82" i="31"/>
  <c r="DF82" i="31"/>
  <c r="DG82" i="31"/>
  <c r="DH82" i="31"/>
  <c r="DI82" i="31"/>
  <c r="DJ82" i="31"/>
  <c r="DK82" i="31"/>
  <c r="DL82" i="31"/>
  <c r="DM82" i="31"/>
  <c r="DN82" i="31"/>
  <c r="DO82" i="31"/>
  <c r="DP82" i="31"/>
  <c r="DQ82" i="31"/>
  <c r="DR82" i="31"/>
  <c r="DS82" i="31"/>
  <c r="DT82" i="31"/>
  <c r="DU82" i="31"/>
  <c r="DV82" i="31"/>
  <c r="DW82" i="31"/>
  <c r="DX82" i="31"/>
  <c r="DY82" i="31"/>
  <c r="DZ82" i="31"/>
  <c r="EA82" i="31"/>
  <c r="L83" i="31"/>
  <c r="M83" i="31"/>
  <c r="N83" i="31"/>
  <c r="O83" i="31"/>
  <c r="P83" i="31"/>
  <c r="Q83" i="31"/>
  <c r="R83" i="31"/>
  <c r="S83" i="31"/>
  <c r="T83" i="31"/>
  <c r="U83" i="31"/>
  <c r="V83" i="31"/>
  <c r="W83" i="31"/>
  <c r="X83" i="31"/>
  <c r="Y83" i="31"/>
  <c r="Z83" i="31"/>
  <c r="AA83" i="31"/>
  <c r="AB83" i="31"/>
  <c r="AC83" i="31"/>
  <c r="AD83" i="31"/>
  <c r="AE83" i="31"/>
  <c r="AF83" i="31"/>
  <c r="AG83" i="31"/>
  <c r="AH83" i="31"/>
  <c r="AI83" i="31"/>
  <c r="AJ83" i="31"/>
  <c r="AK83" i="31"/>
  <c r="AL83" i="31"/>
  <c r="AM83" i="31"/>
  <c r="AN83" i="31"/>
  <c r="AO83" i="31"/>
  <c r="AP83" i="31"/>
  <c r="AQ83" i="31"/>
  <c r="AR83" i="31"/>
  <c r="AS83" i="31"/>
  <c r="AT83" i="31"/>
  <c r="AU83" i="31"/>
  <c r="AV83" i="31"/>
  <c r="AW83" i="31"/>
  <c r="AX83" i="31"/>
  <c r="AY83" i="31"/>
  <c r="AZ83" i="31"/>
  <c r="BA83" i="31"/>
  <c r="BB83" i="31"/>
  <c r="BC83" i="31"/>
  <c r="BD83" i="31"/>
  <c r="BE83" i="31"/>
  <c r="BF83" i="31"/>
  <c r="BG83" i="31"/>
  <c r="BH83" i="31"/>
  <c r="BI83" i="31"/>
  <c r="BJ83" i="31"/>
  <c r="BK83" i="31"/>
  <c r="BL83" i="31"/>
  <c r="BM83" i="31"/>
  <c r="BN83" i="31"/>
  <c r="BO83" i="31"/>
  <c r="BP83" i="31"/>
  <c r="BQ83" i="31"/>
  <c r="BR83" i="31"/>
  <c r="BS83" i="31"/>
  <c r="BT83" i="31"/>
  <c r="BU83" i="31"/>
  <c r="BV83" i="31"/>
  <c r="BW83" i="31"/>
  <c r="BX83" i="31"/>
  <c r="BY83" i="31"/>
  <c r="BZ83" i="31"/>
  <c r="CA83" i="31"/>
  <c r="CB83" i="31"/>
  <c r="CC83" i="31"/>
  <c r="CD83" i="31"/>
  <c r="CE83" i="31"/>
  <c r="CF83" i="31"/>
  <c r="CG83" i="31"/>
  <c r="CH83" i="31"/>
  <c r="CI83" i="31"/>
  <c r="CJ83" i="31"/>
  <c r="CK83" i="31"/>
  <c r="CL83" i="31"/>
  <c r="CM83" i="31"/>
  <c r="CN83" i="31"/>
  <c r="CO83" i="31"/>
  <c r="CP83" i="31"/>
  <c r="CQ83" i="31"/>
  <c r="CR83" i="31"/>
  <c r="CS83" i="31"/>
  <c r="CT83" i="31"/>
  <c r="CU83" i="31"/>
  <c r="CV83" i="31"/>
  <c r="CW83" i="31"/>
  <c r="CX83" i="31"/>
  <c r="CY83" i="31"/>
  <c r="CZ83" i="31"/>
  <c r="DA83" i="31"/>
  <c r="DB83" i="31"/>
  <c r="DC83" i="31"/>
  <c r="DD83" i="31"/>
  <c r="DE83" i="31"/>
  <c r="DF83" i="31"/>
  <c r="DG83" i="31"/>
  <c r="DH83" i="31"/>
  <c r="DI83" i="31"/>
  <c r="DJ83" i="31"/>
  <c r="DK83" i="31"/>
  <c r="DL83" i="31"/>
  <c r="DM83" i="31"/>
  <c r="DN83" i="31"/>
  <c r="DO83" i="31"/>
  <c r="DP83" i="31"/>
  <c r="DQ83" i="31"/>
  <c r="DR83" i="31"/>
  <c r="DS83" i="31"/>
  <c r="DT83" i="31"/>
  <c r="DU83" i="31"/>
  <c r="DV83" i="31"/>
  <c r="DW83" i="31"/>
  <c r="DX83" i="31"/>
  <c r="DY83" i="31"/>
  <c r="DZ83" i="31"/>
  <c r="EA83" i="31"/>
  <c r="K84" i="31"/>
  <c r="K85" i="31"/>
  <c r="L85" i="31"/>
  <c r="M85" i="31"/>
  <c r="N85" i="31"/>
  <c r="O85" i="31"/>
  <c r="P85" i="31"/>
  <c r="Q85" i="31"/>
  <c r="R85" i="31"/>
  <c r="S85" i="31"/>
  <c r="T85" i="31"/>
  <c r="U85" i="31"/>
  <c r="V85" i="31"/>
  <c r="W85" i="31"/>
  <c r="X85" i="31"/>
  <c r="Y85" i="31"/>
  <c r="Z85" i="31"/>
  <c r="AA85" i="31"/>
  <c r="AB85" i="31"/>
  <c r="AC85" i="31"/>
  <c r="AD85" i="31"/>
  <c r="AE85" i="31"/>
  <c r="AF85" i="31"/>
  <c r="AG85" i="31"/>
  <c r="AH85" i="31"/>
  <c r="AI85" i="31"/>
  <c r="AJ85" i="31"/>
  <c r="AK85" i="31"/>
  <c r="AL85" i="31"/>
  <c r="AM85" i="31"/>
  <c r="AN85" i="31"/>
  <c r="AO85" i="31"/>
  <c r="AP85" i="31"/>
  <c r="AQ85" i="31"/>
  <c r="AR85" i="31"/>
  <c r="AS85" i="31"/>
  <c r="AT85" i="31"/>
  <c r="AU85" i="31"/>
  <c r="AV85" i="31"/>
  <c r="AW85" i="31"/>
  <c r="AX85" i="31"/>
  <c r="AY85" i="31"/>
  <c r="AZ85" i="31"/>
  <c r="BA85" i="31"/>
  <c r="BB85" i="31"/>
  <c r="BC85" i="31"/>
  <c r="BD85" i="31"/>
  <c r="BE85" i="31"/>
  <c r="BF85" i="31"/>
  <c r="BG85" i="31"/>
  <c r="BH85" i="31"/>
  <c r="BI85" i="31"/>
  <c r="BJ85" i="31"/>
  <c r="BK85" i="31"/>
  <c r="BL85" i="31"/>
  <c r="BM85" i="31"/>
  <c r="BN85" i="31"/>
  <c r="BO85" i="31"/>
  <c r="BP85" i="31"/>
  <c r="BQ85" i="31"/>
  <c r="BR85" i="31"/>
  <c r="BS85" i="31"/>
  <c r="BT85" i="31"/>
  <c r="BU85" i="31"/>
  <c r="BV85" i="31"/>
  <c r="BW85" i="31"/>
  <c r="BX85" i="31"/>
  <c r="BY85" i="31"/>
  <c r="BZ85" i="31"/>
  <c r="CA85" i="31"/>
  <c r="CB85" i="31"/>
  <c r="CC85" i="31"/>
  <c r="CD85" i="31"/>
  <c r="CE85" i="31"/>
  <c r="CF85" i="31"/>
  <c r="CG85" i="31"/>
  <c r="CH85" i="31"/>
  <c r="CI85" i="31"/>
  <c r="CJ85" i="31"/>
  <c r="CK85" i="31"/>
  <c r="CL85" i="31"/>
  <c r="CM85" i="31"/>
  <c r="CN85" i="31"/>
  <c r="CO85" i="31"/>
  <c r="CP85" i="31"/>
  <c r="CQ85" i="31"/>
  <c r="CR85" i="31"/>
  <c r="CS85" i="31"/>
  <c r="CT85" i="31"/>
  <c r="CU85" i="31"/>
  <c r="CV85" i="31"/>
  <c r="CW85" i="31"/>
  <c r="CX85" i="31"/>
  <c r="CY85" i="31"/>
  <c r="CZ85" i="31"/>
  <c r="DA85" i="31"/>
  <c r="DB85" i="31"/>
  <c r="DC85" i="31"/>
  <c r="DD85" i="31"/>
  <c r="DE85" i="31"/>
  <c r="DF85" i="31"/>
  <c r="DG85" i="31"/>
  <c r="DH85" i="31"/>
  <c r="DI85" i="31"/>
  <c r="DJ85" i="31"/>
  <c r="DK85" i="31"/>
  <c r="DL85" i="31"/>
  <c r="DM85" i="31"/>
  <c r="DN85" i="31"/>
  <c r="DO85" i="31"/>
  <c r="DP85" i="31"/>
  <c r="DQ85" i="31"/>
  <c r="DR85" i="31"/>
  <c r="DS85" i="31"/>
  <c r="DT85" i="31"/>
  <c r="DU85" i="31"/>
  <c r="DV85" i="31"/>
  <c r="DW85" i="31"/>
  <c r="DX85" i="31"/>
  <c r="DY85" i="31"/>
  <c r="DZ85" i="31"/>
  <c r="EA85" i="31"/>
  <c r="K86" i="31"/>
  <c r="L86" i="31"/>
  <c r="M86" i="31"/>
  <c r="N86" i="31"/>
  <c r="O86" i="31"/>
  <c r="P86" i="31"/>
  <c r="Q86" i="31"/>
  <c r="R86" i="31"/>
  <c r="S86" i="31"/>
  <c r="T86" i="31"/>
  <c r="U86" i="31"/>
  <c r="V86" i="31"/>
  <c r="W86" i="31"/>
  <c r="X86" i="31"/>
  <c r="Y86" i="31"/>
  <c r="Z86" i="31"/>
  <c r="AA86" i="31"/>
  <c r="AB86" i="31"/>
  <c r="AC86" i="31"/>
  <c r="AD86" i="31"/>
  <c r="AE86" i="31"/>
  <c r="AF86" i="31"/>
  <c r="AG86" i="31"/>
  <c r="AH86" i="31"/>
  <c r="AI86" i="31"/>
  <c r="AJ86" i="31"/>
  <c r="AK86" i="31"/>
  <c r="AL86" i="31"/>
  <c r="AM86" i="31"/>
  <c r="AN86" i="31"/>
  <c r="AO86" i="31"/>
  <c r="AP86" i="31"/>
  <c r="AQ86" i="31"/>
  <c r="AR86" i="31"/>
  <c r="AS86" i="31"/>
  <c r="AT86" i="31"/>
  <c r="AU86" i="31"/>
  <c r="AV86" i="31"/>
  <c r="AW86" i="31"/>
  <c r="AX86" i="31"/>
  <c r="AY86" i="31"/>
  <c r="AZ86" i="31"/>
  <c r="BA86" i="31"/>
  <c r="BB86" i="31"/>
  <c r="BC86" i="31"/>
  <c r="BD86" i="31"/>
  <c r="BE86" i="31"/>
  <c r="BF86" i="31"/>
  <c r="BG86" i="31"/>
  <c r="BH86" i="31"/>
  <c r="BI86" i="31"/>
  <c r="BJ86" i="31"/>
  <c r="BK86" i="31"/>
  <c r="BL86" i="31"/>
  <c r="BM86" i="31"/>
  <c r="BN86" i="31"/>
  <c r="BO86" i="31"/>
  <c r="BP86" i="31"/>
  <c r="BQ86" i="31"/>
  <c r="BR86" i="31"/>
  <c r="BS86" i="31"/>
  <c r="BT86" i="31"/>
  <c r="BU86" i="31"/>
  <c r="BV86" i="31"/>
  <c r="BW86" i="31"/>
  <c r="BX86" i="31"/>
  <c r="BY86" i="31"/>
  <c r="BZ86" i="31"/>
  <c r="CA86" i="31"/>
  <c r="CB86" i="31"/>
  <c r="CC86" i="31"/>
  <c r="CD86" i="31"/>
  <c r="CE86" i="31"/>
  <c r="CF86" i="31"/>
  <c r="CG86" i="31"/>
  <c r="CH86" i="31"/>
  <c r="CI86" i="31"/>
  <c r="CJ86" i="31"/>
  <c r="CK86" i="31"/>
  <c r="CL86" i="31"/>
  <c r="CM86" i="31"/>
  <c r="CN86" i="31"/>
  <c r="CO86" i="31"/>
  <c r="CP86" i="31"/>
  <c r="CQ86" i="31"/>
  <c r="CR86" i="31"/>
  <c r="CS86" i="31"/>
  <c r="CT86" i="31"/>
  <c r="CU86" i="31"/>
  <c r="CV86" i="31"/>
  <c r="CW86" i="31"/>
  <c r="CX86" i="31"/>
  <c r="CY86" i="31"/>
  <c r="CZ86" i="31"/>
  <c r="DA86" i="31"/>
  <c r="DB86" i="31"/>
  <c r="DC86" i="31"/>
  <c r="DD86" i="31"/>
  <c r="DE86" i="31"/>
  <c r="DF86" i="31"/>
  <c r="DG86" i="31"/>
  <c r="DH86" i="31"/>
  <c r="DI86" i="31"/>
  <c r="DJ86" i="31"/>
  <c r="DK86" i="31"/>
  <c r="DL86" i="31"/>
  <c r="DM86" i="31"/>
  <c r="DN86" i="31"/>
  <c r="DO86" i="31"/>
  <c r="DP86" i="31"/>
  <c r="DQ86" i="31"/>
  <c r="DR86" i="31"/>
  <c r="DS86" i="31"/>
  <c r="DT86" i="31"/>
  <c r="DU86" i="31"/>
  <c r="DV86" i="31"/>
  <c r="DW86" i="31"/>
  <c r="DX86" i="31"/>
  <c r="DY86" i="31"/>
  <c r="DZ86" i="31"/>
  <c r="EA86" i="31"/>
  <c r="K87" i="31"/>
  <c r="L87" i="31"/>
  <c r="M87" i="31"/>
  <c r="N87" i="31"/>
  <c r="O87" i="31"/>
  <c r="P87" i="31"/>
  <c r="Q87" i="31"/>
  <c r="R87" i="31"/>
  <c r="S87" i="31"/>
  <c r="T87" i="31"/>
  <c r="U87" i="31"/>
  <c r="V87" i="31"/>
  <c r="W87" i="31"/>
  <c r="X87" i="31"/>
  <c r="Y87" i="31"/>
  <c r="Z87" i="31"/>
  <c r="AA87" i="31"/>
  <c r="AB87" i="31"/>
  <c r="AC87" i="31"/>
  <c r="AD87" i="31"/>
  <c r="AE87" i="31"/>
  <c r="AF87" i="31"/>
  <c r="AG87" i="31"/>
  <c r="AH87" i="31"/>
  <c r="AI87" i="31"/>
  <c r="AJ87" i="31"/>
  <c r="AK87" i="31"/>
  <c r="AL87" i="31"/>
  <c r="AM87" i="31"/>
  <c r="AN87" i="31"/>
  <c r="AO87" i="31"/>
  <c r="AP87" i="31"/>
  <c r="AQ87" i="31"/>
  <c r="AR87" i="31"/>
  <c r="AS87" i="31"/>
  <c r="AT87" i="31"/>
  <c r="AU87" i="31"/>
  <c r="AV87" i="31"/>
  <c r="AW87" i="31"/>
  <c r="AX87" i="31"/>
  <c r="AY87" i="31"/>
  <c r="AZ87" i="31"/>
  <c r="BA87" i="31"/>
  <c r="BB87" i="31"/>
  <c r="BC87" i="31"/>
  <c r="BD87" i="31"/>
  <c r="BE87" i="31"/>
  <c r="BF87" i="31"/>
  <c r="BG87" i="31"/>
  <c r="BH87" i="31"/>
  <c r="BI87" i="31"/>
  <c r="BJ87" i="31"/>
  <c r="BK87" i="31"/>
  <c r="BL87" i="31"/>
  <c r="BM87" i="31"/>
  <c r="BN87" i="31"/>
  <c r="BO87" i="31"/>
  <c r="BP87" i="31"/>
  <c r="BQ87" i="31"/>
  <c r="BR87" i="31"/>
  <c r="BS87" i="31"/>
  <c r="BT87" i="31"/>
  <c r="BU87" i="31"/>
  <c r="BV87" i="31"/>
  <c r="BW87" i="31"/>
  <c r="BX87" i="31"/>
  <c r="BY87" i="31"/>
  <c r="BZ87" i="31"/>
  <c r="CA87" i="31"/>
  <c r="CB87" i="31"/>
  <c r="CC87" i="31"/>
  <c r="CD87" i="31"/>
  <c r="CE87" i="31"/>
  <c r="CF87" i="31"/>
  <c r="CG87" i="31"/>
  <c r="CH87" i="31"/>
  <c r="CI87" i="31"/>
  <c r="CJ87" i="31"/>
  <c r="CK87" i="31"/>
  <c r="CL87" i="31"/>
  <c r="CM87" i="31"/>
  <c r="CN87" i="31"/>
  <c r="CO87" i="31"/>
  <c r="CP87" i="31"/>
  <c r="CQ87" i="31"/>
  <c r="CR87" i="31"/>
  <c r="CS87" i="31"/>
  <c r="CT87" i="31"/>
  <c r="CU87" i="31"/>
  <c r="CV87" i="31"/>
  <c r="CW87" i="31"/>
  <c r="CX87" i="31"/>
  <c r="CY87" i="31"/>
  <c r="CZ87" i="31"/>
  <c r="DA87" i="31"/>
  <c r="DB87" i="31"/>
  <c r="DC87" i="31"/>
  <c r="DD87" i="31"/>
  <c r="DE87" i="31"/>
  <c r="DF87" i="31"/>
  <c r="DG87" i="31"/>
  <c r="DH87" i="31"/>
  <c r="DI87" i="31"/>
  <c r="DJ87" i="31"/>
  <c r="DK87" i="31"/>
  <c r="DL87" i="31"/>
  <c r="DM87" i="31"/>
  <c r="DN87" i="31"/>
  <c r="DO87" i="31"/>
  <c r="DP87" i="31"/>
  <c r="DQ87" i="31"/>
  <c r="DR87" i="31"/>
  <c r="DS87" i="31"/>
  <c r="DT87" i="31"/>
  <c r="DU87" i="31"/>
  <c r="DV87" i="31"/>
  <c r="DW87" i="31"/>
  <c r="DX87" i="31"/>
  <c r="DY87" i="31"/>
  <c r="DZ87" i="31"/>
  <c r="EA87" i="31"/>
  <c r="K88" i="31"/>
  <c r="L88" i="31"/>
  <c r="M88" i="31"/>
  <c r="N88" i="31"/>
  <c r="O88" i="31"/>
  <c r="P88" i="31"/>
  <c r="Q88" i="31"/>
  <c r="R88" i="31"/>
  <c r="S88" i="31"/>
  <c r="T88" i="31"/>
  <c r="U88" i="31"/>
  <c r="V88" i="31"/>
  <c r="W88" i="31"/>
  <c r="X88" i="31"/>
  <c r="Y88" i="31"/>
  <c r="Z88" i="31"/>
  <c r="AA88" i="31"/>
  <c r="AB88" i="31"/>
  <c r="AC88" i="31"/>
  <c r="AD88" i="31"/>
  <c r="AE88" i="31"/>
  <c r="AF88" i="31"/>
  <c r="AG88" i="31"/>
  <c r="AH88" i="31"/>
  <c r="AI88" i="31"/>
  <c r="AJ88" i="31"/>
  <c r="AK88" i="31"/>
  <c r="AL88" i="31"/>
  <c r="AM88" i="31"/>
  <c r="AN88" i="31"/>
  <c r="AO88" i="31"/>
  <c r="AP88" i="31"/>
  <c r="AQ88" i="31"/>
  <c r="AR88" i="31"/>
  <c r="AS88" i="31"/>
  <c r="AT88" i="31"/>
  <c r="AU88" i="31"/>
  <c r="AV88" i="31"/>
  <c r="AW88" i="31"/>
  <c r="AX88" i="31"/>
  <c r="AY88" i="31"/>
  <c r="AZ88" i="31"/>
  <c r="BA88" i="31"/>
  <c r="BB88" i="31"/>
  <c r="BC88" i="31"/>
  <c r="BD88" i="31"/>
  <c r="BE88" i="31"/>
  <c r="BF88" i="31"/>
  <c r="BG88" i="31"/>
  <c r="BH88" i="31"/>
  <c r="BI88" i="31"/>
  <c r="BJ88" i="31"/>
  <c r="BK88" i="31"/>
  <c r="BL88" i="31"/>
  <c r="BM88" i="31"/>
  <c r="BN88" i="31"/>
  <c r="BO88" i="31"/>
  <c r="BP88" i="31"/>
  <c r="BQ88" i="31"/>
  <c r="BR88" i="31"/>
  <c r="BS88" i="31"/>
  <c r="BT88" i="31"/>
  <c r="BU88" i="31"/>
  <c r="BV88" i="31"/>
  <c r="BW88" i="31"/>
  <c r="BX88" i="31"/>
  <c r="BY88" i="31"/>
  <c r="BZ88" i="31"/>
  <c r="CA88" i="31"/>
  <c r="CB88" i="31"/>
  <c r="CC88" i="31"/>
  <c r="CD88" i="31"/>
  <c r="CE88" i="31"/>
  <c r="CF88" i="31"/>
  <c r="CG88" i="31"/>
  <c r="CH88" i="31"/>
  <c r="CI88" i="31"/>
  <c r="CJ88" i="31"/>
  <c r="CK88" i="31"/>
  <c r="CL88" i="31"/>
  <c r="CM88" i="31"/>
  <c r="CN88" i="31"/>
  <c r="CO88" i="31"/>
  <c r="CP88" i="31"/>
  <c r="CQ88" i="31"/>
  <c r="CR88" i="31"/>
  <c r="CS88" i="31"/>
  <c r="CT88" i="31"/>
  <c r="CU88" i="31"/>
  <c r="CV88" i="31"/>
  <c r="CW88" i="31"/>
  <c r="CX88" i="31"/>
  <c r="CY88" i="31"/>
  <c r="CZ88" i="31"/>
  <c r="DA88" i="31"/>
  <c r="DB88" i="31"/>
  <c r="DC88" i="31"/>
  <c r="DD88" i="31"/>
  <c r="DE88" i="31"/>
  <c r="DF88" i="31"/>
  <c r="DG88" i="31"/>
  <c r="DH88" i="31"/>
  <c r="DI88" i="31"/>
  <c r="DJ88" i="31"/>
  <c r="DK88" i="31"/>
  <c r="DL88" i="31"/>
  <c r="DM88" i="31"/>
  <c r="DN88" i="31"/>
  <c r="DO88" i="31"/>
  <c r="DP88" i="31"/>
  <c r="DQ88" i="31"/>
  <c r="DR88" i="31"/>
  <c r="DS88" i="31"/>
  <c r="DT88" i="31"/>
  <c r="DU88" i="31"/>
  <c r="DV88" i="31"/>
  <c r="DW88" i="31"/>
  <c r="DX88" i="31"/>
  <c r="DY88" i="31"/>
  <c r="DZ88" i="31"/>
  <c r="EA88" i="31"/>
  <c r="I89" i="31"/>
  <c r="I90" i="31"/>
  <c r="K92" i="31"/>
  <c r="K93" i="31"/>
  <c r="L93" i="31"/>
  <c r="M93" i="31"/>
  <c r="N93" i="31"/>
  <c r="O93" i="31"/>
  <c r="P93" i="31"/>
  <c r="Q93" i="31"/>
  <c r="R93" i="31"/>
  <c r="S93" i="31"/>
  <c r="T93" i="31"/>
  <c r="U93" i="31"/>
  <c r="V93" i="31"/>
  <c r="W93" i="31"/>
  <c r="X93" i="31"/>
  <c r="Y93" i="31"/>
  <c r="Z93" i="31"/>
  <c r="AA93" i="31"/>
  <c r="AB93" i="31"/>
  <c r="AC93" i="31"/>
  <c r="AD93" i="31"/>
  <c r="AE93" i="31"/>
  <c r="AF93" i="31"/>
  <c r="AG93" i="31"/>
  <c r="AH93" i="31"/>
  <c r="AI93" i="31"/>
  <c r="AJ93" i="31"/>
  <c r="AK93" i="31"/>
  <c r="AL93" i="31"/>
  <c r="AM93" i="31"/>
  <c r="AN93" i="31"/>
  <c r="AO93" i="31"/>
  <c r="AP93" i="31"/>
  <c r="AQ93" i="31"/>
  <c r="AR93" i="31"/>
  <c r="AS93" i="31"/>
  <c r="AT93" i="31"/>
  <c r="AU93" i="31"/>
  <c r="AV93" i="31"/>
  <c r="AW93" i="31"/>
  <c r="AX93" i="31"/>
  <c r="AY93" i="31"/>
  <c r="AZ93" i="31"/>
  <c r="BA93" i="31"/>
  <c r="BB93" i="31"/>
  <c r="BC93" i="31"/>
  <c r="BD93" i="31"/>
  <c r="BE93" i="31"/>
  <c r="BF93" i="31"/>
  <c r="BG93" i="31"/>
  <c r="BH93" i="31"/>
  <c r="BI93" i="31"/>
  <c r="BJ93" i="31"/>
  <c r="BK93" i="31"/>
  <c r="BL93" i="31"/>
  <c r="BM93" i="31"/>
  <c r="BN93" i="31"/>
  <c r="BO93" i="31"/>
  <c r="BP93" i="31"/>
  <c r="BQ93" i="31"/>
  <c r="BR93" i="31"/>
  <c r="BS93" i="31"/>
  <c r="BT93" i="31"/>
  <c r="BU93" i="31"/>
  <c r="BV93" i="31"/>
  <c r="BW93" i="31"/>
  <c r="BX93" i="31"/>
  <c r="BY93" i="31"/>
  <c r="BZ93" i="31"/>
  <c r="CA93" i="31"/>
  <c r="CB93" i="31"/>
  <c r="CC93" i="31"/>
  <c r="CD93" i="31"/>
  <c r="CE93" i="31"/>
  <c r="CF93" i="31"/>
  <c r="CG93" i="31"/>
  <c r="CH93" i="31"/>
  <c r="CI93" i="31"/>
  <c r="CJ93" i="31"/>
  <c r="CK93" i="31"/>
  <c r="CL93" i="31"/>
  <c r="CM93" i="31"/>
  <c r="CN93" i="31"/>
  <c r="CO93" i="31"/>
  <c r="CP93" i="31"/>
  <c r="CQ93" i="31"/>
  <c r="CR93" i="31"/>
  <c r="CS93" i="31"/>
  <c r="CT93" i="31"/>
  <c r="CU93" i="31"/>
  <c r="CV93" i="31"/>
  <c r="CW93" i="31"/>
  <c r="CX93" i="31"/>
  <c r="CY93" i="31"/>
  <c r="CZ93" i="31"/>
  <c r="DA93" i="31"/>
  <c r="DB93" i="31"/>
  <c r="DC93" i="31"/>
  <c r="DD93" i="31"/>
  <c r="DE93" i="31"/>
  <c r="DF93" i="31"/>
  <c r="DG93" i="31"/>
  <c r="DH93" i="31"/>
  <c r="DI93" i="31"/>
  <c r="DJ93" i="31"/>
  <c r="DK93" i="31"/>
  <c r="DL93" i="31"/>
  <c r="DM93" i="31"/>
  <c r="DN93" i="31"/>
  <c r="DO93" i="31"/>
  <c r="DP93" i="31"/>
  <c r="DQ93" i="31"/>
  <c r="DR93" i="31"/>
  <c r="DS93" i="31"/>
  <c r="DT93" i="31"/>
  <c r="DU93" i="31"/>
  <c r="DV93" i="31"/>
  <c r="DW93" i="31"/>
  <c r="DX93" i="31"/>
  <c r="DY93" i="31"/>
  <c r="DZ93" i="31"/>
  <c r="EA93" i="31"/>
  <c r="K95" i="31"/>
  <c r="L95" i="31"/>
  <c r="M95" i="31"/>
  <c r="N95" i="31"/>
  <c r="O95" i="31"/>
  <c r="P95" i="31"/>
  <c r="Q95" i="31"/>
  <c r="R95" i="31"/>
  <c r="S95" i="31"/>
  <c r="T95" i="31"/>
  <c r="U95" i="31"/>
  <c r="V95" i="31"/>
  <c r="W95" i="31"/>
  <c r="X95" i="31"/>
  <c r="Y95" i="31"/>
  <c r="Z95" i="31"/>
  <c r="AA95" i="31"/>
  <c r="AB95" i="31"/>
  <c r="AC95" i="31"/>
  <c r="AD95" i="31"/>
  <c r="AE95" i="31"/>
  <c r="AF95" i="31"/>
  <c r="AG95" i="31"/>
  <c r="AH95" i="31"/>
  <c r="AI95" i="31"/>
  <c r="AJ95" i="31"/>
  <c r="AK95" i="31"/>
  <c r="AL95" i="31"/>
  <c r="AM95" i="31"/>
  <c r="AN95" i="31"/>
  <c r="AO95" i="31"/>
  <c r="AP95" i="31"/>
  <c r="AQ95" i="31"/>
  <c r="AR95" i="31"/>
  <c r="AS95" i="31"/>
  <c r="AT95" i="31"/>
  <c r="AU95" i="31"/>
  <c r="AV95" i="31"/>
  <c r="AW95" i="31"/>
  <c r="AX95" i="31"/>
  <c r="AY95" i="31"/>
  <c r="AZ95" i="31"/>
  <c r="BA95" i="31"/>
  <c r="BB95" i="31"/>
  <c r="BC95" i="31"/>
  <c r="BD95" i="31"/>
  <c r="BE95" i="31"/>
  <c r="BF95" i="31"/>
  <c r="BG95" i="31"/>
  <c r="BH95" i="31"/>
  <c r="BI95" i="31"/>
  <c r="BJ95" i="31"/>
  <c r="BK95" i="31"/>
  <c r="BL95" i="31"/>
  <c r="BM95" i="31"/>
  <c r="BN95" i="31"/>
  <c r="BO95" i="31"/>
  <c r="BP95" i="31"/>
  <c r="BQ95" i="31"/>
  <c r="BR95" i="31"/>
  <c r="BS95" i="31"/>
  <c r="BT95" i="31"/>
  <c r="BU95" i="31"/>
  <c r="BV95" i="31"/>
  <c r="BW95" i="31"/>
  <c r="BX95" i="31"/>
  <c r="BY95" i="31"/>
  <c r="BZ95" i="31"/>
  <c r="CA95" i="31"/>
  <c r="CB95" i="31"/>
  <c r="CC95" i="31"/>
  <c r="CD95" i="31"/>
  <c r="CE95" i="31"/>
  <c r="CF95" i="31"/>
  <c r="CG95" i="31"/>
  <c r="CH95" i="31"/>
  <c r="CI95" i="31"/>
  <c r="CJ95" i="31"/>
  <c r="CK95" i="31"/>
  <c r="CL95" i="31"/>
  <c r="CM95" i="31"/>
  <c r="CN95" i="31"/>
  <c r="CO95" i="31"/>
  <c r="CP95" i="31"/>
  <c r="CQ95" i="31"/>
  <c r="CR95" i="31"/>
  <c r="CS95" i="31"/>
  <c r="CT95" i="31"/>
  <c r="CU95" i="31"/>
  <c r="CV95" i="31"/>
  <c r="CW95" i="31"/>
  <c r="CX95" i="31"/>
  <c r="CY95" i="31"/>
  <c r="CZ95" i="31"/>
  <c r="DA95" i="31"/>
  <c r="DB95" i="31"/>
  <c r="DC95" i="31"/>
  <c r="DD95" i="31"/>
  <c r="DE95" i="31"/>
  <c r="DF95" i="31"/>
  <c r="DG95" i="31"/>
  <c r="DH95" i="31"/>
  <c r="DI95" i="31"/>
  <c r="DJ95" i="31"/>
  <c r="DK95" i="31"/>
  <c r="DL95" i="31"/>
  <c r="DM95" i="31"/>
  <c r="DN95" i="31"/>
  <c r="DO95" i="31"/>
  <c r="DP95" i="31"/>
  <c r="DQ95" i="31"/>
  <c r="DR95" i="31"/>
  <c r="DS95" i="31"/>
  <c r="DT95" i="31"/>
  <c r="DU95" i="31"/>
  <c r="DV95" i="31"/>
  <c r="DW95" i="31"/>
  <c r="DX95" i="31"/>
  <c r="DY95" i="31"/>
  <c r="DZ95" i="31"/>
  <c r="EA95" i="31"/>
  <c r="K96" i="31"/>
  <c r="L96" i="31"/>
  <c r="M96" i="31"/>
  <c r="N96" i="31"/>
  <c r="O96" i="31"/>
  <c r="P96" i="31"/>
  <c r="Q96" i="31"/>
  <c r="R96" i="31"/>
  <c r="S96" i="31"/>
  <c r="T96" i="31"/>
  <c r="U96" i="31"/>
  <c r="V96" i="31"/>
  <c r="W96" i="31"/>
  <c r="X96" i="31"/>
  <c r="Y96" i="31"/>
  <c r="Z96" i="31"/>
  <c r="AA96" i="31"/>
  <c r="AB96" i="31"/>
  <c r="AC96" i="31"/>
  <c r="AD96" i="31"/>
  <c r="AE96" i="31"/>
  <c r="AF96" i="31"/>
  <c r="AG96" i="31"/>
  <c r="AH96" i="31"/>
  <c r="AI96" i="31"/>
  <c r="AJ96" i="31"/>
  <c r="AK96" i="31"/>
  <c r="AL96" i="31"/>
  <c r="AM96" i="31"/>
  <c r="AN96" i="31"/>
  <c r="AO96" i="31"/>
  <c r="AP96" i="31"/>
  <c r="AQ96" i="31"/>
  <c r="AR96" i="31"/>
  <c r="AS96" i="31"/>
  <c r="AT96" i="31"/>
  <c r="AU96" i="31"/>
  <c r="AV96" i="31"/>
  <c r="AW96" i="31"/>
  <c r="AX96" i="31"/>
  <c r="AY96" i="31"/>
  <c r="AZ96" i="31"/>
  <c r="BA96" i="31"/>
  <c r="BB96" i="31"/>
  <c r="BC96" i="31"/>
  <c r="BD96" i="31"/>
  <c r="BE96" i="31"/>
  <c r="BF96" i="31"/>
  <c r="BG96" i="31"/>
  <c r="BH96" i="31"/>
  <c r="BI96" i="31"/>
  <c r="BJ96" i="31"/>
  <c r="BK96" i="31"/>
  <c r="BL96" i="31"/>
  <c r="BM96" i="31"/>
  <c r="BN96" i="31"/>
  <c r="BO96" i="31"/>
  <c r="BP96" i="31"/>
  <c r="BQ96" i="31"/>
  <c r="BR96" i="31"/>
  <c r="BS96" i="31"/>
  <c r="BT96" i="31"/>
  <c r="BU96" i="31"/>
  <c r="BV96" i="31"/>
  <c r="BW96" i="31"/>
  <c r="BX96" i="31"/>
  <c r="BY96" i="31"/>
  <c r="BZ96" i="31"/>
  <c r="CA96" i="31"/>
  <c r="CB96" i="31"/>
  <c r="CC96" i="31"/>
  <c r="CD96" i="31"/>
  <c r="CE96" i="31"/>
  <c r="CF96" i="31"/>
  <c r="CG96" i="31"/>
  <c r="CH96" i="31"/>
  <c r="CI96" i="31"/>
  <c r="CJ96" i="31"/>
  <c r="CK96" i="31"/>
  <c r="CL96" i="31"/>
  <c r="CM96" i="31"/>
  <c r="CN96" i="31"/>
  <c r="CO96" i="31"/>
  <c r="CP96" i="31"/>
  <c r="CQ96" i="31"/>
  <c r="CR96" i="31"/>
  <c r="CS96" i="31"/>
  <c r="CT96" i="31"/>
  <c r="CU96" i="31"/>
  <c r="CV96" i="31"/>
  <c r="CW96" i="31"/>
  <c r="CX96" i="31"/>
  <c r="CY96" i="31"/>
  <c r="CZ96" i="31"/>
  <c r="DA96" i="31"/>
  <c r="DB96" i="31"/>
  <c r="DC96" i="31"/>
  <c r="DD96" i="31"/>
  <c r="DE96" i="31"/>
  <c r="DF96" i="31"/>
  <c r="DG96" i="31"/>
  <c r="DH96" i="31"/>
  <c r="DI96" i="31"/>
  <c r="DJ96" i="31"/>
  <c r="DK96" i="31"/>
  <c r="DL96" i="31"/>
  <c r="DM96" i="31"/>
  <c r="DN96" i="31"/>
  <c r="DO96" i="31"/>
  <c r="DP96" i="31"/>
  <c r="DQ96" i="31"/>
  <c r="DR96" i="31"/>
  <c r="DS96" i="31"/>
  <c r="DT96" i="31"/>
  <c r="DU96" i="31"/>
  <c r="DV96" i="31"/>
  <c r="DW96" i="31"/>
  <c r="DX96" i="31"/>
  <c r="DY96" i="31"/>
  <c r="DZ96" i="31"/>
  <c r="EA96" i="31"/>
  <c r="L100" i="31"/>
  <c r="M100" i="31"/>
  <c r="N100" i="31"/>
  <c r="O100" i="31"/>
  <c r="P100" i="31"/>
  <c r="Q100" i="31"/>
  <c r="R100" i="31"/>
  <c r="S100" i="31"/>
  <c r="T100" i="31"/>
  <c r="U100" i="31"/>
  <c r="V100" i="31"/>
  <c r="W100" i="31"/>
  <c r="X100" i="31"/>
  <c r="Y100" i="31"/>
  <c r="Z100" i="31"/>
  <c r="AA100" i="31"/>
  <c r="AB100" i="31"/>
  <c r="AC100" i="31"/>
  <c r="AD100" i="31"/>
  <c r="AE100" i="31"/>
  <c r="AF100" i="31"/>
  <c r="AG100" i="31"/>
  <c r="AH100" i="31"/>
  <c r="AI100" i="31"/>
  <c r="AJ100" i="31"/>
  <c r="AK100" i="31"/>
  <c r="AL100" i="31"/>
  <c r="AM100" i="31"/>
  <c r="AN100" i="31"/>
  <c r="AO100" i="31"/>
  <c r="AP100" i="31"/>
  <c r="AQ100" i="31"/>
  <c r="AR100" i="31"/>
  <c r="AS100" i="31"/>
  <c r="AT100" i="31"/>
  <c r="AU100" i="31"/>
  <c r="AV100" i="31"/>
  <c r="AW100" i="31"/>
  <c r="AX100" i="31"/>
  <c r="AY100" i="31"/>
  <c r="AZ100" i="31"/>
  <c r="BA100" i="31"/>
  <c r="BB100" i="31"/>
  <c r="BC100" i="31"/>
  <c r="BD100" i="31"/>
  <c r="BE100" i="31"/>
  <c r="BF100" i="31"/>
  <c r="BG100" i="31"/>
  <c r="BH100" i="31"/>
  <c r="BI100" i="31"/>
  <c r="BJ100" i="31"/>
  <c r="BK100" i="31"/>
  <c r="BL100" i="31"/>
  <c r="BM100" i="31"/>
  <c r="BN100" i="31"/>
  <c r="BO100" i="31"/>
  <c r="BP100" i="31"/>
  <c r="BQ100" i="31"/>
  <c r="BR100" i="31"/>
  <c r="BS100" i="31"/>
  <c r="BT100" i="31"/>
  <c r="BU100" i="31"/>
  <c r="BV100" i="31"/>
  <c r="BW100" i="31"/>
  <c r="BX100" i="31"/>
  <c r="BY100" i="31"/>
  <c r="BZ100" i="31"/>
  <c r="CA100" i="31"/>
  <c r="CB100" i="31"/>
  <c r="CC100" i="31"/>
  <c r="CD100" i="31"/>
  <c r="CE100" i="31"/>
  <c r="CF100" i="31"/>
  <c r="CG100" i="31"/>
  <c r="CH100" i="31"/>
  <c r="CI100" i="31"/>
  <c r="CJ100" i="31"/>
  <c r="CK100" i="31"/>
  <c r="CL100" i="31"/>
  <c r="CM100" i="31"/>
  <c r="CN100" i="31"/>
  <c r="CO100" i="31"/>
  <c r="CP100" i="31"/>
  <c r="CQ100" i="31"/>
  <c r="CR100" i="31"/>
  <c r="CS100" i="31"/>
  <c r="CT100" i="31"/>
  <c r="CU100" i="31"/>
  <c r="CV100" i="31"/>
  <c r="CW100" i="31"/>
  <c r="CX100" i="31"/>
  <c r="CY100" i="31"/>
  <c r="CZ100" i="31"/>
  <c r="DA100" i="31"/>
  <c r="DB100" i="31"/>
  <c r="DC100" i="31"/>
  <c r="DD100" i="31"/>
  <c r="DE100" i="31"/>
  <c r="DF100" i="31"/>
  <c r="DG100" i="31"/>
  <c r="DH100" i="31"/>
  <c r="DI100" i="31"/>
  <c r="DJ100" i="31"/>
  <c r="DK100" i="31"/>
  <c r="DL100" i="31"/>
  <c r="DM100" i="31"/>
  <c r="DN100" i="31"/>
  <c r="DO100" i="31"/>
  <c r="DP100" i="31"/>
  <c r="DQ100" i="31"/>
  <c r="DR100" i="31"/>
  <c r="DS100" i="31"/>
  <c r="DT100" i="31"/>
  <c r="DU100" i="31"/>
  <c r="DV100" i="31"/>
  <c r="DW100" i="31"/>
  <c r="DX100" i="31"/>
  <c r="DY100" i="31"/>
  <c r="DZ100" i="31"/>
  <c r="EA100" i="31"/>
  <c r="L101" i="31"/>
  <c r="M101" i="31"/>
  <c r="N101" i="31"/>
  <c r="O101" i="31"/>
  <c r="P101" i="31"/>
  <c r="Q101" i="31"/>
  <c r="R101" i="31"/>
  <c r="S101" i="31"/>
  <c r="T101" i="31"/>
  <c r="U101" i="31"/>
  <c r="V101" i="31"/>
  <c r="W101" i="31"/>
  <c r="X101" i="31"/>
  <c r="Y101" i="31"/>
  <c r="Z101" i="31"/>
  <c r="AA101" i="31"/>
  <c r="AB101" i="31"/>
  <c r="AC101" i="31"/>
  <c r="AD101" i="31"/>
  <c r="AE101" i="31"/>
  <c r="AF101" i="31"/>
  <c r="AG101" i="31"/>
  <c r="AH101" i="31"/>
  <c r="AI101" i="31"/>
  <c r="AJ101" i="31"/>
  <c r="AK101" i="31"/>
  <c r="AL101" i="31"/>
  <c r="AM101" i="31"/>
  <c r="AN101" i="31"/>
  <c r="AO101" i="31"/>
  <c r="AP101" i="31"/>
  <c r="AQ101" i="31"/>
  <c r="AR101" i="31"/>
  <c r="AS101" i="31"/>
  <c r="AT101" i="31"/>
  <c r="AU101" i="31"/>
  <c r="AV101" i="31"/>
  <c r="AW101" i="31"/>
  <c r="AX101" i="31"/>
  <c r="AY101" i="31"/>
  <c r="AZ101" i="31"/>
  <c r="BA101" i="31"/>
  <c r="BB101" i="31"/>
  <c r="BC101" i="31"/>
  <c r="BD101" i="31"/>
  <c r="BE101" i="31"/>
  <c r="BF101" i="31"/>
  <c r="BG101" i="31"/>
  <c r="BH101" i="31"/>
  <c r="BI101" i="31"/>
  <c r="BJ101" i="31"/>
  <c r="BK101" i="31"/>
  <c r="BL101" i="31"/>
  <c r="BM101" i="31"/>
  <c r="BN101" i="31"/>
  <c r="BO101" i="31"/>
  <c r="BP101" i="31"/>
  <c r="BQ101" i="31"/>
  <c r="BR101" i="31"/>
  <c r="BS101" i="31"/>
  <c r="BT101" i="31"/>
  <c r="BU101" i="31"/>
  <c r="BV101" i="31"/>
  <c r="BW101" i="31"/>
  <c r="BX101" i="31"/>
  <c r="BY101" i="31"/>
  <c r="BZ101" i="31"/>
  <c r="CA101" i="31"/>
  <c r="CB101" i="31"/>
  <c r="CC101" i="31"/>
  <c r="CD101" i="31"/>
  <c r="CE101" i="31"/>
  <c r="CF101" i="31"/>
  <c r="CG101" i="31"/>
  <c r="CH101" i="31"/>
  <c r="CI101" i="31"/>
  <c r="CJ101" i="31"/>
  <c r="CK101" i="31"/>
  <c r="CL101" i="31"/>
  <c r="CM101" i="31"/>
  <c r="CN101" i="31"/>
  <c r="CO101" i="31"/>
  <c r="CP101" i="31"/>
  <c r="CQ101" i="31"/>
  <c r="CR101" i="31"/>
  <c r="CS101" i="31"/>
  <c r="CT101" i="31"/>
  <c r="CU101" i="31"/>
  <c r="CV101" i="31"/>
  <c r="CW101" i="31"/>
  <c r="CX101" i="31"/>
  <c r="CY101" i="31"/>
  <c r="CZ101" i="31"/>
  <c r="DA101" i="31"/>
  <c r="DB101" i="31"/>
  <c r="DC101" i="31"/>
  <c r="DD101" i="31"/>
  <c r="DE101" i="31"/>
  <c r="DF101" i="31"/>
  <c r="DG101" i="31"/>
  <c r="DH101" i="31"/>
  <c r="DI101" i="31"/>
  <c r="DJ101" i="31"/>
  <c r="DK101" i="31"/>
  <c r="DL101" i="31"/>
  <c r="DM101" i="31"/>
  <c r="DN101" i="31"/>
  <c r="DO101" i="31"/>
  <c r="DP101" i="31"/>
  <c r="DQ101" i="31"/>
  <c r="DR101" i="31"/>
  <c r="DS101" i="31"/>
  <c r="DT101" i="31"/>
  <c r="DU101" i="31"/>
  <c r="DV101" i="31"/>
  <c r="DW101" i="31"/>
  <c r="DX101" i="31"/>
  <c r="DY101" i="31"/>
  <c r="DZ101" i="31"/>
  <c r="EA101" i="31"/>
  <c r="K102" i="31"/>
  <c r="K103" i="31"/>
  <c r="L103" i="31"/>
  <c r="M103" i="31"/>
  <c r="N103" i="31"/>
  <c r="O103" i="31"/>
  <c r="P103" i="31"/>
  <c r="Q103" i="31"/>
  <c r="R103" i="31"/>
  <c r="S103" i="31"/>
  <c r="T103" i="31"/>
  <c r="U103" i="31"/>
  <c r="V103" i="31"/>
  <c r="W103" i="31"/>
  <c r="X103" i="31"/>
  <c r="Y103" i="31"/>
  <c r="Z103" i="31"/>
  <c r="AA103" i="31"/>
  <c r="AB103" i="31"/>
  <c r="AC103" i="31"/>
  <c r="AD103" i="31"/>
  <c r="AE103" i="31"/>
  <c r="AF103" i="31"/>
  <c r="AG103" i="31"/>
  <c r="AH103" i="31"/>
  <c r="AI103" i="31"/>
  <c r="AJ103" i="31"/>
  <c r="AK103" i="31"/>
  <c r="AL103" i="31"/>
  <c r="AM103" i="31"/>
  <c r="AN103" i="31"/>
  <c r="AO103" i="31"/>
  <c r="AP103" i="31"/>
  <c r="AQ103" i="31"/>
  <c r="AR103" i="31"/>
  <c r="AS103" i="31"/>
  <c r="AT103" i="31"/>
  <c r="AU103" i="31"/>
  <c r="AV103" i="31"/>
  <c r="AW103" i="31"/>
  <c r="AX103" i="31"/>
  <c r="AY103" i="31"/>
  <c r="AZ103" i="31"/>
  <c r="BA103" i="31"/>
  <c r="BB103" i="31"/>
  <c r="BC103" i="31"/>
  <c r="BD103" i="31"/>
  <c r="BE103" i="31"/>
  <c r="BF103" i="31"/>
  <c r="BG103" i="31"/>
  <c r="BH103" i="31"/>
  <c r="BI103" i="31"/>
  <c r="BJ103" i="31"/>
  <c r="BK103" i="31"/>
  <c r="BL103" i="31"/>
  <c r="BM103" i="31"/>
  <c r="BN103" i="31"/>
  <c r="BO103" i="31"/>
  <c r="BP103" i="31"/>
  <c r="BQ103" i="31"/>
  <c r="BR103" i="31"/>
  <c r="BS103" i="31"/>
  <c r="BT103" i="31"/>
  <c r="BU103" i="31"/>
  <c r="BV103" i="31"/>
  <c r="BW103" i="31"/>
  <c r="BX103" i="31"/>
  <c r="BY103" i="31"/>
  <c r="BZ103" i="31"/>
  <c r="CA103" i="31"/>
  <c r="CB103" i="31"/>
  <c r="CC103" i="31"/>
  <c r="CD103" i="31"/>
  <c r="CE103" i="31"/>
  <c r="CF103" i="31"/>
  <c r="CG103" i="31"/>
  <c r="CH103" i="31"/>
  <c r="CI103" i="31"/>
  <c r="CJ103" i="31"/>
  <c r="CK103" i="31"/>
  <c r="CL103" i="31"/>
  <c r="CM103" i="31"/>
  <c r="CN103" i="31"/>
  <c r="CO103" i="31"/>
  <c r="CP103" i="31"/>
  <c r="CQ103" i="31"/>
  <c r="CR103" i="31"/>
  <c r="CS103" i="31"/>
  <c r="CT103" i="31"/>
  <c r="CU103" i="31"/>
  <c r="CV103" i="31"/>
  <c r="CW103" i="31"/>
  <c r="CX103" i="31"/>
  <c r="CY103" i="31"/>
  <c r="CZ103" i="31"/>
  <c r="DA103" i="31"/>
  <c r="DB103" i="31"/>
  <c r="DC103" i="31"/>
  <c r="DD103" i="31"/>
  <c r="DE103" i="31"/>
  <c r="DF103" i="31"/>
  <c r="DG103" i="31"/>
  <c r="DH103" i="31"/>
  <c r="DI103" i="31"/>
  <c r="DJ103" i="31"/>
  <c r="DK103" i="31"/>
  <c r="DL103" i="31"/>
  <c r="DM103" i="31"/>
  <c r="DN103" i="31"/>
  <c r="DO103" i="31"/>
  <c r="DP103" i="31"/>
  <c r="DQ103" i="31"/>
  <c r="DR103" i="31"/>
  <c r="DS103" i="31"/>
  <c r="DT103" i="31"/>
  <c r="DU103" i="31"/>
  <c r="DV103" i="31"/>
  <c r="DW103" i="31"/>
  <c r="DX103" i="31"/>
  <c r="DY103" i="31"/>
  <c r="DZ103" i="31"/>
  <c r="EA103" i="31"/>
  <c r="K104" i="31"/>
  <c r="L104" i="31"/>
  <c r="M104" i="31"/>
  <c r="N104" i="31"/>
  <c r="O104" i="31"/>
  <c r="P104" i="31"/>
  <c r="Q104" i="31"/>
  <c r="R104" i="31"/>
  <c r="S104" i="31"/>
  <c r="T104" i="31"/>
  <c r="U104" i="31"/>
  <c r="V104" i="31"/>
  <c r="W104" i="31"/>
  <c r="X104" i="31"/>
  <c r="Y104" i="31"/>
  <c r="Z104" i="31"/>
  <c r="AA104" i="31"/>
  <c r="AB104" i="31"/>
  <c r="AC104" i="31"/>
  <c r="AD104" i="31"/>
  <c r="AE104" i="31"/>
  <c r="AF104" i="31"/>
  <c r="AG104" i="31"/>
  <c r="AH104" i="31"/>
  <c r="AI104" i="31"/>
  <c r="AJ104" i="31"/>
  <c r="AK104" i="31"/>
  <c r="AL104" i="31"/>
  <c r="AM104" i="31"/>
  <c r="AN104" i="31"/>
  <c r="AO104" i="31"/>
  <c r="AP104" i="31"/>
  <c r="AQ104" i="31"/>
  <c r="AR104" i="31"/>
  <c r="AS104" i="31"/>
  <c r="AT104" i="31"/>
  <c r="AU104" i="31"/>
  <c r="AV104" i="31"/>
  <c r="AW104" i="31"/>
  <c r="AX104" i="31"/>
  <c r="AY104" i="31"/>
  <c r="AZ104" i="31"/>
  <c r="BA104" i="31"/>
  <c r="BB104" i="31"/>
  <c r="BC104" i="31"/>
  <c r="BD104" i="31"/>
  <c r="BE104" i="31"/>
  <c r="BF104" i="31"/>
  <c r="BG104" i="31"/>
  <c r="BH104" i="31"/>
  <c r="BI104" i="31"/>
  <c r="BJ104" i="31"/>
  <c r="BK104" i="31"/>
  <c r="BL104" i="31"/>
  <c r="BM104" i="31"/>
  <c r="BN104" i="31"/>
  <c r="BO104" i="31"/>
  <c r="BP104" i="31"/>
  <c r="BQ104" i="31"/>
  <c r="BR104" i="31"/>
  <c r="BS104" i="31"/>
  <c r="BT104" i="31"/>
  <c r="BU104" i="31"/>
  <c r="BV104" i="31"/>
  <c r="BW104" i="31"/>
  <c r="BX104" i="31"/>
  <c r="BY104" i="31"/>
  <c r="BZ104" i="31"/>
  <c r="CA104" i="31"/>
  <c r="CB104" i="31"/>
  <c r="CC104" i="31"/>
  <c r="CD104" i="31"/>
  <c r="CE104" i="31"/>
  <c r="CF104" i="31"/>
  <c r="CG104" i="31"/>
  <c r="CH104" i="31"/>
  <c r="CI104" i="31"/>
  <c r="CJ104" i="31"/>
  <c r="CK104" i="31"/>
  <c r="CL104" i="31"/>
  <c r="CM104" i="31"/>
  <c r="CN104" i="31"/>
  <c r="CO104" i="31"/>
  <c r="CP104" i="31"/>
  <c r="CQ104" i="31"/>
  <c r="CR104" i="31"/>
  <c r="CS104" i="31"/>
  <c r="CT104" i="31"/>
  <c r="CU104" i="31"/>
  <c r="CV104" i="31"/>
  <c r="CW104" i="31"/>
  <c r="CX104" i="31"/>
  <c r="CY104" i="31"/>
  <c r="CZ104" i="31"/>
  <c r="DA104" i="31"/>
  <c r="DB104" i="31"/>
  <c r="DC104" i="31"/>
  <c r="DD104" i="31"/>
  <c r="DE104" i="31"/>
  <c r="DF104" i="31"/>
  <c r="DG104" i="31"/>
  <c r="DH104" i="31"/>
  <c r="DI104" i="31"/>
  <c r="DJ104" i="31"/>
  <c r="DK104" i="31"/>
  <c r="DL104" i="31"/>
  <c r="DM104" i="31"/>
  <c r="DN104" i="31"/>
  <c r="DO104" i="31"/>
  <c r="DP104" i="31"/>
  <c r="DQ104" i="31"/>
  <c r="DR104" i="31"/>
  <c r="DS104" i="31"/>
  <c r="DT104" i="31"/>
  <c r="DU104" i="31"/>
  <c r="DV104" i="31"/>
  <c r="DW104" i="31"/>
  <c r="DX104" i="31"/>
  <c r="DY104" i="31"/>
  <c r="DZ104" i="31"/>
  <c r="EA104" i="31"/>
  <c r="K105" i="31"/>
  <c r="L105" i="31"/>
  <c r="M105" i="31"/>
  <c r="N105" i="31"/>
  <c r="O105" i="31"/>
  <c r="P105" i="31"/>
  <c r="Q105" i="31"/>
  <c r="R105" i="31"/>
  <c r="S105" i="31"/>
  <c r="T105" i="31"/>
  <c r="U105" i="31"/>
  <c r="V105" i="31"/>
  <c r="W105" i="31"/>
  <c r="X105" i="31"/>
  <c r="Y105" i="31"/>
  <c r="Z105" i="31"/>
  <c r="AA105" i="31"/>
  <c r="AB105" i="31"/>
  <c r="AC105" i="31"/>
  <c r="AD105" i="31"/>
  <c r="AE105" i="31"/>
  <c r="AF105" i="31"/>
  <c r="AG105" i="31"/>
  <c r="AH105" i="31"/>
  <c r="AI105" i="31"/>
  <c r="AJ105" i="31"/>
  <c r="AK105" i="31"/>
  <c r="AL105" i="31"/>
  <c r="AM105" i="31"/>
  <c r="AN105" i="31"/>
  <c r="AO105" i="31"/>
  <c r="AP105" i="31"/>
  <c r="AQ105" i="31"/>
  <c r="AR105" i="31"/>
  <c r="AS105" i="31"/>
  <c r="AT105" i="31"/>
  <c r="AU105" i="31"/>
  <c r="AV105" i="31"/>
  <c r="AW105" i="31"/>
  <c r="AX105" i="31"/>
  <c r="AY105" i="31"/>
  <c r="AZ105" i="31"/>
  <c r="BA105" i="31"/>
  <c r="BB105" i="31"/>
  <c r="BC105" i="31"/>
  <c r="BD105" i="31"/>
  <c r="BE105" i="31"/>
  <c r="BF105" i="31"/>
  <c r="BG105" i="31"/>
  <c r="BH105" i="31"/>
  <c r="BI105" i="31"/>
  <c r="BJ105" i="31"/>
  <c r="BK105" i="31"/>
  <c r="BL105" i="31"/>
  <c r="BM105" i="31"/>
  <c r="BN105" i="31"/>
  <c r="BO105" i="31"/>
  <c r="BP105" i="31"/>
  <c r="BQ105" i="31"/>
  <c r="BR105" i="31"/>
  <c r="BS105" i="31"/>
  <c r="BT105" i="31"/>
  <c r="BU105" i="31"/>
  <c r="BV105" i="31"/>
  <c r="BW105" i="31"/>
  <c r="BX105" i="31"/>
  <c r="BY105" i="31"/>
  <c r="BZ105" i="31"/>
  <c r="CA105" i="31"/>
  <c r="CB105" i="31"/>
  <c r="CC105" i="31"/>
  <c r="CD105" i="31"/>
  <c r="CE105" i="31"/>
  <c r="CF105" i="31"/>
  <c r="CG105" i="31"/>
  <c r="CH105" i="31"/>
  <c r="CI105" i="31"/>
  <c r="CJ105" i="31"/>
  <c r="CK105" i="31"/>
  <c r="CL105" i="31"/>
  <c r="CM105" i="31"/>
  <c r="CN105" i="31"/>
  <c r="CO105" i="31"/>
  <c r="CP105" i="31"/>
  <c r="CQ105" i="31"/>
  <c r="CR105" i="31"/>
  <c r="CS105" i="31"/>
  <c r="CT105" i="31"/>
  <c r="CU105" i="31"/>
  <c r="CV105" i="31"/>
  <c r="CW105" i="31"/>
  <c r="CX105" i="31"/>
  <c r="CY105" i="31"/>
  <c r="CZ105" i="31"/>
  <c r="DA105" i="31"/>
  <c r="DB105" i="31"/>
  <c r="DC105" i="31"/>
  <c r="DD105" i="31"/>
  <c r="DE105" i="31"/>
  <c r="DF105" i="31"/>
  <c r="DG105" i="31"/>
  <c r="DH105" i="31"/>
  <c r="DI105" i="31"/>
  <c r="DJ105" i="31"/>
  <c r="DK105" i="31"/>
  <c r="DL105" i="31"/>
  <c r="DM105" i="31"/>
  <c r="DN105" i="31"/>
  <c r="DO105" i="31"/>
  <c r="DP105" i="31"/>
  <c r="DQ105" i="31"/>
  <c r="DR105" i="31"/>
  <c r="DS105" i="31"/>
  <c r="DT105" i="31"/>
  <c r="DU105" i="31"/>
  <c r="DV105" i="31"/>
  <c r="DW105" i="31"/>
  <c r="DX105" i="31"/>
  <c r="DY105" i="31"/>
  <c r="DZ105" i="31"/>
  <c r="EA105" i="31"/>
  <c r="K106" i="31"/>
  <c r="L106" i="31"/>
  <c r="M106" i="31"/>
  <c r="N106" i="31"/>
  <c r="O106" i="31"/>
  <c r="P106" i="31"/>
  <c r="Q106" i="31"/>
  <c r="R106" i="31"/>
  <c r="S106" i="31"/>
  <c r="T106" i="31"/>
  <c r="U106" i="31"/>
  <c r="V106" i="31"/>
  <c r="W106" i="31"/>
  <c r="X106" i="31"/>
  <c r="Y106" i="31"/>
  <c r="Z106" i="31"/>
  <c r="AA106" i="31"/>
  <c r="AB106" i="31"/>
  <c r="AC106" i="31"/>
  <c r="AD106" i="31"/>
  <c r="AE106" i="31"/>
  <c r="AF106" i="31"/>
  <c r="AG106" i="31"/>
  <c r="AH106" i="31"/>
  <c r="AI106" i="31"/>
  <c r="AJ106" i="31"/>
  <c r="AK106" i="31"/>
  <c r="AL106" i="31"/>
  <c r="AM106" i="31"/>
  <c r="AN106" i="31"/>
  <c r="AO106" i="31"/>
  <c r="AP106" i="31"/>
  <c r="AQ106" i="31"/>
  <c r="AR106" i="31"/>
  <c r="AS106" i="31"/>
  <c r="AT106" i="31"/>
  <c r="AU106" i="31"/>
  <c r="AV106" i="31"/>
  <c r="AW106" i="31"/>
  <c r="AX106" i="31"/>
  <c r="AY106" i="31"/>
  <c r="AZ106" i="31"/>
  <c r="BA106" i="31"/>
  <c r="BB106" i="31"/>
  <c r="BC106" i="31"/>
  <c r="BD106" i="31"/>
  <c r="BE106" i="31"/>
  <c r="BF106" i="31"/>
  <c r="BG106" i="31"/>
  <c r="BH106" i="31"/>
  <c r="BI106" i="31"/>
  <c r="BJ106" i="31"/>
  <c r="BK106" i="31"/>
  <c r="BL106" i="31"/>
  <c r="BM106" i="31"/>
  <c r="BN106" i="31"/>
  <c r="BO106" i="31"/>
  <c r="BP106" i="31"/>
  <c r="BQ106" i="31"/>
  <c r="BR106" i="31"/>
  <c r="BS106" i="31"/>
  <c r="BT106" i="31"/>
  <c r="BU106" i="31"/>
  <c r="BV106" i="31"/>
  <c r="BW106" i="31"/>
  <c r="BX106" i="31"/>
  <c r="BY106" i="31"/>
  <c r="BZ106" i="31"/>
  <c r="CA106" i="31"/>
  <c r="CB106" i="31"/>
  <c r="CC106" i="31"/>
  <c r="CD106" i="31"/>
  <c r="CE106" i="31"/>
  <c r="CF106" i="31"/>
  <c r="CG106" i="31"/>
  <c r="CH106" i="31"/>
  <c r="CI106" i="31"/>
  <c r="CJ106" i="31"/>
  <c r="CK106" i="31"/>
  <c r="CL106" i="31"/>
  <c r="CM106" i="31"/>
  <c r="CN106" i="31"/>
  <c r="CO106" i="31"/>
  <c r="CP106" i="31"/>
  <c r="CQ106" i="31"/>
  <c r="CR106" i="31"/>
  <c r="CS106" i="31"/>
  <c r="CT106" i="31"/>
  <c r="CU106" i="31"/>
  <c r="CV106" i="31"/>
  <c r="CW106" i="31"/>
  <c r="CX106" i="31"/>
  <c r="CY106" i="31"/>
  <c r="CZ106" i="31"/>
  <c r="DA106" i="31"/>
  <c r="DB106" i="31"/>
  <c r="DC106" i="31"/>
  <c r="DD106" i="31"/>
  <c r="DE106" i="31"/>
  <c r="DF106" i="31"/>
  <c r="DG106" i="31"/>
  <c r="DH106" i="31"/>
  <c r="DI106" i="31"/>
  <c r="DJ106" i="31"/>
  <c r="DK106" i="31"/>
  <c r="DL106" i="31"/>
  <c r="DM106" i="31"/>
  <c r="DN106" i="31"/>
  <c r="DO106" i="31"/>
  <c r="DP106" i="31"/>
  <c r="DQ106" i="31"/>
  <c r="DR106" i="31"/>
  <c r="DS106" i="31"/>
  <c r="DT106" i="31"/>
  <c r="DU106" i="31"/>
  <c r="DV106" i="31"/>
  <c r="DW106" i="31"/>
  <c r="DX106" i="31"/>
  <c r="DY106" i="31"/>
  <c r="DZ106" i="31"/>
  <c r="EA106" i="31"/>
  <c r="I107" i="31"/>
  <c r="I108" i="31"/>
  <c r="K110" i="31"/>
  <c r="K111" i="31"/>
  <c r="L111" i="31"/>
  <c r="M111" i="31"/>
  <c r="N111" i="31"/>
  <c r="O111" i="31"/>
  <c r="P111" i="31"/>
  <c r="Q111" i="31"/>
  <c r="R111" i="31"/>
  <c r="S111" i="31"/>
  <c r="T111" i="31"/>
  <c r="U111" i="31"/>
  <c r="V111" i="31"/>
  <c r="W111" i="31"/>
  <c r="X111" i="31"/>
  <c r="Y111" i="31"/>
  <c r="Z111" i="31"/>
  <c r="AA111" i="31"/>
  <c r="AB111" i="31"/>
  <c r="AC111" i="31"/>
  <c r="AD111" i="31"/>
  <c r="AE111" i="31"/>
  <c r="AF111" i="31"/>
  <c r="AG111" i="31"/>
  <c r="AH111" i="31"/>
  <c r="AI111" i="31"/>
  <c r="AJ111" i="31"/>
  <c r="AK111" i="31"/>
  <c r="AL111" i="31"/>
  <c r="AM111" i="31"/>
  <c r="AN111" i="31"/>
  <c r="AO111" i="31"/>
  <c r="AP111" i="31"/>
  <c r="AQ111" i="31"/>
  <c r="AR111" i="31"/>
  <c r="AS111" i="31"/>
  <c r="AT111" i="31"/>
  <c r="AU111" i="31"/>
  <c r="AV111" i="31"/>
  <c r="AW111" i="31"/>
  <c r="AX111" i="31"/>
  <c r="AY111" i="31"/>
  <c r="AZ111" i="31"/>
  <c r="BA111" i="31"/>
  <c r="BB111" i="31"/>
  <c r="BC111" i="31"/>
  <c r="BD111" i="31"/>
  <c r="BE111" i="31"/>
  <c r="BF111" i="31"/>
  <c r="BG111" i="31"/>
  <c r="BH111" i="31"/>
  <c r="BI111" i="31"/>
  <c r="BJ111" i="31"/>
  <c r="BK111" i="31"/>
  <c r="BL111" i="31"/>
  <c r="BM111" i="31"/>
  <c r="BN111" i="31"/>
  <c r="BO111" i="31"/>
  <c r="BP111" i="31"/>
  <c r="BQ111" i="31"/>
  <c r="BR111" i="31"/>
  <c r="BS111" i="31"/>
  <c r="BT111" i="31"/>
  <c r="BU111" i="31"/>
  <c r="BV111" i="31"/>
  <c r="BW111" i="31"/>
  <c r="BX111" i="31"/>
  <c r="BY111" i="31"/>
  <c r="BZ111" i="31"/>
  <c r="CA111" i="31"/>
  <c r="CB111" i="31"/>
  <c r="CC111" i="31"/>
  <c r="CD111" i="31"/>
  <c r="CE111" i="31"/>
  <c r="CF111" i="31"/>
  <c r="CG111" i="31"/>
  <c r="CH111" i="31"/>
  <c r="CI111" i="31"/>
  <c r="CJ111" i="31"/>
  <c r="CK111" i="31"/>
  <c r="CL111" i="31"/>
  <c r="CM111" i="31"/>
  <c r="CN111" i="31"/>
  <c r="CO111" i="31"/>
  <c r="CP111" i="31"/>
  <c r="CQ111" i="31"/>
  <c r="CR111" i="31"/>
  <c r="CS111" i="31"/>
  <c r="CT111" i="31"/>
  <c r="CU111" i="31"/>
  <c r="CV111" i="31"/>
  <c r="CW111" i="31"/>
  <c r="CX111" i="31"/>
  <c r="CY111" i="31"/>
  <c r="CZ111" i="31"/>
  <c r="DA111" i="31"/>
  <c r="DB111" i="31"/>
  <c r="DC111" i="31"/>
  <c r="DD111" i="31"/>
  <c r="DE111" i="31"/>
  <c r="DF111" i="31"/>
  <c r="DG111" i="31"/>
  <c r="DH111" i="31"/>
  <c r="DI111" i="31"/>
  <c r="DJ111" i="31"/>
  <c r="DK111" i="31"/>
  <c r="DL111" i="31"/>
  <c r="DM111" i="31"/>
  <c r="DN111" i="31"/>
  <c r="DO111" i="31"/>
  <c r="DP111" i="31"/>
  <c r="DQ111" i="31"/>
  <c r="DR111" i="31"/>
  <c r="DS111" i="31"/>
  <c r="DT111" i="31"/>
  <c r="DU111" i="31"/>
  <c r="DV111" i="31"/>
  <c r="DW111" i="31"/>
  <c r="DX111" i="31"/>
  <c r="DY111" i="31"/>
  <c r="DZ111" i="31"/>
  <c r="EA111" i="31"/>
  <c r="K113" i="31"/>
  <c r="L113" i="31"/>
  <c r="M113" i="31"/>
  <c r="N113" i="31"/>
  <c r="O113" i="31"/>
  <c r="P113" i="31"/>
  <c r="Q113" i="31"/>
  <c r="R113" i="31"/>
  <c r="S113" i="31"/>
  <c r="T113" i="31"/>
  <c r="U113" i="31"/>
  <c r="V113" i="31"/>
  <c r="W113" i="31"/>
  <c r="X113" i="31"/>
  <c r="Y113" i="31"/>
  <c r="Z113" i="31"/>
  <c r="AA113" i="31"/>
  <c r="AB113" i="31"/>
  <c r="AC113" i="31"/>
  <c r="AD113" i="31"/>
  <c r="AE113" i="31"/>
  <c r="AF113" i="31"/>
  <c r="AG113" i="31"/>
  <c r="AH113" i="31"/>
  <c r="AI113" i="31"/>
  <c r="AJ113" i="31"/>
  <c r="AK113" i="31"/>
  <c r="AL113" i="31"/>
  <c r="AM113" i="31"/>
  <c r="AN113" i="31"/>
  <c r="AO113" i="31"/>
  <c r="AP113" i="31"/>
  <c r="AQ113" i="31"/>
  <c r="AR113" i="31"/>
  <c r="AS113" i="31"/>
  <c r="AT113" i="31"/>
  <c r="AU113" i="31"/>
  <c r="AV113" i="31"/>
  <c r="AW113" i="31"/>
  <c r="AX113" i="31"/>
  <c r="AY113" i="31"/>
  <c r="AZ113" i="31"/>
  <c r="BA113" i="31"/>
  <c r="BB113" i="31"/>
  <c r="BC113" i="31"/>
  <c r="BD113" i="31"/>
  <c r="BE113" i="31"/>
  <c r="BF113" i="31"/>
  <c r="BG113" i="31"/>
  <c r="BH113" i="31"/>
  <c r="BI113" i="31"/>
  <c r="BJ113" i="31"/>
  <c r="BK113" i="31"/>
  <c r="BL113" i="31"/>
  <c r="BM113" i="31"/>
  <c r="BN113" i="31"/>
  <c r="BO113" i="31"/>
  <c r="BP113" i="31"/>
  <c r="BQ113" i="31"/>
  <c r="BR113" i="31"/>
  <c r="BS113" i="31"/>
  <c r="BT113" i="31"/>
  <c r="BU113" i="31"/>
  <c r="BV113" i="31"/>
  <c r="BW113" i="31"/>
  <c r="BX113" i="31"/>
  <c r="BY113" i="31"/>
  <c r="BZ113" i="31"/>
  <c r="CA113" i="31"/>
  <c r="CB113" i="31"/>
  <c r="CC113" i="31"/>
  <c r="CD113" i="31"/>
  <c r="CE113" i="31"/>
  <c r="CF113" i="31"/>
  <c r="CG113" i="31"/>
  <c r="CH113" i="31"/>
  <c r="CI113" i="31"/>
  <c r="CJ113" i="31"/>
  <c r="CK113" i="31"/>
  <c r="CL113" i="31"/>
  <c r="CM113" i="31"/>
  <c r="CN113" i="31"/>
  <c r="CO113" i="31"/>
  <c r="CP113" i="31"/>
  <c r="CQ113" i="31"/>
  <c r="CR113" i="31"/>
  <c r="CS113" i="31"/>
  <c r="CT113" i="31"/>
  <c r="CU113" i="31"/>
  <c r="CV113" i="31"/>
  <c r="CW113" i="31"/>
  <c r="CX113" i="31"/>
  <c r="CY113" i="31"/>
  <c r="CZ113" i="31"/>
  <c r="DA113" i="31"/>
  <c r="DB113" i="31"/>
  <c r="DC113" i="31"/>
  <c r="DD113" i="31"/>
  <c r="DE113" i="31"/>
  <c r="DF113" i="31"/>
  <c r="DG113" i="31"/>
  <c r="DH113" i="31"/>
  <c r="DI113" i="31"/>
  <c r="DJ113" i="31"/>
  <c r="DK113" i="31"/>
  <c r="DL113" i="31"/>
  <c r="DM113" i="31"/>
  <c r="DN113" i="31"/>
  <c r="DO113" i="31"/>
  <c r="DP113" i="31"/>
  <c r="DQ113" i="31"/>
  <c r="DR113" i="31"/>
  <c r="DS113" i="31"/>
  <c r="DT113" i="31"/>
  <c r="DU113" i="31"/>
  <c r="DV113" i="31"/>
  <c r="DW113" i="31"/>
  <c r="DX113" i="31"/>
  <c r="DY113" i="31"/>
  <c r="DZ113" i="31"/>
  <c r="EA113" i="31"/>
  <c r="K114" i="31"/>
  <c r="L114" i="31"/>
  <c r="M114" i="31"/>
  <c r="N114" i="31"/>
  <c r="O114" i="31"/>
  <c r="P114" i="31"/>
  <c r="Q114" i="31"/>
  <c r="R114" i="31"/>
  <c r="S114" i="31"/>
  <c r="T114" i="31"/>
  <c r="U114" i="31"/>
  <c r="V114" i="31"/>
  <c r="W114" i="31"/>
  <c r="X114" i="31"/>
  <c r="Y114" i="31"/>
  <c r="Z114" i="31"/>
  <c r="AA114" i="31"/>
  <c r="AB114" i="31"/>
  <c r="AC114" i="31"/>
  <c r="AD114" i="31"/>
  <c r="AE114" i="31"/>
  <c r="AF114" i="31"/>
  <c r="AG114" i="31"/>
  <c r="AH114" i="31"/>
  <c r="AI114" i="31"/>
  <c r="AJ114" i="31"/>
  <c r="AK114" i="31"/>
  <c r="AL114" i="31"/>
  <c r="AM114" i="31"/>
  <c r="AN114" i="31"/>
  <c r="AO114" i="31"/>
  <c r="AP114" i="31"/>
  <c r="AQ114" i="31"/>
  <c r="AR114" i="31"/>
  <c r="AS114" i="31"/>
  <c r="AT114" i="31"/>
  <c r="AU114" i="31"/>
  <c r="AV114" i="31"/>
  <c r="AW114" i="31"/>
  <c r="AX114" i="31"/>
  <c r="AY114" i="31"/>
  <c r="AZ114" i="31"/>
  <c r="BA114" i="31"/>
  <c r="BB114" i="31"/>
  <c r="BC114" i="31"/>
  <c r="BD114" i="31"/>
  <c r="BE114" i="31"/>
  <c r="BF114" i="31"/>
  <c r="BG114" i="31"/>
  <c r="BH114" i="31"/>
  <c r="BI114" i="31"/>
  <c r="BJ114" i="31"/>
  <c r="BK114" i="31"/>
  <c r="BL114" i="31"/>
  <c r="BM114" i="31"/>
  <c r="BN114" i="31"/>
  <c r="BO114" i="31"/>
  <c r="BP114" i="31"/>
  <c r="BQ114" i="31"/>
  <c r="BR114" i="31"/>
  <c r="BS114" i="31"/>
  <c r="BT114" i="31"/>
  <c r="BU114" i="31"/>
  <c r="BV114" i="31"/>
  <c r="BW114" i="31"/>
  <c r="BX114" i="31"/>
  <c r="BY114" i="31"/>
  <c r="BZ114" i="31"/>
  <c r="CA114" i="31"/>
  <c r="CB114" i="31"/>
  <c r="CC114" i="31"/>
  <c r="CD114" i="31"/>
  <c r="CE114" i="31"/>
  <c r="CF114" i="31"/>
  <c r="CG114" i="31"/>
  <c r="CH114" i="31"/>
  <c r="CI114" i="31"/>
  <c r="CJ114" i="31"/>
  <c r="CK114" i="31"/>
  <c r="CL114" i="31"/>
  <c r="CM114" i="31"/>
  <c r="CN114" i="31"/>
  <c r="CO114" i="31"/>
  <c r="CP114" i="31"/>
  <c r="CQ114" i="31"/>
  <c r="CR114" i="31"/>
  <c r="CS114" i="31"/>
  <c r="CT114" i="31"/>
  <c r="CU114" i="31"/>
  <c r="CV114" i="31"/>
  <c r="CW114" i="31"/>
  <c r="CX114" i="31"/>
  <c r="CY114" i="31"/>
  <c r="CZ114" i="31"/>
  <c r="DA114" i="31"/>
  <c r="DB114" i="31"/>
  <c r="DC114" i="31"/>
  <c r="DD114" i="31"/>
  <c r="DE114" i="31"/>
  <c r="DF114" i="31"/>
  <c r="DG114" i="31"/>
  <c r="DH114" i="31"/>
  <c r="DI114" i="31"/>
  <c r="DJ114" i="31"/>
  <c r="DK114" i="31"/>
  <c r="DL114" i="31"/>
  <c r="DM114" i="31"/>
  <c r="DN114" i="31"/>
  <c r="DO114" i="31"/>
  <c r="DP114" i="31"/>
  <c r="DQ114" i="31"/>
  <c r="DR114" i="31"/>
  <c r="DS114" i="31"/>
  <c r="DT114" i="31"/>
  <c r="DU114" i="31"/>
  <c r="DV114" i="31"/>
  <c r="DW114" i="31"/>
  <c r="DX114" i="31"/>
  <c r="DY114" i="31"/>
  <c r="DZ114" i="31"/>
  <c r="EA114" i="31"/>
  <c r="K118" i="31"/>
  <c r="L118" i="31"/>
  <c r="M118" i="31"/>
  <c r="N118" i="31"/>
  <c r="O118" i="31"/>
  <c r="P118" i="31"/>
  <c r="Q118" i="31"/>
  <c r="R118" i="31"/>
  <c r="S118" i="31"/>
  <c r="T118" i="31"/>
  <c r="U118" i="31"/>
  <c r="V118" i="31"/>
  <c r="W118" i="31"/>
  <c r="X118" i="31"/>
  <c r="Y118" i="31"/>
  <c r="Z118" i="31"/>
  <c r="AA118" i="31"/>
  <c r="AB118" i="31"/>
  <c r="AC118" i="31"/>
  <c r="AD118" i="31"/>
  <c r="AE118" i="31"/>
  <c r="AF118" i="31"/>
  <c r="AG118" i="31"/>
  <c r="AH118" i="31"/>
  <c r="AI118" i="31"/>
  <c r="AJ118" i="31"/>
  <c r="AK118" i="31"/>
  <c r="AL118" i="31"/>
  <c r="AM118" i="31"/>
  <c r="AN118" i="31"/>
  <c r="AO118" i="31"/>
  <c r="AP118" i="31"/>
  <c r="AQ118" i="31"/>
  <c r="AR118" i="31"/>
  <c r="AS118" i="31"/>
  <c r="AT118" i="31"/>
  <c r="AU118" i="31"/>
  <c r="AV118" i="31"/>
  <c r="AW118" i="31"/>
  <c r="AX118" i="31"/>
  <c r="AY118" i="31"/>
  <c r="AZ118" i="31"/>
  <c r="BA118" i="31"/>
  <c r="BB118" i="31"/>
  <c r="BC118" i="31"/>
  <c r="BD118" i="31"/>
  <c r="BE118" i="31"/>
  <c r="BF118" i="31"/>
  <c r="BG118" i="31"/>
  <c r="BH118" i="31"/>
  <c r="BI118" i="31"/>
  <c r="BJ118" i="31"/>
  <c r="BK118" i="31"/>
  <c r="BL118" i="31"/>
  <c r="BM118" i="31"/>
  <c r="BN118" i="31"/>
  <c r="BO118" i="31"/>
  <c r="BP118" i="31"/>
  <c r="BQ118" i="31"/>
  <c r="BR118" i="31"/>
  <c r="BS118" i="31"/>
  <c r="BT118" i="31"/>
  <c r="BU118" i="31"/>
  <c r="BV118" i="31"/>
  <c r="BW118" i="31"/>
  <c r="BX118" i="31"/>
  <c r="BY118" i="31"/>
  <c r="BZ118" i="31"/>
  <c r="CA118" i="31"/>
  <c r="CB118" i="31"/>
  <c r="CC118" i="31"/>
  <c r="CD118" i="31"/>
  <c r="CE118" i="31"/>
  <c r="CF118" i="31"/>
  <c r="CG118" i="31"/>
  <c r="CH118" i="31"/>
  <c r="CI118" i="31"/>
  <c r="CJ118" i="31"/>
  <c r="CK118" i="31"/>
  <c r="CL118" i="31"/>
  <c r="CM118" i="31"/>
  <c r="CN118" i="31"/>
  <c r="CO118" i="31"/>
  <c r="CP118" i="31"/>
  <c r="CQ118" i="31"/>
  <c r="CR118" i="31"/>
  <c r="CS118" i="31"/>
  <c r="CT118" i="31"/>
  <c r="CU118" i="31"/>
  <c r="CV118" i="31"/>
  <c r="CW118" i="31"/>
  <c r="CX118" i="31"/>
  <c r="CY118" i="31"/>
  <c r="CZ118" i="31"/>
  <c r="DA118" i="31"/>
  <c r="DB118" i="31"/>
  <c r="DC118" i="31"/>
  <c r="DD118" i="31"/>
  <c r="DE118" i="31"/>
  <c r="DF118" i="31"/>
  <c r="DG118" i="31"/>
  <c r="DH118" i="31"/>
  <c r="DI118" i="31"/>
  <c r="DJ118" i="31"/>
  <c r="DK118" i="31"/>
  <c r="DL118" i="31"/>
  <c r="DM118" i="31"/>
  <c r="DN118" i="31"/>
  <c r="DO118" i="31"/>
  <c r="DP118" i="31"/>
  <c r="DQ118" i="31"/>
  <c r="DR118" i="31"/>
  <c r="DS118" i="31"/>
  <c r="DT118" i="31"/>
  <c r="DU118" i="31"/>
  <c r="DV118" i="31"/>
  <c r="DW118" i="31"/>
  <c r="DX118" i="31"/>
  <c r="DY118" i="31"/>
  <c r="DZ118" i="31"/>
  <c r="EA118" i="31"/>
  <c r="K119" i="31"/>
  <c r="L119" i="31"/>
  <c r="M119" i="31"/>
  <c r="N119" i="31"/>
  <c r="O119" i="31"/>
  <c r="P119" i="31"/>
  <c r="Q119" i="31"/>
  <c r="R119" i="31"/>
  <c r="S119" i="31"/>
  <c r="T119" i="31"/>
  <c r="U119" i="31"/>
  <c r="V119" i="31"/>
  <c r="W119" i="31"/>
  <c r="X119" i="31"/>
  <c r="Y119" i="31"/>
  <c r="Z119" i="31"/>
  <c r="AA119" i="31"/>
  <c r="AB119" i="31"/>
  <c r="AC119" i="31"/>
  <c r="AD119" i="31"/>
  <c r="AE119" i="31"/>
  <c r="AF119" i="31"/>
  <c r="AG119" i="31"/>
  <c r="AH119" i="31"/>
  <c r="AI119" i="31"/>
  <c r="AJ119" i="31"/>
  <c r="AK119" i="31"/>
  <c r="AL119" i="31"/>
  <c r="AM119" i="31"/>
  <c r="AN119" i="31"/>
  <c r="AO119" i="31"/>
  <c r="AP119" i="31"/>
  <c r="AQ119" i="31"/>
  <c r="AR119" i="31"/>
  <c r="AS119" i="31"/>
  <c r="AT119" i="31"/>
  <c r="AU119" i="31"/>
  <c r="AV119" i="31"/>
  <c r="AW119" i="31"/>
  <c r="AX119" i="31"/>
  <c r="AY119" i="31"/>
  <c r="AZ119" i="31"/>
  <c r="BA119" i="31"/>
  <c r="BB119" i="31"/>
  <c r="BC119" i="31"/>
  <c r="BD119" i="31"/>
  <c r="BE119" i="31"/>
  <c r="BF119" i="31"/>
  <c r="BG119" i="31"/>
  <c r="BH119" i="31"/>
  <c r="BI119" i="31"/>
  <c r="BJ119" i="31"/>
  <c r="BK119" i="31"/>
  <c r="BL119" i="31"/>
  <c r="BM119" i="31"/>
  <c r="BN119" i="31"/>
  <c r="BO119" i="31"/>
  <c r="BP119" i="31"/>
  <c r="BQ119" i="31"/>
  <c r="BR119" i="31"/>
  <c r="BS119" i="31"/>
  <c r="BT119" i="31"/>
  <c r="BU119" i="31"/>
  <c r="BV119" i="31"/>
  <c r="BW119" i="31"/>
  <c r="BX119" i="31"/>
  <c r="BY119" i="31"/>
  <c r="BZ119" i="31"/>
  <c r="CA119" i="31"/>
  <c r="CB119" i="31"/>
  <c r="CC119" i="31"/>
  <c r="CD119" i="31"/>
  <c r="CE119" i="31"/>
  <c r="CF119" i="31"/>
  <c r="CG119" i="31"/>
  <c r="CH119" i="31"/>
  <c r="CI119" i="31"/>
  <c r="CJ119" i="31"/>
  <c r="CK119" i="31"/>
  <c r="CL119" i="31"/>
  <c r="CM119" i="31"/>
  <c r="CN119" i="31"/>
  <c r="CO119" i="31"/>
  <c r="CP119" i="31"/>
  <c r="CQ119" i="31"/>
  <c r="CR119" i="31"/>
  <c r="CS119" i="31"/>
  <c r="CT119" i="31"/>
  <c r="CU119" i="31"/>
  <c r="CV119" i="31"/>
  <c r="CW119" i="31"/>
  <c r="CX119" i="31"/>
  <c r="CY119" i="31"/>
  <c r="CZ119" i="31"/>
  <c r="DA119" i="31"/>
  <c r="DB119" i="31"/>
  <c r="DC119" i="31"/>
  <c r="DD119" i="31"/>
  <c r="DE119" i="31"/>
  <c r="DF119" i="31"/>
  <c r="DG119" i="31"/>
  <c r="DH119" i="31"/>
  <c r="DI119" i="31"/>
  <c r="DJ119" i="31"/>
  <c r="DK119" i="31"/>
  <c r="DL119" i="31"/>
  <c r="DM119" i="31"/>
  <c r="DN119" i="31"/>
  <c r="DO119" i="31"/>
  <c r="DP119" i="31"/>
  <c r="DQ119" i="31"/>
  <c r="DR119" i="31"/>
  <c r="DS119" i="31"/>
  <c r="DT119" i="31"/>
  <c r="DU119" i="31"/>
  <c r="DV119" i="31"/>
  <c r="DW119" i="31"/>
  <c r="DX119" i="31"/>
  <c r="DY119" i="31"/>
  <c r="DZ119" i="31"/>
  <c r="EA119" i="31"/>
  <c r="K120" i="31"/>
  <c r="L120" i="31"/>
  <c r="M120" i="31"/>
  <c r="N120" i="31"/>
  <c r="O120" i="31"/>
  <c r="P120" i="31"/>
  <c r="Q120" i="31"/>
  <c r="R120" i="31"/>
  <c r="S120" i="31"/>
  <c r="T120" i="31"/>
  <c r="U120" i="31"/>
  <c r="V120" i="31"/>
  <c r="W120" i="31"/>
  <c r="X120" i="31"/>
  <c r="Y120" i="31"/>
  <c r="Z120" i="31"/>
  <c r="AA120" i="31"/>
  <c r="AB120" i="31"/>
  <c r="AC120" i="31"/>
  <c r="AD120" i="31"/>
  <c r="AE120" i="31"/>
  <c r="AF120" i="31"/>
  <c r="AG120" i="31"/>
  <c r="AH120" i="31"/>
  <c r="AI120" i="31"/>
  <c r="AJ120" i="31"/>
  <c r="AK120" i="31"/>
  <c r="AL120" i="31"/>
  <c r="AM120" i="31"/>
  <c r="AN120" i="31"/>
  <c r="AO120" i="31"/>
  <c r="AP120" i="31"/>
  <c r="AQ120" i="31"/>
  <c r="AR120" i="31"/>
  <c r="AS120" i="31"/>
  <c r="AT120" i="31"/>
  <c r="AU120" i="31"/>
  <c r="AV120" i="31"/>
  <c r="AW120" i="31"/>
  <c r="AX120" i="31"/>
  <c r="AY120" i="31"/>
  <c r="AZ120" i="31"/>
  <c r="BA120" i="31"/>
  <c r="BB120" i="31"/>
  <c r="BC120" i="31"/>
  <c r="BD120" i="31"/>
  <c r="BE120" i="31"/>
  <c r="BF120" i="31"/>
  <c r="BG120" i="31"/>
  <c r="BH120" i="31"/>
  <c r="BI120" i="31"/>
  <c r="BJ120" i="31"/>
  <c r="BK120" i="31"/>
  <c r="BL120" i="31"/>
  <c r="BM120" i="31"/>
  <c r="BN120" i="31"/>
  <c r="BO120" i="31"/>
  <c r="BP120" i="31"/>
  <c r="BQ120" i="31"/>
  <c r="BR120" i="31"/>
  <c r="BS120" i="31"/>
  <c r="BT120" i="31"/>
  <c r="BU120" i="31"/>
  <c r="BV120" i="31"/>
  <c r="BW120" i="31"/>
  <c r="BX120" i="31"/>
  <c r="BY120" i="31"/>
  <c r="BZ120" i="31"/>
  <c r="CA120" i="31"/>
  <c r="CB120" i="31"/>
  <c r="CC120" i="31"/>
  <c r="CD120" i="31"/>
  <c r="CE120" i="31"/>
  <c r="CF120" i="31"/>
  <c r="CG120" i="31"/>
  <c r="CH120" i="31"/>
  <c r="CI120" i="31"/>
  <c r="CJ120" i="31"/>
  <c r="CK120" i="31"/>
  <c r="CL120" i="31"/>
  <c r="CM120" i="31"/>
  <c r="CN120" i="31"/>
  <c r="CO120" i="31"/>
  <c r="CP120" i="31"/>
  <c r="CQ120" i="31"/>
  <c r="CR120" i="31"/>
  <c r="CS120" i="31"/>
  <c r="CT120" i="31"/>
  <c r="CU120" i="31"/>
  <c r="CV120" i="31"/>
  <c r="CW120" i="31"/>
  <c r="CX120" i="31"/>
  <c r="CY120" i="31"/>
  <c r="CZ120" i="31"/>
  <c r="DA120" i="31"/>
  <c r="DB120" i="31"/>
  <c r="DC120" i="31"/>
  <c r="DD120" i="31"/>
  <c r="DE120" i="31"/>
  <c r="DF120" i="31"/>
  <c r="DG120" i="31"/>
  <c r="DH120" i="31"/>
  <c r="DI120" i="31"/>
  <c r="DJ120" i="31"/>
  <c r="DK120" i="31"/>
  <c r="DL120" i="31"/>
  <c r="DM120" i="31"/>
  <c r="DN120" i="31"/>
  <c r="DO120" i="31"/>
  <c r="DP120" i="31"/>
  <c r="DQ120" i="31"/>
  <c r="DR120" i="31"/>
  <c r="DS120" i="31"/>
  <c r="DT120" i="31"/>
  <c r="DU120" i="31"/>
  <c r="DV120" i="31"/>
  <c r="DW120" i="31"/>
  <c r="DX120" i="31"/>
  <c r="DY120" i="31"/>
  <c r="DZ120" i="31"/>
  <c r="EA120" i="31"/>
  <c r="I125" i="31"/>
  <c r="K125" i="31"/>
  <c r="L125" i="31"/>
  <c r="M125" i="31"/>
  <c r="N125" i="31"/>
  <c r="O125" i="31"/>
  <c r="P125" i="31"/>
  <c r="Q125" i="31"/>
  <c r="R125" i="31"/>
  <c r="S125" i="31"/>
  <c r="T125" i="31"/>
  <c r="U125" i="31"/>
  <c r="V125" i="31"/>
  <c r="W125" i="31"/>
  <c r="X125" i="31"/>
  <c r="Y125" i="31"/>
  <c r="Z125" i="31"/>
  <c r="AA125" i="31"/>
  <c r="AB125" i="31"/>
  <c r="AC125" i="31"/>
  <c r="AD125" i="31"/>
  <c r="AE125" i="31"/>
  <c r="AF125" i="31"/>
  <c r="AG125" i="31"/>
  <c r="AH125" i="31"/>
  <c r="AI125" i="31"/>
  <c r="AJ125" i="31"/>
  <c r="AK125" i="31"/>
  <c r="AL125" i="31"/>
  <c r="AM125" i="31"/>
  <c r="AN125" i="31"/>
  <c r="AO125" i="31"/>
  <c r="AP125" i="31"/>
  <c r="AQ125" i="31"/>
  <c r="AR125" i="31"/>
  <c r="AS125" i="31"/>
  <c r="AT125" i="31"/>
  <c r="AU125" i="31"/>
  <c r="AV125" i="31"/>
  <c r="AW125" i="31"/>
  <c r="AX125" i="31"/>
  <c r="AY125" i="31"/>
  <c r="AZ125" i="31"/>
  <c r="BA125" i="31"/>
  <c r="BB125" i="31"/>
  <c r="BC125" i="31"/>
  <c r="BD125" i="31"/>
  <c r="BE125" i="31"/>
  <c r="BF125" i="31"/>
  <c r="BG125" i="31"/>
  <c r="BH125" i="31"/>
  <c r="BI125" i="31"/>
  <c r="BJ125" i="31"/>
  <c r="BK125" i="31"/>
  <c r="BL125" i="31"/>
  <c r="BM125" i="31"/>
  <c r="BN125" i="31"/>
  <c r="BO125" i="31"/>
  <c r="BP125" i="31"/>
  <c r="BQ125" i="31"/>
  <c r="BR125" i="31"/>
  <c r="BS125" i="31"/>
  <c r="BT125" i="31"/>
  <c r="BU125" i="31"/>
  <c r="BV125" i="31"/>
  <c r="BW125" i="31"/>
  <c r="BX125" i="31"/>
  <c r="BY125" i="31"/>
  <c r="BZ125" i="31"/>
  <c r="CA125" i="31"/>
  <c r="CB125" i="31"/>
  <c r="CC125" i="31"/>
  <c r="CD125" i="31"/>
  <c r="CE125" i="31"/>
  <c r="CF125" i="31"/>
  <c r="CG125" i="31"/>
  <c r="CH125" i="31"/>
  <c r="CI125" i="31"/>
  <c r="CJ125" i="31"/>
  <c r="CK125" i="31"/>
  <c r="CL125" i="31"/>
  <c r="CM125" i="31"/>
  <c r="CN125" i="31"/>
  <c r="CO125" i="31"/>
  <c r="CP125" i="31"/>
  <c r="CQ125" i="31"/>
  <c r="CR125" i="31"/>
  <c r="CS125" i="31"/>
  <c r="CT125" i="31"/>
  <c r="CU125" i="31"/>
  <c r="CV125" i="31"/>
  <c r="CW125" i="31"/>
  <c r="CX125" i="31"/>
  <c r="CY125" i="31"/>
  <c r="CZ125" i="31"/>
  <c r="DA125" i="31"/>
  <c r="DB125" i="31"/>
  <c r="DC125" i="31"/>
  <c r="DD125" i="31"/>
  <c r="DE125" i="31"/>
  <c r="DF125" i="31"/>
  <c r="DG125" i="31"/>
  <c r="DH125" i="31"/>
  <c r="DI125" i="31"/>
  <c r="DJ125" i="31"/>
  <c r="DK125" i="31"/>
  <c r="DL125" i="31"/>
  <c r="DM125" i="31"/>
  <c r="DN125" i="31"/>
  <c r="DO125" i="31"/>
  <c r="DP125" i="31"/>
  <c r="DQ125" i="31"/>
  <c r="DR125" i="31"/>
  <c r="DS125" i="31"/>
  <c r="DT125" i="31"/>
  <c r="DU125" i="31"/>
  <c r="DV125" i="31"/>
  <c r="DW125" i="31"/>
  <c r="DX125" i="31"/>
  <c r="DY125" i="31"/>
  <c r="DZ125" i="31"/>
  <c r="EA125" i="31"/>
  <c r="I126" i="31"/>
  <c r="K126" i="31"/>
  <c r="I127" i="31"/>
  <c r="K127" i="31"/>
  <c r="L127" i="31"/>
  <c r="M127" i="31"/>
  <c r="N127" i="31"/>
  <c r="O127" i="31"/>
  <c r="P127" i="31"/>
  <c r="Q127" i="31"/>
  <c r="R127" i="31"/>
  <c r="S127" i="31"/>
  <c r="T127" i="31"/>
  <c r="U127" i="31"/>
  <c r="V127" i="31"/>
  <c r="W127" i="31"/>
  <c r="X127" i="31"/>
  <c r="Y127" i="31"/>
  <c r="Z127" i="31"/>
  <c r="AA127" i="31"/>
  <c r="AB127" i="31"/>
  <c r="AC127" i="31"/>
  <c r="AD127" i="31"/>
  <c r="AE127" i="31"/>
  <c r="AF127" i="31"/>
  <c r="AG127" i="31"/>
  <c r="AH127" i="31"/>
  <c r="AI127" i="31"/>
  <c r="AJ127" i="31"/>
  <c r="AK127" i="31"/>
  <c r="AL127" i="31"/>
  <c r="AM127" i="31"/>
  <c r="AN127" i="31"/>
  <c r="AO127" i="31"/>
  <c r="AP127" i="31"/>
  <c r="AQ127" i="31"/>
  <c r="AR127" i="31"/>
  <c r="AS127" i="31"/>
  <c r="AT127" i="31"/>
  <c r="AU127" i="31"/>
  <c r="AV127" i="31"/>
  <c r="AW127" i="31"/>
  <c r="AX127" i="31"/>
  <c r="AY127" i="31"/>
  <c r="AZ127" i="31"/>
  <c r="BA127" i="31"/>
  <c r="BB127" i="31"/>
  <c r="BC127" i="31"/>
  <c r="BD127" i="31"/>
  <c r="BE127" i="31"/>
  <c r="BF127" i="31"/>
  <c r="BG127" i="31"/>
  <c r="BH127" i="31"/>
  <c r="BI127" i="31"/>
  <c r="BJ127" i="31"/>
  <c r="BK127" i="31"/>
  <c r="BL127" i="31"/>
  <c r="BM127" i="31"/>
  <c r="BN127" i="31"/>
  <c r="BO127" i="31"/>
  <c r="BP127" i="31"/>
  <c r="BQ127" i="31"/>
  <c r="BR127" i="31"/>
  <c r="BS127" i="31"/>
  <c r="BT127" i="31"/>
  <c r="BU127" i="31"/>
  <c r="BV127" i="31"/>
  <c r="BW127" i="31"/>
  <c r="BX127" i="31"/>
  <c r="BY127" i="31"/>
  <c r="BZ127" i="31"/>
  <c r="CA127" i="31"/>
  <c r="CB127" i="31"/>
  <c r="CC127" i="31"/>
  <c r="CD127" i="31"/>
  <c r="CE127" i="31"/>
  <c r="CF127" i="31"/>
  <c r="CG127" i="31"/>
  <c r="CH127" i="31"/>
  <c r="CI127" i="31"/>
  <c r="CJ127" i="31"/>
  <c r="CK127" i="31"/>
  <c r="CL127" i="31"/>
  <c r="CM127" i="31"/>
  <c r="CN127" i="31"/>
  <c r="CO127" i="31"/>
  <c r="CP127" i="31"/>
  <c r="CQ127" i="31"/>
  <c r="CR127" i="31"/>
  <c r="CS127" i="31"/>
  <c r="CT127" i="31"/>
  <c r="CU127" i="31"/>
  <c r="CV127" i="31"/>
  <c r="CW127" i="31"/>
  <c r="CX127" i="31"/>
  <c r="CY127" i="31"/>
  <c r="CZ127" i="31"/>
  <c r="DA127" i="31"/>
  <c r="DB127" i="31"/>
  <c r="DC127" i="31"/>
  <c r="DD127" i="31"/>
  <c r="DE127" i="31"/>
  <c r="DF127" i="31"/>
  <c r="DG127" i="31"/>
  <c r="DH127" i="31"/>
  <c r="DI127" i="31"/>
  <c r="DJ127" i="31"/>
  <c r="DK127" i="31"/>
  <c r="DL127" i="31"/>
  <c r="DM127" i="31"/>
  <c r="DN127" i="31"/>
  <c r="DO127" i="31"/>
  <c r="DP127" i="31"/>
  <c r="DQ127" i="31"/>
  <c r="DR127" i="31"/>
  <c r="DS127" i="31"/>
  <c r="DT127" i="31"/>
  <c r="DU127" i="31"/>
  <c r="DV127" i="31"/>
  <c r="DW127" i="31"/>
  <c r="DX127" i="31"/>
  <c r="DY127" i="31"/>
  <c r="DZ127" i="31"/>
  <c r="EA127" i="31"/>
  <c r="H128" i="31"/>
  <c r="H129" i="31"/>
  <c r="I132" i="31"/>
  <c r="K132" i="31"/>
  <c r="L132" i="31"/>
  <c r="M132" i="31"/>
  <c r="N132" i="31"/>
  <c r="O132" i="31"/>
  <c r="P132" i="31"/>
  <c r="Q132" i="31"/>
  <c r="R132" i="31"/>
  <c r="S132" i="31"/>
  <c r="T132" i="31"/>
  <c r="U132" i="31"/>
  <c r="V132" i="31"/>
  <c r="W132" i="31"/>
  <c r="X132" i="31"/>
  <c r="Y132" i="31"/>
  <c r="Z132" i="31"/>
  <c r="AA132" i="31"/>
  <c r="AB132" i="31"/>
  <c r="AC132" i="31"/>
  <c r="AD132" i="31"/>
  <c r="AE132" i="31"/>
  <c r="AF132" i="31"/>
  <c r="AG132" i="31"/>
  <c r="AH132" i="31"/>
  <c r="AI132" i="31"/>
  <c r="AJ132" i="31"/>
  <c r="AK132" i="31"/>
  <c r="AL132" i="31"/>
  <c r="AM132" i="31"/>
  <c r="AN132" i="31"/>
  <c r="AO132" i="31"/>
  <c r="AP132" i="31"/>
  <c r="AQ132" i="31"/>
  <c r="AR132" i="31"/>
  <c r="AS132" i="31"/>
  <c r="AT132" i="31"/>
  <c r="AU132" i="31"/>
  <c r="AV132" i="31"/>
  <c r="AW132" i="31"/>
  <c r="AX132" i="31"/>
  <c r="AY132" i="31"/>
  <c r="AZ132" i="31"/>
  <c r="BA132" i="31"/>
  <c r="BB132" i="31"/>
  <c r="BC132" i="31"/>
  <c r="BD132" i="31"/>
  <c r="BE132" i="31"/>
  <c r="BF132" i="31"/>
  <c r="BG132" i="31"/>
  <c r="BH132" i="31"/>
  <c r="BI132" i="31"/>
  <c r="BJ132" i="31"/>
  <c r="BK132" i="31"/>
  <c r="BL132" i="31"/>
  <c r="BM132" i="31"/>
  <c r="BN132" i="31"/>
  <c r="BO132" i="31"/>
  <c r="BP132" i="31"/>
  <c r="BQ132" i="31"/>
  <c r="BR132" i="31"/>
  <c r="BS132" i="31"/>
  <c r="BT132" i="31"/>
  <c r="BU132" i="31"/>
  <c r="BV132" i="31"/>
  <c r="BW132" i="31"/>
  <c r="BX132" i="31"/>
  <c r="BY132" i="31"/>
  <c r="BZ132" i="31"/>
  <c r="CA132" i="31"/>
  <c r="CB132" i="31"/>
  <c r="CC132" i="31"/>
  <c r="CD132" i="31"/>
  <c r="CE132" i="31"/>
  <c r="CF132" i="31"/>
  <c r="CG132" i="31"/>
  <c r="CH132" i="31"/>
  <c r="CI132" i="31"/>
  <c r="CJ132" i="31"/>
  <c r="CK132" i="31"/>
  <c r="CL132" i="31"/>
  <c r="CM132" i="31"/>
  <c r="CN132" i="31"/>
  <c r="CO132" i="31"/>
  <c r="CP132" i="31"/>
  <c r="CQ132" i="31"/>
  <c r="CR132" i="31"/>
  <c r="CS132" i="31"/>
  <c r="CT132" i="31"/>
  <c r="CU132" i="31"/>
  <c r="CV132" i="31"/>
  <c r="CW132" i="31"/>
  <c r="CX132" i="31"/>
  <c r="CY132" i="31"/>
  <c r="CZ132" i="31"/>
  <c r="DA132" i="31"/>
  <c r="DB132" i="31"/>
  <c r="DC132" i="31"/>
  <c r="DD132" i="31"/>
  <c r="DE132" i="31"/>
  <c r="DF132" i="31"/>
  <c r="DG132" i="31"/>
  <c r="DH132" i="31"/>
  <c r="DI132" i="31"/>
  <c r="DJ132" i="31"/>
  <c r="DK132" i="31"/>
  <c r="DL132" i="31"/>
  <c r="DM132" i="31"/>
  <c r="DN132" i="31"/>
  <c r="DO132" i="31"/>
  <c r="DP132" i="31"/>
  <c r="DQ132" i="31"/>
  <c r="DR132" i="31"/>
  <c r="DS132" i="31"/>
  <c r="DT132" i="31"/>
  <c r="DU132" i="31"/>
  <c r="DV132" i="31"/>
  <c r="DW132" i="31"/>
  <c r="DX132" i="31"/>
  <c r="DY132" i="31"/>
  <c r="DZ132" i="31"/>
  <c r="EA132" i="31"/>
  <c r="I133" i="31"/>
  <c r="K133" i="31"/>
  <c r="I134" i="31"/>
  <c r="K134" i="31"/>
  <c r="L134" i="31"/>
  <c r="M134" i="31"/>
  <c r="N134" i="31"/>
  <c r="O134" i="31"/>
  <c r="P134" i="31"/>
  <c r="Q134" i="31"/>
  <c r="R134" i="31"/>
  <c r="S134" i="31"/>
  <c r="T134" i="31"/>
  <c r="U134" i="31"/>
  <c r="V134" i="31"/>
  <c r="W134" i="31"/>
  <c r="X134" i="31"/>
  <c r="Y134" i="31"/>
  <c r="Z134" i="31"/>
  <c r="AA134" i="31"/>
  <c r="AB134" i="31"/>
  <c r="AC134" i="31"/>
  <c r="AD134" i="31"/>
  <c r="AE134" i="31"/>
  <c r="AF134" i="31"/>
  <c r="AG134" i="31"/>
  <c r="AH134" i="31"/>
  <c r="AI134" i="31"/>
  <c r="AJ134" i="31"/>
  <c r="AK134" i="31"/>
  <c r="AL134" i="31"/>
  <c r="AM134" i="31"/>
  <c r="AN134" i="31"/>
  <c r="AO134" i="31"/>
  <c r="AP134" i="31"/>
  <c r="AQ134" i="31"/>
  <c r="AR134" i="31"/>
  <c r="AS134" i="31"/>
  <c r="AT134" i="31"/>
  <c r="AU134" i="31"/>
  <c r="AV134" i="31"/>
  <c r="AW134" i="31"/>
  <c r="AX134" i="31"/>
  <c r="AY134" i="31"/>
  <c r="AZ134" i="31"/>
  <c r="BA134" i="31"/>
  <c r="BB134" i="31"/>
  <c r="BC134" i="31"/>
  <c r="BD134" i="31"/>
  <c r="BE134" i="31"/>
  <c r="BF134" i="31"/>
  <c r="BG134" i="31"/>
  <c r="BH134" i="31"/>
  <c r="BI134" i="31"/>
  <c r="BJ134" i="31"/>
  <c r="BK134" i="31"/>
  <c r="BL134" i="31"/>
  <c r="BM134" i="31"/>
  <c r="BN134" i="31"/>
  <c r="BO134" i="31"/>
  <c r="BP134" i="31"/>
  <c r="BQ134" i="31"/>
  <c r="BR134" i="31"/>
  <c r="BS134" i="31"/>
  <c r="BT134" i="31"/>
  <c r="BU134" i="31"/>
  <c r="BV134" i="31"/>
  <c r="BW134" i="31"/>
  <c r="BX134" i="31"/>
  <c r="BY134" i="31"/>
  <c r="BZ134" i="31"/>
  <c r="CA134" i="31"/>
  <c r="CB134" i="31"/>
  <c r="CC134" i="31"/>
  <c r="CD134" i="31"/>
  <c r="CE134" i="31"/>
  <c r="CF134" i="31"/>
  <c r="CG134" i="31"/>
  <c r="CH134" i="31"/>
  <c r="CI134" i="31"/>
  <c r="CJ134" i="31"/>
  <c r="CK134" i="31"/>
  <c r="CL134" i="31"/>
  <c r="CM134" i="31"/>
  <c r="CN134" i="31"/>
  <c r="CO134" i="31"/>
  <c r="CP134" i="31"/>
  <c r="CQ134" i="31"/>
  <c r="CR134" i="31"/>
  <c r="CS134" i="31"/>
  <c r="CT134" i="31"/>
  <c r="CU134" i="31"/>
  <c r="CV134" i="31"/>
  <c r="CW134" i="31"/>
  <c r="CX134" i="31"/>
  <c r="CY134" i="31"/>
  <c r="CZ134" i="31"/>
  <c r="DA134" i="31"/>
  <c r="DB134" i="31"/>
  <c r="DC134" i="31"/>
  <c r="DD134" i="31"/>
  <c r="DE134" i="31"/>
  <c r="DF134" i="31"/>
  <c r="DG134" i="31"/>
  <c r="DH134" i="31"/>
  <c r="DI134" i="31"/>
  <c r="DJ134" i="31"/>
  <c r="DK134" i="31"/>
  <c r="DL134" i="31"/>
  <c r="DM134" i="31"/>
  <c r="DN134" i="31"/>
  <c r="DO134" i="31"/>
  <c r="DP134" i="31"/>
  <c r="DQ134" i="31"/>
  <c r="DR134" i="31"/>
  <c r="DS134" i="31"/>
  <c r="DT134" i="31"/>
  <c r="DU134" i="31"/>
  <c r="DV134" i="31"/>
  <c r="DW134" i="31"/>
  <c r="DX134" i="31"/>
  <c r="DY134" i="31"/>
  <c r="DZ134" i="31"/>
  <c r="EA134" i="31"/>
  <c r="H135" i="31"/>
  <c r="H136" i="31"/>
  <c r="C124" i="20"/>
  <c r="D124" i="20"/>
  <c r="C127" i="20"/>
  <c r="D129" i="20"/>
  <c r="C131" i="20"/>
  <c r="C132" i="20"/>
  <c r="C133" i="20"/>
  <c r="D137" i="20"/>
  <c r="D138" i="20"/>
  <c r="D143" i="20"/>
  <c r="D144" i="20"/>
  <c r="C146" i="20"/>
  <c r="C147" i="20"/>
  <c r="C148" i="20"/>
  <c r="C149" i="20"/>
  <c r="C150" i="20"/>
  <c r="C151" i="20"/>
  <c r="C152" i="20"/>
  <c r="C153" i="20"/>
  <c r="C154" i="20"/>
  <c r="C155" i="20"/>
  <c r="I5" i="11"/>
  <c r="I6" i="11"/>
  <c r="M6" i="11"/>
  <c r="H7" i="11"/>
  <c r="I7" i="11"/>
  <c r="M7" i="11"/>
  <c r="C8" i="11"/>
  <c r="H8" i="11"/>
  <c r="I8" i="11"/>
  <c r="M9" i="11"/>
  <c r="M10" i="11"/>
  <c r="I11" i="11"/>
  <c r="I12" i="11"/>
  <c r="H13" i="11"/>
  <c r="I13" i="11"/>
  <c r="H14" i="11"/>
  <c r="I14" i="11"/>
  <c r="C16" i="11"/>
  <c r="C17" i="11"/>
  <c r="I20" i="11"/>
  <c r="C22" i="11"/>
  <c r="C23" i="11"/>
  <c r="L5" i="34"/>
  <c r="C8" i="34"/>
  <c r="D8" i="34"/>
  <c r="E8" i="34"/>
  <c r="F8" i="34"/>
  <c r="D9" i="34"/>
  <c r="E9" i="34"/>
  <c r="F9" i="34"/>
  <c r="M9" i="34"/>
  <c r="N9" i="34"/>
  <c r="O9" i="34"/>
  <c r="P9" i="34"/>
  <c r="Q9" i="34"/>
  <c r="R9" i="34"/>
  <c r="S9" i="34"/>
  <c r="T9" i="34"/>
  <c r="U9" i="34"/>
  <c r="V9" i="34"/>
  <c r="W9" i="34"/>
  <c r="X9" i="34"/>
  <c r="Y9" i="34"/>
  <c r="Z9" i="34"/>
  <c r="AA9" i="34"/>
  <c r="AB9" i="34"/>
  <c r="AC9" i="34"/>
  <c r="AD9" i="34"/>
  <c r="AE9" i="34"/>
  <c r="AF9" i="34"/>
  <c r="AG9" i="34"/>
  <c r="AH9" i="34"/>
  <c r="AI9" i="34"/>
  <c r="AJ9" i="34"/>
  <c r="AK9" i="34"/>
  <c r="AL9" i="34"/>
  <c r="AM9" i="34"/>
  <c r="AN9" i="34"/>
  <c r="AO9" i="34"/>
  <c r="AP9" i="34"/>
  <c r="AQ9" i="34"/>
  <c r="AR9" i="34"/>
  <c r="AS9" i="34"/>
  <c r="AT9" i="34"/>
  <c r="AU9" i="34"/>
  <c r="AV9" i="34"/>
  <c r="AW9" i="34"/>
  <c r="AX9" i="34"/>
  <c r="AY9" i="34"/>
  <c r="AZ9" i="34"/>
  <c r="BA9" i="34"/>
  <c r="BB9" i="34"/>
  <c r="BC9" i="34"/>
  <c r="BD9" i="34"/>
  <c r="BE9" i="34"/>
  <c r="BF9" i="34"/>
  <c r="BG9" i="34"/>
  <c r="BH9" i="34"/>
  <c r="BI9" i="34"/>
  <c r="BJ9" i="34"/>
  <c r="BK9" i="34"/>
  <c r="BL9" i="34"/>
  <c r="BM9" i="34"/>
  <c r="BN9" i="34"/>
  <c r="BO9" i="34"/>
  <c r="BP9" i="34"/>
  <c r="BQ9" i="34"/>
  <c r="BR9" i="34"/>
  <c r="BS9" i="34"/>
  <c r="BT9" i="34"/>
  <c r="BU9" i="34"/>
  <c r="BV9" i="34"/>
  <c r="BW9" i="34"/>
  <c r="BX9" i="34"/>
  <c r="BY9" i="34"/>
  <c r="BZ9" i="34"/>
  <c r="CA9" i="34"/>
  <c r="CB9" i="34"/>
  <c r="CC9" i="34"/>
  <c r="CD9" i="34"/>
  <c r="CE9" i="34"/>
  <c r="CF9" i="34"/>
  <c r="CG9" i="34"/>
  <c r="CH9" i="34"/>
  <c r="CI9" i="34"/>
  <c r="CJ9" i="34"/>
  <c r="CK9" i="34"/>
  <c r="CL9" i="34"/>
  <c r="CM9" i="34"/>
  <c r="CN9" i="34"/>
  <c r="CO9" i="34"/>
  <c r="CP9" i="34"/>
  <c r="CQ9" i="34"/>
  <c r="CR9" i="34"/>
  <c r="CS9" i="34"/>
  <c r="CT9" i="34"/>
  <c r="CU9" i="34"/>
  <c r="CV9" i="34"/>
  <c r="CW9" i="34"/>
  <c r="CX9" i="34"/>
  <c r="CY9" i="34"/>
  <c r="CZ9" i="34"/>
  <c r="DA9" i="34"/>
  <c r="DB9" i="34"/>
  <c r="DC9" i="34"/>
  <c r="DD9" i="34"/>
  <c r="DE9" i="34"/>
  <c r="DF9" i="34"/>
  <c r="DG9" i="34"/>
  <c r="DH9" i="34"/>
  <c r="DI9" i="34"/>
  <c r="DJ9" i="34"/>
  <c r="DK9" i="34"/>
  <c r="DL9" i="34"/>
  <c r="DM9" i="34"/>
  <c r="DN9" i="34"/>
  <c r="DO9" i="34"/>
  <c r="DP9" i="34"/>
  <c r="DQ9" i="34"/>
  <c r="DR9" i="34"/>
  <c r="DS9" i="34"/>
  <c r="DT9" i="34"/>
  <c r="DU9" i="34"/>
  <c r="DV9" i="34"/>
  <c r="DW9" i="34"/>
  <c r="DX9" i="34"/>
  <c r="DY9" i="34"/>
  <c r="DZ9" i="34"/>
  <c r="EA9" i="34"/>
  <c r="EB9" i="34"/>
  <c r="D10" i="34"/>
  <c r="E10" i="34"/>
  <c r="F10" i="34"/>
  <c r="M10" i="34"/>
  <c r="N10" i="34"/>
  <c r="O10" i="34"/>
  <c r="P10" i="34"/>
  <c r="Q10" i="34"/>
  <c r="R10" i="34"/>
  <c r="S10" i="34"/>
  <c r="T10" i="34"/>
  <c r="U10" i="34"/>
  <c r="V10" i="34"/>
  <c r="W10" i="34"/>
  <c r="X10" i="34"/>
  <c r="Y10" i="34"/>
  <c r="Z10" i="34"/>
  <c r="AA10" i="34"/>
  <c r="AB10" i="34"/>
  <c r="AC10" i="34"/>
  <c r="AD10" i="34"/>
  <c r="AE10" i="34"/>
  <c r="AF10" i="34"/>
  <c r="AG10" i="34"/>
  <c r="AH10" i="34"/>
  <c r="AI10" i="34"/>
  <c r="AJ10" i="34"/>
  <c r="AK10" i="34"/>
  <c r="AL10" i="34"/>
  <c r="AM10" i="34"/>
  <c r="AN10" i="34"/>
  <c r="AO10" i="34"/>
  <c r="AP10" i="34"/>
  <c r="AQ10" i="34"/>
  <c r="AR10" i="34"/>
  <c r="AS10" i="34"/>
  <c r="AT10" i="34"/>
  <c r="AU10" i="34"/>
  <c r="AV10" i="34"/>
  <c r="AW10" i="34"/>
  <c r="AX10" i="34"/>
  <c r="AY10" i="34"/>
  <c r="AZ10" i="34"/>
  <c r="BA10" i="34"/>
  <c r="BB10" i="34"/>
  <c r="BC10" i="34"/>
  <c r="BD10" i="34"/>
  <c r="BE10" i="34"/>
  <c r="BF10" i="34"/>
  <c r="BG10" i="34"/>
  <c r="BH10" i="34"/>
  <c r="BI10" i="34"/>
  <c r="BJ10" i="34"/>
  <c r="BK10" i="34"/>
  <c r="BL10" i="34"/>
  <c r="BM10" i="34"/>
  <c r="BN10" i="34"/>
  <c r="BO10" i="34"/>
  <c r="BP10" i="34"/>
  <c r="BQ10" i="34"/>
  <c r="BR10" i="34"/>
  <c r="BS10" i="34"/>
  <c r="BT10" i="34"/>
  <c r="BU10" i="34"/>
  <c r="BV10" i="34"/>
  <c r="BW10" i="34"/>
  <c r="BX10" i="34"/>
  <c r="BY10" i="34"/>
  <c r="BZ10" i="34"/>
  <c r="CA10" i="34"/>
  <c r="CB10" i="34"/>
  <c r="CC10" i="34"/>
  <c r="CD10" i="34"/>
  <c r="CE10" i="34"/>
  <c r="CF10" i="34"/>
  <c r="CG10" i="34"/>
  <c r="CH10" i="34"/>
  <c r="CI10" i="34"/>
  <c r="CJ10" i="34"/>
  <c r="CK10" i="34"/>
  <c r="CL10" i="34"/>
  <c r="CM10" i="34"/>
  <c r="CN10" i="34"/>
  <c r="CO10" i="34"/>
  <c r="CP10" i="34"/>
  <c r="CQ10" i="34"/>
  <c r="CR10" i="34"/>
  <c r="CS10" i="34"/>
  <c r="CT10" i="34"/>
  <c r="CU10" i="34"/>
  <c r="CV10" i="34"/>
  <c r="CW10" i="34"/>
  <c r="CX10" i="34"/>
  <c r="CY10" i="34"/>
  <c r="CZ10" i="34"/>
  <c r="DA10" i="34"/>
  <c r="DB10" i="34"/>
  <c r="DC10" i="34"/>
  <c r="DD10" i="34"/>
  <c r="DE10" i="34"/>
  <c r="DF10" i="34"/>
  <c r="DG10" i="34"/>
  <c r="DH10" i="34"/>
  <c r="DI10" i="34"/>
  <c r="DJ10" i="34"/>
  <c r="DK10" i="34"/>
  <c r="DL10" i="34"/>
  <c r="DM10" i="34"/>
  <c r="DN10" i="34"/>
  <c r="DO10" i="34"/>
  <c r="DP10" i="34"/>
  <c r="DQ10" i="34"/>
  <c r="DR10" i="34"/>
  <c r="DS10" i="34"/>
  <c r="DT10" i="34"/>
  <c r="DU10" i="34"/>
  <c r="DV10" i="34"/>
  <c r="DW10" i="34"/>
  <c r="DX10" i="34"/>
  <c r="DY10" i="34"/>
  <c r="DZ10" i="34"/>
  <c r="EA10" i="34"/>
  <c r="EB10" i="34"/>
  <c r="L11" i="34"/>
  <c r="L12" i="34"/>
  <c r="M12" i="34"/>
  <c r="N12" i="34"/>
  <c r="O12" i="34"/>
  <c r="P12" i="34"/>
  <c r="Q12" i="34"/>
  <c r="R12" i="34"/>
  <c r="S12" i="34"/>
  <c r="T12" i="34"/>
  <c r="U12" i="34"/>
  <c r="V12" i="34"/>
  <c r="W12" i="34"/>
  <c r="X12" i="34"/>
  <c r="Y12" i="34"/>
  <c r="Z12" i="34"/>
  <c r="AA12" i="34"/>
  <c r="AB12" i="34"/>
  <c r="AC12" i="34"/>
  <c r="AD12" i="34"/>
  <c r="AE12" i="34"/>
  <c r="AF12" i="34"/>
  <c r="AG12" i="34"/>
  <c r="AH12" i="34"/>
  <c r="AI12" i="34"/>
  <c r="AJ12" i="34"/>
  <c r="AK12" i="34"/>
  <c r="AL12" i="34"/>
  <c r="AM12" i="34"/>
  <c r="AN12" i="34"/>
  <c r="AO12" i="34"/>
  <c r="AP12" i="34"/>
  <c r="AQ12" i="34"/>
  <c r="AR12" i="34"/>
  <c r="AS12" i="34"/>
  <c r="AT12" i="34"/>
  <c r="AU12" i="34"/>
  <c r="AV12" i="34"/>
  <c r="AW12" i="34"/>
  <c r="AX12" i="34"/>
  <c r="AY12" i="34"/>
  <c r="AZ12" i="34"/>
  <c r="BA12" i="34"/>
  <c r="BB12" i="34"/>
  <c r="BC12" i="34"/>
  <c r="BD12" i="34"/>
  <c r="BE12" i="34"/>
  <c r="BF12" i="34"/>
  <c r="BG12" i="34"/>
  <c r="BH12" i="34"/>
  <c r="BI12" i="34"/>
  <c r="BJ12" i="34"/>
  <c r="BK12" i="34"/>
  <c r="BL12" i="34"/>
  <c r="BM12" i="34"/>
  <c r="BN12" i="34"/>
  <c r="BO12" i="34"/>
  <c r="BP12" i="34"/>
  <c r="BQ12" i="34"/>
  <c r="BR12" i="34"/>
  <c r="BS12" i="34"/>
  <c r="BT12" i="34"/>
  <c r="BU12" i="34"/>
  <c r="BV12" i="34"/>
  <c r="BW12" i="34"/>
  <c r="BX12" i="34"/>
  <c r="BY12" i="34"/>
  <c r="BZ12" i="34"/>
  <c r="CA12" i="34"/>
  <c r="CB12" i="34"/>
  <c r="CC12" i="34"/>
  <c r="CD12" i="34"/>
  <c r="CE12" i="34"/>
  <c r="CF12" i="34"/>
  <c r="CG12" i="34"/>
  <c r="CH12" i="34"/>
  <c r="CI12" i="34"/>
  <c r="CJ12" i="34"/>
  <c r="CK12" i="34"/>
  <c r="CL12" i="34"/>
  <c r="CM12" i="34"/>
  <c r="CN12" i="34"/>
  <c r="CO12" i="34"/>
  <c r="CP12" i="34"/>
  <c r="CQ12" i="34"/>
  <c r="CR12" i="34"/>
  <c r="CS12" i="34"/>
  <c r="CT12" i="34"/>
  <c r="CU12" i="34"/>
  <c r="CV12" i="34"/>
  <c r="CW12" i="34"/>
  <c r="CX12" i="34"/>
  <c r="CY12" i="34"/>
  <c r="CZ12" i="34"/>
  <c r="DA12" i="34"/>
  <c r="DB12" i="34"/>
  <c r="DC12" i="34"/>
  <c r="DD12" i="34"/>
  <c r="DE12" i="34"/>
  <c r="DF12" i="34"/>
  <c r="DG12" i="34"/>
  <c r="DH12" i="34"/>
  <c r="DI12" i="34"/>
  <c r="DJ12" i="34"/>
  <c r="DK12" i="34"/>
  <c r="DL12" i="34"/>
  <c r="DM12" i="34"/>
  <c r="DN12" i="34"/>
  <c r="DO12" i="34"/>
  <c r="DP12" i="34"/>
  <c r="DQ12" i="34"/>
  <c r="DR12" i="34"/>
  <c r="DS12" i="34"/>
  <c r="DT12" i="34"/>
  <c r="DU12" i="34"/>
  <c r="DV12" i="34"/>
  <c r="DW12" i="34"/>
  <c r="DX12" i="34"/>
  <c r="DY12" i="34"/>
  <c r="DZ12" i="34"/>
  <c r="EA12" i="34"/>
  <c r="EB12" i="34"/>
  <c r="L13" i="34"/>
  <c r="M13" i="34"/>
  <c r="N13" i="34"/>
  <c r="O13" i="34"/>
  <c r="P13" i="34"/>
  <c r="Q13" i="34"/>
  <c r="R13" i="34"/>
  <c r="S13" i="34"/>
  <c r="T13" i="34"/>
  <c r="U13" i="34"/>
  <c r="V13" i="34"/>
  <c r="W13" i="34"/>
  <c r="X13" i="34"/>
  <c r="Y13" i="34"/>
  <c r="Z13" i="34"/>
  <c r="AA13" i="34"/>
  <c r="AB13" i="34"/>
  <c r="AC13" i="34"/>
  <c r="AD13" i="34"/>
  <c r="AE13" i="34"/>
  <c r="AF13" i="34"/>
  <c r="AG13" i="34"/>
  <c r="AH13" i="34"/>
  <c r="AI13" i="34"/>
  <c r="AJ13" i="34"/>
  <c r="AK13" i="34"/>
  <c r="AL13" i="34"/>
  <c r="AM13" i="34"/>
  <c r="AN13" i="34"/>
  <c r="AO13" i="34"/>
  <c r="AP13" i="34"/>
  <c r="AQ13" i="34"/>
  <c r="AR13" i="34"/>
  <c r="AS13" i="34"/>
  <c r="AT13" i="34"/>
  <c r="AU13" i="34"/>
  <c r="AV13" i="34"/>
  <c r="AW13" i="34"/>
  <c r="AX13" i="34"/>
  <c r="AY13" i="34"/>
  <c r="AZ13" i="34"/>
  <c r="BA13" i="34"/>
  <c r="BB13" i="34"/>
  <c r="BC13" i="34"/>
  <c r="BD13" i="34"/>
  <c r="BE13" i="34"/>
  <c r="BF13" i="34"/>
  <c r="BG13" i="34"/>
  <c r="BH13" i="34"/>
  <c r="BI13" i="34"/>
  <c r="BJ13" i="34"/>
  <c r="BK13" i="34"/>
  <c r="BL13" i="34"/>
  <c r="BM13" i="34"/>
  <c r="BN13" i="34"/>
  <c r="BO13" i="34"/>
  <c r="BP13" i="34"/>
  <c r="BQ13" i="34"/>
  <c r="BR13" i="34"/>
  <c r="BS13" i="34"/>
  <c r="BT13" i="34"/>
  <c r="BU13" i="34"/>
  <c r="BV13" i="34"/>
  <c r="BW13" i="34"/>
  <c r="BX13" i="34"/>
  <c r="BY13" i="34"/>
  <c r="BZ13" i="34"/>
  <c r="CA13" i="34"/>
  <c r="CB13" i="34"/>
  <c r="CC13" i="34"/>
  <c r="CD13" i="34"/>
  <c r="CE13" i="34"/>
  <c r="CF13" i="34"/>
  <c r="CG13" i="34"/>
  <c r="CH13" i="34"/>
  <c r="CI13" i="34"/>
  <c r="CJ13" i="34"/>
  <c r="CK13" i="34"/>
  <c r="CL13" i="34"/>
  <c r="CM13" i="34"/>
  <c r="CN13" i="34"/>
  <c r="CO13" i="34"/>
  <c r="CP13" i="34"/>
  <c r="CQ13" i="34"/>
  <c r="CR13" i="34"/>
  <c r="CS13" i="34"/>
  <c r="CT13" i="34"/>
  <c r="CU13" i="34"/>
  <c r="CV13" i="34"/>
  <c r="CW13" i="34"/>
  <c r="CX13" i="34"/>
  <c r="CY13" i="34"/>
  <c r="CZ13" i="34"/>
  <c r="DA13" i="34"/>
  <c r="DB13" i="34"/>
  <c r="DC13" i="34"/>
  <c r="DD13" i="34"/>
  <c r="DE13" i="34"/>
  <c r="DF13" i="34"/>
  <c r="DG13" i="34"/>
  <c r="DH13" i="34"/>
  <c r="DI13" i="34"/>
  <c r="DJ13" i="34"/>
  <c r="DK13" i="34"/>
  <c r="DL13" i="34"/>
  <c r="DM13" i="34"/>
  <c r="DN13" i="34"/>
  <c r="DO13" i="34"/>
  <c r="DP13" i="34"/>
  <c r="DQ13" i="34"/>
  <c r="DR13" i="34"/>
  <c r="DS13" i="34"/>
  <c r="DT13" i="34"/>
  <c r="DU13" i="34"/>
  <c r="DV13" i="34"/>
  <c r="DW13" i="34"/>
  <c r="DX13" i="34"/>
  <c r="DY13" i="34"/>
  <c r="DZ13" i="34"/>
  <c r="EA13" i="34"/>
  <c r="EB13" i="34"/>
  <c r="L14" i="34"/>
  <c r="M14" i="34"/>
  <c r="N14" i="34"/>
  <c r="O14" i="34"/>
  <c r="P14" i="34"/>
  <c r="Q14" i="34"/>
  <c r="R14" i="34"/>
  <c r="S14" i="34"/>
  <c r="T14" i="34"/>
  <c r="U14" i="34"/>
  <c r="V14" i="34"/>
  <c r="W14" i="34"/>
  <c r="X14" i="34"/>
  <c r="Y14" i="34"/>
  <c r="Z14" i="34"/>
  <c r="AA14" i="34"/>
  <c r="AB14" i="34"/>
  <c r="AC14" i="34"/>
  <c r="AD14" i="34"/>
  <c r="AE14" i="34"/>
  <c r="AF14" i="34"/>
  <c r="AG14" i="34"/>
  <c r="AH14" i="34"/>
  <c r="AI14" i="34"/>
  <c r="AJ14" i="34"/>
  <c r="AK14" i="34"/>
  <c r="AL14" i="34"/>
  <c r="AM14" i="34"/>
  <c r="AN14" i="34"/>
  <c r="AO14" i="34"/>
  <c r="AP14" i="34"/>
  <c r="AQ14" i="34"/>
  <c r="AR14" i="34"/>
  <c r="AS14" i="34"/>
  <c r="AT14" i="34"/>
  <c r="AU14" i="34"/>
  <c r="AV14" i="34"/>
  <c r="AW14" i="34"/>
  <c r="AX14" i="34"/>
  <c r="AY14" i="34"/>
  <c r="AZ14" i="34"/>
  <c r="BA14" i="34"/>
  <c r="BB14" i="34"/>
  <c r="BC14" i="34"/>
  <c r="BD14" i="34"/>
  <c r="BE14" i="34"/>
  <c r="BF14" i="34"/>
  <c r="BG14" i="34"/>
  <c r="BH14" i="34"/>
  <c r="BI14" i="34"/>
  <c r="BJ14" i="34"/>
  <c r="BK14" i="34"/>
  <c r="BL14" i="34"/>
  <c r="BM14" i="34"/>
  <c r="BN14" i="34"/>
  <c r="BO14" i="34"/>
  <c r="BP14" i="34"/>
  <c r="BQ14" i="34"/>
  <c r="BR14" i="34"/>
  <c r="BS14" i="34"/>
  <c r="BT14" i="34"/>
  <c r="BU14" i="34"/>
  <c r="BV14" i="34"/>
  <c r="BW14" i="34"/>
  <c r="BX14" i="34"/>
  <c r="BY14" i="34"/>
  <c r="BZ14" i="34"/>
  <c r="CA14" i="34"/>
  <c r="CB14" i="34"/>
  <c r="CC14" i="34"/>
  <c r="CD14" i="34"/>
  <c r="CE14" i="34"/>
  <c r="CF14" i="34"/>
  <c r="CG14" i="34"/>
  <c r="CH14" i="34"/>
  <c r="CI14" i="34"/>
  <c r="CJ14" i="34"/>
  <c r="CK14" i="34"/>
  <c r="CL14" i="34"/>
  <c r="CM14" i="34"/>
  <c r="CN14" i="34"/>
  <c r="CO14" i="34"/>
  <c r="CP14" i="34"/>
  <c r="CQ14" i="34"/>
  <c r="CR14" i="34"/>
  <c r="CS14" i="34"/>
  <c r="CT14" i="34"/>
  <c r="CU14" i="34"/>
  <c r="CV14" i="34"/>
  <c r="CW14" i="34"/>
  <c r="CX14" i="34"/>
  <c r="CY14" i="34"/>
  <c r="CZ14" i="34"/>
  <c r="DA14" i="34"/>
  <c r="DB14" i="34"/>
  <c r="DC14" i="34"/>
  <c r="DD14" i="34"/>
  <c r="DE14" i="34"/>
  <c r="DF14" i="34"/>
  <c r="DG14" i="34"/>
  <c r="DH14" i="34"/>
  <c r="DI14" i="34"/>
  <c r="DJ14" i="34"/>
  <c r="DK14" i="34"/>
  <c r="DL14" i="34"/>
  <c r="DM14" i="34"/>
  <c r="DN14" i="34"/>
  <c r="DO14" i="34"/>
  <c r="DP14" i="34"/>
  <c r="DQ14" i="34"/>
  <c r="DR14" i="34"/>
  <c r="DS14" i="34"/>
  <c r="DT14" i="34"/>
  <c r="DU14" i="34"/>
  <c r="DV14" i="34"/>
  <c r="DW14" i="34"/>
  <c r="DX14" i="34"/>
  <c r="DY14" i="34"/>
  <c r="DZ14" i="34"/>
  <c r="EA14" i="34"/>
  <c r="EB14" i="34"/>
  <c r="J15" i="34"/>
  <c r="J16" i="34"/>
  <c r="L18" i="34"/>
  <c r="L19" i="34"/>
  <c r="M19" i="34"/>
  <c r="N19" i="34"/>
  <c r="O19" i="34"/>
  <c r="P19" i="34"/>
  <c r="Q19" i="34"/>
  <c r="R19" i="34"/>
  <c r="S19" i="34"/>
  <c r="T19" i="34"/>
  <c r="U19" i="34"/>
  <c r="V19" i="34"/>
  <c r="W19" i="34"/>
  <c r="X19" i="34"/>
  <c r="Y19" i="34"/>
  <c r="Z19" i="34"/>
  <c r="AA19" i="34"/>
  <c r="AB19" i="34"/>
  <c r="AC19" i="34"/>
  <c r="AD19" i="34"/>
  <c r="AE19" i="34"/>
  <c r="AF19" i="34"/>
  <c r="AG19" i="34"/>
  <c r="AH19" i="34"/>
  <c r="AI19" i="34"/>
  <c r="AJ19" i="34"/>
  <c r="AK19" i="34"/>
  <c r="AL19" i="34"/>
  <c r="AM19" i="34"/>
  <c r="AN19" i="34"/>
  <c r="AO19" i="34"/>
  <c r="AP19" i="34"/>
  <c r="AQ19" i="34"/>
  <c r="AR19" i="34"/>
  <c r="AS19" i="34"/>
  <c r="AT19" i="34"/>
  <c r="AU19" i="34"/>
  <c r="AV19" i="34"/>
  <c r="AW19" i="34"/>
  <c r="AX19" i="34"/>
  <c r="AY19" i="34"/>
  <c r="AZ19" i="34"/>
  <c r="BA19" i="34"/>
  <c r="BB19" i="34"/>
  <c r="BC19" i="34"/>
  <c r="BD19" i="34"/>
  <c r="BE19" i="34"/>
  <c r="BF19" i="34"/>
  <c r="BG19" i="34"/>
  <c r="BH19" i="34"/>
  <c r="BI19" i="34"/>
  <c r="BJ19" i="34"/>
  <c r="BK19" i="34"/>
  <c r="BL19" i="34"/>
  <c r="BM19" i="34"/>
  <c r="BN19" i="34"/>
  <c r="BO19" i="34"/>
  <c r="BP19" i="34"/>
  <c r="BQ19" i="34"/>
  <c r="BR19" i="34"/>
  <c r="BS19" i="34"/>
  <c r="BT19" i="34"/>
  <c r="BU19" i="34"/>
  <c r="BV19" i="34"/>
  <c r="BW19" i="34"/>
  <c r="BX19" i="34"/>
  <c r="BY19" i="34"/>
  <c r="BZ19" i="34"/>
  <c r="CA19" i="34"/>
  <c r="CB19" i="34"/>
  <c r="CC19" i="34"/>
  <c r="CD19" i="34"/>
  <c r="CE19" i="34"/>
  <c r="CF19" i="34"/>
  <c r="CG19" i="34"/>
  <c r="CH19" i="34"/>
  <c r="CI19" i="34"/>
  <c r="CJ19" i="34"/>
  <c r="CK19" i="34"/>
  <c r="CL19" i="34"/>
  <c r="CM19" i="34"/>
  <c r="CN19" i="34"/>
  <c r="CO19" i="34"/>
  <c r="CP19" i="34"/>
  <c r="CQ19" i="34"/>
  <c r="CR19" i="34"/>
  <c r="CS19" i="34"/>
  <c r="CT19" i="34"/>
  <c r="CU19" i="34"/>
  <c r="CV19" i="34"/>
  <c r="CW19" i="34"/>
  <c r="CX19" i="34"/>
  <c r="CY19" i="34"/>
  <c r="CZ19" i="34"/>
  <c r="DA19" i="34"/>
  <c r="DB19" i="34"/>
  <c r="DC19" i="34"/>
  <c r="DD19" i="34"/>
  <c r="DE19" i="34"/>
  <c r="DF19" i="34"/>
  <c r="DG19" i="34"/>
  <c r="DH19" i="34"/>
  <c r="DI19" i="34"/>
  <c r="DJ19" i="34"/>
  <c r="DK19" i="34"/>
  <c r="DL19" i="34"/>
  <c r="DM19" i="34"/>
  <c r="DN19" i="34"/>
  <c r="DO19" i="34"/>
  <c r="DP19" i="34"/>
  <c r="DQ19" i="34"/>
  <c r="DR19" i="34"/>
  <c r="DS19" i="34"/>
  <c r="DT19" i="34"/>
  <c r="DU19" i="34"/>
  <c r="DV19" i="34"/>
  <c r="DW19" i="34"/>
  <c r="DX19" i="34"/>
  <c r="DY19" i="34"/>
  <c r="DZ19" i="34"/>
  <c r="EA19" i="34"/>
  <c r="EB19" i="34"/>
  <c r="L20" i="34"/>
  <c r="M20" i="34"/>
  <c r="N20" i="34"/>
  <c r="O20" i="34"/>
  <c r="P20" i="34"/>
  <c r="Q20" i="34"/>
  <c r="R20" i="34"/>
  <c r="S20" i="34"/>
  <c r="T20" i="34"/>
  <c r="U20" i="34"/>
  <c r="V20" i="34"/>
  <c r="W20" i="34"/>
  <c r="X20" i="34"/>
  <c r="Y20" i="34"/>
  <c r="Z20" i="34"/>
  <c r="AA20" i="34"/>
  <c r="AB20" i="34"/>
  <c r="AC20" i="34"/>
  <c r="AD20" i="34"/>
  <c r="AE20" i="34"/>
  <c r="AF20" i="34"/>
  <c r="AG20" i="34"/>
  <c r="AH20" i="34"/>
  <c r="AI20" i="34"/>
  <c r="AJ20" i="34"/>
  <c r="AK20" i="34"/>
  <c r="AL20" i="34"/>
  <c r="AM20" i="34"/>
  <c r="AN20" i="34"/>
  <c r="AO20" i="34"/>
  <c r="AP20" i="34"/>
  <c r="AQ20" i="34"/>
  <c r="AR20" i="34"/>
  <c r="AS20" i="34"/>
  <c r="AT20" i="34"/>
  <c r="AU20" i="34"/>
  <c r="AV20" i="34"/>
  <c r="AW20" i="34"/>
  <c r="AX20" i="34"/>
  <c r="AY20" i="34"/>
  <c r="AZ20" i="34"/>
  <c r="BA20" i="34"/>
  <c r="BB20" i="34"/>
  <c r="BC20" i="34"/>
  <c r="BD20" i="34"/>
  <c r="BE20" i="34"/>
  <c r="BF20" i="34"/>
  <c r="BG20" i="34"/>
  <c r="BH20" i="34"/>
  <c r="BI20" i="34"/>
  <c r="BJ20" i="34"/>
  <c r="BK20" i="34"/>
  <c r="BL20" i="34"/>
  <c r="BM20" i="34"/>
  <c r="BN20" i="34"/>
  <c r="BO20" i="34"/>
  <c r="BP20" i="34"/>
  <c r="BQ20" i="34"/>
  <c r="BR20" i="34"/>
  <c r="BS20" i="34"/>
  <c r="BT20" i="34"/>
  <c r="BU20" i="34"/>
  <c r="BV20" i="34"/>
  <c r="BW20" i="34"/>
  <c r="BX20" i="34"/>
  <c r="BY20" i="34"/>
  <c r="BZ20" i="34"/>
  <c r="CA20" i="34"/>
  <c r="CB20" i="34"/>
  <c r="CC20" i="34"/>
  <c r="CD20" i="34"/>
  <c r="CE20" i="34"/>
  <c r="CF20" i="34"/>
  <c r="CG20" i="34"/>
  <c r="CH20" i="34"/>
  <c r="CI20" i="34"/>
  <c r="CJ20" i="34"/>
  <c r="CK20" i="34"/>
  <c r="CL20" i="34"/>
  <c r="CM20" i="34"/>
  <c r="CN20" i="34"/>
  <c r="CO20" i="34"/>
  <c r="CP20" i="34"/>
  <c r="CQ20" i="34"/>
  <c r="CR20" i="34"/>
  <c r="CS20" i="34"/>
  <c r="CT20" i="34"/>
  <c r="CU20" i="34"/>
  <c r="CV20" i="34"/>
  <c r="CW20" i="34"/>
  <c r="CX20" i="34"/>
  <c r="CY20" i="34"/>
  <c r="CZ20" i="34"/>
  <c r="DA20" i="34"/>
  <c r="DB20" i="34"/>
  <c r="DC20" i="34"/>
  <c r="DD20" i="34"/>
  <c r="DE20" i="34"/>
  <c r="DF20" i="34"/>
  <c r="DG20" i="34"/>
  <c r="DH20" i="34"/>
  <c r="DI20" i="34"/>
  <c r="DJ20" i="34"/>
  <c r="DK20" i="34"/>
  <c r="DL20" i="34"/>
  <c r="DM20" i="34"/>
  <c r="DN20" i="34"/>
  <c r="DO20" i="34"/>
  <c r="DP20" i="34"/>
  <c r="DQ20" i="34"/>
  <c r="DR20" i="34"/>
  <c r="DS20" i="34"/>
  <c r="DT20" i="34"/>
  <c r="DU20" i="34"/>
  <c r="DV20" i="34"/>
  <c r="DW20" i="34"/>
  <c r="DX20" i="34"/>
  <c r="DY20" i="34"/>
  <c r="DZ20" i="34"/>
  <c r="EA20" i="34"/>
  <c r="EB20" i="34"/>
  <c r="J21" i="34"/>
  <c r="D22" i="34"/>
  <c r="D23" i="34"/>
  <c r="L23" i="34"/>
  <c r="M23" i="34"/>
  <c r="N23" i="34"/>
  <c r="O23" i="34"/>
  <c r="P23" i="34"/>
  <c r="Q23" i="34"/>
  <c r="R23" i="34"/>
  <c r="S23" i="34"/>
  <c r="T23" i="34"/>
  <c r="U23" i="34"/>
  <c r="V23" i="34"/>
  <c r="W23" i="34"/>
  <c r="X23" i="34"/>
  <c r="Y23" i="34"/>
  <c r="Z23" i="34"/>
  <c r="AA23" i="34"/>
  <c r="AB23" i="34"/>
  <c r="AC23" i="34"/>
  <c r="AD23" i="34"/>
  <c r="AE23" i="34"/>
  <c r="AF23" i="34"/>
  <c r="AG23" i="34"/>
  <c r="AH23" i="34"/>
  <c r="AI23" i="34"/>
  <c r="AJ23" i="34"/>
  <c r="AK23" i="34"/>
  <c r="AL23" i="34"/>
  <c r="AM23" i="34"/>
  <c r="AN23" i="34"/>
  <c r="AO23" i="34"/>
  <c r="AP23" i="34"/>
  <c r="AQ23" i="34"/>
  <c r="AR23" i="34"/>
  <c r="AS23" i="34"/>
  <c r="AT23" i="34"/>
  <c r="AU23" i="34"/>
  <c r="AV23" i="34"/>
  <c r="AW23" i="34"/>
  <c r="AX23" i="34"/>
  <c r="AY23" i="34"/>
  <c r="AZ23" i="34"/>
  <c r="BA23" i="34"/>
  <c r="BB23" i="34"/>
  <c r="BC23" i="34"/>
  <c r="BD23" i="34"/>
  <c r="BE23" i="34"/>
  <c r="BF23" i="34"/>
  <c r="BG23" i="34"/>
  <c r="BH23" i="34"/>
  <c r="BI23" i="34"/>
  <c r="BJ23" i="34"/>
  <c r="BK23" i="34"/>
  <c r="BL23" i="34"/>
  <c r="BM23" i="34"/>
  <c r="BN23" i="34"/>
  <c r="BO23" i="34"/>
  <c r="BP23" i="34"/>
  <c r="BQ23" i="34"/>
  <c r="BR23" i="34"/>
  <c r="BS23" i="34"/>
  <c r="BT23" i="34"/>
  <c r="BU23" i="34"/>
  <c r="BV23" i="34"/>
  <c r="BW23" i="34"/>
  <c r="BX23" i="34"/>
  <c r="BY23" i="34"/>
  <c r="BZ23" i="34"/>
  <c r="CA23" i="34"/>
  <c r="CB23" i="34"/>
  <c r="CC23" i="34"/>
  <c r="CD23" i="34"/>
  <c r="CE23" i="34"/>
  <c r="CF23" i="34"/>
  <c r="CG23" i="34"/>
  <c r="CH23" i="34"/>
  <c r="CI23" i="34"/>
  <c r="CJ23" i="34"/>
  <c r="CK23" i="34"/>
  <c r="CL23" i="34"/>
  <c r="CM23" i="34"/>
  <c r="CN23" i="34"/>
  <c r="CO23" i="34"/>
  <c r="CP23" i="34"/>
  <c r="CQ23" i="34"/>
  <c r="CR23" i="34"/>
  <c r="CS23" i="34"/>
  <c r="CT23" i="34"/>
  <c r="CU23" i="34"/>
  <c r="CV23" i="34"/>
  <c r="CW23" i="34"/>
  <c r="CX23" i="34"/>
  <c r="CY23" i="34"/>
  <c r="CZ23" i="34"/>
  <c r="DA23" i="34"/>
  <c r="DB23" i="34"/>
  <c r="DC23" i="34"/>
  <c r="DD23" i="34"/>
  <c r="DE23" i="34"/>
  <c r="DF23" i="34"/>
  <c r="DG23" i="34"/>
  <c r="DH23" i="34"/>
  <c r="DI23" i="34"/>
  <c r="DJ23" i="34"/>
  <c r="DK23" i="34"/>
  <c r="DL23" i="34"/>
  <c r="DM23" i="34"/>
  <c r="DN23" i="34"/>
  <c r="DO23" i="34"/>
  <c r="DP23" i="34"/>
  <c r="DQ23" i="34"/>
  <c r="DR23" i="34"/>
  <c r="DS23" i="34"/>
  <c r="DT23" i="34"/>
  <c r="DU23" i="34"/>
  <c r="DV23" i="34"/>
  <c r="DW23" i="34"/>
  <c r="DX23" i="34"/>
  <c r="DY23" i="34"/>
  <c r="DZ23" i="34"/>
  <c r="EA23" i="34"/>
  <c r="EB23" i="34"/>
  <c r="D24" i="34"/>
  <c r="L24" i="34"/>
  <c r="M24" i="34"/>
  <c r="N24" i="34"/>
  <c r="O24" i="34"/>
  <c r="P24" i="34"/>
  <c r="Q24" i="34"/>
  <c r="R24" i="34"/>
  <c r="S24" i="34"/>
  <c r="T24" i="34"/>
  <c r="U24" i="34"/>
  <c r="V24" i="34"/>
  <c r="W24" i="34"/>
  <c r="X24" i="34"/>
  <c r="Y24" i="34"/>
  <c r="Z24" i="34"/>
  <c r="AA24" i="34"/>
  <c r="AB24" i="34"/>
  <c r="AC24" i="34"/>
  <c r="AD24" i="34"/>
  <c r="AE24" i="34"/>
  <c r="AF24" i="34"/>
  <c r="AG24" i="34"/>
  <c r="AH24" i="34"/>
  <c r="AI24" i="34"/>
  <c r="AJ24" i="34"/>
  <c r="AK24" i="34"/>
  <c r="AL24" i="34"/>
  <c r="AM24" i="34"/>
  <c r="AN24" i="34"/>
  <c r="AO24" i="34"/>
  <c r="AP24" i="34"/>
  <c r="AQ24" i="34"/>
  <c r="AR24" i="34"/>
  <c r="AS24" i="34"/>
  <c r="AT24" i="34"/>
  <c r="AU24" i="34"/>
  <c r="AV24" i="34"/>
  <c r="AW24" i="34"/>
  <c r="AX24" i="34"/>
  <c r="AY24" i="34"/>
  <c r="AZ24" i="34"/>
  <c r="BA24" i="34"/>
  <c r="BB24" i="34"/>
  <c r="BC24" i="34"/>
  <c r="BD24" i="34"/>
  <c r="BE24" i="34"/>
  <c r="BF24" i="34"/>
  <c r="BG24" i="34"/>
  <c r="BH24" i="34"/>
  <c r="BI24" i="34"/>
  <c r="BJ24" i="34"/>
  <c r="BK24" i="34"/>
  <c r="BL24" i="34"/>
  <c r="BM24" i="34"/>
  <c r="BN24" i="34"/>
  <c r="BO24" i="34"/>
  <c r="BP24" i="34"/>
  <c r="BQ24" i="34"/>
  <c r="BR24" i="34"/>
  <c r="BS24" i="34"/>
  <c r="BT24" i="34"/>
  <c r="BU24" i="34"/>
  <c r="BV24" i="34"/>
  <c r="BW24" i="34"/>
  <c r="BX24" i="34"/>
  <c r="BY24" i="34"/>
  <c r="BZ24" i="34"/>
  <c r="CA24" i="34"/>
  <c r="CB24" i="34"/>
  <c r="CC24" i="34"/>
  <c r="CD24" i="34"/>
  <c r="CE24" i="34"/>
  <c r="CF24" i="34"/>
  <c r="CG24" i="34"/>
  <c r="CH24" i="34"/>
  <c r="CI24" i="34"/>
  <c r="CJ24" i="34"/>
  <c r="CK24" i="34"/>
  <c r="CL24" i="34"/>
  <c r="CM24" i="34"/>
  <c r="CN24" i="34"/>
  <c r="CO24" i="34"/>
  <c r="CP24" i="34"/>
  <c r="CQ24" i="34"/>
  <c r="CR24" i="34"/>
  <c r="CS24" i="34"/>
  <c r="CT24" i="34"/>
  <c r="CU24" i="34"/>
  <c r="CV24" i="34"/>
  <c r="CW24" i="34"/>
  <c r="CX24" i="34"/>
  <c r="CY24" i="34"/>
  <c r="CZ24" i="34"/>
  <c r="DA24" i="34"/>
  <c r="DB24" i="34"/>
  <c r="DC24" i="34"/>
  <c r="DD24" i="34"/>
  <c r="DE24" i="34"/>
  <c r="DF24" i="34"/>
  <c r="DG24" i="34"/>
  <c r="DH24" i="34"/>
  <c r="DI24" i="34"/>
  <c r="DJ24" i="34"/>
  <c r="DK24" i="34"/>
  <c r="DL24" i="34"/>
  <c r="DM24" i="34"/>
  <c r="DN24" i="34"/>
  <c r="DO24" i="34"/>
  <c r="DP24" i="34"/>
  <c r="DQ24" i="34"/>
  <c r="DR24" i="34"/>
  <c r="DS24" i="34"/>
  <c r="DT24" i="34"/>
  <c r="DU24" i="34"/>
  <c r="DV24" i="34"/>
  <c r="DW24" i="34"/>
  <c r="DX24" i="34"/>
  <c r="DY24" i="34"/>
  <c r="DZ24" i="34"/>
  <c r="EA24" i="34"/>
  <c r="EB24" i="34"/>
  <c r="M28" i="34"/>
  <c r="N28" i="34"/>
  <c r="O28" i="34"/>
  <c r="P28" i="34"/>
  <c r="Q28" i="34"/>
  <c r="R28" i="34"/>
  <c r="S28" i="34"/>
  <c r="T28" i="34"/>
  <c r="U28" i="34"/>
  <c r="V28" i="34"/>
  <c r="W28" i="34"/>
  <c r="X28" i="34"/>
  <c r="Y28" i="34"/>
  <c r="Z28" i="34"/>
  <c r="AA28" i="34"/>
  <c r="AB28" i="34"/>
  <c r="AC28" i="34"/>
  <c r="AD28" i="34"/>
  <c r="AE28" i="34"/>
  <c r="AF28" i="34"/>
  <c r="AG28" i="34"/>
  <c r="AH28" i="34"/>
  <c r="AI28" i="34"/>
  <c r="AJ28" i="34"/>
  <c r="AK28" i="34"/>
  <c r="AL28" i="34"/>
  <c r="AM28" i="34"/>
  <c r="AN28" i="34"/>
  <c r="AO28" i="34"/>
  <c r="AP28" i="34"/>
  <c r="AQ28" i="34"/>
  <c r="AR28" i="34"/>
  <c r="AS28" i="34"/>
  <c r="AT28" i="34"/>
  <c r="AU28" i="34"/>
  <c r="AV28" i="34"/>
  <c r="AW28" i="34"/>
  <c r="AX28" i="34"/>
  <c r="AY28" i="34"/>
  <c r="AZ28" i="34"/>
  <c r="BA28" i="34"/>
  <c r="BB28" i="34"/>
  <c r="BC28" i="34"/>
  <c r="BD28" i="34"/>
  <c r="BE28" i="34"/>
  <c r="BF28" i="34"/>
  <c r="BG28" i="34"/>
  <c r="BH28" i="34"/>
  <c r="BI28" i="34"/>
  <c r="BJ28" i="34"/>
  <c r="BK28" i="34"/>
  <c r="BL28" i="34"/>
  <c r="BM28" i="34"/>
  <c r="BN28" i="34"/>
  <c r="BO28" i="34"/>
  <c r="BP28" i="34"/>
  <c r="BQ28" i="34"/>
  <c r="BR28" i="34"/>
  <c r="BS28" i="34"/>
  <c r="BT28" i="34"/>
  <c r="BU28" i="34"/>
  <c r="BV28" i="34"/>
  <c r="BW28" i="34"/>
  <c r="BX28" i="34"/>
  <c r="BY28" i="34"/>
  <c r="BZ28" i="34"/>
  <c r="CA28" i="34"/>
  <c r="CB28" i="34"/>
  <c r="CC28" i="34"/>
  <c r="CD28" i="34"/>
  <c r="CE28" i="34"/>
  <c r="CF28" i="34"/>
  <c r="CG28" i="34"/>
  <c r="CH28" i="34"/>
  <c r="CI28" i="34"/>
  <c r="CJ28" i="34"/>
  <c r="CK28" i="34"/>
  <c r="CL28" i="34"/>
  <c r="CM28" i="34"/>
  <c r="CN28" i="34"/>
  <c r="CO28" i="34"/>
  <c r="CP28" i="34"/>
  <c r="CQ28" i="34"/>
  <c r="CR28" i="34"/>
  <c r="CS28" i="34"/>
  <c r="CT28" i="34"/>
  <c r="CU28" i="34"/>
  <c r="CV28" i="34"/>
  <c r="CW28" i="34"/>
  <c r="CX28" i="34"/>
  <c r="CY28" i="34"/>
  <c r="CZ28" i="34"/>
  <c r="DA28" i="34"/>
  <c r="DB28" i="34"/>
  <c r="DC28" i="34"/>
  <c r="DD28" i="34"/>
  <c r="DE28" i="34"/>
  <c r="DF28" i="34"/>
  <c r="DG28" i="34"/>
  <c r="DH28" i="34"/>
  <c r="DI28" i="34"/>
  <c r="DJ28" i="34"/>
  <c r="DK28" i="34"/>
  <c r="DL28" i="34"/>
  <c r="DM28" i="34"/>
  <c r="DN28" i="34"/>
  <c r="DO28" i="34"/>
  <c r="DP28" i="34"/>
  <c r="DQ28" i="34"/>
  <c r="DR28" i="34"/>
  <c r="DS28" i="34"/>
  <c r="DT28" i="34"/>
  <c r="DU28" i="34"/>
  <c r="DV28" i="34"/>
  <c r="DW28" i="34"/>
  <c r="DX28" i="34"/>
  <c r="DY28" i="34"/>
  <c r="DZ28" i="34"/>
  <c r="EA28" i="34"/>
  <c r="EB28" i="34"/>
  <c r="M29" i="34"/>
  <c r="N29" i="34"/>
  <c r="O29" i="34"/>
  <c r="P29" i="34"/>
  <c r="Q29" i="34"/>
  <c r="R29" i="34"/>
  <c r="S29" i="34"/>
  <c r="T29" i="34"/>
  <c r="U29" i="34"/>
  <c r="V29" i="34"/>
  <c r="W29" i="34"/>
  <c r="X29" i="34"/>
  <c r="Y29" i="34"/>
  <c r="Z29" i="34"/>
  <c r="AA29" i="34"/>
  <c r="AB29" i="34"/>
  <c r="AC29" i="34"/>
  <c r="AD29" i="34"/>
  <c r="AE29" i="34"/>
  <c r="AF29" i="34"/>
  <c r="AG29" i="34"/>
  <c r="AH29" i="34"/>
  <c r="AI29" i="34"/>
  <c r="AJ29" i="34"/>
  <c r="AK29" i="34"/>
  <c r="AL29" i="34"/>
  <c r="AM29" i="34"/>
  <c r="AN29" i="34"/>
  <c r="AO29" i="34"/>
  <c r="AP29" i="34"/>
  <c r="AQ29" i="34"/>
  <c r="AR29" i="34"/>
  <c r="AS29" i="34"/>
  <c r="AT29" i="34"/>
  <c r="AU29" i="34"/>
  <c r="AV29" i="34"/>
  <c r="AW29" i="34"/>
  <c r="AX29" i="34"/>
  <c r="AY29" i="34"/>
  <c r="AZ29" i="34"/>
  <c r="BA29" i="34"/>
  <c r="BB29" i="34"/>
  <c r="BC29" i="34"/>
  <c r="BD29" i="34"/>
  <c r="BE29" i="34"/>
  <c r="BF29" i="34"/>
  <c r="BG29" i="34"/>
  <c r="BH29" i="34"/>
  <c r="BI29" i="34"/>
  <c r="BJ29" i="34"/>
  <c r="BK29" i="34"/>
  <c r="BL29" i="34"/>
  <c r="BM29" i="34"/>
  <c r="BN29" i="34"/>
  <c r="BO29" i="34"/>
  <c r="BP29" i="34"/>
  <c r="BQ29" i="34"/>
  <c r="BR29" i="34"/>
  <c r="BS29" i="34"/>
  <c r="BT29" i="34"/>
  <c r="BU29" i="34"/>
  <c r="BV29" i="34"/>
  <c r="BW29" i="34"/>
  <c r="BX29" i="34"/>
  <c r="BY29" i="34"/>
  <c r="BZ29" i="34"/>
  <c r="CA29" i="34"/>
  <c r="CB29" i="34"/>
  <c r="CC29" i="34"/>
  <c r="CD29" i="34"/>
  <c r="CE29" i="34"/>
  <c r="CF29" i="34"/>
  <c r="CG29" i="34"/>
  <c r="CH29" i="34"/>
  <c r="CI29" i="34"/>
  <c r="CJ29" i="34"/>
  <c r="CK29" i="34"/>
  <c r="CL29" i="34"/>
  <c r="CM29" i="34"/>
  <c r="CN29" i="34"/>
  <c r="CO29" i="34"/>
  <c r="CP29" i="34"/>
  <c r="CQ29" i="34"/>
  <c r="CR29" i="34"/>
  <c r="CS29" i="34"/>
  <c r="CT29" i="34"/>
  <c r="CU29" i="34"/>
  <c r="CV29" i="34"/>
  <c r="CW29" i="34"/>
  <c r="CX29" i="34"/>
  <c r="CY29" i="34"/>
  <c r="CZ29" i="34"/>
  <c r="DA29" i="34"/>
  <c r="DB29" i="34"/>
  <c r="DC29" i="34"/>
  <c r="DD29" i="34"/>
  <c r="DE29" i="34"/>
  <c r="DF29" i="34"/>
  <c r="DG29" i="34"/>
  <c r="DH29" i="34"/>
  <c r="DI29" i="34"/>
  <c r="DJ29" i="34"/>
  <c r="DK29" i="34"/>
  <c r="DL29" i="34"/>
  <c r="DM29" i="34"/>
  <c r="DN29" i="34"/>
  <c r="DO29" i="34"/>
  <c r="DP29" i="34"/>
  <c r="DQ29" i="34"/>
  <c r="DR29" i="34"/>
  <c r="DS29" i="34"/>
  <c r="DT29" i="34"/>
  <c r="DU29" i="34"/>
  <c r="DV29" i="34"/>
  <c r="DW29" i="34"/>
  <c r="DX29" i="34"/>
  <c r="DY29" i="34"/>
  <c r="DZ29" i="34"/>
  <c r="EA29" i="34"/>
  <c r="EB29" i="34"/>
  <c r="L30" i="34"/>
  <c r="L31" i="34"/>
  <c r="M31" i="34"/>
  <c r="N31" i="34"/>
  <c r="O31" i="34"/>
  <c r="P31" i="34"/>
  <c r="Q31" i="34"/>
  <c r="R31" i="34"/>
  <c r="S31" i="34"/>
  <c r="T31" i="34"/>
  <c r="U31" i="34"/>
  <c r="V31" i="34"/>
  <c r="W31" i="34"/>
  <c r="X31" i="34"/>
  <c r="Y31" i="34"/>
  <c r="Z31" i="34"/>
  <c r="AA31" i="34"/>
  <c r="AB31" i="34"/>
  <c r="AC31" i="34"/>
  <c r="AD31" i="34"/>
  <c r="AE31" i="34"/>
  <c r="AF31" i="34"/>
  <c r="AG31" i="34"/>
  <c r="AH31" i="34"/>
  <c r="AI31" i="34"/>
  <c r="AJ31" i="34"/>
  <c r="AK31" i="34"/>
  <c r="AL31" i="34"/>
  <c r="AM31" i="34"/>
  <c r="AN31" i="34"/>
  <c r="AO31" i="34"/>
  <c r="AP31" i="34"/>
  <c r="AQ31" i="34"/>
  <c r="AR31" i="34"/>
  <c r="AS31" i="34"/>
  <c r="AT31" i="34"/>
  <c r="AU31" i="34"/>
  <c r="AV31" i="34"/>
  <c r="AW31" i="34"/>
  <c r="AX31" i="34"/>
  <c r="AY31" i="34"/>
  <c r="AZ31" i="34"/>
  <c r="BA31" i="34"/>
  <c r="BB31" i="34"/>
  <c r="BC31" i="34"/>
  <c r="BD31" i="34"/>
  <c r="BE31" i="34"/>
  <c r="BF31" i="34"/>
  <c r="BG31" i="34"/>
  <c r="BH31" i="34"/>
  <c r="BI31" i="34"/>
  <c r="BJ31" i="34"/>
  <c r="BK31" i="34"/>
  <c r="BL31" i="34"/>
  <c r="BM31" i="34"/>
  <c r="BN31" i="34"/>
  <c r="BO31" i="34"/>
  <c r="BP31" i="34"/>
  <c r="BQ31" i="34"/>
  <c r="BR31" i="34"/>
  <c r="BS31" i="34"/>
  <c r="BT31" i="34"/>
  <c r="BU31" i="34"/>
  <c r="BV31" i="34"/>
  <c r="BW31" i="34"/>
  <c r="BX31" i="34"/>
  <c r="BY31" i="34"/>
  <c r="BZ31" i="34"/>
  <c r="CA31" i="34"/>
  <c r="CB31" i="34"/>
  <c r="CC31" i="34"/>
  <c r="CD31" i="34"/>
  <c r="CE31" i="34"/>
  <c r="CF31" i="34"/>
  <c r="CG31" i="34"/>
  <c r="CH31" i="34"/>
  <c r="CI31" i="34"/>
  <c r="CJ31" i="34"/>
  <c r="CK31" i="34"/>
  <c r="CL31" i="34"/>
  <c r="CM31" i="34"/>
  <c r="CN31" i="34"/>
  <c r="CO31" i="34"/>
  <c r="CP31" i="34"/>
  <c r="CQ31" i="34"/>
  <c r="CR31" i="34"/>
  <c r="CS31" i="34"/>
  <c r="CT31" i="34"/>
  <c r="CU31" i="34"/>
  <c r="CV31" i="34"/>
  <c r="CW31" i="34"/>
  <c r="CX31" i="34"/>
  <c r="CY31" i="34"/>
  <c r="CZ31" i="34"/>
  <c r="DA31" i="34"/>
  <c r="DB31" i="34"/>
  <c r="DC31" i="34"/>
  <c r="DD31" i="34"/>
  <c r="DE31" i="34"/>
  <c r="DF31" i="34"/>
  <c r="DG31" i="34"/>
  <c r="DH31" i="34"/>
  <c r="DI31" i="34"/>
  <c r="DJ31" i="34"/>
  <c r="DK31" i="34"/>
  <c r="DL31" i="34"/>
  <c r="DM31" i="34"/>
  <c r="DN31" i="34"/>
  <c r="DO31" i="34"/>
  <c r="DP31" i="34"/>
  <c r="DQ31" i="34"/>
  <c r="DR31" i="34"/>
  <c r="DS31" i="34"/>
  <c r="DT31" i="34"/>
  <c r="DU31" i="34"/>
  <c r="DV31" i="34"/>
  <c r="DW31" i="34"/>
  <c r="DX31" i="34"/>
  <c r="DY31" i="34"/>
  <c r="DZ31" i="34"/>
  <c r="EA31" i="34"/>
  <c r="EB31" i="34"/>
  <c r="L32" i="34"/>
  <c r="M32" i="34"/>
  <c r="N32" i="34"/>
  <c r="O32" i="34"/>
  <c r="P32" i="34"/>
  <c r="Q32" i="34"/>
  <c r="R32" i="34"/>
  <c r="S32" i="34"/>
  <c r="T32" i="34"/>
  <c r="U32" i="34"/>
  <c r="V32" i="34"/>
  <c r="W32" i="34"/>
  <c r="X32" i="34"/>
  <c r="Y32" i="34"/>
  <c r="Z32" i="34"/>
  <c r="AA32" i="34"/>
  <c r="AB32" i="34"/>
  <c r="AC32" i="34"/>
  <c r="AD32" i="34"/>
  <c r="AE32" i="34"/>
  <c r="AF32" i="34"/>
  <c r="AG32" i="34"/>
  <c r="AH32" i="34"/>
  <c r="AI32" i="34"/>
  <c r="AJ32" i="34"/>
  <c r="AK32" i="34"/>
  <c r="AL32" i="34"/>
  <c r="AM32" i="34"/>
  <c r="AN32" i="34"/>
  <c r="AO32" i="34"/>
  <c r="AP32" i="34"/>
  <c r="AQ32" i="34"/>
  <c r="AR32" i="34"/>
  <c r="AS32" i="34"/>
  <c r="AT32" i="34"/>
  <c r="AU32" i="34"/>
  <c r="AV32" i="34"/>
  <c r="AW32" i="34"/>
  <c r="AX32" i="34"/>
  <c r="AY32" i="34"/>
  <c r="AZ32" i="34"/>
  <c r="BA32" i="34"/>
  <c r="BB32" i="34"/>
  <c r="BC32" i="34"/>
  <c r="BD32" i="34"/>
  <c r="BE32" i="34"/>
  <c r="BF32" i="34"/>
  <c r="BG32" i="34"/>
  <c r="BH32" i="34"/>
  <c r="BI32" i="34"/>
  <c r="BJ32" i="34"/>
  <c r="BK32" i="34"/>
  <c r="BL32" i="34"/>
  <c r="BM32" i="34"/>
  <c r="BN32" i="34"/>
  <c r="BO32" i="34"/>
  <c r="BP32" i="34"/>
  <c r="BQ32" i="34"/>
  <c r="BR32" i="34"/>
  <c r="BS32" i="34"/>
  <c r="BT32" i="34"/>
  <c r="BU32" i="34"/>
  <c r="BV32" i="34"/>
  <c r="BW32" i="34"/>
  <c r="BX32" i="34"/>
  <c r="BY32" i="34"/>
  <c r="BZ32" i="34"/>
  <c r="CA32" i="34"/>
  <c r="CB32" i="34"/>
  <c r="CC32" i="34"/>
  <c r="CD32" i="34"/>
  <c r="CE32" i="34"/>
  <c r="CF32" i="34"/>
  <c r="CG32" i="34"/>
  <c r="CH32" i="34"/>
  <c r="CI32" i="34"/>
  <c r="CJ32" i="34"/>
  <c r="CK32" i="34"/>
  <c r="CL32" i="34"/>
  <c r="CM32" i="34"/>
  <c r="CN32" i="34"/>
  <c r="CO32" i="34"/>
  <c r="CP32" i="34"/>
  <c r="CQ32" i="34"/>
  <c r="CR32" i="34"/>
  <c r="CS32" i="34"/>
  <c r="CT32" i="34"/>
  <c r="CU32" i="34"/>
  <c r="CV32" i="34"/>
  <c r="CW32" i="34"/>
  <c r="CX32" i="34"/>
  <c r="CY32" i="34"/>
  <c r="CZ32" i="34"/>
  <c r="DA32" i="34"/>
  <c r="DB32" i="34"/>
  <c r="DC32" i="34"/>
  <c r="DD32" i="34"/>
  <c r="DE32" i="34"/>
  <c r="DF32" i="34"/>
  <c r="DG32" i="34"/>
  <c r="DH32" i="34"/>
  <c r="DI32" i="34"/>
  <c r="DJ32" i="34"/>
  <c r="DK32" i="34"/>
  <c r="DL32" i="34"/>
  <c r="DM32" i="34"/>
  <c r="DN32" i="34"/>
  <c r="DO32" i="34"/>
  <c r="DP32" i="34"/>
  <c r="DQ32" i="34"/>
  <c r="DR32" i="34"/>
  <c r="DS32" i="34"/>
  <c r="DT32" i="34"/>
  <c r="DU32" i="34"/>
  <c r="DV32" i="34"/>
  <c r="DW32" i="34"/>
  <c r="DX32" i="34"/>
  <c r="DY32" i="34"/>
  <c r="DZ32" i="34"/>
  <c r="EA32" i="34"/>
  <c r="EB32" i="34"/>
  <c r="L33" i="34"/>
  <c r="M33" i="34"/>
  <c r="N33" i="34"/>
  <c r="O33" i="34"/>
  <c r="P33" i="34"/>
  <c r="Q33" i="34"/>
  <c r="R33" i="34"/>
  <c r="S33" i="34"/>
  <c r="T33" i="34"/>
  <c r="U33" i="34"/>
  <c r="V33" i="34"/>
  <c r="W33" i="34"/>
  <c r="X33" i="34"/>
  <c r="Y33" i="34"/>
  <c r="Z33" i="34"/>
  <c r="AA33" i="34"/>
  <c r="AB33" i="34"/>
  <c r="AC33" i="34"/>
  <c r="AD33" i="34"/>
  <c r="AE33" i="34"/>
  <c r="AF33" i="34"/>
  <c r="AG33" i="34"/>
  <c r="AH33" i="34"/>
  <c r="AI33" i="34"/>
  <c r="AJ33" i="34"/>
  <c r="AK33" i="34"/>
  <c r="AL33" i="34"/>
  <c r="AM33" i="34"/>
  <c r="AN33" i="34"/>
  <c r="AO33" i="34"/>
  <c r="AP33" i="34"/>
  <c r="AQ33" i="34"/>
  <c r="AR33" i="34"/>
  <c r="AS33" i="34"/>
  <c r="AT33" i="34"/>
  <c r="AU33" i="34"/>
  <c r="AV33" i="34"/>
  <c r="AW33" i="34"/>
  <c r="AX33" i="34"/>
  <c r="AY33" i="34"/>
  <c r="AZ33" i="34"/>
  <c r="BA33" i="34"/>
  <c r="BB33" i="34"/>
  <c r="BC33" i="34"/>
  <c r="BD33" i="34"/>
  <c r="BE33" i="34"/>
  <c r="BF33" i="34"/>
  <c r="BG33" i="34"/>
  <c r="BH33" i="34"/>
  <c r="BI33" i="34"/>
  <c r="BJ33" i="34"/>
  <c r="BK33" i="34"/>
  <c r="BL33" i="34"/>
  <c r="BM33" i="34"/>
  <c r="BN33" i="34"/>
  <c r="BO33" i="34"/>
  <c r="BP33" i="34"/>
  <c r="BQ33" i="34"/>
  <c r="BR33" i="34"/>
  <c r="BS33" i="34"/>
  <c r="BT33" i="34"/>
  <c r="BU33" i="34"/>
  <c r="BV33" i="34"/>
  <c r="BW33" i="34"/>
  <c r="BX33" i="34"/>
  <c r="BY33" i="34"/>
  <c r="BZ33" i="34"/>
  <c r="CA33" i="34"/>
  <c r="CB33" i="34"/>
  <c r="CC33" i="34"/>
  <c r="CD33" i="34"/>
  <c r="CE33" i="34"/>
  <c r="CF33" i="34"/>
  <c r="CG33" i="34"/>
  <c r="CH33" i="34"/>
  <c r="CI33" i="34"/>
  <c r="CJ33" i="34"/>
  <c r="CK33" i="34"/>
  <c r="CL33" i="34"/>
  <c r="CM33" i="34"/>
  <c r="CN33" i="34"/>
  <c r="CO33" i="34"/>
  <c r="CP33" i="34"/>
  <c r="CQ33" i="34"/>
  <c r="CR33" i="34"/>
  <c r="CS33" i="34"/>
  <c r="CT33" i="34"/>
  <c r="CU33" i="34"/>
  <c r="CV33" i="34"/>
  <c r="CW33" i="34"/>
  <c r="CX33" i="34"/>
  <c r="CY33" i="34"/>
  <c r="CZ33" i="34"/>
  <c r="DA33" i="34"/>
  <c r="DB33" i="34"/>
  <c r="DC33" i="34"/>
  <c r="DD33" i="34"/>
  <c r="DE33" i="34"/>
  <c r="DF33" i="34"/>
  <c r="DG33" i="34"/>
  <c r="DH33" i="34"/>
  <c r="DI33" i="34"/>
  <c r="DJ33" i="34"/>
  <c r="DK33" i="34"/>
  <c r="DL33" i="34"/>
  <c r="DM33" i="34"/>
  <c r="DN33" i="34"/>
  <c r="DO33" i="34"/>
  <c r="DP33" i="34"/>
  <c r="DQ33" i="34"/>
  <c r="DR33" i="34"/>
  <c r="DS33" i="34"/>
  <c r="DT33" i="34"/>
  <c r="DU33" i="34"/>
  <c r="DV33" i="34"/>
  <c r="DW33" i="34"/>
  <c r="DX33" i="34"/>
  <c r="DY33" i="34"/>
  <c r="DZ33" i="34"/>
  <c r="EA33" i="34"/>
  <c r="EB33" i="34"/>
  <c r="L34" i="34"/>
  <c r="M34" i="34"/>
  <c r="N34" i="34"/>
  <c r="O34" i="34"/>
  <c r="P34" i="34"/>
  <c r="Q34" i="34"/>
  <c r="R34" i="34"/>
  <c r="S34" i="34"/>
  <c r="T34" i="34"/>
  <c r="U34" i="34"/>
  <c r="V34" i="34"/>
  <c r="W34" i="34"/>
  <c r="X34" i="34"/>
  <c r="Y34" i="34"/>
  <c r="Z34" i="34"/>
  <c r="AA34" i="34"/>
  <c r="AB34" i="34"/>
  <c r="AC34" i="34"/>
  <c r="AD34" i="34"/>
  <c r="AE34" i="34"/>
  <c r="AF34" i="34"/>
  <c r="AG34" i="34"/>
  <c r="AH34" i="34"/>
  <c r="AI34" i="34"/>
  <c r="AJ34" i="34"/>
  <c r="AK34" i="34"/>
  <c r="AL34" i="34"/>
  <c r="AM34" i="34"/>
  <c r="AN34" i="34"/>
  <c r="AO34" i="34"/>
  <c r="AP34" i="34"/>
  <c r="AQ34" i="34"/>
  <c r="AR34" i="34"/>
  <c r="AS34" i="34"/>
  <c r="AT34" i="34"/>
  <c r="AU34" i="34"/>
  <c r="AV34" i="34"/>
  <c r="AW34" i="34"/>
  <c r="AX34" i="34"/>
  <c r="AY34" i="34"/>
  <c r="AZ34" i="34"/>
  <c r="BA34" i="34"/>
  <c r="BB34" i="34"/>
  <c r="BC34" i="34"/>
  <c r="BD34" i="34"/>
  <c r="BE34" i="34"/>
  <c r="BF34" i="34"/>
  <c r="BG34" i="34"/>
  <c r="BH34" i="34"/>
  <c r="BI34" i="34"/>
  <c r="BJ34" i="34"/>
  <c r="BK34" i="34"/>
  <c r="BL34" i="34"/>
  <c r="BM34" i="34"/>
  <c r="BN34" i="34"/>
  <c r="BO34" i="34"/>
  <c r="BP34" i="34"/>
  <c r="BQ34" i="34"/>
  <c r="BR34" i="34"/>
  <c r="BS34" i="34"/>
  <c r="BT34" i="34"/>
  <c r="BU34" i="34"/>
  <c r="BV34" i="34"/>
  <c r="BW34" i="34"/>
  <c r="BX34" i="34"/>
  <c r="BY34" i="34"/>
  <c r="BZ34" i="34"/>
  <c r="CA34" i="34"/>
  <c r="CB34" i="34"/>
  <c r="CC34" i="34"/>
  <c r="CD34" i="34"/>
  <c r="CE34" i="34"/>
  <c r="CF34" i="34"/>
  <c r="CG34" i="34"/>
  <c r="CH34" i="34"/>
  <c r="CI34" i="34"/>
  <c r="CJ34" i="34"/>
  <c r="CK34" i="34"/>
  <c r="CL34" i="34"/>
  <c r="CM34" i="34"/>
  <c r="CN34" i="34"/>
  <c r="CO34" i="34"/>
  <c r="CP34" i="34"/>
  <c r="CQ34" i="34"/>
  <c r="CR34" i="34"/>
  <c r="CS34" i="34"/>
  <c r="CT34" i="34"/>
  <c r="CU34" i="34"/>
  <c r="CV34" i="34"/>
  <c r="CW34" i="34"/>
  <c r="CX34" i="34"/>
  <c r="CY34" i="34"/>
  <c r="CZ34" i="34"/>
  <c r="DA34" i="34"/>
  <c r="DB34" i="34"/>
  <c r="DC34" i="34"/>
  <c r="DD34" i="34"/>
  <c r="DE34" i="34"/>
  <c r="DF34" i="34"/>
  <c r="DG34" i="34"/>
  <c r="DH34" i="34"/>
  <c r="DI34" i="34"/>
  <c r="DJ34" i="34"/>
  <c r="DK34" i="34"/>
  <c r="DL34" i="34"/>
  <c r="DM34" i="34"/>
  <c r="DN34" i="34"/>
  <c r="DO34" i="34"/>
  <c r="DP34" i="34"/>
  <c r="DQ34" i="34"/>
  <c r="DR34" i="34"/>
  <c r="DS34" i="34"/>
  <c r="DT34" i="34"/>
  <c r="DU34" i="34"/>
  <c r="DV34" i="34"/>
  <c r="DW34" i="34"/>
  <c r="DX34" i="34"/>
  <c r="DY34" i="34"/>
  <c r="DZ34" i="34"/>
  <c r="EA34" i="34"/>
  <c r="EB34" i="34"/>
  <c r="J35" i="34"/>
  <c r="J36" i="34"/>
  <c r="L38" i="34"/>
  <c r="L39" i="34"/>
  <c r="M39" i="34"/>
  <c r="N39" i="34"/>
  <c r="O39" i="34"/>
  <c r="P39" i="34"/>
  <c r="Q39" i="34"/>
  <c r="R39" i="34"/>
  <c r="S39" i="34"/>
  <c r="T39" i="34"/>
  <c r="U39" i="34"/>
  <c r="V39" i="34"/>
  <c r="W39" i="34"/>
  <c r="X39" i="34"/>
  <c r="Y39" i="34"/>
  <c r="Z39" i="34"/>
  <c r="AA39" i="34"/>
  <c r="AB39" i="34"/>
  <c r="AC39" i="34"/>
  <c r="AD39" i="34"/>
  <c r="AE39" i="34"/>
  <c r="AF39" i="34"/>
  <c r="AG39" i="34"/>
  <c r="AH39" i="34"/>
  <c r="AI39" i="34"/>
  <c r="AJ39" i="34"/>
  <c r="AK39" i="34"/>
  <c r="AL39" i="34"/>
  <c r="AM39" i="34"/>
  <c r="AN39" i="34"/>
  <c r="AO39" i="34"/>
  <c r="AP39" i="34"/>
  <c r="AQ39" i="34"/>
  <c r="AR39" i="34"/>
  <c r="AS39" i="34"/>
  <c r="AT39" i="34"/>
  <c r="AU39" i="34"/>
  <c r="AV39" i="34"/>
  <c r="AW39" i="34"/>
  <c r="AX39" i="34"/>
  <c r="AY39" i="34"/>
  <c r="AZ39" i="34"/>
  <c r="BA39" i="34"/>
  <c r="BB39" i="34"/>
  <c r="BC39" i="34"/>
  <c r="BD39" i="34"/>
  <c r="BE39" i="34"/>
  <c r="BF39" i="34"/>
  <c r="BG39" i="34"/>
  <c r="BH39" i="34"/>
  <c r="BI39" i="34"/>
  <c r="BJ39" i="34"/>
  <c r="BK39" i="34"/>
  <c r="BL39" i="34"/>
  <c r="BM39" i="34"/>
  <c r="BN39" i="34"/>
  <c r="BO39" i="34"/>
  <c r="BP39" i="34"/>
  <c r="BQ39" i="34"/>
  <c r="BR39" i="34"/>
  <c r="BS39" i="34"/>
  <c r="BT39" i="34"/>
  <c r="BU39" i="34"/>
  <c r="BV39" i="34"/>
  <c r="BW39" i="34"/>
  <c r="BX39" i="34"/>
  <c r="BY39" i="34"/>
  <c r="BZ39" i="34"/>
  <c r="CA39" i="34"/>
  <c r="CB39" i="34"/>
  <c r="CC39" i="34"/>
  <c r="CD39" i="34"/>
  <c r="CE39" i="34"/>
  <c r="CF39" i="34"/>
  <c r="CG39" i="34"/>
  <c r="CH39" i="34"/>
  <c r="CI39" i="34"/>
  <c r="CJ39" i="34"/>
  <c r="CK39" i="34"/>
  <c r="CL39" i="34"/>
  <c r="CM39" i="34"/>
  <c r="CN39" i="34"/>
  <c r="CO39" i="34"/>
  <c r="CP39" i="34"/>
  <c r="CQ39" i="34"/>
  <c r="CR39" i="34"/>
  <c r="CS39" i="34"/>
  <c r="CT39" i="34"/>
  <c r="CU39" i="34"/>
  <c r="CV39" i="34"/>
  <c r="CW39" i="34"/>
  <c r="CX39" i="34"/>
  <c r="CY39" i="34"/>
  <c r="CZ39" i="34"/>
  <c r="DA39" i="34"/>
  <c r="DB39" i="34"/>
  <c r="DC39" i="34"/>
  <c r="DD39" i="34"/>
  <c r="DE39" i="34"/>
  <c r="DF39" i="34"/>
  <c r="DG39" i="34"/>
  <c r="DH39" i="34"/>
  <c r="DI39" i="34"/>
  <c r="DJ39" i="34"/>
  <c r="DK39" i="34"/>
  <c r="DL39" i="34"/>
  <c r="DM39" i="34"/>
  <c r="DN39" i="34"/>
  <c r="DO39" i="34"/>
  <c r="DP39" i="34"/>
  <c r="DQ39" i="34"/>
  <c r="DR39" i="34"/>
  <c r="DS39" i="34"/>
  <c r="DT39" i="34"/>
  <c r="DU39" i="34"/>
  <c r="DV39" i="34"/>
  <c r="DW39" i="34"/>
  <c r="DX39" i="34"/>
  <c r="DY39" i="34"/>
  <c r="DZ39" i="34"/>
  <c r="EA39" i="34"/>
  <c r="EB39" i="34"/>
  <c r="L41" i="34"/>
  <c r="M41" i="34"/>
  <c r="N41" i="34"/>
  <c r="O41" i="34"/>
  <c r="P41" i="34"/>
  <c r="Q41" i="34"/>
  <c r="R41" i="34"/>
  <c r="S41" i="34"/>
  <c r="T41" i="34"/>
  <c r="U41" i="34"/>
  <c r="V41" i="34"/>
  <c r="W41" i="34"/>
  <c r="X41" i="34"/>
  <c r="Y41" i="34"/>
  <c r="Z41" i="34"/>
  <c r="AA41" i="34"/>
  <c r="AB41" i="34"/>
  <c r="AC41" i="34"/>
  <c r="AD41" i="34"/>
  <c r="AE41" i="34"/>
  <c r="AF41" i="34"/>
  <c r="AG41" i="34"/>
  <c r="AH41" i="34"/>
  <c r="AI41" i="34"/>
  <c r="AJ41" i="34"/>
  <c r="AK41" i="34"/>
  <c r="AL41" i="34"/>
  <c r="AM41" i="34"/>
  <c r="AN41" i="34"/>
  <c r="AO41" i="34"/>
  <c r="AP41" i="34"/>
  <c r="AQ41" i="34"/>
  <c r="AR41" i="34"/>
  <c r="AS41" i="34"/>
  <c r="AT41" i="34"/>
  <c r="AU41" i="34"/>
  <c r="AV41" i="34"/>
  <c r="AW41" i="34"/>
  <c r="AX41" i="34"/>
  <c r="AY41" i="34"/>
  <c r="AZ41" i="34"/>
  <c r="BA41" i="34"/>
  <c r="BB41" i="34"/>
  <c r="BC41" i="34"/>
  <c r="BD41" i="34"/>
  <c r="BE41" i="34"/>
  <c r="BF41" i="34"/>
  <c r="BG41" i="34"/>
  <c r="BH41" i="34"/>
  <c r="BI41" i="34"/>
  <c r="BJ41" i="34"/>
  <c r="BK41" i="34"/>
  <c r="BL41" i="34"/>
  <c r="BM41" i="34"/>
  <c r="BN41" i="34"/>
  <c r="BO41" i="34"/>
  <c r="BP41" i="34"/>
  <c r="BQ41" i="34"/>
  <c r="BR41" i="34"/>
  <c r="BS41" i="34"/>
  <c r="BT41" i="34"/>
  <c r="BU41" i="34"/>
  <c r="BV41" i="34"/>
  <c r="BW41" i="34"/>
  <c r="BX41" i="34"/>
  <c r="BY41" i="34"/>
  <c r="BZ41" i="34"/>
  <c r="CA41" i="34"/>
  <c r="CB41" i="34"/>
  <c r="CC41" i="34"/>
  <c r="CD41" i="34"/>
  <c r="CE41" i="34"/>
  <c r="CF41" i="34"/>
  <c r="CG41" i="34"/>
  <c r="CH41" i="34"/>
  <c r="CI41" i="34"/>
  <c r="CJ41" i="34"/>
  <c r="CK41" i="34"/>
  <c r="CL41" i="34"/>
  <c r="CM41" i="34"/>
  <c r="CN41" i="34"/>
  <c r="CO41" i="34"/>
  <c r="CP41" i="34"/>
  <c r="CQ41" i="34"/>
  <c r="CR41" i="34"/>
  <c r="CS41" i="34"/>
  <c r="CT41" i="34"/>
  <c r="CU41" i="34"/>
  <c r="CV41" i="34"/>
  <c r="CW41" i="34"/>
  <c r="CX41" i="34"/>
  <c r="CY41" i="34"/>
  <c r="CZ41" i="34"/>
  <c r="DA41" i="34"/>
  <c r="DB41" i="34"/>
  <c r="DC41" i="34"/>
  <c r="DD41" i="34"/>
  <c r="DE41" i="34"/>
  <c r="DF41" i="34"/>
  <c r="DG41" i="34"/>
  <c r="DH41" i="34"/>
  <c r="DI41" i="34"/>
  <c r="DJ41" i="34"/>
  <c r="DK41" i="34"/>
  <c r="DL41" i="34"/>
  <c r="DM41" i="34"/>
  <c r="DN41" i="34"/>
  <c r="DO41" i="34"/>
  <c r="DP41" i="34"/>
  <c r="DQ41" i="34"/>
  <c r="DR41" i="34"/>
  <c r="DS41" i="34"/>
  <c r="DT41" i="34"/>
  <c r="DU41" i="34"/>
  <c r="DV41" i="34"/>
  <c r="DW41" i="34"/>
  <c r="DX41" i="34"/>
  <c r="DY41" i="34"/>
  <c r="DZ41" i="34"/>
  <c r="EA41" i="34"/>
  <c r="EB41" i="34"/>
  <c r="L42" i="34"/>
  <c r="M42" i="34"/>
  <c r="N42" i="34"/>
  <c r="O42" i="34"/>
  <c r="P42" i="34"/>
  <c r="Q42" i="34"/>
  <c r="R42" i="34"/>
  <c r="S42" i="34"/>
  <c r="T42" i="34"/>
  <c r="U42" i="34"/>
  <c r="V42" i="34"/>
  <c r="W42" i="34"/>
  <c r="X42" i="34"/>
  <c r="Y42" i="34"/>
  <c r="Z42" i="34"/>
  <c r="AA42" i="34"/>
  <c r="AB42" i="34"/>
  <c r="AC42" i="34"/>
  <c r="AD42" i="34"/>
  <c r="AE42" i="34"/>
  <c r="AF42" i="34"/>
  <c r="AG42" i="34"/>
  <c r="AH42" i="34"/>
  <c r="AI42" i="34"/>
  <c r="AJ42" i="34"/>
  <c r="AK42" i="34"/>
  <c r="AL42" i="34"/>
  <c r="AM42" i="34"/>
  <c r="AN42" i="34"/>
  <c r="AO42" i="34"/>
  <c r="AP42" i="34"/>
  <c r="AQ42" i="34"/>
  <c r="AR42" i="34"/>
  <c r="AS42" i="34"/>
  <c r="AT42" i="34"/>
  <c r="AU42" i="34"/>
  <c r="AV42" i="34"/>
  <c r="AW42" i="34"/>
  <c r="AX42" i="34"/>
  <c r="AY42" i="34"/>
  <c r="AZ42" i="34"/>
  <c r="BA42" i="34"/>
  <c r="BB42" i="34"/>
  <c r="BC42" i="34"/>
  <c r="BD42" i="34"/>
  <c r="BE42" i="34"/>
  <c r="BF42" i="34"/>
  <c r="BG42" i="34"/>
  <c r="BH42" i="34"/>
  <c r="BI42" i="34"/>
  <c r="BJ42" i="34"/>
  <c r="BK42" i="34"/>
  <c r="BL42" i="34"/>
  <c r="BM42" i="34"/>
  <c r="BN42" i="34"/>
  <c r="BO42" i="34"/>
  <c r="BP42" i="34"/>
  <c r="BQ42" i="34"/>
  <c r="BR42" i="34"/>
  <c r="BS42" i="34"/>
  <c r="BT42" i="34"/>
  <c r="BU42" i="34"/>
  <c r="BV42" i="34"/>
  <c r="BW42" i="34"/>
  <c r="BX42" i="34"/>
  <c r="BY42" i="34"/>
  <c r="BZ42" i="34"/>
  <c r="CA42" i="34"/>
  <c r="CB42" i="34"/>
  <c r="CC42" i="34"/>
  <c r="CD42" i="34"/>
  <c r="CE42" i="34"/>
  <c r="CF42" i="34"/>
  <c r="CG42" i="34"/>
  <c r="CH42" i="34"/>
  <c r="CI42" i="34"/>
  <c r="CJ42" i="34"/>
  <c r="CK42" i="34"/>
  <c r="CL42" i="34"/>
  <c r="CM42" i="34"/>
  <c r="CN42" i="34"/>
  <c r="CO42" i="34"/>
  <c r="CP42" i="34"/>
  <c r="CQ42" i="34"/>
  <c r="CR42" i="34"/>
  <c r="CS42" i="34"/>
  <c r="CT42" i="34"/>
  <c r="CU42" i="34"/>
  <c r="CV42" i="34"/>
  <c r="CW42" i="34"/>
  <c r="CX42" i="34"/>
  <c r="CY42" i="34"/>
  <c r="CZ42" i="34"/>
  <c r="DA42" i="34"/>
  <c r="DB42" i="34"/>
  <c r="DC42" i="34"/>
  <c r="DD42" i="34"/>
  <c r="DE42" i="34"/>
  <c r="DF42" i="34"/>
  <c r="DG42" i="34"/>
  <c r="DH42" i="34"/>
  <c r="DI42" i="34"/>
  <c r="DJ42" i="34"/>
  <c r="DK42" i="34"/>
  <c r="DL42" i="34"/>
  <c r="DM42" i="34"/>
  <c r="DN42" i="34"/>
  <c r="DO42" i="34"/>
  <c r="DP42" i="34"/>
  <c r="DQ42" i="34"/>
  <c r="DR42" i="34"/>
  <c r="DS42" i="34"/>
  <c r="DT42" i="34"/>
  <c r="DU42" i="34"/>
  <c r="DV42" i="34"/>
  <c r="DW42" i="34"/>
  <c r="DX42" i="34"/>
  <c r="DY42" i="34"/>
  <c r="DZ42" i="34"/>
  <c r="EA42" i="34"/>
  <c r="EB42" i="34"/>
  <c r="M46" i="34"/>
  <c r="N46" i="34"/>
  <c r="O46" i="34"/>
  <c r="P46" i="34"/>
  <c r="Q46" i="34"/>
  <c r="R46" i="34"/>
  <c r="S46" i="34"/>
  <c r="T46" i="34"/>
  <c r="U46" i="34"/>
  <c r="V46" i="34"/>
  <c r="W46" i="34"/>
  <c r="X46" i="34"/>
  <c r="Y46" i="34"/>
  <c r="Z46" i="34"/>
  <c r="AA46" i="34"/>
  <c r="AB46" i="34"/>
  <c r="AC46" i="34"/>
  <c r="AD46" i="34"/>
  <c r="AE46" i="34"/>
  <c r="AF46" i="34"/>
  <c r="AG46" i="34"/>
  <c r="AH46" i="34"/>
  <c r="AI46" i="34"/>
  <c r="AJ46" i="34"/>
  <c r="AK46" i="34"/>
  <c r="AL46" i="34"/>
  <c r="AM46" i="34"/>
  <c r="AN46" i="34"/>
  <c r="AO46" i="34"/>
  <c r="AP46" i="34"/>
  <c r="AQ46" i="34"/>
  <c r="AR46" i="34"/>
  <c r="AS46" i="34"/>
  <c r="AT46" i="34"/>
  <c r="AU46" i="34"/>
  <c r="AV46" i="34"/>
  <c r="AW46" i="34"/>
  <c r="AX46" i="34"/>
  <c r="AY46" i="34"/>
  <c r="AZ46" i="34"/>
  <c r="BA46" i="34"/>
  <c r="BB46" i="34"/>
  <c r="BC46" i="34"/>
  <c r="BD46" i="34"/>
  <c r="BE46" i="34"/>
  <c r="BF46" i="34"/>
  <c r="BG46" i="34"/>
  <c r="BH46" i="34"/>
  <c r="BI46" i="34"/>
  <c r="BJ46" i="34"/>
  <c r="BK46" i="34"/>
  <c r="BL46" i="34"/>
  <c r="BM46" i="34"/>
  <c r="BN46" i="34"/>
  <c r="BO46" i="34"/>
  <c r="BP46" i="34"/>
  <c r="BQ46" i="34"/>
  <c r="BR46" i="34"/>
  <c r="BS46" i="34"/>
  <c r="BT46" i="34"/>
  <c r="BU46" i="34"/>
  <c r="BV46" i="34"/>
  <c r="BW46" i="34"/>
  <c r="BX46" i="34"/>
  <c r="BY46" i="34"/>
  <c r="BZ46" i="34"/>
  <c r="CA46" i="34"/>
  <c r="CB46" i="34"/>
  <c r="CC46" i="34"/>
  <c r="CD46" i="34"/>
  <c r="CE46" i="34"/>
  <c r="CF46" i="34"/>
  <c r="CG46" i="34"/>
  <c r="CH46" i="34"/>
  <c r="CI46" i="34"/>
  <c r="CJ46" i="34"/>
  <c r="CK46" i="34"/>
  <c r="CL46" i="34"/>
  <c r="CM46" i="34"/>
  <c r="CN46" i="34"/>
  <c r="CO46" i="34"/>
  <c r="CP46" i="34"/>
  <c r="CQ46" i="34"/>
  <c r="CR46" i="34"/>
  <c r="CS46" i="34"/>
  <c r="CT46" i="34"/>
  <c r="CU46" i="34"/>
  <c r="CV46" i="34"/>
  <c r="CW46" i="34"/>
  <c r="CX46" i="34"/>
  <c r="CY46" i="34"/>
  <c r="CZ46" i="34"/>
  <c r="DA46" i="34"/>
  <c r="DB46" i="34"/>
  <c r="DC46" i="34"/>
  <c r="DD46" i="34"/>
  <c r="DE46" i="34"/>
  <c r="DF46" i="34"/>
  <c r="DG46" i="34"/>
  <c r="DH46" i="34"/>
  <c r="DI46" i="34"/>
  <c r="DJ46" i="34"/>
  <c r="DK46" i="34"/>
  <c r="DL46" i="34"/>
  <c r="DM46" i="34"/>
  <c r="DN46" i="34"/>
  <c r="DO46" i="34"/>
  <c r="DP46" i="34"/>
  <c r="DQ46" i="34"/>
  <c r="DR46" i="34"/>
  <c r="DS46" i="34"/>
  <c r="DT46" i="34"/>
  <c r="DU46" i="34"/>
  <c r="DV46" i="34"/>
  <c r="DW46" i="34"/>
  <c r="DX46" i="34"/>
  <c r="DY46" i="34"/>
  <c r="DZ46" i="34"/>
  <c r="EA46" i="34"/>
  <c r="EB46" i="34"/>
  <c r="M47" i="34"/>
  <c r="N47" i="34"/>
  <c r="O47" i="34"/>
  <c r="P47" i="34"/>
  <c r="Q47" i="34"/>
  <c r="R47" i="34"/>
  <c r="S47" i="34"/>
  <c r="T47" i="34"/>
  <c r="U47" i="34"/>
  <c r="V47" i="34"/>
  <c r="W47" i="34"/>
  <c r="X47" i="34"/>
  <c r="Y47" i="34"/>
  <c r="Z47" i="34"/>
  <c r="AA47" i="34"/>
  <c r="AB47" i="34"/>
  <c r="AC47" i="34"/>
  <c r="AD47" i="34"/>
  <c r="AE47" i="34"/>
  <c r="AF47" i="34"/>
  <c r="AG47" i="34"/>
  <c r="AH47" i="34"/>
  <c r="AI47" i="34"/>
  <c r="AJ47" i="34"/>
  <c r="AK47" i="34"/>
  <c r="AL47" i="34"/>
  <c r="AM47" i="34"/>
  <c r="AN47" i="34"/>
  <c r="AO47" i="34"/>
  <c r="AP47" i="34"/>
  <c r="AQ47" i="34"/>
  <c r="AR47" i="34"/>
  <c r="AS47" i="34"/>
  <c r="AT47" i="34"/>
  <c r="AU47" i="34"/>
  <c r="AV47" i="34"/>
  <c r="AW47" i="34"/>
  <c r="AX47" i="34"/>
  <c r="AY47" i="34"/>
  <c r="AZ47" i="34"/>
  <c r="BA47" i="34"/>
  <c r="BB47" i="34"/>
  <c r="BC47" i="34"/>
  <c r="BD47" i="34"/>
  <c r="BE47" i="34"/>
  <c r="BF47" i="34"/>
  <c r="BG47" i="34"/>
  <c r="BH47" i="34"/>
  <c r="BI47" i="34"/>
  <c r="BJ47" i="34"/>
  <c r="BK47" i="34"/>
  <c r="BL47" i="34"/>
  <c r="BM47" i="34"/>
  <c r="BN47" i="34"/>
  <c r="BO47" i="34"/>
  <c r="BP47" i="34"/>
  <c r="BQ47" i="34"/>
  <c r="BR47" i="34"/>
  <c r="BS47" i="34"/>
  <c r="BT47" i="34"/>
  <c r="BU47" i="34"/>
  <c r="BV47" i="34"/>
  <c r="BW47" i="34"/>
  <c r="BX47" i="34"/>
  <c r="BY47" i="34"/>
  <c r="BZ47" i="34"/>
  <c r="CA47" i="34"/>
  <c r="CB47" i="34"/>
  <c r="CC47" i="34"/>
  <c r="CD47" i="34"/>
  <c r="CE47" i="34"/>
  <c r="CF47" i="34"/>
  <c r="CG47" i="34"/>
  <c r="CH47" i="34"/>
  <c r="CI47" i="34"/>
  <c r="CJ47" i="34"/>
  <c r="CK47" i="34"/>
  <c r="CL47" i="34"/>
  <c r="CM47" i="34"/>
  <c r="CN47" i="34"/>
  <c r="CO47" i="34"/>
  <c r="CP47" i="34"/>
  <c r="CQ47" i="34"/>
  <c r="CR47" i="34"/>
  <c r="CS47" i="34"/>
  <c r="CT47" i="34"/>
  <c r="CU47" i="34"/>
  <c r="CV47" i="34"/>
  <c r="CW47" i="34"/>
  <c r="CX47" i="34"/>
  <c r="CY47" i="34"/>
  <c r="CZ47" i="34"/>
  <c r="DA47" i="34"/>
  <c r="DB47" i="34"/>
  <c r="DC47" i="34"/>
  <c r="DD47" i="34"/>
  <c r="DE47" i="34"/>
  <c r="DF47" i="34"/>
  <c r="DG47" i="34"/>
  <c r="DH47" i="34"/>
  <c r="DI47" i="34"/>
  <c r="DJ47" i="34"/>
  <c r="DK47" i="34"/>
  <c r="DL47" i="34"/>
  <c r="DM47" i="34"/>
  <c r="DN47" i="34"/>
  <c r="DO47" i="34"/>
  <c r="DP47" i="34"/>
  <c r="DQ47" i="34"/>
  <c r="DR47" i="34"/>
  <c r="DS47" i="34"/>
  <c r="DT47" i="34"/>
  <c r="DU47" i="34"/>
  <c r="DV47" i="34"/>
  <c r="DW47" i="34"/>
  <c r="DX47" i="34"/>
  <c r="DY47" i="34"/>
  <c r="DZ47" i="34"/>
  <c r="EA47" i="34"/>
  <c r="EB47" i="34"/>
  <c r="L48" i="34"/>
  <c r="L49" i="34"/>
  <c r="M49" i="34"/>
  <c r="N49" i="34"/>
  <c r="O49" i="34"/>
  <c r="P49" i="34"/>
  <c r="Q49" i="34"/>
  <c r="R49" i="34"/>
  <c r="S49" i="34"/>
  <c r="T49" i="34"/>
  <c r="U49" i="34"/>
  <c r="V49" i="34"/>
  <c r="W49" i="34"/>
  <c r="X49" i="34"/>
  <c r="Y49" i="34"/>
  <c r="Z49" i="34"/>
  <c r="AA49" i="34"/>
  <c r="AB49" i="34"/>
  <c r="AC49" i="34"/>
  <c r="AD49" i="34"/>
  <c r="AE49" i="34"/>
  <c r="AF49" i="34"/>
  <c r="AG49" i="34"/>
  <c r="AH49" i="34"/>
  <c r="AI49" i="34"/>
  <c r="AJ49" i="34"/>
  <c r="AK49" i="34"/>
  <c r="AL49" i="34"/>
  <c r="AM49" i="34"/>
  <c r="AN49" i="34"/>
  <c r="AO49" i="34"/>
  <c r="AP49" i="34"/>
  <c r="AQ49" i="34"/>
  <c r="AR49" i="34"/>
  <c r="AS49" i="34"/>
  <c r="AT49" i="34"/>
  <c r="AU49" i="34"/>
  <c r="AV49" i="34"/>
  <c r="AW49" i="34"/>
  <c r="AX49" i="34"/>
  <c r="AY49" i="34"/>
  <c r="AZ49" i="34"/>
  <c r="BA49" i="34"/>
  <c r="BB49" i="34"/>
  <c r="BC49" i="34"/>
  <c r="BD49" i="34"/>
  <c r="BE49" i="34"/>
  <c r="BF49" i="34"/>
  <c r="BG49" i="34"/>
  <c r="BH49" i="34"/>
  <c r="BI49" i="34"/>
  <c r="BJ49" i="34"/>
  <c r="BK49" i="34"/>
  <c r="BL49" i="34"/>
  <c r="BM49" i="34"/>
  <c r="BN49" i="34"/>
  <c r="BO49" i="34"/>
  <c r="BP49" i="34"/>
  <c r="BQ49" i="34"/>
  <c r="BR49" i="34"/>
  <c r="BS49" i="34"/>
  <c r="BT49" i="34"/>
  <c r="BU49" i="34"/>
  <c r="BV49" i="34"/>
  <c r="BW49" i="34"/>
  <c r="BX49" i="34"/>
  <c r="BY49" i="34"/>
  <c r="BZ49" i="34"/>
  <c r="CA49" i="34"/>
  <c r="CB49" i="34"/>
  <c r="CC49" i="34"/>
  <c r="CD49" i="34"/>
  <c r="CE49" i="34"/>
  <c r="CF49" i="34"/>
  <c r="CG49" i="34"/>
  <c r="CH49" i="34"/>
  <c r="CI49" i="34"/>
  <c r="CJ49" i="34"/>
  <c r="CK49" i="34"/>
  <c r="CL49" i="34"/>
  <c r="CM49" i="34"/>
  <c r="CN49" i="34"/>
  <c r="CO49" i="34"/>
  <c r="CP49" i="34"/>
  <c r="CQ49" i="34"/>
  <c r="CR49" i="34"/>
  <c r="CS49" i="34"/>
  <c r="CT49" i="34"/>
  <c r="CU49" i="34"/>
  <c r="CV49" i="34"/>
  <c r="CW49" i="34"/>
  <c r="CX49" i="34"/>
  <c r="CY49" i="34"/>
  <c r="CZ49" i="34"/>
  <c r="DA49" i="34"/>
  <c r="DB49" i="34"/>
  <c r="DC49" i="34"/>
  <c r="DD49" i="34"/>
  <c r="DE49" i="34"/>
  <c r="DF49" i="34"/>
  <c r="DG49" i="34"/>
  <c r="DH49" i="34"/>
  <c r="DI49" i="34"/>
  <c r="DJ49" i="34"/>
  <c r="DK49" i="34"/>
  <c r="DL49" i="34"/>
  <c r="DM49" i="34"/>
  <c r="DN49" i="34"/>
  <c r="DO49" i="34"/>
  <c r="DP49" i="34"/>
  <c r="DQ49" i="34"/>
  <c r="DR49" i="34"/>
  <c r="DS49" i="34"/>
  <c r="DT49" i="34"/>
  <c r="DU49" i="34"/>
  <c r="DV49" i="34"/>
  <c r="DW49" i="34"/>
  <c r="DX49" i="34"/>
  <c r="DY49" i="34"/>
  <c r="DZ49" i="34"/>
  <c r="EA49" i="34"/>
  <c r="EB49" i="34"/>
  <c r="L50" i="34"/>
  <c r="M50" i="34"/>
  <c r="N50" i="34"/>
  <c r="O50" i="34"/>
  <c r="P50" i="34"/>
  <c r="Q50" i="34"/>
  <c r="R50" i="34"/>
  <c r="S50" i="34"/>
  <c r="T50" i="34"/>
  <c r="U50" i="34"/>
  <c r="V50" i="34"/>
  <c r="W50" i="34"/>
  <c r="X50" i="34"/>
  <c r="Y50" i="34"/>
  <c r="Z50" i="34"/>
  <c r="AA50" i="34"/>
  <c r="AB50" i="34"/>
  <c r="AC50" i="34"/>
  <c r="AD50" i="34"/>
  <c r="AE50" i="34"/>
  <c r="AF50" i="34"/>
  <c r="AG50" i="34"/>
  <c r="AH50" i="34"/>
  <c r="AI50" i="34"/>
  <c r="AJ50" i="34"/>
  <c r="AK50" i="34"/>
  <c r="AL50" i="34"/>
  <c r="AM50" i="34"/>
  <c r="AN50" i="34"/>
  <c r="AO50" i="34"/>
  <c r="AP50" i="34"/>
  <c r="AQ50" i="34"/>
  <c r="AR50" i="34"/>
  <c r="AS50" i="34"/>
  <c r="AT50" i="34"/>
  <c r="AU50" i="34"/>
  <c r="AV50" i="34"/>
  <c r="AW50" i="34"/>
  <c r="AX50" i="34"/>
  <c r="AY50" i="34"/>
  <c r="AZ50" i="34"/>
  <c r="BA50" i="34"/>
  <c r="BB50" i="34"/>
  <c r="BC50" i="34"/>
  <c r="BD50" i="34"/>
  <c r="BE50" i="34"/>
  <c r="BF50" i="34"/>
  <c r="BG50" i="34"/>
  <c r="BH50" i="34"/>
  <c r="BI50" i="34"/>
  <c r="BJ50" i="34"/>
  <c r="BK50" i="34"/>
  <c r="BL50" i="34"/>
  <c r="BM50" i="34"/>
  <c r="BN50" i="34"/>
  <c r="BO50" i="34"/>
  <c r="BP50" i="34"/>
  <c r="BQ50" i="34"/>
  <c r="BR50" i="34"/>
  <c r="BS50" i="34"/>
  <c r="BT50" i="34"/>
  <c r="BU50" i="34"/>
  <c r="BV50" i="34"/>
  <c r="BW50" i="34"/>
  <c r="BX50" i="34"/>
  <c r="BY50" i="34"/>
  <c r="BZ50" i="34"/>
  <c r="CA50" i="34"/>
  <c r="CB50" i="34"/>
  <c r="CC50" i="34"/>
  <c r="CD50" i="34"/>
  <c r="CE50" i="34"/>
  <c r="CF50" i="34"/>
  <c r="CG50" i="34"/>
  <c r="CH50" i="34"/>
  <c r="CI50" i="34"/>
  <c r="CJ50" i="34"/>
  <c r="CK50" i="34"/>
  <c r="CL50" i="34"/>
  <c r="CM50" i="34"/>
  <c r="CN50" i="34"/>
  <c r="CO50" i="34"/>
  <c r="CP50" i="34"/>
  <c r="CQ50" i="34"/>
  <c r="CR50" i="34"/>
  <c r="CS50" i="34"/>
  <c r="CT50" i="34"/>
  <c r="CU50" i="34"/>
  <c r="CV50" i="34"/>
  <c r="CW50" i="34"/>
  <c r="CX50" i="34"/>
  <c r="CY50" i="34"/>
  <c r="CZ50" i="34"/>
  <c r="DA50" i="34"/>
  <c r="DB50" i="34"/>
  <c r="DC50" i="34"/>
  <c r="DD50" i="34"/>
  <c r="DE50" i="34"/>
  <c r="DF50" i="34"/>
  <c r="DG50" i="34"/>
  <c r="DH50" i="34"/>
  <c r="DI50" i="34"/>
  <c r="DJ50" i="34"/>
  <c r="DK50" i="34"/>
  <c r="DL50" i="34"/>
  <c r="DM50" i="34"/>
  <c r="DN50" i="34"/>
  <c r="DO50" i="34"/>
  <c r="DP50" i="34"/>
  <c r="DQ50" i="34"/>
  <c r="DR50" i="34"/>
  <c r="DS50" i="34"/>
  <c r="DT50" i="34"/>
  <c r="DU50" i="34"/>
  <c r="DV50" i="34"/>
  <c r="DW50" i="34"/>
  <c r="DX50" i="34"/>
  <c r="DY50" i="34"/>
  <c r="DZ50" i="34"/>
  <c r="EA50" i="34"/>
  <c r="EB50" i="34"/>
  <c r="L51" i="34"/>
  <c r="M51" i="34"/>
  <c r="N51" i="34"/>
  <c r="O51" i="34"/>
  <c r="P51" i="34"/>
  <c r="Q51" i="34"/>
  <c r="R51" i="34"/>
  <c r="S51" i="34"/>
  <c r="T51" i="34"/>
  <c r="U51" i="34"/>
  <c r="V51" i="34"/>
  <c r="W51" i="34"/>
  <c r="X51" i="34"/>
  <c r="Y51" i="34"/>
  <c r="Z51" i="34"/>
  <c r="AA51" i="34"/>
  <c r="AB51" i="34"/>
  <c r="AC51" i="34"/>
  <c r="AD51" i="34"/>
  <c r="AE51" i="34"/>
  <c r="AF51" i="34"/>
  <c r="AG51" i="34"/>
  <c r="AH51" i="34"/>
  <c r="AI51" i="34"/>
  <c r="AJ51" i="34"/>
  <c r="AK51" i="34"/>
  <c r="AL51" i="34"/>
  <c r="AM51" i="34"/>
  <c r="AN51" i="34"/>
  <c r="AO51" i="34"/>
  <c r="AP51" i="34"/>
  <c r="AQ51" i="34"/>
  <c r="AR51" i="34"/>
  <c r="AS51" i="34"/>
  <c r="AT51" i="34"/>
  <c r="AU51" i="34"/>
  <c r="AV51" i="34"/>
  <c r="AW51" i="34"/>
  <c r="AX51" i="34"/>
  <c r="AY51" i="34"/>
  <c r="AZ51" i="34"/>
  <c r="BA51" i="34"/>
  <c r="BB51" i="34"/>
  <c r="BC51" i="34"/>
  <c r="BD51" i="34"/>
  <c r="BE51" i="34"/>
  <c r="BF51" i="34"/>
  <c r="BG51" i="34"/>
  <c r="BH51" i="34"/>
  <c r="BI51" i="34"/>
  <c r="BJ51" i="34"/>
  <c r="BK51" i="34"/>
  <c r="BL51" i="34"/>
  <c r="BM51" i="34"/>
  <c r="BN51" i="34"/>
  <c r="BO51" i="34"/>
  <c r="BP51" i="34"/>
  <c r="BQ51" i="34"/>
  <c r="BR51" i="34"/>
  <c r="BS51" i="34"/>
  <c r="BT51" i="34"/>
  <c r="BU51" i="34"/>
  <c r="BV51" i="34"/>
  <c r="BW51" i="34"/>
  <c r="BX51" i="34"/>
  <c r="BY51" i="34"/>
  <c r="BZ51" i="34"/>
  <c r="CA51" i="34"/>
  <c r="CB51" i="34"/>
  <c r="CC51" i="34"/>
  <c r="CD51" i="34"/>
  <c r="CE51" i="34"/>
  <c r="CF51" i="34"/>
  <c r="CG51" i="34"/>
  <c r="CH51" i="34"/>
  <c r="CI51" i="34"/>
  <c r="CJ51" i="34"/>
  <c r="CK51" i="34"/>
  <c r="CL51" i="34"/>
  <c r="CM51" i="34"/>
  <c r="CN51" i="34"/>
  <c r="CO51" i="34"/>
  <c r="CP51" i="34"/>
  <c r="CQ51" i="34"/>
  <c r="CR51" i="34"/>
  <c r="CS51" i="34"/>
  <c r="CT51" i="34"/>
  <c r="CU51" i="34"/>
  <c r="CV51" i="34"/>
  <c r="CW51" i="34"/>
  <c r="CX51" i="34"/>
  <c r="CY51" i="34"/>
  <c r="CZ51" i="34"/>
  <c r="DA51" i="34"/>
  <c r="DB51" i="34"/>
  <c r="DC51" i="34"/>
  <c r="DD51" i="34"/>
  <c r="DE51" i="34"/>
  <c r="DF51" i="34"/>
  <c r="DG51" i="34"/>
  <c r="DH51" i="34"/>
  <c r="DI51" i="34"/>
  <c r="DJ51" i="34"/>
  <c r="DK51" i="34"/>
  <c r="DL51" i="34"/>
  <c r="DM51" i="34"/>
  <c r="DN51" i="34"/>
  <c r="DO51" i="34"/>
  <c r="DP51" i="34"/>
  <c r="DQ51" i="34"/>
  <c r="DR51" i="34"/>
  <c r="DS51" i="34"/>
  <c r="DT51" i="34"/>
  <c r="DU51" i="34"/>
  <c r="DV51" i="34"/>
  <c r="DW51" i="34"/>
  <c r="DX51" i="34"/>
  <c r="DY51" i="34"/>
  <c r="DZ51" i="34"/>
  <c r="EA51" i="34"/>
  <c r="EB51" i="34"/>
  <c r="L52" i="34"/>
  <c r="M52" i="34"/>
  <c r="N52" i="34"/>
  <c r="O52" i="34"/>
  <c r="P52" i="34"/>
  <c r="Q52" i="34"/>
  <c r="R52" i="34"/>
  <c r="S52" i="34"/>
  <c r="T52" i="34"/>
  <c r="U52" i="34"/>
  <c r="V52" i="34"/>
  <c r="W52" i="34"/>
  <c r="X52" i="34"/>
  <c r="Y52" i="34"/>
  <c r="Z52" i="34"/>
  <c r="AA52" i="34"/>
  <c r="AB52" i="34"/>
  <c r="AC52" i="34"/>
  <c r="AD52" i="34"/>
  <c r="AE52" i="34"/>
  <c r="AF52" i="34"/>
  <c r="AG52" i="34"/>
  <c r="AH52" i="34"/>
  <c r="AI52" i="34"/>
  <c r="AJ52" i="34"/>
  <c r="AK52" i="34"/>
  <c r="AL52" i="34"/>
  <c r="AM52" i="34"/>
  <c r="AN52" i="34"/>
  <c r="AO52" i="34"/>
  <c r="AP52" i="34"/>
  <c r="AQ52" i="34"/>
  <c r="AR52" i="34"/>
  <c r="AS52" i="34"/>
  <c r="AT52" i="34"/>
  <c r="AU52" i="34"/>
  <c r="AV52" i="34"/>
  <c r="AW52" i="34"/>
  <c r="AX52" i="34"/>
  <c r="AY52" i="34"/>
  <c r="AZ52" i="34"/>
  <c r="BA52" i="34"/>
  <c r="BB52" i="34"/>
  <c r="BC52" i="34"/>
  <c r="BD52" i="34"/>
  <c r="BE52" i="34"/>
  <c r="BF52" i="34"/>
  <c r="BG52" i="34"/>
  <c r="BH52" i="34"/>
  <c r="BI52" i="34"/>
  <c r="BJ52" i="34"/>
  <c r="BK52" i="34"/>
  <c r="BL52" i="34"/>
  <c r="BM52" i="34"/>
  <c r="BN52" i="34"/>
  <c r="BO52" i="34"/>
  <c r="BP52" i="34"/>
  <c r="BQ52" i="34"/>
  <c r="BR52" i="34"/>
  <c r="BS52" i="34"/>
  <c r="BT52" i="34"/>
  <c r="BU52" i="34"/>
  <c r="BV52" i="34"/>
  <c r="BW52" i="34"/>
  <c r="BX52" i="34"/>
  <c r="BY52" i="34"/>
  <c r="BZ52" i="34"/>
  <c r="CA52" i="34"/>
  <c r="CB52" i="34"/>
  <c r="CC52" i="34"/>
  <c r="CD52" i="34"/>
  <c r="CE52" i="34"/>
  <c r="CF52" i="34"/>
  <c r="CG52" i="34"/>
  <c r="CH52" i="34"/>
  <c r="CI52" i="34"/>
  <c r="CJ52" i="34"/>
  <c r="CK52" i="34"/>
  <c r="CL52" i="34"/>
  <c r="CM52" i="34"/>
  <c r="CN52" i="34"/>
  <c r="CO52" i="34"/>
  <c r="CP52" i="34"/>
  <c r="CQ52" i="34"/>
  <c r="CR52" i="34"/>
  <c r="CS52" i="34"/>
  <c r="CT52" i="34"/>
  <c r="CU52" i="34"/>
  <c r="CV52" i="34"/>
  <c r="CW52" i="34"/>
  <c r="CX52" i="34"/>
  <c r="CY52" i="34"/>
  <c r="CZ52" i="34"/>
  <c r="DA52" i="34"/>
  <c r="DB52" i="34"/>
  <c r="DC52" i="34"/>
  <c r="DD52" i="34"/>
  <c r="DE52" i="34"/>
  <c r="DF52" i="34"/>
  <c r="DG52" i="34"/>
  <c r="DH52" i="34"/>
  <c r="DI52" i="34"/>
  <c r="DJ52" i="34"/>
  <c r="DK52" i="34"/>
  <c r="DL52" i="34"/>
  <c r="DM52" i="34"/>
  <c r="DN52" i="34"/>
  <c r="DO52" i="34"/>
  <c r="DP52" i="34"/>
  <c r="DQ52" i="34"/>
  <c r="DR52" i="34"/>
  <c r="DS52" i="34"/>
  <c r="DT52" i="34"/>
  <c r="DU52" i="34"/>
  <c r="DV52" i="34"/>
  <c r="DW52" i="34"/>
  <c r="DX52" i="34"/>
  <c r="DY52" i="34"/>
  <c r="DZ52" i="34"/>
  <c r="EA52" i="34"/>
  <c r="EB52" i="34"/>
  <c r="J53" i="34"/>
  <c r="L56" i="34"/>
  <c r="L57" i="34"/>
  <c r="M57" i="34"/>
  <c r="N57" i="34"/>
  <c r="O57" i="34"/>
  <c r="P57" i="34"/>
  <c r="Q57" i="34"/>
  <c r="R57" i="34"/>
  <c r="S57" i="34"/>
  <c r="T57" i="34"/>
  <c r="U57" i="34"/>
  <c r="V57" i="34"/>
  <c r="W57" i="34"/>
  <c r="X57" i="34"/>
  <c r="Y57" i="34"/>
  <c r="Z57" i="34"/>
  <c r="AA57" i="34"/>
  <c r="AB57" i="34"/>
  <c r="AC57" i="34"/>
  <c r="AD57" i="34"/>
  <c r="AE57" i="34"/>
  <c r="AF57" i="34"/>
  <c r="AG57" i="34"/>
  <c r="AH57" i="34"/>
  <c r="AI57" i="34"/>
  <c r="AJ57" i="34"/>
  <c r="AK57" i="34"/>
  <c r="AL57" i="34"/>
  <c r="AM57" i="34"/>
  <c r="AN57" i="34"/>
  <c r="AO57" i="34"/>
  <c r="AP57" i="34"/>
  <c r="AQ57" i="34"/>
  <c r="AR57" i="34"/>
  <c r="AS57" i="34"/>
  <c r="AT57" i="34"/>
  <c r="AU57" i="34"/>
  <c r="AV57" i="34"/>
  <c r="AW57" i="34"/>
  <c r="AX57" i="34"/>
  <c r="AY57" i="34"/>
  <c r="AZ57" i="34"/>
  <c r="BA57" i="34"/>
  <c r="BB57" i="34"/>
  <c r="BC57" i="34"/>
  <c r="BD57" i="34"/>
  <c r="BE57" i="34"/>
  <c r="BF57" i="34"/>
  <c r="BG57" i="34"/>
  <c r="BH57" i="34"/>
  <c r="BI57" i="34"/>
  <c r="BJ57" i="34"/>
  <c r="BK57" i="34"/>
  <c r="BL57" i="34"/>
  <c r="BM57" i="34"/>
  <c r="BN57" i="34"/>
  <c r="BO57" i="34"/>
  <c r="BP57" i="34"/>
  <c r="BQ57" i="34"/>
  <c r="BR57" i="34"/>
  <c r="BS57" i="34"/>
  <c r="BT57" i="34"/>
  <c r="BU57" i="34"/>
  <c r="BV57" i="34"/>
  <c r="BW57" i="34"/>
  <c r="BX57" i="34"/>
  <c r="BY57" i="34"/>
  <c r="BZ57" i="34"/>
  <c r="CA57" i="34"/>
  <c r="CB57" i="34"/>
  <c r="CC57" i="34"/>
  <c r="CD57" i="34"/>
  <c r="CE57" i="34"/>
  <c r="CF57" i="34"/>
  <c r="CG57" i="34"/>
  <c r="CH57" i="34"/>
  <c r="CI57" i="34"/>
  <c r="CJ57" i="34"/>
  <c r="CK57" i="34"/>
  <c r="CL57" i="34"/>
  <c r="CM57" i="34"/>
  <c r="CN57" i="34"/>
  <c r="CO57" i="34"/>
  <c r="CP57" i="34"/>
  <c r="CQ57" i="34"/>
  <c r="CR57" i="34"/>
  <c r="CS57" i="34"/>
  <c r="CT57" i="34"/>
  <c r="CU57" i="34"/>
  <c r="CV57" i="34"/>
  <c r="CW57" i="34"/>
  <c r="CX57" i="34"/>
  <c r="CY57" i="34"/>
  <c r="CZ57" i="34"/>
  <c r="DA57" i="34"/>
  <c r="DB57" i="34"/>
  <c r="DC57" i="34"/>
  <c r="DD57" i="34"/>
  <c r="DE57" i="34"/>
  <c r="DF57" i="34"/>
  <c r="DG57" i="34"/>
  <c r="DH57" i="34"/>
  <c r="DI57" i="34"/>
  <c r="DJ57" i="34"/>
  <c r="DK57" i="34"/>
  <c r="DL57" i="34"/>
  <c r="DM57" i="34"/>
  <c r="DN57" i="34"/>
  <c r="DO57" i="34"/>
  <c r="DP57" i="34"/>
  <c r="DQ57" i="34"/>
  <c r="DR57" i="34"/>
  <c r="DS57" i="34"/>
  <c r="DT57" i="34"/>
  <c r="DU57" i="34"/>
  <c r="DV57" i="34"/>
  <c r="DW57" i="34"/>
  <c r="DX57" i="34"/>
  <c r="DY57" i="34"/>
  <c r="DZ57" i="34"/>
  <c r="EA57" i="34"/>
  <c r="EB57" i="34"/>
  <c r="L59" i="34"/>
  <c r="M59" i="34"/>
  <c r="N59" i="34"/>
  <c r="O59" i="34"/>
  <c r="P59" i="34"/>
  <c r="Q59" i="34"/>
  <c r="R59" i="34"/>
  <c r="S59" i="34"/>
  <c r="T59" i="34"/>
  <c r="U59" i="34"/>
  <c r="V59" i="34"/>
  <c r="W59" i="34"/>
  <c r="X59" i="34"/>
  <c r="Y59" i="34"/>
  <c r="Z59" i="34"/>
  <c r="AA59" i="34"/>
  <c r="AB59" i="34"/>
  <c r="AC59" i="34"/>
  <c r="AD59" i="34"/>
  <c r="AE59" i="34"/>
  <c r="AF59" i="34"/>
  <c r="AG59" i="34"/>
  <c r="AH59" i="34"/>
  <c r="AI59" i="34"/>
  <c r="AJ59" i="34"/>
  <c r="AK59" i="34"/>
  <c r="AL59" i="34"/>
  <c r="AM59" i="34"/>
  <c r="AN59" i="34"/>
  <c r="AO59" i="34"/>
  <c r="AP59" i="34"/>
  <c r="AQ59" i="34"/>
  <c r="AR59" i="34"/>
  <c r="AS59" i="34"/>
  <c r="AT59" i="34"/>
  <c r="AU59" i="34"/>
  <c r="AV59" i="34"/>
  <c r="AW59" i="34"/>
  <c r="AX59" i="34"/>
  <c r="AY59" i="34"/>
  <c r="AZ59" i="34"/>
  <c r="BA59" i="34"/>
  <c r="BB59" i="34"/>
  <c r="BC59" i="34"/>
  <c r="BD59" i="34"/>
  <c r="BE59" i="34"/>
  <c r="BF59" i="34"/>
  <c r="BG59" i="34"/>
  <c r="BH59" i="34"/>
  <c r="BI59" i="34"/>
  <c r="BJ59" i="34"/>
  <c r="BK59" i="34"/>
  <c r="BL59" i="34"/>
  <c r="BM59" i="34"/>
  <c r="BN59" i="34"/>
  <c r="BO59" i="34"/>
  <c r="BP59" i="34"/>
  <c r="BQ59" i="34"/>
  <c r="BR59" i="34"/>
  <c r="BS59" i="34"/>
  <c r="BT59" i="34"/>
  <c r="BU59" i="34"/>
  <c r="BV59" i="34"/>
  <c r="BW59" i="34"/>
  <c r="BX59" i="34"/>
  <c r="BY59" i="34"/>
  <c r="BZ59" i="34"/>
  <c r="CA59" i="34"/>
  <c r="CB59" i="34"/>
  <c r="CC59" i="34"/>
  <c r="CD59" i="34"/>
  <c r="CE59" i="34"/>
  <c r="CF59" i="34"/>
  <c r="CG59" i="34"/>
  <c r="CH59" i="34"/>
  <c r="CI59" i="34"/>
  <c r="CJ59" i="34"/>
  <c r="CK59" i="34"/>
  <c r="CL59" i="34"/>
  <c r="CM59" i="34"/>
  <c r="CN59" i="34"/>
  <c r="CO59" i="34"/>
  <c r="CP59" i="34"/>
  <c r="CQ59" i="34"/>
  <c r="CR59" i="34"/>
  <c r="CS59" i="34"/>
  <c r="CT59" i="34"/>
  <c r="CU59" i="34"/>
  <c r="CV59" i="34"/>
  <c r="CW59" i="34"/>
  <c r="CX59" i="34"/>
  <c r="CY59" i="34"/>
  <c r="CZ59" i="34"/>
  <c r="DA59" i="34"/>
  <c r="DB59" i="34"/>
  <c r="DC59" i="34"/>
  <c r="DD59" i="34"/>
  <c r="DE59" i="34"/>
  <c r="DF59" i="34"/>
  <c r="DG59" i="34"/>
  <c r="DH59" i="34"/>
  <c r="DI59" i="34"/>
  <c r="DJ59" i="34"/>
  <c r="DK59" i="34"/>
  <c r="DL59" i="34"/>
  <c r="DM59" i="34"/>
  <c r="DN59" i="34"/>
  <c r="DO59" i="34"/>
  <c r="DP59" i="34"/>
  <c r="DQ59" i="34"/>
  <c r="DR59" i="34"/>
  <c r="DS59" i="34"/>
  <c r="DT59" i="34"/>
  <c r="DU59" i="34"/>
  <c r="DV59" i="34"/>
  <c r="DW59" i="34"/>
  <c r="DX59" i="34"/>
  <c r="DY59" i="34"/>
  <c r="DZ59" i="34"/>
  <c r="EA59" i="34"/>
  <c r="EB59" i="34"/>
  <c r="L60" i="34"/>
  <c r="M60" i="34"/>
  <c r="N60" i="34"/>
  <c r="O60" i="34"/>
  <c r="P60" i="34"/>
  <c r="Q60" i="34"/>
  <c r="R60" i="34"/>
  <c r="S60" i="34"/>
  <c r="T60" i="34"/>
  <c r="U60" i="34"/>
  <c r="V60" i="34"/>
  <c r="W60" i="34"/>
  <c r="X60" i="34"/>
  <c r="Y60" i="34"/>
  <c r="Z60" i="34"/>
  <c r="AA60" i="34"/>
  <c r="AB60" i="34"/>
  <c r="AC60" i="34"/>
  <c r="AD60" i="34"/>
  <c r="AE60" i="34"/>
  <c r="AF60" i="34"/>
  <c r="AG60" i="34"/>
  <c r="AH60" i="34"/>
  <c r="AI60" i="34"/>
  <c r="AJ60" i="34"/>
  <c r="AK60" i="34"/>
  <c r="AL60" i="34"/>
  <c r="AM60" i="34"/>
  <c r="AN60" i="34"/>
  <c r="AO60" i="34"/>
  <c r="AP60" i="34"/>
  <c r="AQ60" i="34"/>
  <c r="AR60" i="34"/>
  <c r="AS60" i="34"/>
  <c r="AT60" i="34"/>
  <c r="AU60" i="34"/>
  <c r="AV60" i="34"/>
  <c r="AW60" i="34"/>
  <c r="AX60" i="34"/>
  <c r="AY60" i="34"/>
  <c r="AZ60" i="34"/>
  <c r="BA60" i="34"/>
  <c r="BB60" i="34"/>
  <c r="BC60" i="34"/>
  <c r="BD60" i="34"/>
  <c r="BE60" i="34"/>
  <c r="BF60" i="34"/>
  <c r="BG60" i="34"/>
  <c r="BH60" i="34"/>
  <c r="BI60" i="34"/>
  <c r="BJ60" i="34"/>
  <c r="BK60" i="34"/>
  <c r="BL60" i="34"/>
  <c r="BM60" i="34"/>
  <c r="BN60" i="34"/>
  <c r="BO60" i="34"/>
  <c r="BP60" i="34"/>
  <c r="BQ60" i="34"/>
  <c r="BR60" i="34"/>
  <c r="BS60" i="34"/>
  <c r="BT60" i="34"/>
  <c r="BU60" i="34"/>
  <c r="BV60" i="34"/>
  <c r="BW60" i="34"/>
  <c r="BX60" i="34"/>
  <c r="BY60" i="34"/>
  <c r="BZ60" i="34"/>
  <c r="CA60" i="34"/>
  <c r="CB60" i="34"/>
  <c r="CC60" i="34"/>
  <c r="CD60" i="34"/>
  <c r="CE60" i="34"/>
  <c r="CF60" i="34"/>
  <c r="CG60" i="34"/>
  <c r="CH60" i="34"/>
  <c r="CI60" i="34"/>
  <c r="CJ60" i="34"/>
  <c r="CK60" i="34"/>
  <c r="CL60" i="34"/>
  <c r="CM60" i="34"/>
  <c r="CN60" i="34"/>
  <c r="CO60" i="34"/>
  <c r="CP60" i="34"/>
  <c r="CQ60" i="34"/>
  <c r="CR60" i="34"/>
  <c r="CS60" i="34"/>
  <c r="CT60" i="34"/>
  <c r="CU60" i="34"/>
  <c r="CV60" i="34"/>
  <c r="CW60" i="34"/>
  <c r="CX60" i="34"/>
  <c r="CY60" i="34"/>
  <c r="CZ60" i="34"/>
  <c r="DA60" i="34"/>
  <c r="DB60" i="34"/>
  <c r="DC60" i="34"/>
  <c r="DD60" i="34"/>
  <c r="DE60" i="34"/>
  <c r="DF60" i="34"/>
  <c r="DG60" i="34"/>
  <c r="DH60" i="34"/>
  <c r="DI60" i="34"/>
  <c r="DJ60" i="34"/>
  <c r="DK60" i="34"/>
  <c r="DL60" i="34"/>
  <c r="DM60" i="34"/>
  <c r="DN60" i="34"/>
  <c r="DO60" i="34"/>
  <c r="DP60" i="34"/>
  <c r="DQ60" i="34"/>
  <c r="DR60" i="34"/>
  <c r="DS60" i="34"/>
  <c r="DT60" i="34"/>
  <c r="DU60" i="34"/>
  <c r="DV60" i="34"/>
  <c r="DW60" i="34"/>
  <c r="DX60" i="34"/>
  <c r="DY60" i="34"/>
  <c r="DZ60" i="34"/>
  <c r="EA60" i="34"/>
  <c r="EB60" i="34"/>
  <c r="M64" i="34"/>
  <c r="N64" i="34"/>
  <c r="O64" i="34"/>
  <c r="P64" i="34"/>
  <c r="Q64" i="34"/>
  <c r="R64" i="34"/>
  <c r="S64" i="34"/>
  <c r="T64" i="34"/>
  <c r="U64" i="34"/>
  <c r="V64" i="34"/>
  <c r="W64" i="34"/>
  <c r="X64" i="34"/>
  <c r="Y64" i="34"/>
  <c r="Z64" i="34"/>
  <c r="AA64" i="34"/>
  <c r="AB64" i="34"/>
  <c r="AC64" i="34"/>
  <c r="AD64" i="34"/>
  <c r="AE64" i="34"/>
  <c r="AF64" i="34"/>
  <c r="AG64" i="34"/>
  <c r="AH64" i="34"/>
  <c r="AI64" i="34"/>
  <c r="AJ64" i="34"/>
  <c r="AK64" i="34"/>
  <c r="AL64" i="34"/>
  <c r="AM64" i="34"/>
  <c r="AN64" i="34"/>
  <c r="AO64" i="34"/>
  <c r="AP64" i="34"/>
  <c r="AQ64" i="34"/>
  <c r="AR64" i="34"/>
  <c r="AS64" i="34"/>
  <c r="AT64" i="34"/>
  <c r="AU64" i="34"/>
  <c r="AV64" i="34"/>
  <c r="AW64" i="34"/>
  <c r="AX64" i="34"/>
  <c r="AY64" i="34"/>
  <c r="AZ64" i="34"/>
  <c r="BA64" i="34"/>
  <c r="BB64" i="34"/>
  <c r="BC64" i="34"/>
  <c r="BD64" i="34"/>
  <c r="BE64" i="34"/>
  <c r="BF64" i="34"/>
  <c r="BG64" i="34"/>
  <c r="BH64" i="34"/>
  <c r="BI64" i="34"/>
  <c r="BJ64" i="34"/>
  <c r="BK64" i="34"/>
  <c r="BL64" i="34"/>
  <c r="BM64" i="34"/>
  <c r="BN64" i="34"/>
  <c r="BO64" i="34"/>
  <c r="BP64" i="34"/>
  <c r="BQ64" i="34"/>
  <c r="BR64" i="34"/>
  <c r="BS64" i="34"/>
  <c r="BT64" i="34"/>
  <c r="BU64" i="34"/>
  <c r="BV64" i="34"/>
  <c r="BW64" i="34"/>
  <c r="BX64" i="34"/>
  <c r="BY64" i="34"/>
  <c r="BZ64" i="34"/>
  <c r="CA64" i="34"/>
  <c r="CB64" i="34"/>
  <c r="CC64" i="34"/>
  <c r="CD64" i="34"/>
  <c r="CE64" i="34"/>
  <c r="CF64" i="34"/>
  <c r="CG64" i="34"/>
  <c r="CH64" i="34"/>
  <c r="CI64" i="34"/>
  <c r="CJ64" i="34"/>
  <c r="CK64" i="34"/>
  <c r="CL64" i="34"/>
  <c r="CM64" i="34"/>
  <c r="CN64" i="34"/>
  <c r="CO64" i="34"/>
  <c r="CP64" i="34"/>
  <c r="CQ64" i="34"/>
  <c r="CR64" i="34"/>
  <c r="CS64" i="34"/>
  <c r="CT64" i="34"/>
  <c r="CU64" i="34"/>
  <c r="CV64" i="34"/>
  <c r="CW64" i="34"/>
  <c r="CX64" i="34"/>
  <c r="CY64" i="34"/>
  <c r="CZ64" i="34"/>
  <c r="DA64" i="34"/>
  <c r="DB64" i="34"/>
  <c r="DC64" i="34"/>
  <c r="DD64" i="34"/>
  <c r="DE64" i="34"/>
  <c r="DF64" i="34"/>
  <c r="DG64" i="34"/>
  <c r="DH64" i="34"/>
  <c r="DI64" i="34"/>
  <c r="DJ64" i="34"/>
  <c r="DK64" i="34"/>
  <c r="DL64" i="34"/>
  <c r="DM64" i="34"/>
  <c r="DN64" i="34"/>
  <c r="DO64" i="34"/>
  <c r="DP64" i="34"/>
  <c r="DQ64" i="34"/>
  <c r="DR64" i="34"/>
  <c r="DS64" i="34"/>
  <c r="DT64" i="34"/>
  <c r="DU64" i="34"/>
  <c r="DV64" i="34"/>
  <c r="DW64" i="34"/>
  <c r="DX64" i="34"/>
  <c r="DY64" i="34"/>
  <c r="DZ64" i="34"/>
  <c r="EA64" i="34"/>
  <c r="EB64" i="34"/>
  <c r="M65" i="34"/>
  <c r="N65" i="34"/>
  <c r="O65" i="34"/>
  <c r="P65" i="34"/>
  <c r="Q65" i="34"/>
  <c r="R65" i="34"/>
  <c r="S65" i="34"/>
  <c r="T65" i="34"/>
  <c r="U65" i="34"/>
  <c r="V65" i="34"/>
  <c r="W65" i="34"/>
  <c r="X65" i="34"/>
  <c r="Y65" i="34"/>
  <c r="Z65" i="34"/>
  <c r="AA65" i="34"/>
  <c r="AB65" i="34"/>
  <c r="AC65" i="34"/>
  <c r="AD65" i="34"/>
  <c r="AE65" i="34"/>
  <c r="AF65" i="34"/>
  <c r="AG65" i="34"/>
  <c r="AH65" i="34"/>
  <c r="AI65" i="34"/>
  <c r="AJ65" i="34"/>
  <c r="AK65" i="34"/>
  <c r="AL65" i="34"/>
  <c r="AM65" i="34"/>
  <c r="AN65" i="34"/>
  <c r="AO65" i="34"/>
  <c r="AP65" i="34"/>
  <c r="AQ65" i="34"/>
  <c r="AR65" i="34"/>
  <c r="AS65" i="34"/>
  <c r="AT65" i="34"/>
  <c r="AU65" i="34"/>
  <c r="AV65" i="34"/>
  <c r="AW65" i="34"/>
  <c r="AX65" i="34"/>
  <c r="AY65" i="34"/>
  <c r="AZ65" i="34"/>
  <c r="BA65" i="34"/>
  <c r="BB65" i="34"/>
  <c r="BC65" i="34"/>
  <c r="BD65" i="34"/>
  <c r="BE65" i="34"/>
  <c r="BF65" i="34"/>
  <c r="BG65" i="34"/>
  <c r="BH65" i="34"/>
  <c r="BI65" i="34"/>
  <c r="BJ65" i="34"/>
  <c r="BK65" i="34"/>
  <c r="BL65" i="34"/>
  <c r="BM65" i="34"/>
  <c r="BN65" i="34"/>
  <c r="BO65" i="34"/>
  <c r="BP65" i="34"/>
  <c r="BQ65" i="34"/>
  <c r="BR65" i="34"/>
  <c r="BS65" i="34"/>
  <c r="BT65" i="34"/>
  <c r="BU65" i="34"/>
  <c r="BV65" i="34"/>
  <c r="BW65" i="34"/>
  <c r="BX65" i="34"/>
  <c r="BY65" i="34"/>
  <c r="BZ65" i="34"/>
  <c r="CA65" i="34"/>
  <c r="CB65" i="34"/>
  <c r="CC65" i="34"/>
  <c r="CD65" i="34"/>
  <c r="CE65" i="34"/>
  <c r="CF65" i="34"/>
  <c r="CG65" i="34"/>
  <c r="CH65" i="34"/>
  <c r="CI65" i="34"/>
  <c r="CJ65" i="34"/>
  <c r="CK65" i="34"/>
  <c r="CL65" i="34"/>
  <c r="CM65" i="34"/>
  <c r="CN65" i="34"/>
  <c r="CO65" i="34"/>
  <c r="CP65" i="34"/>
  <c r="CQ65" i="34"/>
  <c r="CR65" i="34"/>
  <c r="CS65" i="34"/>
  <c r="CT65" i="34"/>
  <c r="CU65" i="34"/>
  <c r="CV65" i="34"/>
  <c r="CW65" i="34"/>
  <c r="CX65" i="34"/>
  <c r="CY65" i="34"/>
  <c r="CZ65" i="34"/>
  <c r="DA65" i="34"/>
  <c r="DB65" i="34"/>
  <c r="DC65" i="34"/>
  <c r="DD65" i="34"/>
  <c r="DE65" i="34"/>
  <c r="DF65" i="34"/>
  <c r="DG65" i="34"/>
  <c r="DH65" i="34"/>
  <c r="DI65" i="34"/>
  <c r="DJ65" i="34"/>
  <c r="DK65" i="34"/>
  <c r="DL65" i="34"/>
  <c r="DM65" i="34"/>
  <c r="DN65" i="34"/>
  <c r="DO65" i="34"/>
  <c r="DP65" i="34"/>
  <c r="DQ65" i="34"/>
  <c r="DR65" i="34"/>
  <c r="DS65" i="34"/>
  <c r="DT65" i="34"/>
  <c r="DU65" i="34"/>
  <c r="DV65" i="34"/>
  <c r="DW65" i="34"/>
  <c r="DX65" i="34"/>
  <c r="DY65" i="34"/>
  <c r="DZ65" i="34"/>
  <c r="EA65" i="34"/>
  <c r="EB65" i="34"/>
  <c r="L66" i="34"/>
  <c r="L67" i="34"/>
  <c r="M67" i="34"/>
  <c r="N67" i="34"/>
  <c r="O67" i="34"/>
  <c r="P67" i="34"/>
  <c r="Q67" i="34"/>
  <c r="R67" i="34"/>
  <c r="S67" i="34"/>
  <c r="T67" i="34"/>
  <c r="U67" i="34"/>
  <c r="V67" i="34"/>
  <c r="W67" i="34"/>
  <c r="X67" i="34"/>
  <c r="Y67" i="34"/>
  <c r="Z67" i="34"/>
  <c r="AA67" i="34"/>
  <c r="AB67" i="34"/>
  <c r="AC67" i="34"/>
  <c r="AD67" i="34"/>
  <c r="AE67" i="34"/>
  <c r="AF67" i="34"/>
  <c r="AG67" i="34"/>
  <c r="AH67" i="34"/>
  <c r="AI67" i="34"/>
  <c r="AJ67" i="34"/>
  <c r="AK67" i="34"/>
  <c r="AL67" i="34"/>
  <c r="AM67" i="34"/>
  <c r="AN67" i="34"/>
  <c r="AO67" i="34"/>
  <c r="AP67" i="34"/>
  <c r="AQ67" i="34"/>
  <c r="AR67" i="34"/>
  <c r="AS67" i="34"/>
  <c r="AT67" i="34"/>
  <c r="AU67" i="34"/>
  <c r="AV67" i="34"/>
  <c r="AW67" i="34"/>
  <c r="AX67" i="34"/>
  <c r="AY67" i="34"/>
  <c r="AZ67" i="34"/>
  <c r="BA67" i="34"/>
  <c r="BB67" i="34"/>
  <c r="BC67" i="34"/>
  <c r="BD67" i="34"/>
  <c r="BE67" i="34"/>
  <c r="BF67" i="34"/>
  <c r="BG67" i="34"/>
  <c r="BH67" i="34"/>
  <c r="BI67" i="34"/>
  <c r="BJ67" i="34"/>
  <c r="BK67" i="34"/>
  <c r="BL67" i="34"/>
  <c r="BM67" i="34"/>
  <c r="BN67" i="34"/>
  <c r="BO67" i="34"/>
  <c r="BP67" i="34"/>
  <c r="BQ67" i="34"/>
  <c r="BR67" i="34"/>
  <c r="BS67" i="34"/>
  <c r="BT67" i="34"/>
  <c r="BU67" i="34"/>
  <c r="BV67" i="34"/>
  <c r="BW67" i="34"/>
  <c r="BX67" i="34"/>
  <c r="BY67" i="34"/>
  <c r="BZ67" i="34"/>
  <c r="CA67" i="34"/>
  <c r="CB67" i="34"/>
  <c r="CC67" i="34"/>
  <c r="CD67" i="34"/>
  <c r="CE67" i="34"/>
  <c r="CF67" i="34"/>
  <c r="CG67" i="34"/>
  <c r="CH67" i="34"/>
  <c r="CI67" i="34"/>
  <c r="CJ67" i="34"/>
  <c r="CK67" i="34"/>
  <c r="CL67" i="34"/>
  <c r="CM67" i="34"/>
  <c r="CN67" i="34"/>
  <c r="CO67" i="34"/>
  <c r="CP67" i="34"/>
  <c r="CQ67" i="34"/>
  <c r="CR67" i="34"/>
  <c r="CS67" i="34"/>
  <c r="CT67" i="34"/>
  <c r="CU67" i="34"/>
  <c r="CV67" i="34"/>
  <c r="CW67" i="34"/>
  <c r="CX67" i="34"/>
  <c r="CY67" i="34"/>
  <c r="CZ67" i="34"/>
  <c r="DA67" i="34"/>
  <c r="DB67" i="34"/>
  <c r="DC67" i="34"/>
  <c r="DD67" i="34"/>
  <c r="DE67" i="34"/>
  <c r="DF67" i="34"/>
  <c r="DG67" i="34"/>
  <c r="DH67" i="34"/>
  <c r="DI67" i="34"/>
  <c r="DJ67" i="34"/>
  <c r="DK67" i="34"/>
  <c r="DL67" i="34"/>
  <c r="DM67" i="34"/>
  <c r="DN67" i="34"/>
  <c r="DO67" i="34"/>
  <c r="DP67" i="34"/>
  <c r="DQ67" i="34"/>
  <c r="DR67" i="34"/>
  <c r="DS67" i="34"/>
  <c r="DT67" i="34"/>
  <c r="DU67" i="34"/>
  <c r="DV67" i="34"/>
  <c r="DW67" i="34"/>
  <c r="DX67" i="34"/>
  <c r="DY67" i="34"/>
  <c r="DZ67" i="34"/>
  <c r="EA67" i="34"/>
  <c r="EB67" i="34"/>
  <c r="L68" i="34"/>
  <c r="M68" i="34"/>
  <c r="N68" i="34"/>
  <c r="O68" i="34"/>
  <c r="P68" i="34"/>
  <c r="Q68" i="34"/>
  <c r="R68" i="34"/>
  <c r="S68" i="34"/>
  <c r="T68" i="34"/>
  <c r="U68" i="34"/>
  <c r="V68" i="34"/>
  <c r="W68" i="34"/>
  <c r="X68" i="34"/>
  <c r="Y68" i="34"/>
  <c r="Z68" i="34"/>
  <c r="AA68" i="34"/>
  <c r="AB68" i="34"/>
  <c r="AC68" i="34"/>
  <c r="AD68" i="34"/>
  <c r="AE68" i="34"/>
  <c r="AF68" i="34"/>
  <c r="AG68" i="34"/>
  <c r="AH68" i="34"/>
  <c r="AI68" i="34"/>
  <c r="AJ68" i="34"/>
  <c r="AK68" i="34"/>
  <c r="AL68" i="34"/>
  <c r="AM68" i="34"/>
  <c r="AN68" i="34"/>
  <c r="AO68" i="34"/>
  <c r="AP68" i="34"/>
  <c r="AQ68" i="34"/>
  <c r="AR68" i="34"/>
  <c r="AS68" i="34"/>
  <c r="AT68" i="34"/>
  <c r="AU68" i="34"/>
  <c r="AV68" i="34"/>
  <c r="AW68" i="34"/>
  <c r="AX68" i="34"/>
  <c r="AY68" i="34"/>
  <c r="AZ68" i="34"/>
  <c r="BA68" i="34"/>
  <c r="BB68" i="34"/>
  <c r="BC68" i="34"/>
  <c r="BD68" i="34"/>
  <c r="BE68" i="34"/>
  <c r="BF68" i="34"/>
  <c r="BG68" i="34"/>
  <c r="BH68" i="34"/>
  <c r="BI68" i="34"/>
  <c r="BJ68" i="34"/>
  <c r="BK68" i="34"/>
  <c r="BL68" i="34"/>
  <c r="BM68" i="34"/>
  <c r="BN68" i="34"/>
  <c r="BO68" i="34"/>
  <c r="BP68" i="34"/>
  <c r="BQ68" i="34"/>
  <c r="BR68" i="34"/>
  <c r="BS68" i="34"/>
  <c r="BT68" i="34"/>
  <c r="BU68" i="34"/>
  <c r="BV68" i="34"/>
  <c r="BW68" i="34"/>
  <c r="BX68" i="34"/>
  <c r="BY68" i="34"/>
  <c r="BZ68" i="34"/>
  <c r="CA68" i="34"/>
  <c r="CB68" i="34"/>
  <c r="CC68" i="34"/>
  <c r="CD68" i="34"/>
  <c r="CE68" i="34"/>
  <c r="CF68" i="34"/>
  <c r="CG68" i="34"/>
  <c r="CH68" i="34"/>
  <c r="CI68" i="34"/>
  <c r="CJ68" i="34"/>
  <c r="CK68" i="34"/>
  <c r="CL68" i="34"/>
  <c r="CM68" i="34"/>
  <c r="CN68" i="34"/>
  <c r="CO68" i="34"/>
  <c r="CP68" i="34"/>
  <c r="CQ68" i="34"/>
  <c r="CR68" i="34"/>
  <c r="CS68" i="34"/>
  <c r="CT68" i="34"/>
  <c r="CU68" i="34"/>
  <c r="CV68" i="34"/>
  <c r="CW68" i="34"/>
  <c r="CX68" i="34"/>
  <c r="CY68" i="34"/>
  <c r="CZ68" i="34"/>
  <c r="DA68" i="34"/>
  <c r="DB68" i="34"/>
  <c r="DC68" i="34"/>
  <c r="DD68" i="34"/>
  <c r="DE68" i="34"/>
  <c r="DF68" i="34"/>
  <c r="DG68" i="34"/>
  <c r="DH68" i="34"/>
  <c r="DI68" i="34"/>
  <c r="DJ68" i="34"/>
  <c r="DK68" i="34"/>
  <c r="DL68" i="34"/>
  <c r="DM68" i="34"/>
  <c r="DN68" i="34"/>
  <c r="DO68" i="34"/>
  <c r="DP68" i="34"/>
  <c r="DQ68" i="34"/>
  <c r="DR68" i="34"/>
  <c r="DS68" i="34"/>
  <c r="DT68" i="34"/>
  <c r="DU68" i="34"/>
  <c r="DV68" i="34"/>
  <c r="DW68" i="34"/>
  <c r="DX68" i="34"/>
  <c r="DY68" i="34"/>
  <c r="DZ68" i="34"/>
  <c r="EA68" i="34"/>
  <c r="EB68" i="34"/>
  <c r="L69" i="34"/>
  <c r="M69" i="34"/>
  <c r="N69" i="34"/>
  <c r="O69" i="34"/>
  <c r="P69" i="34"/>
  <c r="Q69" i="34"/>
  <c r="R69" i="34"/>
  <c r="S69" i="34"/>
  <c r="T69" i="34"/>
  <c r="U69" i="34"/>
  <c r="V69" i="34"/>
  <c r="W69" i="34"/>
  <c r="X69" i="34"/>
  <c r="Y69" i="34"/>
  <c r="Z69" i="34"/>
  <c r="AA69" i="34"/>
  <c r="AB69" i="34"/>
  <c r="AC69" i="34"/>
  <c r="AD69" i="34"/>
  <c r="AE69" i="34"/>
  <c r="AF69" i="34"/>
  <c r="AG69" i="34"/>
  <c r="AH69" i="34"/>
  <c r="AI69" i="34"/>
  <c r="AJ69" i="34"/>
  <c r="AK69" i="34"/>
  <c r="AL69" i="34"/>
  <c r="AM69" i="34"/>
  <c r="AN69" i="34"/>
  <c r="AO69" i="34"/>
  <c r="AP69" i="34"/>
  <c r="AQ69" i="34"/>
  <c r="AR69" i="34"/>
  <c r="AS69" i="34"/>
  <c r="AT69" i="34"/>
  <c r="AU69" i="34"/>
  <c r="AV69" i="34"/>
  <c r="AW69" i="34"/>
  <c r="AX69" i="34"/>
  <c r="AY69" i="34"/>
  <c r="AZ69" i="34"/>
  <c r="BA69" i="34"/>
  <c r="BB69" i="34"/>
  <c r="BC69" i="34"/>
  <c r="BD69" i="34"/>
  <c r="BE69" i="34"/>
  <c r="BF69" i="34"/>
  <c r="BG69" i="34"/>
  <c r="BH69" i="34"/>
  <c r="BI69" i="34"/>
  <c r="BJ69" i="34"/>
  <c r="BK69" i="34"/>
  <c r="BL69" i="34"/>
  <c r="BM69" i="34"/>
  <c r="BN69" i="34"/>
  <c r="BO69" i="34"/>
  <c r="BP69" i="34"/>
  <c r="BQ69" i="34"/>
  <c r="BR69" i="34"/>
  <c r="BS69" i="34"/>
  <c r="BT69" i="34"/>
  <c r="BU69" i="34"/>
  <c r="BV69" i="34"/>
  <c r="BW69" i="34"/>
  <c r="BX69" i="34"/>
  <c r="BY69" i="34"/>
  <c r="BZ69" i="34"/>
  <c r="CA69" i="34"/>
  <c r="CB69" i="34"/>
  <c r="CC69" i="34"/>
  <c r="CD69" i="34"/>
  <c r="CE69" i="34"/>
  <c r="CF69" i="34"/>
  <c r="CG69" i="34"/>
  <c r="CH69" i="34"/>
  <c r="CI69" i="34"/>
  <c r="CJ69" i="34"/>
  <c r="CK69" i="34"/>
  <c r="CL69" i="34"/>
  <c r="CM69" i="34"/>
  <c r="CN69" i="34"/>
  <c r="CO69" i="34"/>
  <c r="CP69" i="34"/>
  <c r="CQ69" i="34"/>
  <c r="CR69" i="34"/>
  <c r="CS69" i="34"/>
  <c r="CT69" i="34"/>
  <c r="CU69" i="34"/>
  <c r="CV69" i="34"/>
  <c r="CW69" i="34"/>
  <c r="CX69" i="34"/>
  <c r="CY69" i="34"/>
  <c r="CZ69" i="34"/>
  <c r="DA69" i="34"/>
  <c r="DB69" i="34"/>
  <c r="DC69" i="34"/>
  <c r="DD69" i="34"/>
  <c r="DE69" i="34"/>
  <c r="DF69" i="34"/>
  <c r="DG69" i="34"/>
  <c r="DH69" i="34"/>
  <c r="DI69" i="34"/>
  <c r="DJ69" i="34"/>
  <c r="DK69" i="34"/>
  <c r="DL69" i="34"/>
  <c r="DM69" i="34"/>
  <c r="DN69" i="34"/>
  <c r="DO69" i="34"/>
  <c r="DP69" i="34"/>
  <c r="DQ69" i="34"/>
  <c r="DR69" i="34"/>
  <c r="DS69" i="34"/>
  <c r="DT69" i="34"/>
  <c r="DU69" i="34"/>
  <c r="DV69" i="34"/>
  <c r="DW69" i="34"/>
  <c r="DX69" i="34"/>
  <c r="DY69" i="34"/>
  <c r="DZ69" i="34"/>
  <c r="EA69" i="34"/>
  <c r="EB69" i="34"/>
  <c r="L70" i="34"/>
  <c r="M70" i="34"/>
  <c r="N70" i="34"/>
  <c r="O70" i="34"/>
  <c r="P70" i="34"/>
  <c r="Q70" i="34"/>
  <c r="R70" i="34"/>
  <c r="S70" i="34"/>
  <c r="T70" i="34"/>
  <c r="U70" i="34"/>
  <c r="V70" i="34"/>
  <c r="W70" i="34"/>
  <c r="X70" i="34"/>
  <c r="Y70" i="34"/>
  <c r="Z70" i="34"/>
  <c r="AA70" i="34"/>
  <c r="AB70" i="34"/>
  <c r="AC70" i="34"/>
  <c r="AD70" i="34"/>
  <c r="AE70" i="34"/>
  <c r="AF70" i="34"/>
  <c r="AG70" i="34"/>
  <c r="AH70" i="34"/>
  <c r="AI70" i="34"/>
  <c r="AJ70" i="34"/>
  <c r="AK70" i="34"/>
  <c r="AL70" i="34"/>
  <c r="AM70" i="34"/>
  <c r="AN70" i="34"/>
  <c r="AO70" i="34"/>
  <c r="AP70" i="34"/>
  <c r="AQ70" i="34"/>
  <c r="AR70" i="34"/>
  <c r="AS70" i="34"/>
  <c r="AT70" i="34"/>
  <c r="AU70" i="34"/>
  <c r="AV70" i="34"/>
  <c r="AW70" i="34"/>
  <c r="AX70" i="34"/>
  <c r="AY70" i="34"/>
  <c r="AZ70" i="34"/>
  <c r="BA70" i="34"/>
  <c r="BB70" i="34"/>
  <c r="BC70" i="34"/>
  <c r="BD70" i="34"/>
  <c r="BE70" i="34"/>
  <c r="BF70" i="34"/>
  <c r="BG70" i="34"/>
  <c r="BH70" i="34"/>
  <c r="BI70" i="34"/>
  <c r="BJ70" i="34"/>
  <c r="BK70" i="34"/>
  <c r="BL70" i="34"/>
  <c r="BM70" i="34"/>
  <c r="BN70" i="34"/>
  <c r="BO70" i="34"/>
  <c r="BP70" i="34"/>
  <c r="BQ70" i="34"/>
  <c r="BR70" i="34"/>
  <c r="BS70" i="34"/>
  <c r="BT70" i="34"/>
  <c r="BU70" i="34"/>
  <c r="BV70" i="34"/>
  <c r="BW70" i="34"/>
  <c r="BX70" i="34"/>
  <c r="BY70" i="34"/>
  <c r="BZ70" i="34"/>
  <c r="CA70" i="34"/>
  <c r="CB70" i="34"/>
  <c r="CC70" i="34"/>
  <c r="CD70" i="34"/>
  <c r="CE70" i="34"/>
  <c r="CF70" i="34"/>
  <c r="CG70" i="34"/>
  <c r="CH70" i="34"/>
  <c r="CI70" i="34"/>
  <c r="CJ70" i="34"/>
  <c r="CK70" i="34"/>
  <c r="CL70" i="34"/>
  <c r="CM70" i="34"/>
  <c r="CN70" i="34"/>
  <c r="CO70" i="34"/>
  <c r="CP70" i="34"/>
  <c r="CQ70" i="34"/>
  <c r="CR70" i="34"/>
  <c r="CS70" i="34"/>
  <c r="CT70" i="34"/>
  <c r="CU70" i="34"/>
  <c r="CV70" i="34"/>
  <c r="CW70" i="34"/>
  <c r="CX70" i="34"/>
  <c r="CY70" i="34"/>
  <c r="CZ70" i="34"/>
  <c r="DA70" i="34"/>
  <c r="DB70" i="34"/>
  <c r="DC70" i="34"/>
  <c r="DD70" i="34"/>
  <c r="DE70" i="34"/>
  <c r="DF70" i="34"/>
  <c r="DG70" i="34"/>
  <c r="DH70" i="34"/>
  <c r="DI70" i="34"/>
  <c r="DJ70" i="34"/>
  <c r="DK70" i="34"/>
  <c r="DL70" i="34"/>
  <c r="DM70" i="34"/>
  <c r="DN70" i="34"/>
  <c r="DO70" i="34"/>
  <c r="DP70" i="34"/>
  <c r="DQ70" i="34"/>
  <c r="DR70" i="34"/>
  <c r="DS70" i="34"/>
  <c r="DT70" i="34"/>
  <c r="DU70" i="34"/>
  <c r="DV70" i="34"/>
  <c r="DW70" i="34"/>
  <c r="DX70" i="34"/>
  <c r="DY70" i="34"/>
  <c r="DZ70" i="34"/>
  <c r="EA70" i="34"/>
  <c r="EB70" i="34"/>
  <c r="J71" i="34"/>
  <c r="J72" i="34"/>
  <c r="L74" i="34"/>
  <c r="L75" i="34"/>
  <c r="M75" i="34"/>
  <c r="N75" i="34"/>
  <c r="O75" i="34"/>
  <c r="P75" i="34"/>
  <c r="Q75" i="34"/>
  <c r="R75" i="34"/>
  <c r="S75" i="34"/>
  <c r="T75" i="34"/>
  <c r="U75" i="34"/>
  <c r="V75" i="34"/>
  <c r="W75" i="34"/>
  <c r="X75" i="34"/>
  <c r="Y75" i="34"/>
  <c r="Z75" i="34"/>
  <c r="AA75" i="34"/>
  <c r="AB75" i="34"/>
  <c r="AC75" i="34"/>
  <c r="AD75" i="34"/>
  <c r="AE75" i="34"/>
  <c r="AF75" i="34"/>
  <c r="AG75" i="34"/>
  <c r="AH75" i="34"/>
  <c r="AI75" i="34"/>
  <c r="AJ75" i="34"/>
  <c r="AK75" i="34"/>
  <c r="AL75" i="34"/>
  <c r="AM75" i="34"/>
  <c r="AN75" i="34"/>
  <c r="AO75" i="34"/>
  <c r="AP75" i="34"/>
  <c r="AQ75" i="34"/>
  <c r="AR75" i="34"/>
  <c r="AS75" i="34"/>
  <c r="AT75" i="34"/>
  <c r="AU75" i="34"/>
  <c r="AV75" i="34"/>
  <c r="AW75" i="34"/>
  <c r="AX75" i="34"/>
  <c r="AY75" i="34"/>
  <c r="AZ75" i="34"/>
  <c r="BA75" i="34"/>
  <c r="BB75" i="34"/>
  <c r="BC75" i="34"/>
  <c r="BD75" i="34"/>
  <c r="BE75" i="34"/>
  <c r="BF75" i="34"/>
  <c r="BG75" i="34"/>
  <c r="BH75" i="34"/>
  <c r="BI75" i="34"/>
  <c r="BJ75" i="34"/>
  <c r="BK75" i="34"/>
  <c r="BL75" i="34"/>
  <c r="BM75" i="34"/>
  <c r="BN75" i="34"/>
  <c r="BO75" i="34"/>
  <c r="BP75" i="34"/>
  <c r="BQ75" i="34"/>
  <c r="BR75" i="34"/>
  <c r="BS75" i="34"/>
  <c r="BT75" i="34"/>
  <c r="BU75" i="34"/>
  <c r="BV75" i="34"/>
  <c r="BW75" i="34"/>
  <c r="BX75" i="34"/>
  <c r="BY75" i="34"/>
  <c r="BZ75" i="34"/>
  <c r="CA75" i="34"/>
  <c r="CB75" i="34"/>
  <c r="CC75" i="34"/>
  <c r="CD75" i="34"/>
  <c r="CE75" i="34"/>
  <c r="CF75" i="34"/>
  <c r="CG75" i="34"/>
  <c r="CH75" i="34"/>
  <c r="CI75" i="34"/>
  <c r="CJ75" i="34"/>
  <c r="CK75" i="34"/>
  <c r="CL75" i="34"/>
  <c r="CM75" i="34"/>
  <c r="CN75" i="34"/>
  <c r="CO75" i="34"/>
  <c r="CP75" i="34"/>
  <c r="CQ75" i="34"/>
  <c r="CR75" i="34"/>
  <c r="CS75" i="34"/>
  <c r="CT75" i="34"/>
  <c r="CU75" i="34"/>
  <c r="CV75" i="34"/>
  <c r="CW75" i="34"/>
  <c r="CX75" i="34"/>
  <c r="CY75" i="34"/>
  <c r="CZ75" i="34"/>
  <c r="DA75" i="34"/>
  <c r="DB75" i="34"/>
  <c r="DC75" i="34"/>
  <c r="DD75" i="34"/>
  <c r="DE75" i="34"/>
  <c r="DF75" i="34"/>
  <c r="DG75" i="34"/>
  <c r="DH75" i="34"/>
  <c r="DI75" i="34"/>
  <c r="DJ75" i="34"/>
  <c r="DK75" i="34"/>
  <c r="DL75" i="34"/>
  <c r="DM75" i="34"/>
  <c r="DN75" i="34"/>
  <c r="DO75" i="34"/>
  <c r="DP75" i="34"/>
  <c r="DQ75" i="34"/>
  <c r="DR75" i="34"/>
  <c r="DS75" i="34"/>
  <c r="DT75" i="34"/>
  <c r="DU75" i="34"/>
  <c r="DV75" i="34"/>
  <c r="DW75" i="34"/>
  <c r="DX75" i="34"/>
  <c r="DY75" i="34"/>
  <c r="DZ75" i="34"/>
  <c r="EA75" i="34"/>
  <c r="EB75" i="34"/>
  <c r="L77" i="34"/>
  <c r="M77" i="34"/>
  <c r="N77" i="34"/>
  <c r="O77" i="34"/>
  <c r="P77" i="34"/>
  <c r="Q77" i="34"/>
  <c r="R77" i="34"/>
  <c r="S77" i="34"/>
  <c r="T77" i="34"/>
  <c r="U77" i="34"/>
  <c r="V77" i="34"/>
  <c r="W77" i="34"/>
  <c r="X77" i="34"/>
  <c r="Y77" i="34"/>
  <c r="Z77" i="34"/>
  <c r="AA77" i="34"/>
  <c r="AB77" i="34"/>
  <c r="AC77" i="34"/>
  <c r="AD77" i="34"/>
  <c r="AE77" i="34"/>
  <c r="AF77" i="34"/>
  <c r="AG77" i="34"/>
  <c r="AH77" i="34"/>
  <c r="AI77" i="34"/>
  <c r="AJ77" i="34"/>
  <c r="AK77" i="34"/>
  <c r="AL77" i="34"/>
  <c r="AM77" i="34"/>
  <c r="AN77" i="34"/>
  <c r="AO77" i="34"/>
  <c r="AP77" i="34"/>
  <c r="AQ77" i="34"/>
  <c r="AR77" i="34"/>
  <c r="AS77" i="34"/>
  <c r="AT77" i="34"/>
  <c r="AU77" i="34"/>
  <c r="AV77" i="34"/>
  <c r="AW77" i="34"/>
  <c r="AX77" i="34"/>
  <c r="AY77" i="34"/>
  <c r="AZ77" i="34"/>
  <c r="BA77" i="34"/>
  <c r="BB77" i="34"/>
  <c r="BC77" i="34"/>
  <c r="BD77" i="34"/>
  <c r="BE77" i="34"/>
  <c r="BF77" i="34"/>
  <c r="BG77" i="34"/>
  <c r="BH77" i="34"/>
  <c r="BI77" i="34"/>
  <c r="BJ77" i="34"/>
  <c r="BK77" i="34"/>
  <c r="BL77" i="34"/>
  <c r="BM77" i="34"/>
  <c r="BN77" i="34"/>
  <c r="BO77" i="34"/>
  <c r="BP77" i="34"/>
  <c r="BQ77" i="34"/>
  <c r="BR77" i="34"/>
  <c r="BS77" i="34"/>
  <c r="BT77" i="34"/>
  <c r="BU77" i="34"/>
  <c r="BV77" i="34"/>
  <c r="BW77" i="34"/>
  <c r="BX77" i="34"/>
  <c r="BY77" i="34"/>
  <c r="BZ77" i="34"/>
  <c r="CA77" i="34"/>
  <c r="CB77" i="34"/>
  <c r="CC77" i="34"/>
  <c r="CD77" i="34"/>
  <c r="CE77" i="34"/>
  <c r="CF77" i="34"/>
  <c r="CG77" i="34"/>
  <c r="CH77" i="34"/>
  <c r="CI77" i="34"/>
  <c r="CJ77" i="34"/>
  <c r="CK77" i="34"/>
  <c r="CL77" i="34"/>
  <c r="CM77" i="34"/>
  <c r="CN77" i="34"/>
  <c r="CO77" i="34"/>
  <c r="CP77" i="34"/>
  <c r="CQ77" i="34"/>
  <c r="CR77" i="34"/>
  <c r="CS77" i="34"/>
  <c r="CT77" i="34"/>
  <c r="CU77" i="34"/>
  <c r="CV77" i="34"/>
  <c r="CW77" i="34"/>
  <c r="CX77" i="34"/>
  <c r="CY77" i="34"/>
  <c r="CZ77" i="34"/>
  <c r="DA77" i="34"/>
  <c r="DB77" i="34"/>
  <c r="DC77" i="34"/>
  <c r="DD77" i="34"/>
  <c r="DE77" i="34"/>
  <c r="DF77" i="34"/>
  <c r="DG77" i="34"/>
  <c r="DH77" i="34"/>
  <c r="DI77" i="34"/>
  <c r="DJ77" i="34"/>
  <c r="DK77" i="34"/>
  <c r="DL77" i="34"/>
  <c r="DM77" i="34"/>
  <c r="DN77" i="34"/>
  <c r="DO77" i="34"/>
  <c r="DP77" i="34"/>
  <c r="DQ77" i="34"/>
  <c r="DR77" i="34"/>
  <c r="DS77" i="34"/>
  <c r="DT77" i="34"/>
  <c r="DU77" i="34"/>
  <c r="DV77" i="34"/>
  <c r="DW77" i="34"/>
  <c r="DX77" i="34"/>
  <c r="DY77" i="34"/>
  <c r="DZ77" i="34"/>
  <c r="EA77" i="34"/>
  <c r="EB77" i="34"/>
  <c r="L78" i="34"/>
  <c r="M78" i="34"/>
  <c r="N78" i="34"/>
  <c r="O78" i="34"/>
  <c r="P78" i="34"/>
  <c r="Q78" i="34"/>
  <c r="R78" i="34"/>
  <c r="S78" i="34"/>
  <c r="T78" i="34"/>
  <c r="U78" i="34"/>
  <c r="V78" i="34"/>
  <c r="W78" i="34"/>
  <c r="X78" i="34"/>
  <c r="Y78" i="34"/>
  <c r="Z78" i="34"/>
  <c r="AA78" i="34"/>
  <c r="AB78" i="34"/>
  <c r="AC78" i="34"/>
  <c r="AD78" i="34"/>
  <c r="AE78" i="34"/>
  <c r="AF78" i="34"/>
  <c r="AG78" i="34"/>
  <c r="AH78" i="34"/>
  <c r="AI78" i="34"/>
  <c r="AJ78" i="34"/>
  <c r="AK78" i="34"/>
  <c r="AL78" i="34"/>
  <c r="AM78" i="34"/>
  <c r="AN78" i="34"/>
  <c r="AO78" i="34"/>
  <c r="AP78" i="34"/>
  <c r="AQ78" i="34"/>
  <c r="AR78" i="34"/>
  <c r="AS78" i="34"/>
  <c r="AT78" i="34"/>
  <c r="AU78" i="34"/>
  <c r="AV78" i="34"/>
  <c r="AW78" i="34"/>
  <c r="AX78" i="34"/>
  <c r="AY78" i="34"/>
  <c r="AZ78" i="34"/>
  <c r="BA78" i="34"/>
  <c r="BB78" i="34"/>
  <c r="BC78" i="34"/>
  <c r="BD78" i="34"/>
  <c r="BE78" i="34"/>
  <c r="BF78" i="34"/>
  <c r="BG78" i="34"/>
  <c r="BH78" i="34"/>
  <c r="BI78" i="34"/>
  <c r="BJ78" i="34"/>
  <c r="BK78" i="34"/>
  <c r="BL78" i="34"/>
  <c r="BM78" i="34"/>
  <c r="BN78" i="34"/>
  <c r="BO78" i="34"/>
  <c r="BP78" i="34"/>
  <c r="BQ78" i="34"/>
  <c r="BR78" i="34"/>
  <c r="BS78" i="34"/>
  <c r="BT78" i="34"/>
  <c r="BU78" i="34"/>
  <c r="BV78" i="34"/>
  <c r="BW78" i="34"/>
  <c r="BX78" i="34"/>
  <c r="BY78" i="34"/>
  <c r="BZ78" i="34"/>
  <c r="CA78" i="34"/>
  <c r="CB78" i="34"/>
  <c r="CC78" i="34"/>
  <c r="CD78" i="34"/>
  <c r="CE78" i="34"/>
  <c r="CF78" i="34"/>
  <c r="CG78" i="34"/>
  <c r="CH78" i="34"/>
  <c r="CI78" i="34"/>
  <c r="CJ78" i="34"/>
  <c r="CK78" i="34"/>
  <c r="CL78" i="34"/>
  <c r="CM78" i="34"/>
  <c r="CN78" i="34"/>
  <c r="CO78" i="34"/>
  <c r="CP78" i="34"/>
  <c r="CQ78" i="34"/>
  <c r="CR78" i="34"/>
  <c r="CS78" i="34"/>
  <c r="CT78" i="34"/>
  <c r="CU78" i="34"/>
  <c r="CV78" i="34"/>
  <c r="CW78" i="34"/>
  <c r="CX78" i="34"/>
  <c r="CY78" i="34"/>
  <c r="CZ78" i="34"/>
  <c r="DA78" i="34"/>
  <c r="DB78" i="34"/>
  <c r="DC78" i="34"/>
  <c r="DD78" i="34"/>
  <c r="DE78" i="34"/>
  <c r="DF78" i="34"/>
  <c r="DG78" i="34"/>
  <c r="DH78" i="34"/>
  <c r="DI78" i="34"/>
  <c r="DJ78" i="34"/>
  <c r="DK78" i="34"/>
  <c r="DL78" i="34"/>
  <c r="DM78" i="34"/>
  <c r="DN78" i="34"/>
  <c r="DO78" i="34"/>
  <c r="DP78" i="34"/>
  <c r="DQ78" i="34"/>
  <c r="DR78" i="34"/>
  <c r="DS78" i="34"/>
  <c r="DT78" i="34"/>
  <c r="DU78" i="34"/>
  <c r="DV78" i="34"/>
  <c r="DW78" i="34"/>
  <c r="DX78" i="34"/>
  <c r="DY78" i="34"/>
  <c r="DZ78" i="34"/>
  <c r="EA78" i="34"/>
  <c r="EB78" i="34"/>
  <c r="M82" i="34"/>
  <c r="N82" i="34"/>
  <c r="O82" i="34"/>
  <c r="P82" i="34"/>
  <c r="Q82" i="34"/>
  <c r="R82" i="34"/>
  <c r="S82" i="34"/>
  <c r="T82" i="34"/>
  <c r="U82" i="34"/>
  <c r="V82" i="34"/>
  <c r="W82" i="34"/>
  <c r="X82" i="34"/>
  <c r="Y82" i="34"/>
  <c r="Z82" i="34"/>
  <c r="AA82" i="34"/>
  <c r="AB82" i="34"/>
  <c r="AC82" i="34"/>
  <c r="AD82" i="34"/>
  <c r="AE82" i="34"/>
  <c r="AF82" i="34"/>
  <c r="AG82" i="34"/>
  <c r="AH82" i="34"/>
  <c r="AI82" i="34"/>
  <c r="AJ82" i="34"/>
  <c r="AK82" i="34"/>
  <c r="AL82" i="34"/>
  <c r="AM82" i="34"/>
  <c r="AN82" i="34"/>
  <c r="AO82" i="34"/>
  <c r="AP82" i="34"/>
  <c r="AQ82" i="34"/>
  <c r="AR82" i="34"/>
  <c r="AS82" i="34"/>
  <c r="AT82" i="34"/>
  <c r="AU82" i="34"/>
  <c r="AV82" i="34"/>
  <c r="AW82" i="34"/>
  <c r="AX82" i="34"/>
  <c r="AY82" i="34"/>
  <c r="AZ82" i="34"/>
  <c r="BA82" i="34"/>
  <c r="BB82" i="34"/>
  <c r="BC82" i="34"/>
  <c r="BD82" i="34"/>
  <c r="BE82" i="34"/>
  <c r="BF82" i="34"/>
  <c r="BG82" i="34"/>
  <c r="BH82" i="34"/>
  <c r="BI82" i="34"/>
  <c r="BJ82" i="34"/>
  <c r="BK82" i="34"/>
  <c r="BL82" i="34"/>
  <c r="BM82" i="34"/>
  <c r="BN82" i="34"/>
  <c r="BO82" i="34"/>
  <c r="BP82" i="34"/>
  <c r="BQ82" i="34"/>
  <c r="BR82" i="34"/>
  <c r="BS82" i="34"/>
  <c r="BT82" i="34"/>
  <c r="BU82" i="34"/>
  <c r="BV82" i="34"/>
  <c r="BW82" i="34"/>
  <c r="BX82" i="34"/>
  <c r="BY82" i="34"/>
  <c r="BZ82" i="34"/>
  <c r="CA82" i="34"/>
  <c r="CB82" i="34"/>
  <c r="CC82" i="34"/>
  <c r="CD82" i="34"/>
  <c r="CE82" i="34"/>
  <c r="CF82" i="34"/>
  <c r="CG82" i="34"/>
  <c r="CH82" i="34"/>
  <c r="CI82" i="34"/>
  <c r="CJ82" i="34"/>
  <c r="CK82" i="34"/>
  <c r="CL82" i="34"/>
  <c r="CM82" i="34"/>
  <c r="CN82" i="34"/>
  <c r="CO82" i="34"/>
  <c r="CP82" i="34"/>
  <c r="CQ82" i="34"/>
  <c r="CR82" i="34"/>
  <c r="CS82" i="34"/>
  <c r="CT82" i="34"/>
  <c r="CU82" i="34"/>
  <c r="CV82" i="34"/>
  <c r="CW82" i="34"/>
  <c r="CX82" i="34"/>
  <c r="CY82" i="34"/>
  <c r="CZ82" i="34"/>
  <c r="DA82" i="34"/>
  <c r="DB82" i="34"/>
  <c r="DC82" i="34"/>
  <c r="DD82" i="34"/>
  <c r="DE82" i="34"/>
  <c r="DF82" i="34"/>
  <c r="DG82" i="34"/>
  <c r="DH82" i="34"/>
  <c r="DI82" i="34"/>
  <c r="DJ82" i="34"/>
  <c r="DK82" i="34"/>
  <c r="DL82" i="34"/>
  <c r="DM82" i="34"/>
  <c r="DN82" i="34"/>
  <c r="DO82" i="34"/>
  <c r="DP82" i="34"/>
  <c r="DQ82" i="34"/>
  <c r="DR82" i="34"/>
  <c r="DS82" i="34"/>
  <c r="DT82" i="34"/>
  <c r="DU82" i="34"/>
  <c r="DV82" i="34"/>
  <c r="DW82" i="34"/>
  <c r="DX82" i="34"/>
  <c r="DY82" i="34"/>
  <c r="DZ82" i="34"/>
  <c r="EA82" i="34"/>
  <c r="EB82" i="34"/>
  <c r="M83" i="34"/>
  <c r="N83" i="34"/>
  <c r="O83" i="34"/>
  <c r="P83" i="34"/>
  <c r="Q83" i="34"/>
  <c r="R83" i="34"/>
  <c r="S83" i="34"/>
  <c r="T83" i="34"/>
  <c r="U83" i="34"/>
  <c r="V83" i="34"/>
  <c r="W83" i="34"/>
  <c r="X83" i="34"/>
  <c r="Y83" i="34"/>
  <c r="Z83" i="34"/>
  <c r="AA83" i="34"/>
  <c r="AB83" i="34"/>
  <c r="AC83" i="34"/>
  <c r="AD83" i="34"/>
  <c r="AE83" i="34"/>
  <c r="AF83" i="34"/>
  <c r="AG83" i="34"/>
  <c r="AH83" i="34"/>
  <c r="AI83" i="34"/>
  <c r="AJ83" i="34"/>
  <c r="AK83" i="34"/>
  <c r="AL83" i="34"/>
  <c r="AM83" i="34"/>
  <c r="AN83" i="34"/>
  <c r="AO83" i="34"/>
  <c r="AP83" i="34"/>
  <c r="AQ83" i="34"/>
  <c r="AR83" i="34"/>
  <c r="AS83" i="34"/>
  <c r="AT83" i="34"/>
  <c r="AU83" i="34"/>
  <c r="AV83" i="34"/>
  <c r="AW83" i="34"/>
  <c r="AX83" i="34"/>
  <c r="AY83" i="34"/>
  <c r="AZ83" i="34"/>
  <c r="BA83" i="34"/>
  <c r="BB83" i="34"/>
  <c r="BC83" i="34"/>
  <c r="BD83" i="34"/>
  <c r="BE83" i="34"/>
  <c r="BF83" i="34"/>
  <c r="BG83" i="34"/>
  <c r="BH83" i="34"/>
  <c r="BI83" i="34"/>
  <c r="BJ83" i="34"/>
  <c r="BK83" i="34"/>
  <c r="BL83" i="34"/>
  <c r="BM83" i="34"/>
  <c r="BN83" i="34"/>
  <c r="BO83" i="34"/>
  <c r="BP83" i="34"/>
  <c r="BQ83" i="34"/>
  <c r="BR83" i="34"/>
  <c r="BS83" i="34"/>
  <c r="BT83" i="34"/>
  <c r="BU83" i="34"/>
  <c r="BV83" i="34"/>
  <c r="BW83" i="34"/>
  <c r="BX83" i="34"/>
  <c r="BY83" i="34"/>
  <c r="BZ83" i="34"/>
  <c r="CA83" i="34"/>
  <c r="CB83" i="34"/>
  <c r="CC83" i="34"/>
  <c r="CD83" i="34"/>
  <c r="CE83" i="34"/>
  <c r="CF83" i="34"/>
  <c r="CG83" i="34"/>
  <c r="CH83" i="34"/>
  <c r="CI83" i="34"/>
  <c r="CJ83" i="34"/>
  <c r="CK83" i="34"/>
  <c r="CL83" i="34"/>
  <c r="CM83" i="34"/>
  <c r="CN83" i="34"/>
  <c r="CO83" i="34"/>
  <c r="CP83" i="34"/>
  <c r="CQ83" i="34"/>
  <c r="CR83" i="34"/>
  <c r="CS83" i="34"/>
  <c r="CT83" i="34"/>
  <c r="CU83" i="34"/>
  <c r="CV83" i="34"/>
  <c r="CW83" i="34"/>
  <c r="CX83" i="34"/>
  <c r="CY83" i="34"/>
  <c r="CZ83" i="34"/>
  <c r="DA83" i="34"/>
  <c r="DB83" i="34"/>
  <c r="DC83" i="34"/>
  <c r="DD83" i="34"/>
  <c r="DE83" i="34"/>
  <c r="DF83" i="34"/>
  <c r="DG83" i="34"/>
  <c r="DH83" i="34"/>
  <c r="DI83" i="34"/>
  <c r="DJ83" i="34"/>
  <c r="DK83" i="34"/>
  <c r="DL83" i="34"/>
  <c r="DM83" i="34"/>
  <c r="DN83" i="34"/>
  <c r="DO83" i="34"/>
  <c r="DP83" i="34"/>
  <c r="DQ83" i="34"/>
  <c r="DR83" i="34"/>
  <c r="DS83" i="34"/>
  <c r="DT83" i="34"/>
  <c r="DU83" i="34"/>
  <c r="DV83" i="34"/>
  <c r="DW83" i="34"/>
  <c r="DX83" i="34"/>
  <c r="DY83" i="34"/>
  <c r="DZ83" i="34"/>
  <c r="EA83" i="34"/>
  <c r="EB83" i="34"/>
  <c r="L84" i="34"/>
  <c r="L85" i="34"/>
  <c r="M85" i="34"/>
  <c r="N85" i="34"/>
  <c r="O85" i="34"/>
  <c r="P85" i="34"/>
  <c r="Q85" i="34"/>
  <c r="R85" i="34"/>
  <c r="S85" i="34"/>
  <c r="T85" i="34"/>
  <c r="U85" i="34"/>
  <c r="V85" i="34"/>
  <c r="W85" i="34"/>
  <c r="X85" i="34"/>
  <c r="Y85" i="34"/>
  <c r="Z85" i="34"/>
  <c r="AA85" i="34"/>
  <c r="AB85" i="34"/>
  <c r="AC85" i="34"/>
  <c r="AD85" i="34"/>
  <c r="AE85" i="34"/>
  <c r="AF85" i="34"/>
  <c r="AG85" i="34"/>
  <c r="AH85" i="34"/>
  <c r="AI85" i="34"/>
  <c r="AJ85" i="34"/>
  <c r="AK85" i="34"/>
  <c r="AL85" i="34"/>
  <c r="AM85" i="34"/>
  <c r="AN85" i="34"/>
  <c r="AO85" i="34"/>
  <c r="AP85" i="34"/>
  <c r="AQ85" i="34"/>
  <c r="AR85" i="34"/>
  <c r="AS85" i="34"/>
  <c r="AT85" i="34"/>
  <c r="AU85" i="34"/>
  <c r="AV85" i="34"/>
  <c r="AW85" i="34"/>
  <c r="AX85" i="34"/>
  <c r="AY85" i="34"/>
  <c r="AZ85" i="34"/>
  <c r="BA85" i="34"/>
  <c r="BB85" i="34"/>
  <c r="BC85" i="34"/>
  <c r="BD85" i="34"/>
  <c r="BE85" i="34"/>
  <c r="BF85" i="34"/>
  <c r="BG85" i="34"/>
  <c r="BH85" i="34"/>
  <c r="BI85" i="34"/>
  <c r="BJ85" i="34"/>
  <c r="BK85" i="34"/>
  <c r="BL85" i="34"/>
  <c r="BM85" i="34"/>
  <c r="BN85" i="34"/>
  <c r="BO85" i="34"/>
  <c r="BP85" i="34"/>
  <c r="BQ85" i="34"/>
  <c r="BR85" i="34"/>
  <c r="BS85" i="34"/>
  <c r="BT85" i="34"/>
  <c r="BU85" i="34"/>
  <c r="BV85" i="34"/>
  <c r="BW85" i="34"/>
  <c r="BX85" i="34"/>
  <c r="BY85" i="34"/>
  <c r="BZ85" i="34"/>
  <c r="CA85" i="34"/>
  <c r="CB85" i="34"/>
  <c r="CC85" i="34"/>
  <c r="CD85" i="34"/>
  <c r="CE85" i="34"/>
  <c r="CF85" i="34"/>
  <c r="CG85" i="34"/>
  <c r="CH85" i="34"/>
  <c r="CI85" i="34"/>
  <c r="CJ85" i="34"/>
  <c r="CK85" i="34"/>
  <c r="CL85" i="34"/>
  <c r="CM85" i="34"/>
  <c r="CN85" i="34"/>
  <c r="CO85" i="34"/>
  <c r="CP85" i="34"/>
  <c r="CQ85" i="34"/>
  <c r="CR85" i="34"/>
  <c r="CS85" i="34"/>
  <c r="CT85" i="34"/>
  <c r="CU85" i="34"/>
  <c r="CV85" i="34"/>
  <c r="CW85" i="34"/>
  <c r="CX85" i="34"/>
  <c r="CY85" i="34"/>
  <c r="CZ85" i="34"/>
  <c r="DA85" i="34"/>
  <c r="DB85" i="34"/>
  <c r="DC85" i="34"/>
  <c r="DD85" i="34"/>
  <c r="DE85" i="34"/>
  <c r="DF85" i="34"/>
  <c r="DG85" i="34"/>
  <c r="DH85" i="34"/>
  <c r="DI85" i="34"/>
  <c r="DJ85" i="34"/>
  <c r="DK85" i="34"/>
  <c r="DL85" i="34"/>
  <c r="DM85" i="34"/>
  <c r="DN85" i="34"/>
  <c r="DO85" i="34"/>
  <c r="DP85" i="34"/>
  <c r="DQ85" i="34"/>
  <c r="DR85" i="34"/>
  <c r="DS85" i="34"/>
  <c r="DT85" i="34"/>
  <c r="DU85" i="34"/>
  <c r="DV85" i="34"/>
  <c r="DW85" i="34"/>
  <c r="DX85" i="34"/>
  <c r="DY85" i="34"/>
  <c r="DZ85" i="34"/>
  <c r="EA85" i="34"/>
  <c r="EB85" i="34"/>
  <c r="L86" i="34"/>
  <c r="M86" i="34"/>
  <c r="N86" i="34"/>
  <c r="O86" i="34"/>
  <c r="P86" i="34"/>
  <c r="Q86" i="34"/>
  <c r="R86" i="34"/>
  <c r="S86" i="34"/>
  <c r="T86" i="34"/>
  <c r="U86" i="34"/>
  <c r="V86" i="34"/>
  <c r="W86" i="34"/>
  <c r="X86" i="34"/>
  <c r="Y86" i="34"/>
  <c r="Z86" i="34"/>
  <c r="AA86" i="34"/>
  <c r="AB86" i="34"/>
  <c r="AC86" i="34"/>
  <c r="AD86" i="34"/>
  <c r="AE86" i="34"/>
  <c r="AF86" i="34"/>
  <c r="AG86" i="34"/>
  <c r="AH86" i="34"/>
  <c r="AI86" i="34"/>
  <c r="AJ86" i="34"/>
  <c r="AK86" i="34"/>
  <c r="AL86" i="34"/>
  <c r="AM86" i="34"/>
  <c r="AN86" i="34"/>
  <c r="AO86" i="34"/>
  <c r="AP86" i="34"/>
  <c r="AQ86" i="34"/>
  <c r="AR86" i="34"/>
  <c r="AS86" i="34"/>
  <c r="AT86" i="34"/>
  <c r="AU86" i="34"/>
  <c r="AV86" i="34"/>
  <c r="AW86" i="34"/>
  <c r="AX86" i="34"/>
  <c r="AY86" i="34"/>
  <c r="AZ86" i="34"/>
  <c r="BA86" i="34"/>
  <c r="BB86" i="34"/>
  <c r="BC86" i="34"/>
  <c r="BD86" i="34"/>
  <c r="BE86" i="34"/>
  <c r="BF86" i="34"/>
  <c r="BG86" i="34"/>
  <c r="BH86" i="34"/>
  <c r="BI86" i="34"/>
  <c r="BJ86" i="34"/>
  <c r="BK86" i="34"/>
  <c r="BL86" i="34"/>
  <c r="BM86" i="34"/>
  <c r="BN86" i="34"/>
  <c r="BO86" i="34"/>
  <c r="BP86" i="34"/>
  <c r="BQ86" i="34"/>
  <c r="BR86" i="34"/>
  <c r="BS86" i="34"/>
  <c r="BT86" i="34"/>
  <c r="BU86" i="34"/>
  <c r="BV86" i="34"/>
  <c r="BW86" i="34"/>
  <c r="BX86" i="34"/>
  <c r="BY86" i="34"/>
  <c r="BZ86" i="34"/>
  <c r="CA86" i="34"/>
  <c r="CB86" i="34"/>
  <c r="CC86" i="34"/>
  <c r="CD86" i="34"/>
  <c r="CE86" i="34"/>
  <c r="CF86" i="34"/>
  <c r="CG86" i="34"/>
  <c r="CH86" i="34"/>
  <c r="CI86" i="34"/>
  <c r="CJ86" i="34"/>
  <c r="CK86" i="34"/>
  <c r="CL86" i="34"/>
  <c r="CM86" i="34"/>
  <c r="CN86" i="34"/>
  <c r="CO86" i="34"/>
  <c r="CP86" i="34"/>
  <c r="CQ86" i="34"/>
  <c r="CR86" i="34"/>
  <c r="CS86" i="34"/>
  <c r="CT86" i="34"/>
  <c r="CU86" i="34"/>
  <c r="CV86" i="34"/>
  <c r="CW86" i="34"/>
  <c r="CX86" i="34"/>
  <c r="CY86" i="34"/>
  <c r="CZ86" i="34"/>
  <c r="DA86" i="34"/>
  <c r="DB86" i="34"/>
  <c r="DC86" i="34"/>
  <c r="DD86" i="34"/>
  <c r="DE86" i="34"/>
  <c r="DF86" i="34"/>
  <c r="DG86" i="34"/>
  <c r="DH86" i="34"/>
  <c r="DI86" i="34"/>
  <c r="DJ86" i="34"/>
  <c r="DK86" i="34"/>
  <c r="DL86" i="34"/>
  <c r="DM86" i="34"/>
  <c r="DN86" i="34"/>
  <c r="DO86" i="34"/>
  <c r="DP86" i="34"/>
  <c r="DQ86" i="34"/>
  <c r="DR86" i="34"/>
  <c r="DS86" i="34"/>
  <c r="DT86" i="34"/>
  <c r="DU86" i="34"/>
  <c r="DV86" i="34"/>
  <c r="DW86" i="34"/>
  <c r="DX86" i="34"/>
  <c r="DY86" i="34"/>
  <c r="DZ86" i="34"/>
  <c r="EA86" i="34"/>
  <c r="EB86" i="34"/>
  <c r="L87" i="34"/>
  <c r="M87" i="34"/>
  <c r="N87" i="34"/>
  <c r="O87" i="34"/>
  <c r="P87" i="34"/>
  <c r="Q87" i="34"/>
  <c r="R87" i="34"/>
  <c r="S87" i="34"/>
  <c r="T87" i="34"/>
  <c r="U87" i="34"/>
  <c r="V87" i="34"/>
  <c r="W87" i="34"/>
  <c r="X87" i="34"/>
  <c r="Y87" i="34"/>
  <c r="Z87" i="34"/>
  <c r="AA87" i="34"/>
  <c r="AB87" i="34"/>
  <c r="AC87" i="34"/>
  <c r="AD87" i="34"/>
  <c r="AE87" i="34"/>
  <c r="AF87" i="34"/>
  <c r="AG87" i="34"/>
  <c r="AH87" i="34"/>
  <c r="AI87" i="34"/>
  <c r="AJ87" i="34"/>
  <c r="AK87" i="34"/>
  <c r="AL87" i="34"/>
  <c r="AM87" i="34"/>
  <c r="AN87" i="34"/>
  <c r="AO87" i="34"/>
  <c r="AP87" i="34"/>
  <c r="AQ87" i="34"/>
  <c r="AR87" i="34"/>
  <c r="AS87" i="34"/>
  <c r="AT87" i="34"/>
  <c r="AU87" i="34"/>
  <c r="AV87" i="34"/>
  <c r="AW87" i="34"/>
  <c r="AX87" i="34"/>
  <c r="AY87" i="34"/>
  <c r="AZ87" i="34"/>
  <c r="BA87" i="34"/>
  <c r="BB87" i="34"/>
  <c r="BC87" i="34"/>
  <c r="BD87" i="34"/>
  <c r="BE87" i="34"/>
  <c r="BF87" i="34"/>
  <c r="BG87" i="34"/>
  <c r="BH87" i="34"/>
  <c r="BI87" i="34"/>
  <c r="BJ87" i="34"/>
  <c r="BK87" i="34"/>
  <c r="BL87" i="34"/>
  <c r="BM87" i="34"/>
  <c r="BN87" i="34"/>
  <c r="BO87" i="34"/>
  <c r="BP87" i="34"/>
  <c r="BQ87" i="34"/>
  <c r="BR87" i="34"/>
  <c r="BS87" i="34"/>
  <c r="BT87" i="34"/>
  <c r="BU87" i="34"/>
  <c r="BV87" i="34"/>
  <c r="BW87" i="34"/>
  <c r="BX87" i="34"/>
  <c r="BY87" i="34"/>
  <c r="BZ87" i="34"/>
  <c r="CA87" i="34"/>
  <c r="CB87" i="34"/>
  <c r="CC87" i="34"/>
  <c r="CD87" i="34"/>
  <c r="CE87" i="34"/>
  <c r="CF87" i="34"/>
  <c r="CG87" i="34"/>
  <c r="CH87" i="34"/>
  <c r="CI87" i="34"/>
  <c r="CJ87" i="34"/>
  <c r="CK87" i="34"/>
  <c r="CL87" i="34"/>
  <c r="CM87" i="34"/>
  <c r="CN87" i="34"/>
  <c r="CO87" i="34"/>
  <c r="CP87" i="34"/>
  <c r="CQ87" i="34"/>
  <c r="CR87" i="34"/>
  <c r="CS87" i="34"/>
  <c r="CT87" i="34"/>
  <c r="CU87" i="34"/>
  <c r="CV87" i="34"/>
  <c r="CW87" i="34"/>
  <c r="CX87" i="34"/>
  <c r="CY87" i="34"/>
  <c r="CZ87" i="34"/>
  <c r="DA87" i="34"/>
  <c r="DB87" i="34"/>
  <c r="DC87" i="34"/>
  <c r="DD87" i="34"/>
  <c r="DE87" i="34"/>
  <c r="DF87" i="34"/>
  <c r="DG87" i="34"/>
  <c r="DH87" i="34"/>
  <c r="DI87" i="34"/>
  <c r="DJ87" i="34"/>
  <c r="DK87" i="34"/>
  <c r="DL87" i="34"/>
  <c r="DM87" i="34"/>
  <c r="DN87" i="34"/>
  <c r="DO87" i="34"/>
  <c r="DP87" i="34"/>
  <c r="DQ87" i="34"/>
  <c r="DR87" i="34"/>
  <c r="DS87" i="34"/>
  <c r="DT87" i="34"/>
  <c r="DU87" i="34"/>
  <c r="DV87" i="34"/>
  <c r="DW87" i="34"/>
  <c r="DX87" i="34"/>
  <c r="DY87" i="34"/>
  <c r="DZ87" i="34"/>
  <c r="EA87" i="34"/>
  <c r="EB87" i="34"/>
  <c r="L88" i="34"/>
  <c r="M88" i="34"/>
  <c r="N88" i="34"/>
  <c r="O88" i="34"/>
  <c r="P88" i="34"/>
  <c r="Q88" i="34"/>
  <c r="R88" i="34"/>
  <c r="S88" i="34"/>
  <c r="T88" i="34"/>
  <c r="U88" i="34"/>
  <c r="V88" i="34"/>
  <c r="W88" i="34"/>
  <c r="X88" i="34"/>
  <c r="Y88" i="34"/>
  <c r="Z88" i="34"/>
  <c r="AA88" i="34"/>
  <c r="AB88" i="34"/>
  <c r="AC88" i="34"/>
  <c r="AD88" i="34"/>
  <c r="AE88" i="34"/>
  <c r="AF88" i="34"/>
  <c r="AG88" i="34"/>
  <c r="AH88" i="34"/>
  <c r="AI88" i="34"/>
  <c r="AJ88" i="34"/>
  <c r="AK88" i="34"/>
  <c r="AL88" i="34"/>
  <c r="AM88" i="34"/>
  <c r="AN88" i="34"/>
  <c r="AO88" i="34"/>
  <c r="AP88" i="34"/>
  <c r="AQ88" i="34"/>
  <c r="AR88" i="34"/>
  <c r="AS88" i="34"/>
  <c r="AT88" i="34"/>
  <c r="AU88" i="34"/>
  <c r="AV88" i="34"/>
  <c r="AW88" i="34"/>
  <c r="AX88" i="34"/>
  <c r="AY88" i="34"/>
  <c r="AZ88" i="34"/>
  <c r="BA88" i="34"/>
  <c r="BB88" i="34"/>
  <c r="BC88" i="34"/>
  <c r="BD88" i="34"/>
  <c r="BE88" i="34"/>
  <c r="BF88" i="34"/>
  <c r="BG88" i="34"/>
  <c r="BH88" i="34"/>
  <c r="BI88" i="34"/>
  <c r="BJ88" i="34"/>
  <c r="BK88" i="34"/>
  <c r="BL88" i="34"/>
  <c r="BM88" i="34"/>
  <c r="BN88" i="34"/>
  <c r="BO88" i="34"/>
  <c r="BP88" i="34"/>
  <c r="BQ88" i="34"/>
  <c r="BR88" i="34"/>
  <c r="BS88" i="34"/>
  <c r="BT88" i="34"/>
  <c r="BU88" i="34"/>
  <c r="BV88" i="34"/>
  <c r="BW88" i="34"/>
  <c r="BX88" i="34"/>
  <c r="BY88" i="34"/>
  <c r="BZ88" i="34"/>
  <c r="CA88" i="34"/>
  <c r="CB88" i="34"/>
  <c r="CC88" i="34"/>
  <c r="CD88" i="34"/>
  <c r="CE88" i="34"/>
  <c r="CF88" i="34"/>
  <c r="CG88" i="34"/>
  <c r="CH88" i="34"/>
  <c r="CI88" i="34"/>
  <c r="CJ88" i="34"/>
  <c r="CK88" i="34"/>
  <c r="CL88" i="34"/>
  <c r="CM88" i="34"/>
  <c r="CN88" i="34"/>
  <c r="CO88" i="34"/>
  <c r="CP88" i="34"/>
  <c r="CQ88" i="34"/>
  <c r="CR88" i="34"/>
  <c r="CS88" i="34"/>
  <c r="CT88" i="34"/>
  <c r="CU88" i="34"/>
  <c r="CV88" i="34"/>
  <c r="CW88" i="34"/>
  <c r="CX88" i="34"/>
  <c r="CY88" i="34"/>
  <c r="CZ88" i="34"/>
  <c r="DA88" i="34"/>
  <c r="DB88" i="34"/>
  <c r="DC88" i="34"/>
  <c r="DD88" i="34"/>
  <c r="DE88" i="34"/>
  <c r="DF88" i="34"/>
  <c r="DG88" i="34"/>
  <c r="DH88" i="34"/>
  <c r="DI88" i="34"/>
  <c r="DJ88" i="34"/>
  <c r="DK88" i="34"/>
  <c r="DL88" i="34"/>
  <c r="DM88" i="34"/>
  <c r="DN88" i="34"/>
  <c r="DO88" i="34"/>
  <c r="DP88" i="34"/>
  <c r="DQ88" i="34"/>
  <c r="DR88" i="34"/>
  <c r="DS88" i="34"/>
  <c r="DT88" i="34"/>
  <c r="DU88" i="34"/>
  <c r="DV88" i="34"/>
  <c r="DW88" i="34"/>
  <c r="DX88" i="34"/>
  <c r="DY88" i="34"/>
  <c r="DZ88" i="34"/>
  <c r="EA88" i="34"/>
  <c r="EB88" i="34"/>
  <c r="J89" i="34"/>
  <c r="L92" i="34"/>
  <c r="L93" i="34"/>
  <c r="M93" i="34"/>
  <c r="N93" i="34"/>
  <c r="O93" i="34"/>
  <c r="P93" i="34"/>
  <c r="Q93" i="34"/>
  <c r="R93" i="34"/>
  <c r="S93" i="34"/>
  <c r="T93" i="34"/>
  <c r="U93" i="34"/>
  <c r="V93" i="34"/>
  <c r="W93" i="34"/>
  <c r="X93" i="34"/>
  <c r="Y93" i="34"/>
  <c r="Z93" i="34"/>
  <c r="AA93" i="34"/>
  <c r="AB93" i="34"/>
  <c r="AC93" i="34"/>
  <c r="AD93" i="34"/>
  <c r="AE93" i="34"/>
  <c r="AF93" i="34"/>
  <c r="AG93" i="34"/>
  <c r="AH93" i="34"/>
  <c r="AI93" i="34"/>
  <c r="AJ93" i="34"/>
  <c r="AK93" i="34"/>
  <c r="AL93" i="34"/>
  <c r="AM93" i="34"/>
  <c r="AN93" i="34"/>
  <c r="AO93" i="34"/>
  <c r="AP93" i="34"/>
  <c r="AQ93" i="34"/>
  <c r="AR93" i="34"/>
  <c r="AS93" i="34"/>
  <c r="AT93" i="34"/>
  <c r="AU93" i="34"/>
  <c r="AV93" i="34"/>
  <c r="AW93" i="34"/>
  <c r="AX93" i="34"/>
  <c r="AY93" i="34"/>
  <c r="AZ93" i="34"/>
  <c r="BA93" i="34"/>
  <c r="BB93" i="34"/>
  <c r="BC93" i="34"/>
  <c r="BD93" i="34"/>
  <c r="BE93" i="34"/>
  <c r="BF93" i="34"/>
  <c r="BG93" i="34"/>
  <c r="BH93" i="34"/>
  <c r="BI93" i="34"/>
  <c r="BJ93" i="34"/>
  <c r="BK93" i="34"/>
  <c r="BL93" i="34"/>
  <c r="BM93" i="34"/>
  <c r="BN93" i="34"/>
  <c r="BO93" i="34"/>
  <c r="BP93" i="34"/>
  <c r="BQ93" i="34"/>
  <c r="BR93" i="34"/>
  <c r="BS93" i="34"/>
  <c r="BT93" i="34"/>
  <c r="BU93" i="34"/>
  <c r="BV93" i="34"/>
  <c r="BW93" i="34"/>
  <c r="BX93" i="34"/>
  <c r="BY93" i="34"/>
  <c r="BZ93" i="34"/>
  <c r="CA93" i="34"/>
  <c r="CB93" i="34"/>
  <c r="CC93" i="34"/>
  <c r="CD93" i="34"/>
  <c r="CE93" i="34"/>
  <c r="CF93" i="34"/>
  <c r="CG93" i="34"/>
  <c r="CH93" i="34"/>
  <c r="CI93" i="34"/>
  <c r="CJ93" i="34"/>
  <c r="CK93" i="34"/>
  <c r="CL93" i="34"/>
  <c r="CM93" i="34"/>
  <c r="CN93" i="34"/>
  <c r="CO93" i="34"/>
  <c r="CP93" i="34"/>
  <c r="CQ93" i="34"/>
  <c r="CR93" i="34"/>
  <c r="CS93" i="34"/>
  <c r="CT93" i="34"/>
  <c r="CU93" i="34"/>
  <c r="CV93" i="34"/>
  <c r="CW93" i="34"/>
  <c r="CX93" i="34"/>
  <c r="CY93" i="34"/>
  <c r="CZ93" i="34"/>
  <c r="DA93" i="34"/>
  <c r="DB93" i="34"/>
  <c r="DC93" i="34"/>
  <c r="DD93" i="34"/>
  <c r="DE93" i="34"/>
  <c r="DF93" i="34"/>
  <c r="DG93" i="34"/>
  <c r="DH93" i="34"/>
  <c r="DI93" i="34"/>
  <c r="DJ93" i="34"/>
  <c r="DK93" i="34"/>
  <c r="DL93" i="34"/>
  <c r="DM93" i="34"/>
  <c r="DN93" i="34"/>
  <c r="DO93" i="34"/>
  <c r="DP93" i="34"/>
  <c r="DQ93" i="34"/>
  <c r="DR93" i="34"/>
  <c r="DS93" i="34"/>
  <c r="DT93" i="34"/>
  <c r="DU93" i="34"/>
  <c r="DV93" i="34"/>
  <c r="DW93" i="34"/>
  <c r="DX93" i="34"/>
  <c r="DY93" i="34"/>
  <c r="DZ93" i="34"/>
  <c r="EA93" i="34"/>
  <c r="EB93" i="34"/>
  <c r="L95" i="34"/>
  <c r="M95" i="34"/>
  <c r="N95" i="34"/>
  <c r="O95" i="34"/>
  <c r="P95" i="34"/>
  <c r="Q95" i="34"/>
  <c r="R95" i="34"/>
  <c r="S95" i="34"/>
  <c r="T95" i="34"/>
  <c r="U95" i="34"/>
  <c r="V95" i="34"/>
  <c r="W95" i="34"/>
  <c r="X95" i="34"/>
  <c r="Y95" i="34"/>
  <c r="Z95" i="34"/>
  <c r="AA95" i="34"/>
  <c r="AB95" i="34"/>
  <c r="AC95" i="34"/>
  <c r="AD95" i="34"/>
  <c r="AE95" i="34"/>
  <c r="AF95" i="34"/>
  <c r="AG95" i="34"/>
  <c r="AH95" i="34"/>
  <c r="AI95" i="34"/>
  <c r="AJ95" i="34"/>
  <c r="AK95" i="34"/>
  <c r="AL95" i="34"/>
  <c r="AM95" i="34"/>
  <c r="AN95" i="34"/>
  <c r="AO95" i="34"/>
  <c r="AP95" i="34"/>
  <c r="AQ95" i="34"/>
  <c r="AR95" i="34"/>
  <c r="AS95" i="34"/>
  <c r="AT95" i="34"/>
  <c r="AU95" i="34"/>
  <c r="AV95" i="34"/>
  <c r="AW95" i="34"/>
  <c r="AX95" i="34"/>
  <c r="AY95" i="34"/>
  <c r="AZ95" i="34"/>
  <c r="BA95" i="34"/>
  <c r="BB95" i="34"/>
  <c r="BC95" i="34"/>
  <c r="BD95" i="34"/>
  <c r="BE95" i="34"/>
  <c r="BF95" i="34"/>
  <c r="BG95" i="34"/>
  <c r="BH95" i="34"/>
  <c r="BI95" i="34"/>
  <c r="BJ95" i="34"/>
  <c r="BK95" i="34"/>
  <c r="BL95" i="34"/>
  <c r="BM95" i="34"/>
  <c r="BN95" i="34"/>
  <c r="BO95" i="34"/>
  <c r="BP95" i="34"/>
  <c r="BQ95" i="34"/>
  <c r="BR95" i="34"/>
  <c r="BS95" i="34"/>
  <c r="BT95" i="34"/>
  <c r="BU95" i="34"/>
  <c r="BV95" i="34"/>
  <c r="BW95" i="34"/>
  <c r="BX95" i="34"/>
  <c r="BY95" i="34"/>
  <c r="BZ95" i="34"/>
  <c r="CA95" i="34"/>
  <c r="CB95" i="34"/>
  <c r="CC95" i="34"/>
  <c r="CD95" i="34"/>
  <c r="CE95" i="34"/>
  <c r="CF95" i="34"/>
  <c r="CG95" i="34"/>
  <c r="CH95" i="34"/>
  <c r="CI95" i="34"/>
  <c r="CJ95" i="34"/>
  <c r="CK95" i="34"/>
  <c r="CL95" i="34"/>
  <c r="CM95" i="34"/>
  <c r="CN95" i="34"/>
  <c r="CO95" i="34"/>
  <c r="CP95" i="34"/>
  <c r="CQ95" i="34"/>
  <c r="CR95" i="34"/>
  <c r="CS95" i="34"/>
  <c r="CT95" i="34"/>
  <c r="CU95" i="34"/>
  <c r="CV95" i="34"/>
  <c r="CW95" i="34"/>
  <c r="CX95" i="34"/>
  <c r="CY95" i="34"/>
  <c r="CZ95" i="34"/>
  <c r="DA95" i="34"/>
  <c r="DB95" i="34"/>
  <c r="DC95" i="34"/>
  <c r="DD95" i="34"/>
  <c r="DE95" i="34"/>
  <c r="DF95" i="34"/>
  <c r="DG95" i="34"/>
  <c r="DH95" i="34"/>
  <c r="DI95" i="34"/>
  <c r="DJ95" i="34"/>
  <c r="DK95" i="34"/>
  <c r="DL95" i="34"/>
  <c r="DM95" i="34"/>
  <c r="DN95" i="34"/>
  <c r="DO95" i="34"/>
  <c r="DP95" i="34"/>
  <c r="DQ95" i="34"/>
  <c r="DR95" i="34"/>
  <c r="DS95" i="34"/>
  <c r="DT95" i="34"/>
  <c r="DU95" i="34"/>
  <c r="DV95" i="34"/>
  <c r="DW95" i="34"/>
  <c r="DX95" i="34"/>
  <c r="DY95" i="34"/>
  <c r="DZ95" i="34"/>
  <c r="EA95" i="34"/>
  <c r="EB95" i="34"/>
  <c r="L96" i="34"/>
  <c r="M96" i="34"/>
  <c r="N96" i="34"/>
  <c r="O96" i="34"/>
  <c r="P96" i="34"/>
  <c r="Q96" i="34"/>
  <c r="R96" i="34"/>
  <c r="S96" i="34"/>
  <c r="T96" i="34"/>
  <c r="U96" i="34"/>
  <c r="V96" i="34"/>
  <c r="W96" i="34"/>
  <c r="X96" i="34"/>
  <c r="Y96" i="34"/>
  <c r="Z96" i="34"/>
  <c r="AA96" i="34"/>
  <c r="AB96" i="34"/>
  <c r="AC96" i="34"/>
  <c r="AD96" i="34"/>
  <c r="AE96" i="34"/>
  <c r="AF96" i="34"/>
  <c r="AG96" i="34"/>
  <c r="AH96" i="34"/>
  <c r="AI96" i="34"/>
  <c r="AJ96" i="34"/>
  <c r="AK96" i="34"/>
  <c r="AL96" i="34"/>
  <c r="AM96" i="34"/>
  <c r="AN96" i="34"/>
  <c r="AO96" i="34"/>
  <c r="AP96" i="34"/>
  <c r="AQ96" i="34"/>
  <c r="AR96" i="34"/>
  <c r="AS96" i="34"/>
  <c r="AT96" i="34"/>
  <c r="AU96" i="34"/>
  <c r="AV96" i="34"/>
  <c r="AW96" i="34"/>
  <c r="AX96" i="34"/>
  <c r="AY96" i="34"/>
  <c r="AZ96" i="34"/>
  <c r="BA96" i="34"/>
  <c r="BB96" i="34"/>
  <c r="BC96" i="34"/>
  <c r="BD96" i="34"/>
  <c r="BE96" i="34"/>
  <c r="BF96" i="34"/>
  <c r="BG96" i="34"/>
  <c r="BH96" i="34"/>
  <c r="BI96" i="34"/>
  <c r="BJ96" i="34"/>
  <c r="BK96" i="34"/>
  <c r="BL96" i="34"/>
  <c r="BM96" i="34"/>
  <c r="BN96" i="34"/>
  <c r="BO96" i="34"/>
  <c r="BP96" i="34"/>
  <c r="BQ96" i="34"/>
  <c r="BR96" i="34"/>
  <c r="BS96" i="34"/>
  <c r="BT96" i="34"/>
  <c r="BU96" i="34"/>
  <c r="BV96" i="34"/>
  <c r="BW96" i="34"/>
  <c r="BX96" i="34"/>
  <c r="BY96" i="34"/>
  <c r="BZ96" i="34"/>
  <c r="CA96" i="34"/>
  <c r="CB96" i="34"/>
  <c r="CC96" i="34"/>
  <c r="CD96" i="34"/>
  <c r="CE96" i="34"/>
  <c r="CF96" i="34"/>
  <c r="CG96" i="34"/>
  <c r="CH96" i="34"/>
  <c r="CI96" i="34"/>
  <c r="CJ96" i="34"/>
  <c r="CK96" i="34"/>
  <c r="CL96" i="34"/>
  <c r="CM96" i="34"/>
  <c r="CN96" i="34"/>
  <c r="CO96" i="34"/>
  <c r="CP96" i="34"/>
  <c r="CQ96" i="34"/>
  <c r="CR96" i="34"/>
  <c r="CS96" i="34"/>
  <c r="CT96" i="34"/>
  <c r="CU96" i="34"/>
  <c r="CV96" i="34"/>
  <c r="CW96" i="34"/>
  <c r="CX96" i="34"/>
  <c r="CY96" i="34"/>
  <c r="CZ96" i="34"/>
  <c r="DA96" i="34"/>
  <c r="DB96" i="34"/>
  <c r="DC96" i="34"/>
  <c r="DD96" i="34"/>
  <c r="DE96" i="34"/>
  <c r="DF96" i="34"/>
  <c r="DG96" i="34"/>
  <c r="DH96" i="34"/>
  <c r="DI96" i="34"/>
  <c r="DJ96" i="34"/>
  <c r="DK96" i="34"/>
  <c r="DL96" i="34"/>
  <c r="DM96" i="34"/>
  <c r="DN96" i="34"/>
  <c r="DO96" i="34"/>
  <c r="DP96" i="34"/>
  <c r="DQ96" i="34"/>
  <c r="DR96" i="34"/>
  <c r="DS96" i="34"/>
  <c r="DT96" i="34"/>
  <c r="DU96" i="34"/>
  <c r="DV96" i="34"/>
  <c r="DW96" i="34"/>
  <c r="DX96" i="34"/>
  <c r="DY96" i="34"/>
  <c r="DZ96" i="34"/>
  <c r="EA96" i="34"/>
  <c r="EB96" i="34"/>
  <c r="M100" i="34"/>
  <c r="N100" i="34"/>
  <c r="O100" i="34"/>
  <c r="P100" i="34"/>
  <c r="Q100" i="34"/>
  <c r="R100" i="34"/>
  <c r="S100" i="34"/>
  <c r="T100" i="34"/>
  <c r="U100" i="34"/>
  <c r="V100" i="34"/>
  <c r="W100" i="34"/>
  <c r="X100" i="34"/>
  <c r="Y100" i="34"/>
  <c r="Z100" i="34"/>
  <c r="AA100" i="34"/>
  <c r="AB100" i="34"/>
  <c r="AC100" i="34"/>
  <c r="AD100" i="34"/>
  <c r="AE100" i="34"/>
  <c r="AF100" i="34"/>
  <c r="AG100" i="34"/>
  <c r="AH100" i="34"/>
  <c r="AI100" i="34"/>
  <c r="AJ100" i="34"/>
  <c r="AK100" i="34"/>
  <c r="AL100" i="34"/>
  <c r="AM100" i="34"/>
  <c r="AN100" i="34"/>
  <c r="AO100" i="34"/>
  <c r="AP100" i="34"/>
  <c r="AQ100" i="34"/>
  <c r="AR100" i="34"/>
  <c r="AS100" i="34"/>
  <c r="AT100" i="34"/>
  <c r="AU100" i="34"/>
  <c r="AV100" i="34"/>
  <c r="AW100" i="34"/>
  <c r="AX100" i="34"/>
  <c r="AY100" i="34"/>
  <c r="AZ100" i="34"/>
  <c r="BA100" i="34"/>
  <c r="BB100" i="34"/>
  <c r="BC100" i="34"/>
  <c r="BD100" i="34"/>
  <c r="BE100" i="34"/>
  <c r="BF100" i="34"/>
  <c r="BG100" i="34"/>
  <c r="BH100" i="34"/>
  <c r="BI100" i="34"/>
  <c r="BJ100" i="34"/>
  <c r="BK100" i="34"/>
  <c r="BL100" i="34"/>
  <c r="BM100" i="34"/>
  <c r="BN100" i="34"/>
  <c r="BO100" i="34"/>
  <c r="BP100" i="34"/>
  <c r="BQ100" i="34"/>
  <c r="BR100" i="34"/>
  <c r="BS100" i="34"/>
  <c r="BT100" i="34"/>
  <c r="BU100" i="34"/>
  <c r="BV100" i="34"/>
  <c r="BW100" i="34"/>
  <c r="BX100" i="34"/>
  <c r="BY100" i="34"/>
  <c r="BZ100" i="34"/>
  <c r="CA100" i="34"/>
  <c r="CB100" i="34"/>
  <c r="CC100" i="34"/>
  <c r="CD100" i="34"/>
  <c r="CE100" i="34"/>
  <c r="CF100" i="34"/>
  <c r="CG100" i="34"/>
  <c r="CH100" i="34"/>
  <c r="CI100" i="34"/>
  <c r="CJ100" i="34"/>
  <c r="CK100" i="34"/>
  <c r="CL100" i="34"/>
  <c r="CM100" i="34"/>
  <c r="CN100" i="34"/>
  <c r="CO100" i="34"/>
  <c r="CP100" i="34"/>
  <c r="CQ100" i="34"/>
  <c r="CR100" i="34"/>
  <c r="CS100" i="34"/>
  <c r="CT100" i="34"/>
  <c r="CU100" i="34"/>
  <c r="CV100" i="34"/>
  <c r="CW100" i="34"/>
  <c r="CX100" i="34"/>
  <c r="CY100" i="34"/>
  <c r="CZ100" i="34"/>
  <c r="DA100" i="34"/>
  <c r="DB100" i="34"/>
  <c r="DC100" i="34"/>
  <c r="DD100" i="34"/>
  <c r="DE100" i="34"/>
  <c r="DF100" i="34"/>
  <c r="DG100" i="34"/>
  <c r="DH100" i="34"/>
  <c r="DI100" i="34"/>
  <c r="DJ100" i="34"/>
  <c r="DK100" i="34"/>
  <c r="DL100" i="34"/>
  <c r="DM100" i="34"/>
  <c r="DN100" i="34"/>
  <c r="DO100" i="34"/>
  <c r="DP100" i="34"/>
  <c r="DQ100" i="34"/>
  <c r="DR100" i="34"/>
  <c r="DS100" i="34"/>
  <c r="DT100" i="34"/>
  <c r="DU100" i="34"/>
  <c r="DV100" i="34"/>
  <c r="DW100" i="34"/>
  <c r="DX100" i="34"/>
  <c r="DY100" i="34"/>
  <c r="DZ100" i="34"/>
  <c r="EA100" i="34"/>
  <c r="EB100" i="34"/>
  <c r="M101" i="34"/>
  <c r="N101" i="34"/>
  <c r="O101" i="34"/>
  <c r="P101" i="34"/>
  <c r="Q101" i="34"/>
  <c r="R101" i="34"/>
  <c r="S101" i="34"/>
  <c r="T101" i="34"/>
  <c r="U101" i="34"/>
  <c r="V101" i="34"/>
  <c r="W101" i="34"/>
  <c r="X101" i="34"/>
  <c r="Y101" i="34"/>
  <c r="Z101" i="34"/>
  <c r="AA101" i="34"/>
  <c r="AB101" i="34"/>
  <c r="AC101" i="34"/>
  <c r="AD101" i="34"/>
  <c r="AE101" i="34"/>
  <c r="AF101" i="34"/>
  <c r="AG101" i="34"/>
  <c r="AH101" i="34"/>
  <c r="AI101" i="34"/>
  <c r="AJ101" i="34"/>
  <c r="AK101" i="34"/>
  <c r="AL101" i="34"/>
  <c r="AM101" i="34"/>
  <c r="AN101" i="34"/>
  <c r="AO101" i="34"/>
  <c r="AP101" i="34"/>
  <c r="AQ101" i="34"/>
  <c r="AR101" i="34"/>
  <c r="AS101" i="34"/>
  <c r="AT101" i="34"/>
  <c r="AU101" i="34"/>
  <c r="AV101" i="34"/>
  <c r="AW101" i="34"/>
  <c r="AX101" i="34"/>
  <c r="AY101" i="34"/>
  <c r="AZ101" i="34"/>
  <c r="BA101" i="34"/>
  <c r="BB101" i="34"/>
  <c r="BC101" i="34"/>
  <c r="BD101" i="34"/>
  <c r="BE101" i="34"/>
  <c r="BF101" i="34"/>
  <c r="BG101" i="34"/>
  <c r="BH101" i="34"/>
  <c r="BI101" i="34"/>
  <c r="BJ101" i="34"/>
  <c r="BK101" i="34"/>
  <c r="BL101" i="34"/>
  <c r="BM101" i="34"/>
  <c r="BN101" i="34"/>
  <c r="BO101" i="34"/>
  <c r="BP101" i="34"/>
  <c r="BQ101" i="34"/>
  <c r="BR101" i="34"/>
  <c r="BS101" i="34"/>
  <c r="BT101" i="34"/>
  <c r="BU101" i="34"/>
  <c r="BV101" i="34"/>
  <c r="BW101" i="34"/>
  <c r="BX101" i="34"/>
  <c r="BY101" i="34"/>
  <c r="BZ101" i="34"/>
  <c r="CA101" i="34"/>
  <c r="CB101" i="34"/>
  <c r="CC101" i="34"/>
  <c r="CD101" i="34"/>
  <c r="CE101" i="34"/>
  <c r="CF101" i="34"/>
  <c r="CG101" i="34"/>
  <c r="CH101" i="34"/>
  <c r="CI101" i="34"/>
  <c r="CJ101" i="34"/>
  <c r="CK101" i="34"/>
  <c r="CL101" i="34"/>
  <c r="CM101" i="34"/>
  <c r="CN101" i="34"/>
  <c r="CO101" i="34"/>
  <c r="CP101" i="34"/>
  <c r="CQ101" i="34"/>
  <c r="CR101" i="34"/>
  <c r="CS101" i="34"/>
  <c r="CT101" i="34"/>
  <c r="CU101" i="34"/>
  <c r="CV101" i="34"/>
  <c r="CW101" i="34"/>
  <c r="CX101" i="34"/>
  <c r="CY101" i="34"/>
  <c r="CZ101" i="34"/>
  <c r="DA101" i="34"/>
  <c r="DB101" i="34"/>
  <c r="DC101" i="34"/>
  <c r="DD101" i="34"/>
  <c r="DE101" i="34"/>
  <c r="DF101" i="34"/>
  <c r="DG101" i="34"/>
  <c r="DH101" i="34"/>
  <c r="DI101" i="34"/>
  <c r="DJ101" i="34"/>
  <c r="DK101" i="34"/>
  <c r="DL101" i="34"/>
  <c r="DM101" i="34"/>
  <c r="DN101" i="34"/>
  <c r="DO101" i="34"/>
  <c r="DP101" i="34"/>
  <c r="DQ101" i="34"/>
  <c r="DR101" i="34"/>
  <c r="DS101" i="34"/>
  <c r="DT101" i="34"/>
  <c r="DU101" i="34"/>
  <c r="DV101" i="34"/>
  <c r="DW101" i="34"/>
  <c r="DX101" i="34"/>
  <c r="DY101" i="34"/>
  <c r="DZ101" i="34"/>
  <c r="EA101" i="34"/>
  <c r="EB101" i="34"/>
  <c r="L102" i="34"/>
  <c r="L103" i="34"/>
  <c r="M103" i="34"/>
  <c r="N103" i="34"/>
  <c r="O103" i="34"/>
  <c r="P103" i="34"/>
  <c r="Q103" i="34"/>
  <c r="R103" i="34"/>
  <c r="S103" i="34"/>
  <c r="T103" i="34"/>
  <c r="U103" i="34"/>
  <c r="V103" i="34"/>
  <c r="W103" i="34"/>
  <c r="X103" i="34"/>
  <c r="Y103" i="34"/>
  <c r="Z103" i="34"/>
  <c r="AA103" i="34"/>
  <c r="AB103" i="34"/>
  <c r="AC103" i="34"/>
  <c r="AD103" i="34"/>
  <c r="AE103" i="34"/>
  <c r="AF103" i="34"/>
  <c r="AG103" i="34"/>
  <c r="AH103" i="34"/>
  <c r="AI103" i="34"/>
  <c r="AJ103" i="34"/>
  <c r="AK103" i="34"/>
  <c r="AL103" i="34"/>
  <c r="AM103" i="34"/>
  <c r="AN103" i="34"/>
  <c r="AO103" i="34"/>
  <c r="AP103" i="34"/>
  <c r="AQ103" i="34"/>
  <c r="AR103" i="34"/>
  <c r="AS103" i="34"/>
  <c r="AT103" i="34"/>
  <c r="AU103" i="34"/>
  <c r="AV103" i="34"/>
  <c r="AW103" i="34"/>
  <c r="AX103" i="34"/>
  <c r="AY103" i="34"/>
  <c r="AZ103" i="34"/>
  <c r="BA103" i="34"/>
  <c r="BB103" i="34"/>
  <c r="BC103" i="34"/>
  <c r="BD103" i="34"/>
  <c r="BE103" i="34"/>
  <c r="BF103" i="34"/>
  <c r="BG103" i="34"/>
  <c r="BH103" i="34"/>
  <c r="BI103" i="34"/>
  <c r="BJ103" i="34"/>
  <c r="BK103" i="34"/>
  <c r="BL103" i="34"/>
  <c r="BM103" i="34"/>
  <c r="BN103" i="34"/>
  <c r="BO103" i="34"/>
  <c r="BP103" i="34"/>
  <c r="BQ103" i="34"/>
  <c r="BR103" i="34"/>
  <c r="BS103" i="34"/>
  <c r="BT103" i="34"/>
  <c r="BU103" i="34"/>
  <c r="BV103" i="34"/>
  <c r="BW103" i="34"/>
  <c r="BX103" i="34"/>
  <c r="BY103" i="34"/>
  <c r="BZ103" i="34"/>
  <c r="CA103" i="34"/>
  <c r="CB103" i="34"/>
  <c r="CC103" i="34"/>
  <c r="CD103" i="34"/>
  <c r="CE103" i="34"/>
  <c r="CF103" i="34"/>
  <c r="CG103" i="34"/>
  <c r="CH103" i="34"/>
  <c r="CI103" i="34"/>
  <c r="CJ103" i="34"/>
  <c r="CK103" i="34"/>
  <c r="CL103" i="34"/>
  <c r="CM103" i="34"/>
  <c r="CN103" i="34"/>
  <c r="CO103" i="34"/>
  <c r="CP103" i="34"/>
  <c r="CQ103" i="34"/>
  <c r="CR103" i="34"/>
  <c r="CS103" i="34"/>
  <c r="CT103" i="34"/>
  <c r="CU103" i="34"/>
  <c r="CV103" i="34"/>
  <c r="CW103" i="34"/>
  <c r="CX103" i="34"/>
  <c r="CY103" i="34"/>
  <c r="CZ103" i="34"/>
  <c r="DA103" i="34"/>
  <c r="DB103" i="34"/>
  <c r="DC103" i="34"/>
  <c r="DD103" i="34"/>
  <c r="DE103" i="34"/>
  <c r="DF103" i="34"/>
  <c r="DG103" i="34"/>
  <c r="DH103" i="34"/>
  <c r="DI103" i="34"/>
  <c r="DJ103" i="34"/>
  <c r="DK103" i="34"/>
  <c r="DL103" i="34"/>
  <c r="DM103" i="34"/>
  <c r="DN103" i="34"/>
  <c r="DO103" i="34"/>
  <c r="DP103" i="34"/>
  <c r="DQ103" i="34"/>
  <c r="DR103" i="34"/>
  <c r="DS103" i="34"/>
  <c r="DT103" i="34"/>
  <c r="DU103" i="34"/>
  <c r="DV103" i="34"/>
  <c r="DW103" i="34"/>
  <c r="DX103" i="34"/>
  <c r="DY103" i="34"/>
  <c r="DZ103" i="34"/>
  <c r="EA103" i="34"/>
  <c r="EB103" i="34"/>
  <c r="L104" i="34"/>
  <c r="M104" i="34"/>
  <c r="N104" i="34"/>
  <c r="O104" i="34"/>
  <c r="P104" i="34"/>
  <c r="Q104" i="34"/>
  <c r="R104" i="34"/>
  <c r="S104" i="34"/>
  <c r="T104" i="34"/>
  <c r="U104" i="34"/>
  <c r="V104" i="34"/>
  <c r="W104" i="34"/>
  <c r="X104" i="34"/>
  <c r="Y104" i="34"/>
  <c r="Z104" i="34"/>
  <c r="AA104" i="34"/>
  <c r="AB104" i="34"/>
  <c r="AC104" i="34"/>
  <c r="AD104" i="34"/>
  <c r="AE104" i="34"/>
  <c r="AF104" i="34"/>
  <c r="AG104" i="34"/>
  <c r="AH104" i="34"/>
  <c r="AI104" i="34"/>
  <c r="AJ104" i="34"/>
  <c r="AK104" i="34"/>
  <c r="AL104" i="34"/>
  <c r="AM104" i="34"/>
  <c r="AN104" i="34"/>
  <c r="AO104" i="34"/>
  <c r="AP104" i="34"/>
  <c r="AQ104" i="34"/>
  <c r="AR104" i="34"/>
  <c r="AS104" i="34"/>
  <c r="AT104" i="34"/>
  <c r="AU104" i="34"/>
  <c r="AV104" i="34"/>
  <c r="AW104" i="34"/>
  <c r="AX104" i="34"/>
  <c r="AY104" i="34"/>
  <c r="AZ104" i="34"/>
  <c r="BA104" i="34"/>
  <c r="BB104" i="34"/>
  <c r="BC104" i="34"/>
  <c r="BD104" i="34"/>
  <c r="BE104" i="34"/>
  <c r="BF104" i="34"/>
  <c r="BG104" i="34"/>
  <c r="BH104" i="34"/>
  <c r="BI104" i="34"/>
  <c r="BJ104" i="34"/>
  <c r="BK104" i="34"/>
  <c r="BL104" i="34"/>
  <c r="BM104" i="34"/>
  <c r="BN104" i="34"/>
  <c r="BO104" i="34"/>
  <c r="BP104" i="34"/>
  <c r="BQ104" i="34"/>
  <c r="BR104" i="34"/>
  <c r="BS104" i="34"/>
  <c r="BT104" i="34"/>
  <c r="BU104" i="34"/>
  <c r="BV104" i="34"/>
  <c r="BW104" i="34"/>
  <c r="BX104" i="34"/>
  <c r="BY104" i="34"/>
  <c r="BZ104" i="34"/>
  <c r="CA104" i="34"/>
  <c r="CB104" i="34"/>
  <c r="CC104" i="34"/>
  <c r="CD104" i="34"/>
  <c r="CE104" i="34"/>
  <c r="CF104" i="34"/>
  <c r="CG104" i="34"/>
  <c r="CH104" i="34"/>
  <c r="CI104" i="34"/>
  <c r="CJ104" i="34"/>
  <c r="CK104" i="34"/>
  <c r="CL104" i="34"/>
  <c r="CM104" i="34"/>
  <c r="CN104" i="34"/>
  <c r="CO104" i="34"/>
  <c r="CP104" i="34"/>
  <c r="CQ104" i="34"/>
  <c r="CR104" i="34"/>
  <c r="CS104" i="34"/>
  <c r="CT104" i="34"/>
  <c r="CU104" i="34"/>
  <c r="CV104" i="34"/>
  <c r="CW104" i="34"/>
  <c r="CX104" i="34"/>
  <c r="CY104" i="34"/>
  <c r="CZ104" i="34"/>
  <c r="DA104" i="34"/>
  <c r="DB104" i="34"/>
  <c r="DC104" i="34"/>
  <c r="DD104" i="34"/>
  <c r="DE104" i="34"/>
  <c r="DF104" i="34"/>
  <c r="DG104" i="34"/>
  <c r="DH104" i="34"/>
  <c r="DI104" i="34"/>
  <c r="DJ104" i="34"/>
  <c r="DK104" i="34"/>
  <c r="DL104" i="34"/>
  <c r="DM104" i="34"/>
  <c r="DN104" i="34"/>
  <c r="DO104" i="34"/>
  <c r="DP104" i="34"/>
  <c r="DQ104" i="34"/>
  <c r="DR104" i="34"/>
  <c r="DS104" i="34"/>
  <c r="DT104" i="34"/>
  <c r="DU104" i="34"/>
  <c r="DV104" i="34"/>
  <c r="DW104" i="34"/>
  <c r="DX104" i="34"/>
  <c r="DY104" i="34"/>
  <c r="DZ104" i="34"/>
  <c r="EA104" i="34"/>
  <c r="EB104" i="34"/>
  <c r="L105" i="34"/>
  <c r="M105" i="34"/>
  <c r="N105" i="34"/>
  <c r="O105" i="34"/>
  <c r="P105" i="34"/>
  <c r="Q105" i="34"/>
  <c r="R105" i="34"/>
  <c r="S105" i="34"/>
  <c r="T105" i="34"/>
  <c r="U105" i="34"/>
  <c r="V105" i="34"/>
  <c r="W105" i="34"/>
  <c r="X105" i="34"/>
  <c r="Y105" i="34"/>
  <c r="Z105" i="34"/>
  <c r="AA105" i="34"/>
  <c r="AB105" i="34"/>
  <c r="AC105" i="34"/>
  <c r="AD105" i="34"/>
  <c r="AE105" i="34"/>
  <c r="AF105" i="34"/>
  <c r="AG105" i="34"/>
  <c r="AH105" i="34"/>
  <c r="AI105" i="34"/>
  <c r="AJ105" i="34"/>
  <c r="AK105" i="34"/>
  <c r="AL105" i="34"/>
  <c r="AM105" i="34"/>
  <c r="AN105" i="34"/>
  <c r="AO105" i="34"/>
  <c r="AP105" i="34"/>
  <c r="AQ105" i="34"/>
  <c r="AR105" i="34"/>
  <c r="AS105" i="34"/>
  <c r="AT105" i="34"/>
  <c r="AU105" i="34"/>
  <c r="AV105" i="34"/>
  <c r="AW105" i="34"/>
  <c r="AX105" i="34"/>
  <c r="AY105" i="34"/>
  <c r="AZ105" i="34"/>
  <c r="BA105" i="34"/>
  <c r="BB105" i="34"/>
  <c r="BC105" i="34"/>
  <c r="BD105" i="34"/>
  <c r="BE105" i="34"/>
  <c r="BF105" i="34"/>
  <c r="BG105" i="34"/>
  <c r="BH105" i="34"/>
  <c r="BI105" i="34"/>
  <c r="BJ105" i="34"/>
  <c r="BK105" i="34"/>
  <c r="BL105" i="34"/>
  <c r="BM105" i="34"/>
  <c r="BN105" i="34"/>
  <c r="BO105" i="34"/>
  <c r="BP105" i="34"/>
  <c r="BQ105" i="34"/>
  <c r="BR105" i="34"/>
  <c r="BS105" i="34"/>
  <c r="BT105" i="34"/>
  <c r="BU105" i="34"/>
  <c r="BV105" i="34"/>
  <c r="BW105" i="34"/>
  <c r="BX105" i="34"/>
  <c r="BY105" i="34"/>
  <c r="BZ105" i="34"/>
  <c r="CA105" i="34"/>
  <c r="CB105" i="34"/>
  <c r="CC105" i="34"/>
  <c r="CD105" i="34"/>
  <c r="CE105" i="34"/>
  <c r="CF105" i="34"/>
  <c r="CG105" i="34"/>
  <c r="CH105" i="34"/>
  <c r="CI105" i="34"/>
  <c r="CJ105" i="34"/>
  <c r="CK105" i="34"/>
  <c r="CL105" i="34"/>
  <c r="CM105" i="34"/>
  <c r="CN105" i="34"/>
  <c r="CO105" i="34"/>
  <c r="CP105" i="34"/>
  <c r="CQ105" i="34"/>
  <c r="CR105" i="34"/>
  <c r="CS105" i="34"/>
  <c r="CT105" i="34"/>
  <c r="CU105" i="34"/>
  <c r="CV105" i="34"/>
  <c r="CW105" i="34"/>
  <c r="CX105" i="34"/>
  <c r="CY105" i="34"/>
  <c r="CZ105" i="34"/>
  <c r="DA105" i="34"/>
  <c r="DB105" i="34"/>
  <c r="DC105" i="34"/>
  <c r="DD105" i="34"/>
  <c r="DE105" i="34"/>
  <c r="DF105" i="34"/>
  <c r="DG105" i="34"/>
  <c r="DH105" i="34"/>
  <c r="DI105" i="34"/>
  <c r="DJ105" i="34"/>
  <c r="DK105" i="34"/>
  <c r="DL105" i="34"/>
  <c r="DM105" i="34"/>
  <c r="DN105" i="34"/>
  <c r="DO105" i="34"/>
  <c r="DP105" i="34"/>
  <c r="DQ105" i="34"/>
  <c r="DR105" i="34"/>
  <c r="DS105" i="34"/>
  <c r="DT105" i="34"/>
  <c r="DU105" i="34"/>
  <c r="DV105" i="34"/>
  <c r="DW105" i="34"/>
  <c r="DX105" i="34"/>
  <c r="DY105" i="34"/>
  <c r="DZ105" i="34"/>
  <c r="EA105" i="34"/>
  <c r="EB105" i="34"/>
  <c r="L106" i="34"/>
  <c r="M106" i="34"/>
  <c r="N106" i="34"/>
  <c r="O106" i="34"/>
  <c r="P106" i="34"/>
  <c r="Q106" i="34"/>
  <c r="R106" i="34"/>
  <c r="S106" i="34"/>
  <c r="T106" i="34"/>
  <c r="U106" i="34"/>
  <c r="V106" i="34"/>
  <c r="W106" i="34"/>
  <c r="X106" i="34"/>
  <c r="Y106" i="34"/>
  <c r="Z106" i="34"/>
  <c r="AA106" i="34"/>
  <c r="AB106" i="34"/>
  <c r="AC106" i="34"/>
  <c r="AD106" i="34"/>
  <c r="AE106" i="34"/>
  <c r="AF106" i="34"/>
  <c r="AG106" i="34"/>
  <c r="AH106" i="34"/>
  <c r="AI106" i="34"/>
  <c r="AJ106" i="34"/>
  <c r="AK106" i="34"/>
  <c r="AL106" i="34"/>
  <c r="AM106" i="34"/>
  <c r="AN106" i="34"/>
  <c r="AO106" i="34"/>
  <c r="AP106" i="34"/>
  <c r="AQ106" i="34"/>
  <c r="AR106" i="34"/>
  <c r="AS106" i="34"/>
  <c r="AT106" i="34"/>
  <c r="AU106" i="34"/>
  <c r="AV106" i="34"/>
  <c r="AW106" i="34"/>
  <c r="AX106" i="34"/>
  <c r="AY106" i="34"/>
  <c r="AZ106" i="34"/>
  <c r="BA106" i="34"/>
  <c r="BB106" i="34"/>
  <c r="BC106" i="34"/>
  <c r="BD106" i="34"/>
  <c r="BE106" i="34"/>
  <c r="BF106" i="34"/>
  <c r="BG106" i="34"/>
  <c r="BH106" i="34"/>
  <c r="BI106" i="34"/>
  <c r="BJ106" i="34"/>
  <c r="BK106" i="34"/>
  <c r="BL106" i="34"/>
  <c r="BM106" i="34"/>
  <c r="BN106" i="34"/>
  <c r="BO106" i="34"/>
  <c r="BP106" i="34"/>
  <c r="BQ106" i="34"/>
  <c r="BR106" i="34"/>
  <c r="BS106" i="34"/>
  <c r="BT106" i="34"/>
  <c r="BU106" i="34"/>
  <c r="BV106" i="34"/>
  <c r="BW106" i="34"/>
  <c r="BX106" i="34"/>
  <c r="BY106" i="34"/>
  <c r="BZ106" i="34"/>
  <c r="CA106" i="34"/>
  <c r="CB106" i="34"/>
  <c r="CC106" i="34"/>
  <c r="CD106" i="34"/>
  <c r="CE106" i="34"/>
  <c r="CF106" i="34"/>
  <c r="CG106" i="34"/>
  <c r="CH106" i="34"/>
  <c r="CI106" i="34"/>
  <c r="CJ106" i="34"/>
  <c r="CK106" i="34"/>
  <c r="CL106" i="34"/>
  <c r="CM106" i="34"/>
  <c r="CN106" i="34"/>
  <c r="CO106" i="34"/>
  <c r="CP106" i="34"/>
  <c r="CQ106" i="34"/>
  <c r="CR106" i="34"/>
  <c r="CS106" i="34"/>
  <c r="CT106" i="34"/>
  <c r="CU106" i="34"/>
  <c r="CV106" i="34"/>
  <c r="CW106" i="34"/>
  <c r="CX106" i="34"/>
  <c r="CY106" i="34"/>
  <c r="CZ106" i="34"/>
  <c r="DA106" i="34"/>
  <c r="DB106" i="34"/>
  <c r="DC106" i="34"/>
  <c r="DD106" i="34"/>
  <c r="DE106" i="34"/>
  <c r="DF106" i="34"/>
  <c r="DG106" i="34"/>
  <c r="DH106" i="34"/>
  <c r="DI106" i="34"/>
  <c r="DJ106" i="34"/>
  <c r="DK106" i="34"/>
  <c r="DL106" i="34"/>
  <c r="DM106" i="34"/>
  <c r="DN106" i="34"/>
  <c r="DO106" i="34"/>
  <c r="DP106" i="34"/>
  <c r="DQ106" i="34"/>
  <c r="DR106" i="34"/>
  <c r="DS106" i="34"/>
  <c r="DT106" i="34"/>
  <c r="DU106" i="34"/>
  <c r="DV106" i="34"/>
  <c r="DW106" i="34"/>
  <c r="DX106" i="34"/>
  <c r="DY106" i="34"/>
  <c r="DZ106" i="34"/>
  <c r="EA106" i="34"/>
  <c r="EB106" i="34"/>
  <c r="J107" i="34"/>
  <c r="J108" i="34"/>
  <c r="L110" i="34"/>
  <c r="L111" i="34"/>
  <c r="M111" i="34"/>
  <c r="N111" i="34"/>
  <c r="O111" i="34"/>
  <c r="P111" i="34"/>
  <c r="Q111" i="34"/>
  <c r="R111" i="34"/>
  <c r="S111" i="34"/>
  <c r="T111" i="34"/>
  <c r="U111" i="34"/>
  <c r="V111" i="34"/>
  <c r="W111" i="34"/>
  <c r="X111" i="34"/>
  <c r="Y111" i="34"/>
  <c r="Z111" i="34"/>
  <c r="AA111" i="34"/>
  <c r="AB111" i="34"/>
  <c r="AC111" i="34"/>
  <c r="AD111" i="34"/>
  <c r="AE111" i="34"/>
  <c r="AF111" i="34"/>
  <c r="AG111" i="34"/>
  <c r="AH111" i="34"/>
  <c r="AI111" i="34"/>
  <c r="AJ111" i="34"/>
  <c r="AK111" i="34"/>
  <c r="AL111" i="34"/>
  <c r="AM111" i="34"/>
  <c r="AN111" i="34"/>
  <c r="AO111" i="34"/>
  <c r="AP111" i="34"/>
  <c r="AQ111" i="34"/>
  <c r="AR111" i="34"/>
  <c r="AS111" i="34"/>
  <c r="AT111" i="34"/>
  <c r="AU111" i="34"/>
  <c r="AV111" i="34"/>
  <c r="AW111" i="34"/>
  <c r="AX111" i="34"/>
  <c r="AY111" i="34"/>
  <c r="AZ111" i="34"/>
  <c r="BA111" i="34"/>
  <c r="BB111" i="34"/>
  <c r="BC111" i="34"/>
  <c r="BD111" i="34"/>
  <c r="BE111" i="34"/>
  <c r="BF111" i="34"/>
  <c r="BG111" i="34"/>
  <c r="BH111" i="34"/>
  <c r="BI111" i="34"/>
  <c r="BJ111" i="34"/>
  <c r="BK111" i="34"/>
  <c r="BL111" i="34"/>
  <c r="BM111" i="34"/>
  <c r="BN111" i="34"/>
  <c r="BO111" i="34"/>
  <c r="BP111" i="34"/>
  <c r="BQ111" i="34"/>
  <c r="BR111" i="34"/>
  <c r="BS111" i="34"/>
  <c r="BT111" i="34"/>
  <c r="BU111" i="34"/>
  <c r="BV111" i="34"/>
  <c r="BW111" i="34"/>
  <c r="BX111" i="34"/>
  <c r="BY111" i="34"/>
  <c r="BZ111" i="34"/>
  <c r="CA111" i="34"/>
  <c r="CB111" i="34"/>
  <c r="CC111" i="34"/>
  <c r="CD111" i="34"/>
  <c r="CE111" i="34"/>
  <c r="CF111" i="34"/>
  <c r="CG111" i="34"/>
  <c r="CH111" i="34"/>
  <c r="CI111" i="34"/>
  <c r="CJ111" i="34"/>
  <c r="CK111" i="34"/>
  <c r="CL111" i="34"/>
  <c r="CM111" i="34"/>
  <c r="CN111" i="34"/>
  <c r="CO111" i="34"/>
  <c r="CP111" i="34"/>
  <c r="CQ111" i="34"/>
  <c r="CR111" i="34"/>
  <c r="CS111" i="34"/>
  <c r="CT111" i="34"/>
  <c r="CU111" i="34"/>
  <c r="CV111" i="34"/>
  <c r="CW111" i="34"/>
  <c r="CX111" i="34"/>
  <c r="CY111" i="34"/>
  <c r="CZ111" i="34"/>
  <c r="DA111" i="34"/>
  <c r="DB111" i="34"/>
  <c r="DC111" i="34"/>
  <c r="DD111" i="34"/>
  <c r="DE111" i="34"/>
  <c r="DF111" i="34"/>
  <c r="DG111" i="34"/>
  <c r="DH111" i="34"/>
  <c r="DI111" i="34"/>
  <c r="DJ111" i="34"/>
  <c r="DK111" i="34"/>
  <c r="DL111" i="34"/>
  <c r="DM111" i="34"/>
  <c r="DN111" i="34"/>
  <c r="DO111" i="34"/>
  <c r="DP111" i="34"/>
  <c r="DQ111" i="34"/>
  <c r="DR111" i="34"/>
  <c r="DS111" i="34"/>
  <c r="DT111" i="34"/>
  <c r="DU111" i="34"/>
  <c r="DV111" i="34"/>
  <c r="DW111" i="34"/>
  <c r="DX111" i="34"/>
  <c r="DY111" i="34"/>
  <c r="DZ111" i="34"/>
  <c r="EA111" i="34"/>
  <c r="EB111" i="34"/>
  <c r="L113" i="34"/>
  <c r="M113" i="34"/>
  <c r="N113" i="34"/>
  <c r="O113" i="34"/>
  <c r="P113" i="34"/>
  <c r="Q113" i="34"/>
  <c r="R113" i="34"/>
  <c r="S113" i="34"/>
  <c r="T113" i="34"/>
  <c r="U113" i="34"/>
  <c r="V113" i="34"/>
  <c r="W113" i="34"/>
  <c r="X113" i="34"/>
  <c r="Y113" i="34"/>
  <c r="Z113" i="34"/>
  <c r="AA113" i="34"/>
  <c r="AB113" i="34"/>
  <c r="AC113" i="34"/>
  <c r="AD113" i="34"/>
  <c r="AE113" i="34"/>
  <c r="AF113" i="34"/>
  <c r="AG113" i="34"/>
  <c r="AH113" i="34"/>
  <c r="AI113" i="34"/>
  <c r="AJ113" i="34"/>
  <c r="AK113" i="34"/>
  <c r="AL113" i="34"/>
  <c r="AM113" i="34"/>
  <c r="AN113" i="34"/>
  <c r="AO113" i="34"/>
  <c r="AP113" i="34"/>
  <c r="AQ113" i="34"/>
  <c r="AR113" i="34"/>
  <c r="AS113" i="34"/>
  <c r="AT113" i="34"/>
  <c r="AU113" i="34"/>
  <c r="AV113" i="34"/>
  <c r="AW113" i="34"/>
  <c r="AX113" i="34"/>
  <c r="AY113" i="34"/>
  <c r="AZ113" i="34"/>
  <c r="BA113" i="34"/>
  <c r="BB113" i="34"/>
  <c r="BC113" i="34"/>
  <c r="BD113" i="34"/>
  <c r="BE113" i="34"/>
  <c r="BF113" i="34"/>
  <c r="BG113" i="34"/>
  <c r="BH113" i="34"/>
  <c r="BI113" i="34"/>
  <c r="BJ113" i="34"/>
  <c r="BK113" i="34"/>
  <c r="BL113" i="34"/>
  <c r="BM113" i="34"/>
  <c r="BN113" i="34"/>
  <c r="BO113" i="34"/>
  <c r="BP113" i="34"/>
  <c r="BQ113" i="34"/>
  <c r="BR113" i="34"/>
  <c r="BS113" i="34"/>
  <c r="BT113" i="34"/>
  <c r="BU113" i="34"/>
  <c r="BV113" i="34"/>
  <c r="BW113" i="34"/>
  <c r="BX113" i="34"/>
  <c r="BY113" i="34"/>
  <c r="BZ113" i="34"/>
  <c r="CA113" i="34"/>
  <c r="CB113" i="34"/>
  <c r="CC113" i="34"/>
  <c r="CD113" i="34"/>
  <c r="CE113" i="34"/>
  <c r="CF113" i="34"/>
  <c r="CG113" i="34"/>
  <c r="CH113" i="34"/>
  <c r="CI113" i="34"/>
  <c r="CJ113" i="34"/>
  <c r="CK113" i="34"/>
  <c r="CL113" i="34"/>
  <c r="CM113" i="34"/>
  <c r="CN113" i="34"/>
  <c r="CO113" i="34"/>
  <c r="CP113" i="34"/>
  <c r="CQ113" i="34"/>
  <c r="CR113" i="34"/>
  <c r="CS113" i="34"/>
  <c r="CT113" i="34"/>
  <c r="CU113" i="34"/>
  <c r="CV113" i="34"/>
  <c r="CW113" i="34"/>
  <c r="CX113" i="34"/>
  <c r="CY113" i="34"/>
  <c r="CZ113" i="34"/>
  <c r="DA113" i="34"/>
  <c r="DB113" i="34"/>
  <c r="DC113" i="34"/>
  <c r="DD113" i="34"/>
  <c r="DE113" i="34"/>
  <c r="DF113" i="34"/>
  <c r="DG113" i="34"/>
  <c r="DH113" i="34"/>
  <c r="DI113" i="34"/>
  <c r="DJ113" i="34"/>
  <c r="DK113" i="34"/>
  <c r="DL113" i="34"/>
  <c r="DM113" i="34"/>
  <c r="DN113" i="34"/>
  <c r="DO113" i="34"/>
  <c r="DP113" i="34"/>
  <c r="DQ113" i="34"/>
  <c r="DR113" i="34"/>
  <c r="DS113" i="34"/>
  <c r="DT113" i="34"/>
  <c r="DU113" i="34"/>
  <c r="DV113" i="34"/>
  <c r="DW113" i="34"/>
  <c r="DX113" i="34"/>
  <c r="DY113" i="34"/>
  <c r="DZ113" i="34"/>
  <c r="EA113" i="34"/>
  <c r="EB113" i="34"/>
  <c r="L114" i="34"/>
  <c r="M114" i="34"/>
  <c r="N114" i="34"/>
  <c r="O114" i="34"/>
  <c r="P114" i="34"/>
  <c r="Q114" i="34"/>
  <c r="R114" i="34"/>
  <c r="S114" i="34"/>
  <c r="T114" i="34"/>
  <c r="U114" i="34"/>
  <c r="V114" i="34"/>
  <c r="W114" i="34"/>
  <c r="X114" i="34"/>
  <c r="Y114" i="34"/>
  <c r="Z114" i="34"/>
  <c r="AA114" i="34"/>
  <c r="AB114" i="34"/>
  <c r="AC114" i="34"/>
  <c r="AD114" i="34"/>
  <c r="AE114" i="34"/>
  <c r="AF114" i="34"/>
  <c r="AG114" i="34"/>
  <c r="AH114" i="34"/>
  <c r="AI114" i="34"/>
  <c r="AJ114" i="34"/>
  <c r="AK114" i="34"/>
  <c r="AL114" i="34"/>
  <c r="AM114" i="34"/>
  <c r="AN114" i="34"/>
  <c r="AO114" i="34"/>
  <c r="AP114" i="34"/>
  <c r="AQ114" i="34"/>
  <c r="AR114" i="34"/>
  <c r="AS114" i="34"/>
  <c r="AT114" i="34"/>
  <c r="AU114" i="34"/>
  <c r="AV114" i="34"/>
  <c r="AW114" i="34"/>
  <c r="AX114" i="34"/>
  <c r="AY114" i="34"/>
  <c r="AZ114" i="34"/>
  <c r="BA114" i="34"/>
  <c r="BB114" i="34"/>
  <c r="BC114" i="34"/>
  <c r="BD114" i="34"/>
  <c r="BE114" i="34"/>
  <c r="BF114" i="34"/>
  <c r="BG114" i="34"/>
  <c r="BH114" i="34"/>
  <c r="BI114" i="34"/>
  <c r="BJ114" i="34"/>
  <c r="BK114" i="34"/>
  <c r="BL114" i="34"/>
  <c r="BM114" i="34"/>
  <c r="BN114" i="34"/>
  <c r="BO114" i="34"/>
  <c r="BP114" i="34"/>
  <c r="BQ114" i="34"/>
  <c r="BR114" i="34"/>
  <c r="BS114" i="34"/>
  <c r="BT114" i="34"/>
  <c r="BU114" i="34"/>
  <c r="BV114" i="34"/>
  <c r="BW114" i="34"/>
  <c r="BX114" i="34"/>
  <c r="BY114" i="34"/>
  <c r="BZ114" i="34"/>
  <c r="CA114" i="34"/>
  <c r="CB114" i="34"/>
  <c r="CC114" i="34"/>
  <c r="CD114" i="34"/>
  <c r="CE114" i="34"/>
  <c r="CF114" i="34"/>
  <c r="CG114" i="34"/>
  <c r="CH114" i="34"/>
  <c r="CI114" i="34"/>
  <c r="CJ114" i="34"/>
  <c r="CK114" i="34"/>
  <c r="CL114" i="34"/>
  <c r="CM114" i="34"/>
  <c r="CN114" i="34"/>
  <c r="CO114" i="34"/>
  <c r="CP114" i="34"/>
  <c r="CQ114" i="34"/>
  <c r="CR114" i="34"/>
  <c r="CS114" i="34"/>
  <c r="CT114" i="34"/>
  <c r="CU114" i="34"/>
  <c r="CV114" i="34"/>
  <c r="CW114" i="34"/>
  <c r="CX114" i="34"/>
  <c r="CY114" i="34"/>
  <c r="CZ114" i="34"/>
  <c r="DA114" i="34"/>
  <c r="DB114" i="34"/>
  <c r="DC114" i="34"/>
  <c r="DD114" i="34"/>
  <c r="DE114" i="34"/>
  <c r="DF114" i="34"/>
  <c r="DG114" i="34"/>
  <c r="DH114" i="34"/>
  <c r="DI114" i="34"/>
  <c r="DJ114" i="34"/>
  <c r="DK114" i="34"/>
  <c r="DL114" i="34"/>
  <c r="DM114" i="34"/>
  <c r="DN114" i="34"/>
  <c r="DO114" i="34"/>
  <c r="DP114" i="34"/>
  <c r="DQ114" i="34"/>
  <c r="DR114" i="34"/>
  <c r="DS114" i="34"/>
  <c r="DT114" i="34"/>
  <c r="DU114" i="34"/>
  <c r="DV114" i="34"/>
  <c r="DW114" i="34"/>
  <c r="DX114" i="34"/>
  <c r="DY114" i="34"/>
  <c r="DZ114" i="34"/>
  <c r="EA114" i="34"/>
  <c r="EB114" i="34"/>
  <c r="L117" i="34"/>
  <c r="M117" i="34"/>
  <c r="N117" i="34"/>
  <c r="O117" i="34"/>
  <c r="P117" i="34"/>
  <c r="Q117" i="34"/>
  <c r="R117" i="34"/>
  <c r="S117" i="34"/>
  <c r="T117" i="34"/>
  <c r="U117" i="34"/>
  <c r="V117" i="34"/>
  <c r="W117" i="34"/>
  <c r="X117" i="34"/>
  <c r="Y117" i="34"/>
  <c r="Z117" i="34"/>
  <c r="AA117" i="34"/>
  <c r="AB117" i="34"/>
  <c r="AC117" i="34"/>
  <c r="AD117" i="34"/>
  <c r="AE117" i="34"/>
  <c r="AF117" i="34"/>
  <c r="AG117" i="34"/>
  <c r="AH117" i="34"/>
  <c r="AI117" i="34"/>
  <c r="AJ117" i="34"/>
  <c r="AK117" i="34"/>
  <c r="AL117" i="34"/>
  <c r="AM117" i="34"/>
  <c r="AN117" i="34"/>
  <c r="AO117" i="34"/>
  <c r="AP117" i="34"/>
  <c r="AQ117" i="34"/>
  <c r="AR117" i="34"/>
  <c r="AS117" i="34"/>
  <c r="AT117" i="34"/>
  <c r="AU117" i="34"/>
  <c r="AV117" i="34"/>
  <c r="AW117" i="34"/>
  <c r="AX117" i="34"/>
  <c r="AY117" i="34"/>
  <c r="AZ117" i="34"/>
  <c r="BA117" i="34"/>
  <c r="BB117" i="34"/>
  <c r="BC117" i="34"/>
  <c r="BD117" i="34"/>
  <c r="BE117" i="34"/>
  <c r="BF117" i="34"/>
  <c r="BG117" i="34"/>
  <c r="BH117" i="34"/>
  <c r="BI117" i="34"/>
  <c r="BJ117" i="34"/>
  <c r="BK117" i="34"/>
  <c r="BL117" i="34"/>
  <c r="BM117" i="34"/>
  <c r="BN117" i="34"/>
  <c r="BO117" i="34"/>
  <c r="BP117" i="34"/>
  <c r="BQ117" i="34"/>
  <c r="BR117" i="34"/>
  <c r="BS117" i="34"/>
  <c r="BT117" i="34"/>
  <c r="BU117" i="34"/>
  <c r="BV117" i="34"/>
  <c r="BW117" i="34"/>
  <c r="BX117" i="34"/>
  <c r="BY117" i="34"/>
  <c r="BZ117" i="34"/>
  <c r="CA117" i="34"/>
  <c r="CB117" i="34"/>
  <c r="CC117" i="34"/>
  <c r="CD117" i="34"/>
  <c r="CE117" i="34"/>
  <c r="CF117" i="34"/>
  <c r="CG117" i="34"/>
  <c r="CH117" i="34"/>
  <c r="CI117" i="34"/>
  <c r="CJ117" i="34"/>
  <c r="CK117" i="34"/>
  <c r="CL117" i="34"/>
  <c r="CM117" i="34"/>
  <c r="CN117" i="34"/>
  <c r="CO117" i="34"/>
  <c r="CP117" i="34"/>
  <c r="CQ117" i="34"/>
  <c r="CR117" i="34"/>
  <c r="CS117" i="34"/>
  <c r="CT117" i="34"/>
  <c r="CU117" i="34"/>
  <c r="CV117" i="34"/>
  <c r="CW117" i="34"/>
  <c r="CX117" i="34"/>
  <c r="CY117" i="34"/>
  <c r="CZ117" i="34"/>
  <c r="DA117" i="34"/>
  <c r="DB117" i="34"/>
  <c r="DC117" i="34"/>
  <c r="DD117" i="34"/>
  <c r="DE117" i="34"/>
  <c r="DF117" i="34"/>
  <c r="DG117" i="34"/>
  <c r="DH117" i="34"/>
  <c r="DI117" i="34"/>
  <c r="DJ117" i="34"/>
  <c r="DK117" i="34"/>
  <c r="DL117" i="34"/>
  <c r="DM117" i="34"/>
  <c r="DN117" i="34"/>
  <c r="DO117" i="34"/>
  <c r="DP117" i="34"/>
  <c r="DQ117" i="34"/>
  <c r="DR117" i="34"/>
  <c r="DS117" i="34"/>
  <c r="DT117" i="34"/>
  <c r="DU117" i="34"/>
  <c r="DV117" i="34"/>
  <c r="DW117" i="34"/>
  <c r="DX117" i="34"/>
  <c r="DY117" i="34"/>
  <c r="DZ117" i="34"/>
  <c r="EA117" i="34"/>
  <c r="EB117" i="34"/>
  <c r="L118" i="34"/>
  <c r="M118" i="34"/>
  <c r="N118" i="34"/>
  <c r="O118" i="34"/>
  <c r="P118" i="34"/>
  <c r="Q118" i="34"/>
  <c r="R118" i="34"/>
  <c r="S118" i="34"/>
  <c r="T118" i="34"/>
  <c r="U118" i="34"/>
  <c r="V118" i="34"/>
  <c r="W118" i="34"/>
  <c r="X118" i="34"/>
  <c r="Y118" i="34"/>
  <c r="Z118" i="34"/>
  <c r="AA118" i="34"/>
  <c r="AB118" i="34"/>
  <c r="AC118" i="34"/>
  <c r="AD118" i="34"/>
  <c r="AE118" i="34"/>
  <c r="AF118" i="34"/>
  <c r="AG118" i="34"/>
  <c r="AH118" i="34"/>
  <c r="AI118" i="34"/>
  <c r="AJ118" i="34"/>
  <c r="AK118" i="34"/>
  <c r="AL118" i="34"/>
  <c r="AM118" i="34"/>
  <c r="AN118" i="34"/>
  <c r="AO118" i="34"/>
  <c r="AP118" i="34"/>
  <c r="AQ118" i="34"/>
  <c r="AR118" i="34"/>
  <c r="AS118" i="34"/>
  <c r="AT118" i="34"/>
  <c r="AU118" i="34"/>
  <c r="AV118" i="34"/>
  <c r="AW118" i="34"/>
  <c r="AX118" i="34"/>
  <c r="AY118" i="34"/>
  <c r="AZ118" i="34"/>
  <c r="BA118" i="34"/>
  <c r="BB118" i="34"/>
  <c r="BC118" i="34"/>
  <c r="BD118" i="34"/>
  <c r="BE118" i="34"/>
  <c r="BF118" i="34"/>
  <c r="BG118" i="34"/>
  <c r="BH118" i="34"/>
  <c r="BI118" i="34"/>
  <c r="BJ118" i="34"/>
  <c r="BK118" i="34"/>
  <c r="BL118" i="34"/>
  <c r="BM118" i="34"/>
  <c r="BN118" i="34"/>
  <c r="BO118" i="34"/>
  <c r="BP118" i="34"/>
  <c r="BQ118" i="34"/>
  <c r="BR118" i="34"/>
  <c r="BS118" i="34"/>
  <c r="BT118" i="34"/>
  <c r="BU118" i="34"/>
  <c r="BV118" i="34"/>
  <c r="BW118" i="34"/>
  <c r="BX118" i="34"/>
  <c r="BY118" i="34"/>
  <c r="BZ118" i="34"/>
  <c r="CA118" i="34"/>
  <c r="CB118" i="34"/>
  <c r="CC118" i="34"/>
  <c r="CD118" i="34"/>
  <c r="CE118" i="34"/>
  <c r="CF118" i="34"/>
  <c r="CG118" i="34"/>
  <c r="CH118" i="34"/>
  <c r="CI118" i="34"/>
  <c r="CJ118" i="34"/>
  <c r="CK118" i="34"/>
  <c r="CL118" i="34"/>
  <c r="CM118" i="34"/>
  <c r="CN118" i="34"/>
  <c r="CO118" i="34"/>
  <c r="CP118" i="34"/>
  <c r="CQ118" i="34"/>
  <c r="CR118" i="34"/>
  <c r="CS118" i="34"/>
  <c r="CT118" i="34"/>
  <c r="CU118" i="34"/>
  <c r="CV118" i="34"/>
  <c r="CW118" i="34"/>
  <c r="CX118" i="34"/>
  <c r="CY118" i="34"/>
  <c r="CZ118" i="34"/>
  <c r="DA118" i="34"/>
  <c r="DB118" i="34"/>
  <c r="DC118" i="34"/>
  <c r="DD118" i="34"/>
  <c r="DE118" i="34"/>
  <c r="DF118" i="34"/>
  <c r="DG118" i="34"/>
  <c r="DH118" i="34"/>
  <c r="DI118" i="34"/>
  <c r="DJ118" i="34"/>
  <c r="DK118" i="34"/>
  <c r="DL118" i="34"/>
  <c r="DM118" i="34"/>
  <c r="DN118" i="34"/>
  <c r="DO118" i="34"/>
  <c r="DP118" i="34"/>
  <c r="DQ118" i="34"/>
  <c r="DR118" i="34"/>
  <c r="DS118" i="34"/>
  <c r="DT118" i="34"/>
  <c r="DU118" i="34"/>
  <c r="DV118" i="34"/>
  <c r="DW118" i="34"/>
  <c r="DX118" i="34"/>
  <c r="DY118" i="34"/>
  <c r="DZ118" i="34"/>
  <c r="EA118" i="34"/>
  <c r="EB118" i="34"/>
  <c r="L119" i="34"/>
  <c r="M119" i="34"/>
  <c r="N119" i="34"/>
  <c r="O119" i="34"/>
  <c r="P119" i="34"/>
  <c r="Q119" i="34"/>
  <c r="R119" i="34"/>
  <c r="S119" i="34"/>
  <c r="T119" i="34"/>
  <c r="U119" i="34"/>
  <c r="V119" i="34"/>
  <c r="W119" i="34"/>
  <c r="X119" i="34"/>
  <c r="Y119" i="34"/>
  <c r="Z119" i="34"/>
  <c r="AA119" i="34"/>
  <c r="AB119" i="34"/>
  <c r="AC119" i="34"/>
  <c r="AD119" i="34"/>
  <c r="AE119" i="34"/>
  <c r="AF119" i="34"/>
  <c r="AG119" i="34"/>
  <c r="AH119" i="34"/>
  <c r="AI119" i="34"/>
  <c r="AJ119" i="34"/>
  <c r="AK119" i="34"/>
  <c r="AL119" i="34"/>
  <c r="AM119" i="34"/>
  <c r="AN119" i="34"/>
  <c r="AO119" i="34"/>
  <c r="AP119" i="34"/>
  <c r="AQ119" i="34"/>
  <c r="AR119" i="34"/>
  <c r="AS119" i="34"/>
  <c r="AT119" i="34"/>
  <c r="AU119" i="34"/>
  <c r="AV119" i="34"/>
  <c r="AW119" i="34"/>
  <c r="AX119" i="34"/>
  <c r="AY119" i="34"/>
  <c r="AZ119" i="34"/>
  <c r="BA119" i="34"/>
  <c r="BB119" i="34"/>
  <c r="BC119" i="34"/>
  <c r="BD119" i="34"/>
  <c r="BE119" i="34"/>
  <c r="BF119" i="34"/>
  <c r="BG119" i="34"/>
  <c r="BH119" i="34"/>
  <c r="BI119" i="34"/>
  <c r="BJ119" i="34"/>
  <c r="BK119" i="34"/>
  <c r="BL119" i="34"/>
  <c r="BM119" i="34"/>
  <c r="BN119" i="34"/>
  <c r="BO119" i="34"/>
  <c r="BP119" i="34"/>
  <c r="BQ119" i="34"/>
  <c r="BR119" i="34"/>
  <c r="BS119" i="34"/>
  <c r="BT119" i="34"/>
  <c r="BU119" i="34"/>
  <c r="BV119" i="34"/>
  <c r="BW119" i="34"/>
  <c r="BX119" i="34"/>
  <c r="BY119" i="34"/>
  <c r="BZ119" i="34"/>
  <c r="CA119" i="34"/>
  <c r="CB119" i="34"/>
  <c r="CC119" i="34"/>
  <c r="CD119" i="34"/>
  <c r="CE119" i="34"/>
  <c r="CF119" i="34"/>
  <c r="CG119" i="34"/>
  <c r="CH119" i="34"/>
  <c r="CI119" i="34"/>
  <c r="CJ119" i="34"/>
  <c r="CK119" i="34"/>
  <c r="CL119" i="34"/>
  <c r="CM119" i="34"/>
  <c r="CN119" i="34"/>
  <c r="CO119" i="34"/>
  <c r="CP119" i="34"/>
  <c r="CQ119" i="34"/>
  <c r="CR119" i="34"/>
  <c r="CS119" i="34"/>
  <c r="CT119" i="34"/>
  <c r="CU119" i="34"/>
  <c r="CV119" i="34"/>
  <c r="CW119" i="34"/>
  <c r="CX119" i="34"/>
  <c r="CY119" i="34"/>
  <c r="CZ119" i="34"/>
  <c r="DA119" i="34"/>
  <c r="DB119" i="34"/>
  <c r="DC119" i="34"/>
  <c r="DD119" i="34"/>
  <c r="DE119" i="34"/>
  <c r="DF119" i="34"/>
  <c r="DG119" i="34"/>
  <c r="DH119" i="34"/>
  <c r="DI119" i="34"/>
  <c r="DJ119" i="34"/>
  <c r="DK119" i="34"/>
  <c r="DL119" i="34"/>
  <c r="DM119" i="34"/>
  <c r="DN119" i="34"/>
  <c r="DO119" i="34"/>
  <c r="DP119" i="34"/>
  <c r="DQ119" i="34"/>
  <c r="DR119" i="34"/>
  <c r="DS119" i="34"/>
  <c r="DT119" i="34"/>
  <c r="DU119" i="34"/>
  <c r="DV119" i="34"/>
  <c r="DW119" i="34"/>
  <c r="DX119" i="34"/>
  <c r="DY119" i="34"/>
  <c r="DZ119" i="34"/>
  <c r="EA119" i="34"/>
  <c r="EB119" i="34"/>
  <c r="J124" i="34"/>
  <c r="L124" i="34"/>
  <c r="M124" i="34"/>
  <c r="N124" i="34"/>
  <c r="O124" i="34"/>
  <c r="P124" i="34"/>
  <c r="Q124" i="34"/>
  <c r="R124" i="34"/>
  <c r="S124" i="34"/>
  <c r="T124" i="34"/>
  <c r="U124" i="34"/>
  <c r="V124" i="34"/>
  <c r="W124" i="34"/>
  <c r="X124" i="34"/>
  <c r="Y124" i="34"/>
  <c r="Z124" i="34"/>
  <c r="AA124" i="34"/>
  <c r="AB124" i="34"/>
  <c r="AC124" i="34"/>
  <c r="AD124" i="34"/>
  <c r="AE124" i="34"/>
  <c r="AF124" i="34"/>
  <c r="AG124" i="34"/>
  <c r="AH124" i="34"/>
  <c r="AI124" i="34"/>
  <c r="AJ124" i="34"/>
  <c r="AK124" i="34"/>
  <c r="AL124" i="34"/>
  <c r="AM124" i="34"/>
  <c r="AN124" i="34"/>
  <c r="AO124" i="34"/>
  <c r="AP124" i="34"/>
  <c r="AQ124" i="34"/>
  <c r="AR124" i="34"/>
  <c r="AS124" i="34"/>
  <c r="AT124" i="34"/>
  <c r="AU124" i="34"/>
  <c r="AV124" i="34"/>
  <c r="AW124" i="34"/>
  <c r="AX124" i="34"/>
  <c r="AY124" i="34"/>
  <c r="AZ124" i="34"/>
  <c r="BA124" i="34"/>
  <c r="BB124" i="34"/>
  <c r="BC124" i="34"/>
  <c r="BD124" i="34"/>
  <c r="BE124" i="34"/>
  <c r="BF124" i="34"/>
  <c r="BG124" i="34"/>
  <c r="BH124" i="34"/>
  <c r="BI124" i="34"/>
  <c r="BJ124" i="34"/>
  <c r="BK124" i="34"/>
  <c r="BL124" i="34"/>
  <c r="BM124" i="34"/>
  <c r="BN124" i="34"/>
  <c r="BO124" i="34"/>
  <c r="BP124" i="34"/>
  <c r="BQ124" i="34"/>
  <c r="BR124" i="34"/>
  <c r="BS124" i="34"/>
  <c r="BT124" i="34"/>
  <c r="BU124" i="34"/>
  <c r="BV124" i="34"/>
  <c r="BW124" i="34"/>
  <c r="BX124" i="34"/>
  <c r="BY124" i="34"/>
  <c r="BZ124" i="34"/>
  <c r="CA124" i="34"/>
  <c r="CB124" i="34"/>
  <c r="CC124" i="34"/>
  <c r="CD124" i="34"/>
  <c r="CE124" i="34"/>
  <c r="CF124" i="34"/>
  <c r="CG124" i="34"/>
  <c r="CH124" i="34"/>
  <c r="CI124" i="34"/>
  <c r="CJ124" i="34"/>
  <c r="CK124" i="34"/>
  <c r="CL124" i="34"/>
  <c r="CM124" i="34"/>
  <c r="CN124" i="34"/>
  <c r="CO124" i="34"/>
  <c r="CP124" i="34"/>
  <c r="CQ124" i="34"/>
  <c r="CR124" i="34"/>
  <c r="CS124" i="34"/>
  <c r="CT124" i="34"/>
  <c r="CU124" i="34"/>
  <c r="CV124" i="34"/>
  <c r="CW124" i="34"/>
  <c r="CX124" i="34"/>
  <c r="CY124" i="34"/>
  <c r="CZ124" i="34"/>
  <c r="DA124" i="34"/>
  <c r="DB124" i="34"/>
  <c r="DC124" i="34"/>
  <c r="DD124" i="34"/>
  <c r="DE124" i="34"/>
  <c r="DF124" i="34"/>
  <c r="DG124" i="34"/>
  <c r="DH124" i="34"/>
  <c r="DI124" i="34"/>
  <c r="DJ124" i="34"/>
  <c r="DK124" i="34"/>
  <c r="DL124" i="34"/>
  <c r="DM124" i="34"/>
  <c r="DN124" i="34"/>
  <c r="DO124" i="34"/>
  <c r="DP124" i="34"/>
  <c r="DQ124" i="34"/>
  <c r="DR124" i="34"/>
  <c r="DS124" i="34"/>
  <c r="DT124" i="34"/>
  <c r="DU124" i="34"/>
  <c r="DV124" i="34"/>
  <c r="DW124" i="34"/>
  <c r="DX124" i="34"/>
  <c r="DY124" i="34"/>
  <c r="DZ124" i="34"/>
  <c r="EA124" i="34"/>
  <c r="EB124" i="34"/>
  <c r="J125" i="34"/>
  <c r="L125" i="34"/>
  <c r="J126" i="34"/>
  <c r="L126" i="34"/>
  <c r="M126" i="34"/>
  <c r="N126" i="34"/>
  <c r="O126" i="34"/>
  <c r="P126" i="34"/>
  <c r="Q126" i="34"/>
  <c r="R126" i="34"/>
  <c r="S126" i="34"/>
  <c r="T126" i="34"/>
  <c r="U126" i="34"/>
  <c r="V126" i="34"/>
  <c r="W126" i="34"/>
  <c r="X126" i="34"/>
  <c r="Y126" i="34"/>
  <c r="Z126" i="34"/>
  <c r="AA126" i="34"/>
  <c r="AB126" i="34"/>
  <c r="AC126" i="34"/>
  <c r="AD126" i="34"/>
  <c r="AE126" i="34"/>
  <c r="AF126" i="34"/>
  <c r="AG126" i="34"/>
  <c r="AH126" i="34"/>
  <c r="AI126" i="34"/>
  <c r="AJ126" i="34"/>
  <c r="AK126" i="34"/>
  <c r="AL126" i="34"/>
  <c r="AM126" i="34"/>
  <c r="AN126" i="34"/>
  <c r="AO126" i="34"/>
  <c r="AP126" i="34"/>
  <c r="AQ126" i="34"/>
  <c r="AR126" i="34"/>
  <c r="AS126" i="34"/>
  <c r="AT126" i="34"/>
  <c r="AU126" i="34"/>
  <c r="AV126" i="34"/>
  <c r="AW126" i="34"/>
  <c r="AX126" i="34"/>
  <c r="AY126" i="34"/>
  <c r="AZ126" i="34"/>
  <c r="BA126" i="34"/>
  <c r="BB126" i="34"/>
  <c r="BC126" i="34"/>
  <c r="BD126" i="34"/>
  <c r="BE126" i="34"/>
  <c r="BF126" i="34"/>
  <c r="BG126" i="34"/>
  <c r="BH126" i="34"/>
  <c r="BI126" i="34"/>
  <c r="BJ126" i="34"/>
  <c r="BK126" i="34"/>
  <c r="BL126" i="34"/>
  <c r="BM126" i="34"/>
  <c r="BN126" i="34"/>
  <c r="BO126" i="34"/>
  <c r="BP126" i="34"/>
  <c r="BQ126" i="34"/>
  <c r="BR126" i="34"/>
  <c r="BS126" i="34"/>
  <c r="BT126" i="34"/>
  <c r="BU126" i="34"/>
  <c r="BV126" i="34"/>
  <c r="BW126" i="34"/>
  <c r="BX126" i="34"/>
  <c r="BY126" i="34"/>
  <c r="BZ126" i="34"/>
  <c r="CA126" i="34"/>
  <c r="CB126" i="34"/>
  <c r="CC126" i="34"/>
  <c r="CD126" i="34"/>
  <c r="CE126" i="34"/>
  <c r="CF126" i="34"/>
  <c r="CG126" i="34"/>
  <c r="CH126" i="34"/>
  <c r="CI126" i="34"/>
  <c r="CJ126" i="34"/>
  <c r="CK126" i="34"/>
  <c r="CL126" i="34"/>
  <c r="CM126" i="34"/>
  <c r="CN126" i="34"/>
  <c r="CO126" i="34"/>
  <c r="CP126" i="34"/>
  <c r="CQ126" i="34"/>
  <c r="CR126" i="34"/>
  <c r="CS126" i="34"/>
  <c r="CT126" i="34"/>
  <c r="CU126" i="34"/>
  <c r="CV126" i="34"/>
  <c r="CW126" i="34"/>
  <c r="CX126" i="34"/>
  <c r="CY126" i="34"/>
  <c r="CZ126" i="34"/>
  <c r="DA126" i="34"/>
  <c r="DB126" i="34"/>
  <c r="DC126" i="34"/>
  <c r="DD126" i="34"/>
  <c r="DE126" i="34"/>
  <c r="DF126" i="34"/>
  <c r="DG126" i="34"/>
  <c r="DH126" i="34"/>
  <c r="DI126" i="34"/>
  <c r="DJ126" i="34"/>
  <c r="DK126" i="34"/>
  <c r="DL126" i="34"/>
  <c r="DM126" i="34"/>
  <c r="DN126" i="34"/>
  <c r="DO126" i="34"/>
  <c r="DP126" i="34"/>
  <c r="DQ126" i="34"/>
  <c r="DR126" i="34"/>
  <c r="DS126" i="34"/>
  <c r="DT126" i="34"/>
  <c r="DU126" i="34"/>
  <c r="DV126" i="34"/>
  <c r="DW126" i="34"/>
  <c r="DX126" i="34"/>
  <c r="DY126" i="34"/>
  <c r="DZ126" i="34"/>
  <c r="EA126" i="34"/>
  <c r="EB126" i="34"/>
  <c r="I127" i="34"/>
  <c r="I128" i="34"/>
  <c r="J131" i="34"/>
  <c r="L131" i="34"/>
  <c r="M131" i="34"/>
  <c r="N131" i="34"/>
  <c r="O131" i="34"/>
  <c r="P131" i="34"/>
  <c r="Q131" i="34"/>
  <c r="R131" i="34"/>
  <c r="S131" i="34"/>
  <c r="T131" i="34"/>
  <c r="U131" i="34"/>
  <c r="V131" i="34"/>
  <c r="W131" i="34"/>
  <c r="X131" i="34"/>
  <c r="Y131" i="34"/>
  <c r="Z131" i="34"/>
  <c r="AA131" i="34"/>
  <c r="AB131" i="34"/>
  <c r="AC131" i="34"/>
  <c r="AD131" i="34"/>
  <c r="AE131" i="34"/>
  <c r="AF131" i="34"/>
  <c r="AG131" i="34"/>
  <c r="AH131" i="34"/>
  <c r="AI131" i="34"/>
  <c r="AJ131" i="34"/>
  <c r="AK131" i="34"/>
  <c r="AL131" i="34"/>
  <c r="AM131" i="34"/>
  <c r="AN131" i="34"/>
  <c r="AO131" i="34"/>
  <c r="AP131" i="34"/>
  <c r="AQ131" i="34"/>
  <c r="AR131" i="34"/>
  <c r="AS131" i="34"/>
  <c r="AT131" i="34"/>
  <c r="AU131" i="34"/>
  <c r="AV131" i="34"/>
  <c r="AW131" i="34"/>
  <c r="AX131" i="34"/>
  <c r="AY131" i="34"/>
  <c r="AZ131" i="34"/>
  <c r="BA131" i="34"/>
  <c r="BB131" i="34"/>
  <c r="BC131" i="34"/>
  <c r="BD131" i="34"/>
  <c r="BE131" i="34"/>
  <c r="BF131" i="34"/>
  <c r="BG131" i="34"/>
  <c r="BH131" i="34"/>
  <c r="BI131" i="34"/>
  <c r="BJ131" i="34"/>
  <c r="BK131" i="34"/>
  <c r="BL131" i="34"/>
  <c r="BM131" i="34"/>
  <c r="BN131" i="34"/>
  <c r="BO131" i="34"/>
  <c r="BP131" i="34"/>
  <c r="BQ131" i="34"/>
  <c r="BR131" i="34"/>
  <c r="BS131" i="34"/>
  <c r="BT131" i="34"/>
  <c r="BU131" i="34"/>
  <c r="BV131" i="34"/>
  <c r="BW131" i="34"/>
  <c r="BX131" i="34"/>
  <c r="BY131" i="34"/>
  <c r="BZ131" i="34"/>
  <c r="CA131" i="34"/>
  <c r="CB131" i="34"/>
  <c r="CC131" i="34"/>
  <c r="CD131" i="34"/>
  <c r="CE131" i="34"/>
  <c r="CF131" i="34"/>
  <c r="CG131" i="34"/>
  <c r="CH131" i="34"/>
  <c r="CI131" i="34"/>
  <c r="CJ131" i="34"/>
  <c r="CK131" i="34"/>
  <c r="CL131" i="34"/>
  <c r="CM131" i="34"/>
  <c r="CN131" i="34"/>
  <c r="CO131" i="34"/>
  <c r="CP131" i="34"/>
  <c r="CQ131" i="34"/>
  <c r="CR131" i="34"/>
  <c r="CS131" i="34"/>
  <c r="CT131" i="34"/>
  <c r="CU131" i="34"/>
  <c r="CV131" i="34"/>
  <c r="CW131" i="34"/>
  <c r="CX131" i="34"/>
  <c r="CY131" i="34"/>
  <c r="CZ131" i="34"/>
  <c r="DA131" i="34"/>
  <c r="DB131" i="34"/>
  <c r="DC131" i="34"/>
  <c r="DD131" i="34"/>
  <c r="DE131" i="34"/>
  <c r="DF131" i="34"/>
  <c r="DG131" i="34"/>
  <c r="DH131" i="34"/>
  <c r="DI131" i="34"/>
  <c r="DJ131" i="34"/>
  <c r="DK131" i="34"/>
  <c r="DL131" i="34"/>
  <c r="DM131" i="34"/>
  <c r="DN131" i="34"/>
  <c r="DO131" i="34"/>
  <c r="DP131" i="34"/>
  <c r="DQ131" i="34"/>
  <c r="DR131" i="34"/>
  <c r="DS131" i="34"/>
  <c r="DT131" i="34"/>
  <c r="DU131" i="34"/>
  <c r="DV131" i="34"/>
  <c r="DW131" i="34"/>
  <c r="DX131" i="34"/>
  <c r="DY131" i="34"/>
  <c r="DZ131" i="34"/>
  <c r="EA131" i="34"/>
  <c r="EB131" i="34"/>
  <c r="J132" i="34"/>
  <c r="L132" i="34"/>
  <c r="J133" i="34"/>
  <c r="L133" i="34"/>
  <c r="M133" i="34"/>
  <c r="N133" i="34"/>
  <c r="O133" i="34"/>
  <c r="P133" i="34"/>
  <c r="Q133" i="34"/>
  <c r="R133" i="34"/>
  <c r="S133" i="34"/>
  <c r="T133" i="34"/>
  <c r="U133" i="34"/>
  <c r="V133" i="34"/>
  <c r="W133" i="34"/>
  <c r="X133" i="34"/>
  <c r="Y133" i="34"/>
  <c r="Z133" i="34"/>
  <c r="AA133" i="34"/>
  <c r="AB133" i="34"/>
  <c r="AC133" i="34"/>
  <c r="AD133" i="34"/>
  <c r="AE133" i="34"/>
  <c r="AF133" i="34"/>
  <c r="AG133" i="34"/>
  <c r="AH133" i="34"/>
  <c r="AI133" i="34"/>
  <c r="AJ133" i="34"/>
  <c r="AK133" i="34"/>
  <c r="AL133" i="34"/>
  <c r="AM133" i="34"/>
  <c r="AN133" i="34"/>
  <c r="AO133" i="34"/>
  <c r="AP133" i="34"/>
  <c r="AQ133" i="34"/>
  <c r="AR133" i="34"/>
  <c r="AS133" i="34"/>
  <c r="AT133" i="34"/>
  <c r="AU133" i="34"/>
  <c r="AV133" i="34"/>
  <c r="AW133" i="34"/>
  <c r="AX133" i="34"/>
  <c r="AY133" i="34"/>
  <c r="AZ133" i="34"/>
  <c r="BA133" i="34"/>
  <c r="BB133" i="34"/>
  <c r="BC133" i="34"/>
  <c r="BD133" i="34"/>
  <c r="BE133" i="34"/>
  <c r="BF133" i="34"/>
  <c r="BG133" i="34"/>
  <c r="BH133" i="34"/>
  <c r="BI133" i="34"/>
  <c r="BJ133" i="34"/>
  <c r="BK133" i="34"/>
  <c r="BL133" i="34"/>
  <c r="BM133" i="34"/>
  <c r="BN133" i="34"/>
  <c r="BO133" i="34"/>
  <c r="BP133" i="34"/>
  <c r="BQ133" i="34"/>
  <c r="BR133" i="34"/>
  <c r="BS133" i="34"/>
  <c r="BT133" i="34"/>
  <c r="BU133" i="34"/>
  <c r="BV133" i="34"/>
  <c r="BW133" i="34"/>
  <c r="BX133" i="34"/>
  <c r="BY133" i="34"/>
  <c r="BZ133" i="34"/>
  <c r="CA133" i="34"/>
  <c r="CB133" i="34"/>
  <c r="CC133" i="34"/>
  <c r="CD133" i="34"/>
  <c r="CE133" i="34"/>
  <c r="CF133" i="34"/>
  <c r="CG133" i="34"/>
  <c r="CH133" i="34"/>
  <c r="CI133" i="34"/>
  <c r="CJ133" i="34"/>
  <c r="CK133" i="34"/>
  <c r="CL133" i="34"/>
  <c r="CM133" i="34"/>
  <c r="CN133" i="34"/>
  <c r="CO133" i="34"/>
  <c r="CP133" i="34"/>
  <c r="CQ133" i="34"/>
  <c r="CR133" i="34"/>
  <c r="CS133" i="34"/>
  <c r="CT133" i="34"/>
  <c r="CU133" i="34"/>
  <c r="CV133" i="34"/>
  <c r="CW133" i="34"/>
  <c r="CX133" i="34"/>
  <c r="CY133" i="34"/>
  <c r="CZ133" i="34"/>
  <c r="DA133" i="34"/>
  <c r="DB133" i="34"/>
  <c r="DC133" i="34"/>
  <c r="DD133" i="34"/>
  <c r="DE133" i="34"/>
  <c r="DF133" i="34"/>
  <c r="DG133" i="34"/>
  <c r="DH133" i="34"/>
  <c r="DI133" i="34"/>
  <c r="DJ133" i="34"/>
  <c r="DK133" i="34"/>
  <c r="DL133" i="34"/>
  <c r="DM133" i="34"/>
  <c r="DN133" i="34"/>
  <c r="DO133" i="34"/>
  <c r="DP133" i="34"/>
  <c r="DQ133" i="34"/>
  <c r="DR133" i="34"/>
  <c r="DS133" i="34"/>
  <c r="DT133" i="34"/>
  <c r="DU133" i="34"/>
  <c r="DV133" i="34"/>
  <c r="DW133" i="34"/>
  <c r="DX133" i="34"/>
  <c r="DY133" i="34"/>
  <c r="DZ133" i="34"/>
  <c r="EA133" i="34"/>
  <c r="EB133" i="34"/>
  <c r="I134" i="34"/>
  <c r="I135" i="34"/>
  <c r="G30" i="38"/>
  <c r="K30" i="38"/>
  <c r="O30" i="38"/>
  <c r="S30" i="38"/>
  <c r="W30" i="38"/>
  <c r="AA30" i="38"/>
  <c r="AE30" i="38"/>
  <c r="AI30" i="38"/>
  <c r="G31" i="38"/>
  <c r="K31" i="38"/>
  <c r="O31" i="38"/>
  <c r="S31" i="38"/>
  <c r="W31" i="38"/>
  <c r="AA31" i="38"/>
  <c r="AE31" i="38"/>
  <c r="AI31" i="38"/>
  <c r="AD48" i="21"/>
  <c r="AD49" i="21"/>
  <c r="AD50" i="21"/>
  <c r="AD51" i="21"/>
  <c r="AD52" i="21"/>
  <c r="AD53" i="21"/>
  <c r="AD70" i="21"/>
  <c r="AD71" i="21"/>
  <c r="AD72" i="21"/>
  <c r="T8" i="9"/>
  <c r="T9" i="9"/>
  <c r="T10" i="9"/>
  <c r="T11" i="9"/>
  <c r="T12" i="9"/>
  <c r="T13" i="9"/>
  <c r="T14" i="9"/>
  <c r="T15" i="9"/>
  <c r="T16"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Kirsten Evans</author>
    <author>Patrick Elliott</author>
    <author>tc={FFF940EF-44D6-4F7C-99E9-8440F89EA65E}</author>
  </authors>
  <commentList>
    <comment ref="D20" authorId="0" shapeId="0" xr:uid="{33226683-A4A7-4F46-A9B2-F1CE53553858}">
      <text>
        <r>
          <rPr>
            <b/>
            <sz val="12"/>
            <color indexed="81"/>
            <rFont val="Tahoma"/>
            <family val="2"/>
          </rPr>
          <t>Greater of 0.8% or $90,000</t>
        </r>
      </text>
    </comment>
    <comment ref="C22" authorId="1" shapeId="0" xr:uid="{F0B3DD56-1AAA-43FF-ABCF-3FCCF42ACDD6}">
      <text>
        <r>
          <rPr>
            <b/>
            <sz val="12"/>
            <color indexed="81"/>
            <rFont val="Tahoma"/>
            <family val="2"/>
          </rPr>
          <t>Patrick Elliott:</t>
        </r>
        <r>
          <rPr>
            <sz val="12"/>
            <color indexed="81"/>
            <rFont val="Tahoma"/>
            <family val="2"/>
          </rPr>
          <t xml:space="preserve">
If just sizing for debt, zero out the Equity Fee so that it is not inlcuded in the Total Project Cost</t>
        </r>
      </text>
    </comment>
    <comment ref="L25" authorId="2" shapeId="0" xr:uid="{FFF940EF-44D6-4F7C-99E9-8440F89EA65E}">
      <text>
        <t>[Threaded comment]
Your version of Excel allows you to read this threaded comment; however, any edits to it will get removed if the file is opened in a newer version of Excel. Learn more: https://go.microsoft.com/fwlink/?linkid=870924
Comment:
    If agency deal, link to the max pref amount sized in the Debt Sizing sheet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Loren Heikenfeld</author>
  </authors>
  <commentList>
    <comment ref="W10" authorId="0" shapeId="0" xr:uid="{3ED16C61-D41A-415E-AA50-E29C052A1D46}">
      <text>
        <r>
          <rPr>
            <b/>
            <sz val="9"/>
            <color indexed="81"/>
            <rFont val="Tahoma"/>
            <family val="2"/>
          </rPr>
          <t>Loren Heikenfeld:</t>
        </r>
        <r>
          <rPr>
            <sz val="9"/>
            <color indexed="81"/>
            <rFont val="Tahoma"/>
            <family val="2"/>
          </rPr>
          <t xml:space="preserve">
HUD Sizes to minimum 7.00% Economic Vacancy at commitment. Can size inside of economic vacancy today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Patrick Elliott</author>
  </authors>
  <commentList>
    <comment ref="C98" authorId="0" shapeId="0" xr:uid="{00000000-0006-0000-1100-000001000000}">
      <text>
        <r>
          <rPr>
            <b/>
            <sz val="9"/>
            <color indexed="81"/>
            <rFont val="Tahoma"/>
            <family val="2"/>
          </rPr>
          <t>Patrick Elliott:</t>
        </r>
        <r>
          <rPr>
            <sz val="9"/>
            <color indexed="81"/>
            <rFont val="Tahoma"/>
            <family val="2"/>
          </rPr>
          <t xml:space="preserve">
Daniel does it as % of NOI, however the S2 model did it based off EGI. Make sure to check what the asset management agreement states if this is a large enough issue.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Patrick Elliott</author>
  </authors>
  <commentList>
    <comment ref="G9" authorId="0" shapeId="0" xr:uid="{00000000-0006-0000-1300-000001000000}">
      <text>
        <r>
          <rPr>
            <b/>
            <sz val="9"/>
            <color indexed="81"/>
            <rFont val="Tahoma"/>
            <family val="2"/>
          </rPr>
          <t>Patrick Elliott:</t>
        </r>
        <r>
          <rPr>
            <sz val="9"/>
            <color indexed="81"/>
            <rFont val="Tahoma"/>
            <family val="2"/>
          </rPr>
          <t xml:space="preserve">
This is equal to the ending balance of the prior month (which in the case of month zero is just zero)</t>
        </r>
      </text>
    </comment>
    <comment ref="G10" authorId="0" shapeId="0" xr:uid="{00000000-0006-0000-1300-000002000000}">
      <text>
        <r>
          <rPr>
            <b/>
            <sz val="9"/>
            <color indexed="81"/>
            <rFont val="Tahoma"/>
            <family val="2"/>
          </rPr>
          <t>Patrick Elliott:</t>
        </r>
        <r>
          <rPr>
            <sz val="9"/>
            <color indexed="81"/>
            <rFont val="Tahoma"/>
            <family val="2"/>
          </rPr>
          <t xml:space="preserve">
This equals the beginning balance of the LPs capital account multiplied by the preferred return rate.
*IMPORTANT: The preferred return input in this model (cell E13) assumes an annual compounded rate or return, therefore the rate must be converted to a montly rate of return (as done is cell I10)</t>
        </r>
      </text>
    </comment>
    <comment ref="G11" authorId="0" shapeId="0" xr:uid="{00000000-0006-0000-1300-000003000000}">
      <text>
        <r>
          <rPr>
            <b/>
            <sz val="9"/>
            <color indexed="81"/>
            <rFont val="Tahoma"/>
            <family val="2"/>
          </rPr>
          <t>Patrick Elliott:</t>
        </r>
        <r>
          <rPr>
            <sz val="9"/>
            <color indexed="81"/>
            <rFont val="Tahoma"/>
            <family val="2"/>
          </rPr>
          <t xml:space="preserve">
This is equal to the total negative cash flow available that month (indicating that equity was put down that month) multiplied by the LPs proportional equity share</t>
        </r>
      </text>
    </comment>
    <comment ref="G12" authorId="0" shapeId="0" xr:uid="{00000000-0006-0000-1300-000004000000}">
      <text>
        <r>
          <rPr>
            <b/>
            <sz val="9"/>
            <color indexed="81"/>
            <rFont val="Tahoma"/>
            <family val="2"/>
          </rPr>
          <t>Patrick Elliott:</t>
        </r>
        <r>
          <rPr>
            <sz val="9"/>
            <color indexed="81"/>
            <rFont val="Tahoma"/>
            <family val="2"/>
          </rPr>
          <t xml:space="preserve">
This is the lesser of the total positive available cash flow to distribute multiplied by the LP's proportional equity share, or the total amount required to distribute in order to pay off the preferred return and also fully return the LPs capital. It is the "lesser' because in one month (specifically and typically only in the month of a capital event unless the project is killing it), the positive cash flow available multiplied by the LPs proportional equity share will (greatly) exceed the amount that is necessary/required to pay off the preferred return and also fully return the LPs full originial capital investment. In effect, this advances the waterfall to the next hurdle.</t>
        </r>
      </text>
    </comment>
    <comment ref="G13" authorId="0" shapeId="0" xr:uid="{00000000-0006-0000-1300-000005000000}">
      <text>
        <r>
          <rPr>
            <b/>
            <sz val="9"/>
            <color indexed="81"/>
            <rFont val="Tahoma"/>
            <family val="2"/>
          </rPr>
          <t>Patrick Elliott:</t>
        </r>
        <r>
          <rPr>
            <sz val="9"/>
            <color indexed="81"/>
            <rFont val="Tahoma"/>
            <family val="2"/>
          </rPr>
          <t xml:space="preserve">
This is equal to the total amount of LP capital invested in the deal that will be accounted for in the next month and begin accruing interest. Specifically, it is equal to the beginning balance of the LP (how much money they initially put in that they will charge the preferred return interest rate on) + the preferred return interest accrued that month (this will now be included as part of the balance and will continue to compound until sufficientely (fully) paid off) + any further contributions made by the LP (if the LP has to pay out of pocket any given month, this amount is now added to the original balance and interest will also begin accruing on it) MINUS any amount of money that was available to the LP that month (thus paying down part of what is owed to the LP)</t>
        </r>
      </text>
    </comment>
    <comment ref="G14" authorId="0" shapeId="0" xr:uid="{00000000-0006-0000-1300-000006000000}">
      <text>
        <r>
          <rPr>
            <b/>
            <sz val="9"/>
            <color indexed="81"/>
            <rFont val="Tahoma"/>
            <family val="2"/>
          </rPr>
          <t>Patrick Elliott:</t>
        </r>
        <r>
          <rPr>
            <sz val="9"/>
            <color indexed="81"/>
            <rFont val="Tahoma"/>
            <family val="2"/>
          </rPr>
          <t xml:space="preserve">
This is equal to the net total between the total contributions made by the LP (negative outflow by the LP since they're putting down money) and the total amount distributed to the LP (postive inflow of cash to the LP when they are receiving money)</t>
        </r>
      </text>
    </comment>
    <comment ref="G18" authorId="0" shapeId="0" xr:uid="{00000000-0006-0000-1300-000007000000}">
      <text>
        <r>
          <rPr>
            <b/>
            <sz val="9"/>
            <color indexed="81"/>
            <rFont val="Tahoma"/>
            <family val="2"/>
          </rPr>
          <t>Patrick Elliott:</t>
        </r>
        <r>
          <rPr>
            <sz val="9"/>
            <color indexed="81"/>
            <rFont val="Tahoma"/>
            <family val="2"/>
          </rPr>
          <t xml:space="preserve">
This is equal to the total negative cash flow available that month (indicating that equity was put down that month) multiplied by the GPs proportional equity share</t>
        </r>
      </text>
    </comment>
    <comment ref="G19" authorId="0" shapeId="0" xr:uid="{00000000-0006-0000-1300-000008000000}">
      <text>
        <r>
          <rPr>
            <b/>
            <sz val="9"/>
            <color indexed="81"/>
            <rFont val="Tahoma"/>
            <family val="2"/>
          </rPr>
          <t>Patrick Elliott:</t>
        </r>
        <r>
          <rPr>
            <sz val="9"/>
            <color indexed="81"/>
            <rFont val="Tahoma"/>
            <family val="2"/>
          </rPr>
          <t xml:space="preserve">
This is equal to the total amount distributed to the LP divided by the LPs proportional equity share (this calculates the total amount that was available to distribute that month) then multiplied by the GPs proportional equity share.</t>
        </r>
      </text>
    </comment>
    <comment ref="G23" authorId="0" shapeId="0" xr:uid="{00000000-0006-0000-1300-000009000000}">
      <text>
        <r>
          <rPr>
            <b/>
            <sz val="9"/>
            <color indexed="81"/>
            <rFont val="Tahoma"/>
            <family val="2"/>
          </rPr>
          <t>Patrick Elliott:</t>
        </r>
        <r>
          <rPr>
            <sz val="9"/>
            <color indexed="81"/>
            <rFont val="Tahoma"/>
            <family val="2"/>
          </rPr>
          <t xml:space="preserve">
This is the total amount distibuted to the LP + the total amount distributed to the GP.</t>
        </r>
      </text>
    </comment>
    <comment ref="G24" authorId="0" shapeId="0" xr:uid="{00000000-0006-0000-1300-00000A000000}">
      <text>
        <r>
          <rPr>
            <b/>
            <sz val="9"/>
            <color indexed="81"/>
            <rFont val="Tahoma"/>
            <family val="2"/>
          </rPr>
          <t>Patrick Elliott:</t>
        </r>
        <r>
          <rPr>
            <sz val="9"/>
            <color indexed="81"/>
            <rFont val="Tahoma"/>
            <family val="2"/>
          </rPr>
          <t xml:space="preserve">
This is equal to the total positive cash flow that month available to run through the waterfall minus any amount of capital that was evenutally distributed throughout the preferred return  </t>
        </r>
      </text>
    </comment>
    <comment ref="G28" authorId="0" shapeId="0" xr:uid="{00000000-0006-0000-1300-00000B000000}">
      <text>
        <r>
          <rPr>
            <b/>
            <sz val="9"/>
            <color indexed="81"/>
            <rFont val="Tahoma"/>
            <family val="2"/>
          </rPr>
          <t>Patrick Elliott:</t>
        </r>
        <r>
          <rPr>
            <sz val="9"/>
            <color indexed="81"/>
            <rFont val="Tahoma"/>
            <family val="2"/>
          </rPr>
          <t xml:space="preserve">
This is equal to the ending balance of the prior month (which in the case of month zero is just zero)</t>
        </r>
      </text>
    </comment>
    <comment ref="G29" authorId="0" shapeId="0" xr:uid="{00000000-0006-0000-1300-00000C000000}">
      <text>
        <r>
          <rPr>
            <b/>
            <sz val="9"/>
            <color indexed="81"/>
            <rFont val="Tahoma"/>
            <family val="2"/>
          </rPr>
          <t>Patrick Elliott:</t>
        </r>
        <r>
          <rPr>
            <sz val="9"/>
            <color indexed="81"/>
            <rFont val="Tahoma"/>
            <family val="2"/>
          </rPr>
          <t xml:space="preserve">
This equals the beginning balance of the LPs capital account multiplied by the preferred return rate.
*IMPORTANT: The Hurdle 1 IRR input in this model (cell E14) assumes an annual compounded rate or return, therefore the rate must be converted to a montly rate of return (as done is cell I29)</t>
        </r>
      </text>
    </comment>
    <comment ref="G30" authorId="0" shapeId="0" xr:uid="{00000000-0006-0000-1300-00000D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G31" authorId="0" shapeId="0" xr:uid="{00000000-0006-0000-1300-00000E000000}">
      <text>
        <r>
          <rPr>
            <b/>
            <sz val="9"/>
            <color indexed="81"/>
            <rFont val="Tahoma"/>
            <family val="2"/>
          </rPr>
          <t>Patrick Elliott:</t>
        </r>
        <r>
          <rPr>
            <sz val="9"/>
            <color indexed="81"/>
            <rFont val="Tahoma"/>
            <family val="2"/>
          </rPr>
          <t xml:space="preserve">
This is the equal to the prior distributions to the LP in the Preferred Return hurdle.</t>
        </r>
      </text>
    </comment>
    <comment ref="G32" authorId="0" shapeId="0" xr:uid="{00000000-0006-0000-1300-00000F000000}">
      <text>
        <r>
          <rPr>
            <b/>
            <sz val="9"/>
            <color indexed="81"/>
            <rFont val="Tahoma"/>
            <family val="2"/>
          </rPr>
          <t>Patrick Elliott:</t>
        </r>
        <r>
          <rPr>
            <sz val="9"/>
            <color indexed="81"/>
            <rFont val="Tahoma"/>
            <family val="2"/>
          </rPr>
          <t xml:space="preserve">
This is equal to the minimum of either the total cash flow remaining multiplied by the LPs proportional equity share or the total amount required to distribute in order to pay off Hurdle 1.
That total amount required to pay off Hurdle 1 is equal to the beginning balance of the LP Capital Account + the LPs required return within this Hurdle MINUS prior distributions (if prior distributions are not subtracted out, it will be double counted in the model)</t>
        </r>
      </text>
    </comment>
    <comment ref="G33" authorId="0" shapeId="0" xr:uid="{00000000-0006-0000-1300-000010000000}">
      <text>
        <r>
          <rPr>
            <b/>
            <sz val="9"/>
            <color indexed="81"/>
            <rFont val="Tahoma"/>
            <family val="2"/>
          </rPr>
          <t>Patrick Elliott:</t>
        </r>
        <r>
          <rPr>
            <sz val="9"/>
            <color indexed="81"/>
            <rFont val="Tahoma"/>
            <family val="2"/>
          </rPr>
          <t xml:space="preserve">
This is equal to the beginning balance of the LP (how much money they initially put in that they will charge the interest rate on specific to which Hurdle the waterfall is in) + the Hurdle's specific return interest accrued that month (this will now be included as part of the balance and will continue to compound until sufficiently (fully) paid off) + any further contributions made by the LP (if the LP has to pay out of pocket any given month, this amount is now added to the original balance and interest will also begin accruing on it) MINUS any distributions made in prior Hurdles (in Hurdle 1's case, what was paid off in the Preferred Return segment so that it is not double counted) MINUS any amount of money that was available and thus distributed to the LP that month (thus paying down part of what is owed to the LP)</t>
        </r>
      </text>
    </comment>
    <comment ref="G34" authorId="0" shapeId="0" xr:uid="{00000000-0006-0000-1300-000011000000}">
      <text>
        <r>
          <rPr>
            <b/>
            <sz val="9"/>
            <color indexed="81"/>
            <rFont val="Tahoma"/>
            <family val="2"/>
          </rPr>
          <t>Patrick Elliott:</t>
        </r>
        <r>
          <rPr>
            <sz val="9"/>
            <color indexed="81"/>
            <rFont val="Tahoma"/>
            <family val="2"/>
          </rPr>
          <t xml:space="preserve">
This is equal to the net total between the total contributions made by the LP (negative outflow by the LP since they're putting down money), the total amount distributed to the LP in prior hurdle(s) (postive inflow of cash to the LP when they are receiving money, the prior are included because we also want to inlcude those in the IRR calculation. This will keep the IRR calculation "up to speed" since the IRR Hurdles don't restart at 0% once one it is achieved, it continues being calculated onward from the range between the level that was just achieved and anything up to and between the next Hurdle), and the total amount distributed to the LP in this current Hurdle
</t>
        </r>
      </text>
    </comment>
    <comment ref="G38" authorId="0" shapeId="0" xr:uid="{00000000-0006-0000-1300-000012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G39" authorId="0" shapeId="0" xr:uid="{00000000-0006-0000-1300-000013000000}">
      <text>
        <r>
          <rPr>
            <b/>
            <sz val="9"/>
            <color indexed="81"/>
            <rFont val="Tahoma"/>
            <family val="2"/>
          </rPr>
          <t>Patrick Elliott:</t>
        </r>
        <r>
          <rPr>
            <sz val="9"/>
            <color indexed="81"/>
            <rFont val="Tahoma"/>
            <family val="2"/>
          </rPr>
          <t xml:space="preserve">
This is equal to the total amount distributed to the LP divided by the LPs proportional equity share (this calculates the total amount that was available to distribute that month) then multiplied by the GPs proportional equity share.</t>
        </r>
      </text>
    </comment>
    <comment ref="G41" authorId="0" shapeId="0" xr:uid="{00000000-0006-0000-1300-000014000000}">
      <text>
        <r>
          <rPr>
            <b/>
            <sz val="9"/>
            <color indexed="81"/>
            <rFont val="Tahoma"/>
            <family val="2"/>
          </rPr>
          <t>Patrick Elliott:</t>
        </r>
        <r>
          <rPr>
            <sz val="9"/>
            <color indexed="81"/>
            <rFont val="Tahoma"/>
            <family val="2"/>
          </rPr>
          <t xml:space="preserve">
This is the total amount distibuted to the LP + the total amount distributed to the GP.</t>
        </r>
      </text>
    </comment>
    <comment ref="G42" authorId="0" shapeId="0" xr:uid="{00000000-0006-0000-1300-000015000000}">
      <text>
        <r>
          <rPr>
            <b/>
            <sz val="9"/>
            <color indexed="81"/>
            <rFont val="Tahoma"/>
            <family val="2"/>
          </rPr>
          <t>Patrick Elliott:</t>
        </r>
        <r>
          <rPr>
            <sz val="9"/>
            <color indexed="81"/>
            <rFont val="Tahoma"/>
            <family val="2"/>
          </rPr>
          <t xml:space="preserve">
This is equal to the total positive cash flow remaining from the prior Hurdle minus the total amount that was distributed in the current Hurdle</t>
        </r>
      </text>
    </comment>
    <comment ref="G46" authorId="0" shapeId="0" xr:uid="{00000000-0006-0000-1300-000016000000}">
      <text>
        <r>
          <rPr>
            <b/>
            <sz val="9"/>
            <color indexed="81"/>
            <rFont val="Tahoma"/>
            <family val="2"/>
          </rPr>
          <t>Patrick Elliott:</t>
        </r>
        <r>
          <rPr>
            <sz val="9"/>
            <color indexed="81"/>
            <rFont val="Tahoma"/>
            <family val="2"/>
          </rPr>
          <t xml:space="preserve">
This is equal to the ending balance of the prior month (which in the case of month zero is just zero)</t>
        </r>
      </text>
    </comment>
    <comment ref="G47" authorId="0" shapeId="0" xr:uid="{00000000-0006-0000-1300-000017000000}">
      <text>
        <r>
          <rPr>
            <b/>
            <sz val="9"/>
            <color indexed="81"/>
            <rFont val="Tahoma"/>
            <family val="2"/>
          </rPr>
          <t>Patrick Elliott:</t>
        </r>
        <r>
          <rPr>
            <sz val="9"/>
            <color indexed="81"/>
            <rFont val="Tahoma"/>
            <family val="2"/>
          </rPr>
          <t xml:space="preserve">
This equals the beginning balance of the LPs capital account multiplied by the preferred return rate.
*IMPORTANT: The Hurdle 1 IRR input in this model (cell E14) assumes an annual compounded rate or return, therefore the rate must be converted to a montly rate of return (as done is cell I47)</t>
        </r>
      </text>
    </comment>
    <comment ref="G48" authorId="0" shapeId="0" xr:uid="{00000000-0006-0000-1300-000018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G49" authorId="0" shapeId="0" xr:uid="{00000000-0006-0000-1300-000019000000}">
      <text>
        <r>
          <rPr>
            <b/>
            <sz val="9"/>
            <color indexed="81"/>
            <rFont val="Tahoma"/>
            <family val="2"/>
          </rPr>
          <t>Patrick Elliott:</t>
        </r>
        <r>
          <rPr>
            <sz val="9"/>
            <color indexed="81"/>
            <rFont val="Tahoma"/>
            <family val="2"/>
          </rPr>
          <t xml:space="preserve">
This is the equal to the prior distributions to the LP in the Preferred Return hurdle and Hurdle 1.</t>
        </r>
      </text>
    </comment>
    <comment ref="G50" authorId="0" shapeId="0" xr:uid="{00000000-0006-0000-1300-00001A000000}">
      <text>
        <r>
          <rPr>
            <b/>
            <sz val="9"/>
            <color indexed="81"/>
            <rFont val="Tahoma"/>
            <family val="2"/>
          </rPr>
          <t>Patrick Elliott:</t>
        </r>
        <r>
          <rPr>
            <sz val="9"/>
            <color indexed="81"/>
            <rFont val="Tahoma"/>
            <family val="2"/>
          </rPr>
          <t xml:space="preserve">
This is equal to the minimum of either the total cash flow remaining multiplied by the LPs proportional equity share or the total amount required to distribute in order to pay off Hurdle 2.
That total amount required to pay off Hurdle 2 is equal to the beginning balance of the LP Capital Account + the LPs required return within this Hurdle MINUS prior distributions (if prior distributions are not subtracted out, it will be double counted in the model)</t>
        </r>
      </text>
    </comment>
    <comment ref="G51" authorId="0" shapeId="0" xr:uid="{00000000-0006-0000-1300-00001B000000}">
      <text>
        <r>
          <rPr>
            <b/>
            <sz val="9"/>
            <color indexed="81"/>
            <rFont val="Tahoma"/>
            <family val="2"/>
          </rPr>
          <t>Patrick Elliott:</t>
        </r>
        <r>
          <rPr>
            <sz val="9"/>
            <color indexed="81"/>
            <rFont val="Tahoma"/>
            <family val="2"/>
          </rPr>
          <t xml:space="preserve">
This is equal to the beginning balance of the LP (how much money they initially put in that they will charge the interest rate on specific to which Hurdle the waterfall is in) + the Hurdle's specific return interest accrued that month (this will now be included as part of the balance and will continue to compound until sufficiently (fully) paid off) + any further contributions made by the LP (if the LP has to pay out of pocket any given month, this amount is now added to the original balance and interest will also begin accruing on it) MINUS any distributions made in prior Hurdles (in Hurdle 1's case: what was paid off in the Preferred Return segment so that it is not double counted, in Hurdle 2's case: what was paid off in the Pref segment and now also Hurdle 1, and so on) MINUS any amount of money that was available and thus distributed to the LP that month (thus paying down part of what is owed to the LP)</t>
        </r>
      </text>
    </comment>
    <comment ref="G52" authorId="0" shapeId="0" xr:uid="{00000000-0006-0000-1300-00001C000000}">
      <text>
        <r>
          <rPr>
            <b/>
            <sz val="9"/>
            <color indexed="81"/>
            <rFont val="Tahoma"/>
            <family val="2"/>
          </rPr>
          <t>Patrick Elliott:</t>
        </r>
        <r>
          <rPr>
            <sz val="9"/>
            <color indexed="81"/>
            <rFont val="Tahoma"/>
            <family val="2"/>
          </rPr>
          <t xml:space="preserve">
This is equal to the net total between the total contributions made by the LP (negative outflow by the LP since they're putting down money), the total amount distributed to the LP in prior hurdle(s) (postive inflow of cash to the LP when they are receiving money, the prior are included because we also want to inlcude those in the IRR calculation. It has been paid and it doesn't just go away in the next hurdle so it must be accounted for. This will keep the IRR calculation "up to speed" since the IRR Hurdles don't restart at 0% once one it is achieved, it continues being calculated onward from the range between the level that was just achieved and anything up to and between the next Hurdle), and the total amount distributed to the LP in this current Hurdle
</t>
        </r>
      </text>
    </comment>
    <comment ref="G56" authorId="0" shapeId="0" xr:uid="{00000000-0006-0000-1300-00001D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G57" authorId="0" shapeId="0" xr:uid="{00000000-0006-0000-1300-00001E000000}">
      <text>
        <r>
          <rPr>
            <b/>
            <sz val="9"/>
            <color indexed="81"/>
            <rFont val="Tahoma"/>
            <family val="2"/>
          </rPr>
          <t>Patrick Elliott:</t>
        </r>
        <r>
          <rPr>
            <sz val="9"/>
            <color indexed="81"/>
            <rFont val="Tahoma"/>
            <family val="2"/>
          </rPr>
          <t xml:space="preserve">
This is equal to the total amount distributed to the LP divided by the LPs proportional equity share (this calculates the total amount that was available to distribute that month) then multiplied by the GPs proportional equity share.</t>
        </r>
      </text>
    </comment>
    <comment ref="G59" authorId="0" shapeId="0" xr:uid="{00000000-0006-0000-1300-00001F000000}">
      <text>
        <r>
          <rPr>
            <b/>
            <sz val="9"/>
            <color indexed="81"/>
            <rFont val="Tahoma"/>
            <family val="2"/>
          </rPr>
          <t>Patrick Elliott:</t>
        </r>
        <r>
          <rPr>
            <sz val="9"/>
            <color indexed="81"/>
            <rFont val="Tahoma"/>
            <family val="2"/>
          </rPr>
          <t xml:space="preserve">
This is the total amount distibuted to the LP + the total amount distributed to the GP.</t>
        </r>
      </text>
    </comment>
    <comment ref="G60" authorId="0" shapeId="0" xr:uid="{00000000-0006-0000-1300-000020000000}">
      <text>
        <r>
          <rPr>
            <b/>
            <sz val="9"/>
            <color indexed="81"/>
            <rFont val="Tahoma"/>
            <family val="2"/>
          </rPr>
          <t>Patrick Elliott:</t>
        </r>
        <r>
          <rPr>
            <sz val="9"/>
            <color indexed="81"/>
            <rFont val="Tahoma"/>
            <family val="2"/>
          </rPr>
          <t xml:space="preserve">
This is equal to the total positive cash flow remaining from the prior Hurdle minus the total amount that was distributed in the current Hurdle</t>
        </r>
      </text>
    </comment>
    <comment ref="G64" authorId="0" shapeId="0" xr:uid="{00000000-0006-0000-1300-000021000000}">
      <text>
        <r>
          <rPr>
            <b/>
            <sz val="9"/>
            <color indexed="81"/>
            <rFont val="Tahoma"/>
            <family val="2"/>
          </rPr>
          <t>Patrick Elliott:</t>
        </r>
        <r>
          <rPr>
            <sz val="9"/>
            <color indexed="81"/>
            <rFont val="Tahoma"/>
            <family val="2"/>
          </rPr>
          <t xml:space="preserve">
This is equal to the ending balance of the prior month (which in the case of month zero is just zero)</t>
        </r>
      </text>
    </comment>
    <comment ref="G65" authorId="0" shapeId="0" xr:uid="{00000000-0006-0000-1300-000022000000}">
      <text>
        <r>
          <rPr>
            <b/>
            <sz val="9"/>
            <color indexed="81"/>
            <rFont val="Tahoma"/>
            <family val="2"/>
          </rPr>
          <t>Patrick Elliott:</t>
        </r>
        <r>
          <rPr>
            <sz val="9"/>
            <color indexed="81"/>
            <rFont val="Tahoma"/>
            <family val="2"/>
          </rPr>
          <t xml:space="preserve">
This equals the beginning balance of the LPs capital account multiplied by the preferred return rate.
*IMPORTANT: The Hurdle 1 IRR input in this model (cell E14) assumes an annual compounded rate or return, therefore the rate must be converted to a montly rate of return (as done is cell I65)</t>
        </r>
      </text>
    </comment>
    <comment ref="G66" authorId="0" shapeId="0" xr:uid="{00000000-0006-0000-1300-000023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G67" authorId="0" shapeId="0" xr:uid="{00000000-0006-0000-1300-000024000000}">
      <text>
        <r>
          <rPr>
            <b/>
            <sz val="9"/>
            <color indexed="81"/>
            <rFont val="Tahoma"/>
            <family val="2"/>
          </rPr>
          <t>Patrick Elliott:</t>
        </r>
        <r>
          <rPr>
            <sz val="9"/>
            <color indexed="81"/>
            <rFont val="Tahoma"/>
            <family val="2"/>
          </rPr>
          <t xml:space="preserve">
This is the equal to the prior distributions to the LP in the Preferred Return hurdle, Hurdle 1, and Hurdle 2</t>
        </r>
      </text>
    </comment>
    <comment ref="G68" authorId="0" shapeId="0" xr:uid="{00000000-0006-0000-1300-000025000000}">
      <text>
        <r>
          <rPr>
            <b/>
            <sz val="9"/>
            <color indexed="81"/>
            <rFont val="Tahoma"/>
            <family val="2"/>
          </rPr>
          <t>Patrick Elliott:</t>
        </r>
        <r>
          <rPr>
            <sz val="9"/>
            <color indexed="81"/>
            <rFont val="Tahoma"/>
            <family val="2"/>
          </rPr>
          <t xml:space="preserve">
This is equal to the minimum of either the total cash flow remaining multiplied by the LPs proportional equity share or the total amount required to distribute in order to pay off Hurdle 3.
That total amount required to pay off Hurdle 3 is equal to the beginning balance of the LP Capital Account + the LPs required return within this Hurdle MINUS prior distributions (if prior distributions are not subtracted out, it will be double counted in the model)</t>
        </r>
      </text>
    </comment>
    <comment ref="G69" authorId="0" shapeId="0" xr:uid="{00000000-0006-0000-1300-000026000000}">
      <text>
        <r>
          <rPr>
            <b/>
            <sz val="9"/>
            <color indexed="81"/>
            <rFont val="Tahoma"/>
            <family val="2"/>
          </rPr>
          <t>Patrick Elliott:</t>
        </r>
        <r>
          <rPr>
            <sz val="9"/>
            <color indexed="81"/>
            <rFont val="Tahoma"/>
            <family val="2"/>
          </rPr>
          <t xml:space="preserve">
This is equal to the beginning balance of the LP (how much money they initially put in that they will charge the interest rate on specific to which Hurdle the waterfall is in) + the Hurdle's specific return interest accrued that month (this will now be included as part of the balance and will continue to compound until sufficiently (fully) paid off) + any further contributions made by the LP (if the LP has to pay out of pocket any given month, this amount is now added to the original balance and interest will also begin accruing on it) MINUS any distributions made in prior Hurdles (in Hurdle 1's case, what was paid off in the Preferred Return segment so that it is not double counted) MINUS any amount of money that was available to the LP that month (thus paying down part of what is owed to the LP)</t>
        </r>
      </text>
    </comment>
    <comment ref="G70" authorId="0" shapeId="0" xr:uid="{00000000-0006-0000-1300-000027000000}">
      <text>
        <r>
          <rPr>
            <b/>
            <sz val="9"/>
            <color indexed="81"/>
            <rFont val="Tahoma"/>
            <family val="2"/>
          </rPr>
          <t>Patrick Elliott:</t>
        </r>
        <r>
          <rPr>
            <sz val="9"/>
            <color indexed="81"/>
            <rFont val="Tahoma"/>
            <family val="2"/>
          </rPr>
          <t xml:space="preserve">
This is equal to the net total between the total contributions made by the LP (negative outflow by the LP since they're putting down money), the total amount distributed to the LP in prior hurdle (postive inflow of cash to the LP when they are receiving money, the prior are included because we also want to inlcude those in the IRR calculation. This will keep the IRR calculation "up to speed" since the IRR Hurdles don't restart at 0% once one is achieved, it continues being calculated onward from the range between the level that was just achieved and anything up to and between the next Hurdle), and the total amount distributed to the LP in this current Hurdle
</t>
        </r>
      </text>
    </comment>
    <comment ref="G74" authorId="0" shapeId="0" xr:uid="{00000000-0006-0000-1300-000028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G75" authorId="0" shapeId="0" xr:uid="{00000000-0006-0000-1300-000029000000}">
      <text>
        <r>
          <rPr>
            <b/>
            <sz val="9"/>
            <color indexed="81"/>
            <rFont val="Tahoma"/>
            <family val="2"/>
          </rPr>
          <t>Patrick Elliott:</t>
        </r>
        <r>
          <rPr>
            <sz val="9"/>
            <color indexed="81"/>
            <rFont val="Tahoma"/>
            <family val="2"/>
          </rPr>
          <t xml:space="preserve">
This is equal to the total amount distributed to the LP divided by the LPs proportional equity share (this calculates the total amount that was available to distribute that month) then multiplied by the GPs proportional equity share.</t>
        </r>
      </text>
    </comment>
    <comment ref="G77" authorId="0" shapeId="0" xr:uid="{00000000-0006-0000-1300-00002A000000}">
      <text>
        <r>
          <rPr>
            <b/>
            <sz val="9"/>
            <color indexed="81"/>
            <rFont val="Tahoma"/>
            <family val="2"/>
          </rPr>
          <t>Patrick Elliott:</t>
        </r>
        <r>
          <rPr>
            <sz val="9"/>
            <color indexed="81"/>
            <rFont val="Tahoma"/>
            <family val="2"/>
          </rPr>
          <t xml:space="preserve">
This is the total amount distibuted to the LP + the total amount distributed to the GP.</t>
        </r>
      </text>
    </comment>
    <comment ref="G78" authorId="0" shapeId="0" xr:uid="{00000000-0006-0000-1300-00002B000000}">
      <text>
        <r>
          <rPr>
            <b/>
            <sz val="9"/>
            <color indexed="81"/>
            <rFont val="Tahoma"/>
            <family val="2"/>
          </rPr>
          <t>Patrick Elliott:</t>
        </r>
        <r>
          <rPr>
            <sz val="9"/>
            <color indexed="81"/>
            <rFont val="Tahoma"/>
            <family val="2"/>
          </rPr>
          <t xml:space="preserve">
This is equal to the total positive cash flow remaining from the prior Hurdle minus the total amount that was distributed in the current Hurdle</t>
        </r>
      </text>
    </comment>
    <comment ref="G82" authorId="0" shapeId="0" xr:uid="{00000000-0006-0000-1300-00002C000000}">
      <text>
        <r>
          <rPr>
            <b/>
            <sz val="9"/>
            <color indexed="81"/>
            <rFont val="Tahoma"/>
            <family val="2"/>
          </rPr>
          <t>Patrick Elliott:</t>
        </r>
        <r>
          <rPr>
            <sz val="9"/>
            <color indexed="81"/>
            <rFont val="Tahoma"/>
            <family val="2"/>
          </rPr>
          <t xml:space="preserve">
This is equal to the ending balance of the prior month (which in the case of month zero is just zero)</t>
        </r>
      </text>
    </comment>
    <comment ref="G83" authorId="0" shapeId="0" xr:uid="{00000000-0006-0000-1300-00002D000000}">
      <text>
        <r>
          <rPr>
            <b/>
            <sz val="9"/>
            <color indexed="81"/>
            <rFont val="Tahoma"/>
            <family val="2"/>
          </rPr>
          <t>Patrick Elliott:</t>
        </r>
        <r>
          <rPr>
            <sz val="9"/>
            <color indexed="81"/>
            <rFont val="Tahoma"/>
            <family val="2"/>
          </rPr>
          <t xml:space="preserve">
This equals the beginning balance of the LPs capital account multiplied by the preferred return rate.
*IMPORTANT: The Hurdle 1 IRR input in this model (cell E14) assumes an annual compounded rate or return, therefore the rate must be converted to a montly rate of return (as done is cell I83)</t>
        </r>
      </text>
    </comment>
    <comment ref="G84" authorId="0" shapeId="0" xr:uid="{00000000-0006-0000-1300-00002E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G85" authorId="0" shapeId="0" xr:uid="{00000000-0006-0000-1300-00002F000000}">
      <text>
        <r>
          <rPr>
            <b/>
            <sz val="9"/>
            <color indexed="81"/>
            <rFont val="Tahoma"/>
            <family val="2"/>
          </rPr>
          <t>Patrick Elliott:</t>
        </r>
        <r>
          <rPr>
            <sz val="9"/>
            <color indexed="81"/>
            <rFont val="Tahoma"/>
            <family val="2"/>
          </rPr>
          <t xml:space="preserve">
This is the equal to the prior distributions to the LP in the Preferred Return hurdle, Hurdle 1, and Hurdle 2</t>
        </r>
      </text>
    </comment>
    <comment ref="G86" authorId="0" shapeId="0" xr:uid="{00000000-0006-0000-1300-000030000000}">
      <text>
        <r>
          <rPr>
            <b/>
            <sz val="9"/>
            <color indexed="81"/>
            <rFont val="Tahoma"/>
            <family val="2"/>
          </rPr>
          <t>Patrick Elliott:</t>
        </r>
        <r>
          <rPr>
            <sz val="9"/>
            <color indexed="81"/>
            <rFont val="Tahoma"/>
            <family val="2"/>
          </rPr>
          <t xml:space="preserve">
This is equal to the minimum of either the total cash flow remaining multiplied by the LPs proportional equity share or the total amount required to distribute in order to pay off Hurdle 3.
That total amount required to pay off Hurdle 3 is equal to the beginning balance of the LP Capital Account + the LPs required return within this Hurdle MINUS prior distributions (if prior distributions are not subtracted out, it will be double counted in the model)</t>
        </r>
      </text>
    </comment>
    <comment ref="G87" authorId="0" shapeId="0" xr:uid="{00000000-0006-0000-1300-000031000000}">
      <text>
        <r>
          <rPr>
            <b/>
            <sz val="9"/>
            <color indexed="81"/>
            <rFont val="Tahoma"/>
            <family val="2"/>
          </rPr>
          <t>Patrick Elliott:</t>
        </r>
        <r>
          <rPr>
            <sz val="9"/>
            <color indexed="81"/>
            <rFont val="Tahoma"/>
            <family val="2"/>
          </rPr>
          <t xml:space="preserve">
This is equal to the beginning balance of the LP (how much money they initially put in that they will charge the interest rate on specific to which Hurdle the waterfall is in) + the Hurdle's specific return interest accrued that month (this will now be included as part of the balance and will continue to compound until sufficiently (fully) paid off) + any further contributions made by the LP (if the LP has to pay out of pocket any given month, this amount is now added to the original balance and interest will also begin accruing on it) MINUS any distributions made in prior Hurdles (in Hurdle 1's case, what was paid off in the Preferred Return segment so that it is not double counted) MINUS any amount of money that was available to the LP that month (thus paying down part of what is owed to the LP)</t>
        </r>
      </text>
    </comment>
    <comment ref="G88" authorId="0" shapeId="0" xr:uid="{00000000-0006-0000-1300-000032000000}">
      <text>
        <r>
          <rPr>
            <b/>
            <sz val="9"/>
            <color indexed="81"/>
            <rFont val="Tahoma"/>
            <family val="2"/>
          </rPr>
          <t>Patrick Elliott:</t>
        </r>
        <r>
          <rPr>
            <sz val="9"/>
            <color indexed="81"/>
            <rFont val="Tahoma"/>
            <family val="2"/>
          </rPr>
          <t xml:space="preserve">
This is equal to the net total between the total contributions made by the LP (negative outflow by the LP since they're putting down money), the total amount distributed to the LP in prior hurdle (postive inflow of cash to the LP when they are receiving money, the prior are included because we also want to inlcude those in the IRR calculation. This will keep the IRR calculation "up to speed" since the IRR Hurdles don't restart at 0% once one is achieved, it continues being calculated onward from the range between the level that was just achieved and anything up to and between the next Hurdle), and the total amount distributed to the LP in this current Hurdle
</t>
        </r>
      </text>
    </comment>
    <comment ref="G92" authorId="0" shapeId="0" xr:uid="{00000000-0006-0000-1300-000033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G93" authorId="0" shapeId="0" xr:uid="{00000000-0006-0000-1300-000034000000}">
      <text>
        <r>
          <rPr>
            <b/>
            <sz val="9"/>
            <color indexed="81"/>
            <rFont val="Tahoma"/>
            <family val="2"/>
          </rPr>
          <t>Patrick Elliott:</t>
        </r>
        <r>
          <rPr>
            <sz val="9"/>
            <color indexed="81"/>
            <rFont val="Tahoma"/>
            <family val="2"/>
          </rPr>
          <t xml:space="preserve">
This is equal to the total amount distributed to the LP divided by the LPs proportional equity share (this calculates the total amount that was available to distribute that month) then multiplied by the GPs proportional equity share.</t>
        </r>
      </text>
    </comment>
    <comment ref="G95" authorId="0" shapeId="0" xr:uid="{00000000-0006-0000-1300-000035000000}">
      <text>
        <r>
          <rPr>
            <b/>
            <sz val="9"/>
            <color indexed="81"/>
            <rFont val="Tahoma"/>
            <family val="2"/>
          </rPr>
          <t>Patrick Elliott:</t>
        </r>
        <r>
          <rPr>
            <sz val="9"/>
            <color indexed="81"/>
            <rFont val="Tahoma"/>
            <family val="2"/>
          </rPr>
          <t xml:space="preserve">
This is the total amount distibuted to the LP + the total amount distributed to the GP.</t>
        </r>
      </text>
    </comment>
    <comment ref="G96" authorId="0" shapeId="0" xr:uid="{00000000-0006-0000-1300-000036000000}">
      <text>
        <r>
          <rPr>
            <b/>
            <sz val="9"/>
            <color indexed="81"/>
            <rFont val="Tahoma"/>
            <family val="2"/>
          </rPr>
          <t>Patrick Elliott:</t>
        </r>
        <r>
          <rPr>
            <sz val="9"/>
            <color indexed="81"/>
            <rFont val="Tahoma"/>
            <family val="2"/>
          </rPr>
          <t xml:space="preserve">
This is equal to the total positive cash flow remaining from the prior Hurdle minus the total amount that was distributed in the current Hurdle</t>
        </r>
      </text>
    </comment>
    <comment ref="G100" authorId="0" shapeId="0" xr:uid="{00000000-0006-0000-1300-000037000000}">
      <text>
        <r>
          <rPr>
            <b/>
            <sz val="9"/>
            <color indexed="81"/>
            <rFont val="Tahoma"/>
            <family val="2"/>
          </rPr>
          <t>Patrick Elliott:</t>
        </r>
        <r>
          <rPr>
            <sz val="9"/>
            <color indexed="81"/>
            <rFont val="Tahoma"/>
            <family val="2"/>
          </rPr>
          <t xml:space="preserve">
This is equal to the ending balance of the prior month (which in the case of month zero is just zero)</t>
        </r>
      </text>
    </comment>
    <comment ref="G101" authorId="0" shapeId="0" xr:uid="{00000000-0006-0000-1300-000038000000}">
      <text>
        <r>
          <rPr>
            <b/>
            <sz val="9"/>
            <color indexed="81"/>
            <rFont val="Tahoma"/>
            <family val="2"/>
          </rPr>
          <t>Patrick Elliott:</t>
        </r>
        <r>
          <rPr>
            <sz val="9"/>
            <color indexed="81"/>
            <rFont val="Tahoma"/>
            <family val="2"/>
          </rPr>
          <t xml:space="preserve">
This equals the beginning balance of the LPs capital account multiplied by the preferred return rate.
*IMPORTANT: The Hurdle 1 IRR input in this model (cell E14) assumes an annual compounded rate or return, therefore the rate must be converted to a montly rate of return (as done is cell I101)</t>
        </r>
      </text>
    </comment>
    <comment ref="G102" authorId="0" shapeId="0" xr:uid="{00000000-0006-0000-1300-000039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G103" authorId="0" shapeId="0" xr:uid="{00000000-0006-0000-1300-00003A000000}">
      <text>
        <r>
          <rPr>
            <b/>
            <sz val="9"/>
            <color indexed="81"/>
            <rFont val="Tahoma"/>
            <family val="2"/>
          </rPr>
          <t>Patrick Elliott:</t>
        </r>
        <r>
          <rPr>
            <sz val="9"/>
            <color indexed="81"/>
            <rFont val="Tahoma"/>
            <family val="2"/>
          </rPr>
          <t xml:space="preserve">
This is the equal to the prior distributions to the LP in the Preferred Return hurdle, Hurdle 1, and Hurdle 2</t>
        </r>
      </text>
    </comment>
    <comment ref="G104" authorId="0" shapeId="0" xr:uid="{00000000-0006-0000-1300-00003B000000}">
      <text>
        <r>
          <rPr>
            <b/>
            <sz val="9"/>
            <color indexed="81"/>
            <rFont val="Tahoma"/>
            <family val="2"/>
          </rPr>
          <t>Patrick Elliott:</t>
        </r>
        <r>
          <rPr>
            <sz val="9"/>
            <color indexed="81"/>
            <rFont val="Tahoma"/>
            <family val="2"/>
          </rPr>
          <t xml:space="preserve">
This is equal to the minimum of either the total cash flow remaining multiplied by the LPs proportional equity share or the total amount required to distribute in order to pay off Hurdle 3.
That total amount required to pay off Hurdle 3 is equal to the beginning balance of the LP Capital Account + the LPs required return within this Hurdle MINUS prior distributions (if prior distributions are not subtracted out, it will be double counted in the model)</t>
        </r>
      </text>
    </comment>
    <comment ref="G105" authorId="0" shapeId="0" xr:uid="{00000000-0006-0000-1300-00003C000000}">
      <text>
        <r>
          <rPr>
            <b/>
            <sz val="9"/>
            <color indexed="81"/>
            <rFont val="Tahoma"/>
            <family val="2"/>
          </rPr>
          <t>Patrick Elliott:</t>
        </r>
        <r>
          <rPr>
            <sz val="9"/>
            <color indexed="81"/>
            <rFont val="Tahoma"/>
            <family val="2"/>
          </rPr>
          <t xml:space="preserve">
This is equal to the beginning balance of the LP (how much money they initially put in that they will charge the interest rate on specific to which Hurdle the waterfall is in) + the Hurdle's specific return interest accrued that month (this will now be included as part of the balance and will continue to compound until sufficiently (fully) paid off) + any further contributions made by the LP (if the LP has to pay out of pocket any given month, this amount is now added to the original balance and interest will also begin accruing on it) MINUS any distributions made in prior Hurdles (in Hurdle 1's case, what was paid off in the Preferred Return segment so that it is not double counted) MINUS any amount of money that was available to the LP that month (thus paying down part of what is owed to the LP)</t>
        </r>
      </text>
    </comment>
    <comment ref="G106" authorId="0" shapeId="0" xr:uid="{00000000-0006-0000-1300-00003D000000}">
      <text>
        <r>
          <rPr>
            <b/>
            <sz val="9"/>
            <color indexed="81"/>
            <rFont val="Tahoma"/>
            <family val="2"/>
          </rPr>
          <t>Patrick Elliott:</t>
        </r>
        <r>
          <rPr>
            <sz val="9"/>
            <color indexed="81"/>
            <rFont val="Tahoma"/>
            <family val="2"/>
          </rPr>
          <t xml:space="preserve">
This is equal to the net total between the total contributions made by the LP (negative outflow by the LP since they're putting down money), the total amount distributed to the LP in prior hurdle (postive inflow of cash to the LP when they are receiving money, the prior are included because we also want to inlcude those in the IRR calculation. This will keep the IRR calculation "up to speed" since the IRR Hurdles don't restart at 0% once one is achieved, it continues being calculated onward from the range between the level that was just achieved and anything up to and between the next Hurdle), and the total amount distributed to the LP in this current Hurdle
</t>
        </r>
      </text>
    </comment>
    <comment ref="G110" authorId="0" shapeId="0" xr:uid="{00000000-0006-0000-1300-00003E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G111" authorId="0" shapeId="0" xr:uid="{00000000-0006-0000-1300-00003F000000}">
      <text>
        <r>
          <rPr>
            <b/>
            <sz val="9"/>
            <color indexed="81"/>
            <rFont val="Tahoma"/>
            <family val="2"/>
          </rPr>
          <t>Patrick Elliott:</t>
        </r>
        <r>
          <rPr>
            <sz val="9"/>
            <color indexed="81"/>
            <rFont val="Tahoma"/>
            <family val="2"/>
          </rPr>
          <t xml:space="preserve">
This is equal to the total amount distributed to the LP divided by the LPs proportional equity share (this calculates the total amount that was available to distribute that month) then multiplied by the GPs proportional equity share.</t>
        </r>
      </text>
    </comment>
    <comment ref="G113" authorId="0" shapeId="0" xr:uid="{00000000-0006-0000-1300-000040000000}">
      <text>
        <r>
          <rPr>
            <b/>
            <sz val="9"/>
            <color indexed="81"/>
            <rFont val="Tahoma"/>
            <family val="2"/>
          </rPr>
          <t>Patrick Elliott:</t>
        </r>
        <r>
          <rPr>
            <sz val="9"/>
            <color indexed="81"/>
            <rFont val="Tahoma"/>
            <family val="2"/>
          </rPr>
          <t xml:space="preserve">
This is the total amount distibuted to the LP + the total amount distributed to the GP.</t>
        </r>
      </text>
    </comment>
    <comment ref="G114" authorId="0" shapeId="0" xr:uid="{00000000-0006-0000-1300-000041000000}">
      <text>
        <r>
          <rPr>
            <b/>
            <sz val="9"/>
            <color indexed="81"/>
            <rFont val="Tahoma"/>
            <family val="2"/>
          </rPr>
          <t>Patrick Elliott:</t>
        </r>
        <r>
          <rPr>
            <sz val="9"/>
            <color indexed="81"/>
            <rFont val="Tahoma"/>
            <family val="2"/>
          </rPr>
          <t xml:space="preserve">
This is equal to the total positive cash flow remaining from the prior Hurdle minus the total amount that was distributed in the current Hurdle</t>
        </r>
      </text>
    </comment>
    <comment ref="G118" authorId="0" shapeId="0" xr:uid="{00000000-0006-0000-1300-000042000000}">
      <text>
        <r>
          <rPr>
            <b/>
            <sz val="9"/>
            <color indexed="81"/>
            <rFont val="Tahoma"/>
            <family val="2"/>
          </rPr>
          <t>Patrick Elliott:</t>
        </r>
        <r>
          <rPr>
            <sz val="9"/>
            <color indexed="81"/>
            <rFont val="Tahoma"/>
            <family val="2"/>
          </rPr>
          <t xml:space="preserve">
This is equal to the the total cash flow remaining after Hurdle 3 multiplied by the LPs final split</t>
        </r>
      </text>
    </comment>
    <comment ref="G119" authorId="0" shapeId="0" xr:uid="{00000000-0006-0000-1300-000043000000}">
      <text>
        <r>
          <rPr>
            <b/>
            <sz val="9"/>
            <color indexed="81"/>
            <rFont val="Tahoma"/>
            <family val="2"/>
          </rPr>
          <t>Patrick Elliott:</t>
        </r>
        <r>
          <rPr>
            <sz val="9"/>
            <color indexed="81"/>
            <rFont val="Tahoma"/>
            <family val="2"/>
          </rPr>
          <t xml:space="preserve">
This is equal to the the total cash flow remaining after Hurdle 3 multiplied by the GPs final split</t>
        </r>
      </text>
    </comment>
    <comment ref="G120" authorId="0" shapeId="0" xr:uid="{00000000-0006-0000-1300-000044000000}">
      <text>
        <r>
          <rPr>
            <b/>
            <sz val="9"/>
            <color indexed="81"/>
            <rFont val="Tahoma"/>
            <family val="2"/>
          </rPr>
          <t>Patrick Elliott:</t>
        </r>
        <r>
          <rPr>
            <sz val="9"/>
            <color indexed="81"/>
            <rFont val="Tahoma"/>
            <family val="2"/>
          </rPr>
          <t xml:space="preserve">
This is equal to the LP distributions during the final split plus the GP distributions during the final split.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Patrick Elliott</author>
  </authors>
  <commentList>
    <comment ref="H9" authorId="0" shapeId="0" xr:uid="{00000000-0006-0000-1400-000001000000}">
      <text>
        <r>
          <rPr>
            <b/>
            <sz val="9"/>
            <color indexed="81"/>
            <rFont val="Tahoma"/>
            <family val="2"/>
          </rPr>
          <t>Patrick Elliott:</t>
        </r>
        <r>
          <rPr>
            <sz val="9"/>
            <color indexed="81"/>
            <rFont val="Tahoma"/>
            <family val="2"/>
          </rPr>
          <t xml:space="preserve">
This is equal to the ending balance of the prior month (which in the case of month zero is just zero)</t>
        </r>
      </text>
    </comment>
    <comment ref="H10" authorId="0" shapeId="0" xr:uid="{00000000-0006-0000-1400-000002000000}">
      <text>
        <r>
          <rPr>
            <b/>
            <sz val="9"/>
            <color indexed="81"/>
            <rFont val="Tahoma"/>
            <family val="2"/>
          </rPr>
          <t>Patrick Elliott:</t>
        </r>
        <r>
          <rPr>
            <sz val="9"/>
            <color indexed="81"/>
            <rFont val="Tahoma"/>
            <family val="2"/>
          </rPr>
          <t xml:space="preserve">
This equals the beginning balance of the LPs capital account multiplied by the preferred return rate.
*IMPORTANT: The preferred return input in this model (cell E13) assumes an annual compounded rate or return, therefore the rate must be divided by 12 to model a monthly compounded rate of return.</t>
        </r>
      </text>
    </comment>
    <comment ref="H11" authorId="0" shapeId="0" xr:uid="{00000000-0006-0000-1400-000003000000}">
      <text>
        <r>
          <rPr>
            <b/>
            <sz val="9"/>
            <color indexed="81"/>
            <rFont val="Tahoma"/>
            <family val="2"/>
          </rPr>
          <t>Patrick Elliott:</t>
        </r>
        <r>
          <rPr>
            <sz val="9"/>
            <color indexed="81"/>
            <rFont val="Tahoma"/>
            <family val="2"/>
          </rPr>
          <t xml:space="preserve">
This is equal to the total negative cash flow available that month (indicating that equity was put down that month) multiplied by the LPs proportional equity share</t>
        </r>
      </text>
    </comment>
    <comment ref="H12" authorId="0" shapeId="0" xr:uid="{00000000-0006-0000-1400-000004000000}">
      <text>
        <r>
          <rPr>
            <b/>
            <sz val="9"/>
            <color indexed="81"/>
            <rFont val="Tahoma"/>
            <family val="2"/>
          </rPr>
          <t>Patrick Elliott:</t>
        </r>
        <r>
          <rPr>
            <sz val="9"/>
            <color indexed="81"/>
            <rFont val="Tahoma"/>
            <family val="2"/>
          </rPr>
          <t xml:space="preserve">
This is the lesser of the total positive available cash flow to distribute multiplied by the LP's proportional equity share, or the total amount required to distribute in order to pay off the preferred return and also fully return the LPs capital. It is the "lesser' because in one month (specifically and typically only in the month of a capital event unless the project is killing it), the positive cash flow available multiplied by the LPs proportional equity share will (greatly) exceed the amount that is necessary/required to pay off the preferred return and also fully return the LPs full originial capital investment. In effect, this advances the waterfall to the next hurdle.</t>
        </r>
      </text>
    </comment>
    <comment ref="H13" authorId="0" shapeId="0" xr:uid="{00000000-0006-0000-1400-000005000000}">
      <text>
        <r>
          <rPr>
            <b/>
            <sz val="9"/>
            <color indexed="81"/>
            <rFont val="Tahoma"/>
            <family val="2"/>
          </rPr>
          <t>Patrick Elliott:</t>
        </r>
        <r>
          <rPr>
            <sz val="9"/>
            <color indexed="81"/>
            <rFont val="Tahoma"/>
            <family val="2"/>
          </rPr>
          <t xml:space="preserve">
This is equal to the total amount of LP capital invested in the deal that will be accounted for in the next month and begin accruing interest. Specifically, it is equal to the beginning balance of the LP (how much money they initially put in that they will charge the preferred return interest rate on) + the preferred return interest accrued that month (this will now be included as part of the balance and will continue to compound until sufficientely (fully) paid off) + any further contributions made by the LP (if the LP has to pay out of pocket any given month, this amount is now added to the original balance and interest will also begin accruing on it) MINUS any amount of money that was available to the LP that month (thus paying down part of what is owed to the LP)</t>
        </r>
      </text>
    </comment>
    <comment ref="H14" authorId="0" shapeId="0" xr:uid="{00000000-0006-0000-1400-000006000000}">
      <text>
        <r>
          <rPr>
            <b/>
            <sz val="9"/>
            <color indexed="81"/>
            <rFont val="Tahoma"/>
            <family val="2"/>
          </rPr>
          <t>Patrick Elliott:</t>
        </r>
        <r>
          <rPr>
            <sz val="9"/>
            <color indexed="81"/>
            <rFont val="Tahoma"/>
            <family val="2"/>
          </rPr>
          <t xml:space="preserve">
This is equal to the net total between the total contributions made by the LP (negative outflow by the LP since they're putting down money) and the total amount distributed to the LP (postive inflow of cash to the LP when they are receiving money)</t>
        </r>
      </text>
    </comment>
    <comment ref="H18" authorId="0" shapeId="0" xr:uid="{00000000-0006-0000-1400-000007000000}">
      <text>
        <r>
          <rPr>
            <b/>
            <sz val="9"/>
            <color indexed="81"/>
            <rFont val="Tahoma"/>
            <family val="2"/>
          </rPr>
          <t>Patrick Elliott:</t>
        </r>
        <r>
          <rPr>
            <sz val="9"/>
            <color indexed="81"/>
            <rFont val="Tahoma"/>
            <family val="2"/>
          </rPr>
          <t xml:space="preserve">
This is equal to the total negative cash flow available that month (indicating that equity was put down that month) multiplied by the GPs proportional equity share</t>
        </r>
      </text>
    </comment>
    <comment ref="H19" authorId="0" shapeId="0" xr:uid="{00000000-0006-0000-1400-000008000000}">
      <text>
        <r>
          <rPr>
            <b/>
            <sz val="9"/>
            <color indexed="81"/>
            <rFont val="Tahoma"/>
            <family val="2"/>
          </rPr>
          <t>Patrick Elliott:</t>
        </r>
        <r>
          <rPr>
            <sz val="9"/>
            <color indexed="81"/>
            <rFont val="Tahoma"/>
            <family val="2"/>
          </rPr>
          <t xml:space="preserve">
This is equal to the total amount distributed to the LP divided by the LPs proportional equity share (this calculates the total amount that was available to distribute that month) then multiplied by the GPs proportional equity share.</t>
        </r>
      </text>
    </comment>
    <comment ref="H23" authorId="0" shapeId="0" xr:uid="{00000000-0006-0000-1400-000009000000}">
      <text>
        <r>
          <rPr>
            <b/>
            <sz val="9"/>
            <color indexed="81"/>
            <rFont val="Tahoma"/>
            <family val="2"/>
          </rPr>
          <t>Patrick Elliott:</t>
        </r>
        <r>
          <rPr>
            <sz val="9"/>
            <color indexed="81"/>
            <rFont val="Tahoma"/>
            <family val="2"/>
          </rPr>
          <t xml:space="preserve">
This is the total amount distibuted to the LP + the total amount distributed to the GP.</t>
        </r>
      </text>
    </comment>
    <comment ref="H24" authorId="0" shapeId="0" xr:uid="{00000000-0006-0000-1400-00000A000000}">
      <text>
        <r>
          <rPr>
            <b/>
            <sz val="9"/>
            <color indexed="81"/>
            <rFont val="Tahoma"/>
            <family val="2"/>
          </rPr>
          <t>Patrick Elliott:</t>
        </r>
        <r>
          <rPr>
            <sz val="9"/>
            <color indexed="81"/>
            <rFont val="Tahoma"/>
            <family val="2"/>
          </rPr>
          <t xml:space="preserve">
This is equal to the total positive cash flow that month available to run through the waterfall minus any amount of capital that was evenutally distributed throughout the preferred return  </t>
        </r>
      </text>
    </comment>
    <comment ref="H28" authorId="0" shapeId="0" xr:uid="{00000000-0006-0000-1400-00000B000000}">
      <text>
        <r>
          <rPr>
            <b/>
            <sz val="9"/>
            <color indexed="81"/>
            <rFont val="Tahoma"/>
            <family val="2"/>
          </rPr>
          <t>Patrick Elliott:</t>
        </r>
        <r>
          <rPr>
            <sz val="9"/>
            <color indexed="81"/>
            <rFont val="Tahoma"/>
            <family val="2"/>
          </rPr>
          <t xml:space="preserve">
This is equal to the ending balance of the prior month (which in the case of month zero is just zero)</t>
        </r>
      </text>
    </comment>
    <comment ref="H29" authorId="0" shapeId="0" xr:uid="{00000000-0006-0000-1400-00000C000000}">
      <text>
        <r>
          <rPr>
            <b/>
            <sz val="9"/>
            <color indexed="81"/>
            <rFont val="Tahoma"/>
            <family val="2"/>
          </rPr>
          <t>Patrick Elliott:</t>
        </r>
        <r>
          <rPr>
            <sz val="9"/>
            <color indexed="81"/>
            <rFont val="Tahoma"/>
            <family val="2"/>
          </rPr>
          <t xml:space="preserve">
This equals the beginning balance of the LPs capital account multiplied by the preferred return rate.
*IMPORTANT: The Hurdle 1 IRR input in this model (cell E14) assumes an annual compounded rate or return, therefore the rate must be divided by 12 to model a monthly compounded rate of return.</t>
        </r>
      </text>
    </comment>
    <comment ref="H30" authorId="0" shapeId="0" xr:uid="{00000000-0006-0000-1400-00000D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H31" authorId="0" shapeId="0" xr:uid="{00000000-0006-0000-1400-00000E000000}">
      <text>
        <r>
          <rPr>
            <b/>
            <sz val="9"/>
            <color indexed="81"/>
            <rFont val="Tahoma"/>
            <family val="2"/>
          </rPr>
          <t>Patrick Elliott:</t>
        </r>
        <r>
          <rPr>
            <sz val="9"/>
            <color indexed="81"/>
            <rFont val="Tahoma"/>
            <family val="2"/>
          </rPr>
          <t xml:space="preserve">
This is the equal to the prior distributions to the LP in the Preferred Return hurdle.</t>
        </r>
      </text>
    </comment>
    <comment ref="H32" authorId="0" shapeId="0" xr:uid="{00000000-0006-0000-1400-00000F000000}">
      <text>
        <r>
          <rPr>
            <b/>
            <sz val="9"/>
            <color indexed="81"/>
            <rFont val="Tahoma"/>
            <family val="2"/>
          </rPr>
          <t>Patrick Elliott:</t>
        </r>
        <r>
          <rPr>
            <sz val="9"/>
            <color indexed="81"/>
            <rFont val="Tahoma"/>
            <family val="2"/>
          </rPr>
          <t xml:space="preserve">
This is equal to the minimum of either the total cash flow remaining multiplied by the LPs proportional equity share or the total amount required to distribute in order to pay off Hurdle 1.
That total amount required to pay off Hurdle 1 is equal to the beginning balance of the LP Capital Account + the LPs required return within this Hurdle MINUS prior distributions (if prior distributions are not subtracted out, it will be double counted in the model)</t>
        </r>
      </text>
    </comment>
    <comment ref="H33" authorId="0" shapeId="0" xr:uid="{00000000-0006-0000-1400-000010000000}">
      <text>
        <r>
          <rPr>
            <b/>
            <sz val="9"/>
            <color indexed="81"/>
            <rFont val="Tahoma"/>
            <family val="2"/>
          </rPr>
          <t>Patrick Elliott:</t>
        </r>
        <r>
          <rPr>
            <sz val="9"/>
            <color indexed="81"/>
            <rFont val="Tahoma"/>
            <family val="2"/>
          </rPr>
          <t xml:space="preserve">
This is equal to the beginning balance of the LP (how much money they initially put in that they will charge the interest rate on specific to which Hurdle the waterfall is in) + the Hurdle's specific return interest accrued that month (this will now be included as part of the balance and will continue to compound until sufficiently (fully) paid off) + any further contributions made by the LP (if the LP has to pay out of pocket any given month, this amount is now added to the original balance and interest will also begin accruing on it) MINUS any distributions made in prior Hurdles (in Hurdle 1's case, what was paid off in the Preferred Return segment so that it is not double counted) MINUS any amount of money that was available and thus distributed to the LP that month (thus paying down part of what is owed to the LP)</t>
        </r>
      </text>
    </comment>
    <comment ref="H34" authorId="0" shapeId="0" xr:uid="{00000000-0006-0000-1400-000011000000}">
      <text>
        <r>
          <rPr>
            <b/>
            <sz val="9"/>
            <color indexed="81"/>
            <rFont val="Tahoma"/>
            <family val="2"/>
          </rPr>
          <t>Patrick Elliott:</t>
        </r>
        <r>
          <rPr>
            <sz val="9"/>
            <color indexed="81"/>
            <rFont val="Tahoma"/>
            <family val="2"/>
          </rPr>
          <t xml:space="preserve">
This is equal to the net total between the total contributions made by the LP (negative outflow by the LP since they're putting down money), the total amount distributed to the LP in prior hurdle(s) (postive inflow of cash to the LP when they are receiving money, the prior are included because we also want to inlcude those in the IRR calculation. This will keep the IRR calculation "up to speed" since the IRR Hurdles don't restart at 0% once one it is achieved, it continues being calculated onward from the range between the level that was just achieved and anything up to and between the next Hurdle), and the total amount distributed to the LP in this current Hurdle
</t>
        </r>
      </text>
    </comment>
    <comment ref="H38" authorId="0" shapeId="0" xr:uid="{00000000-0006-0000-1400-000012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H39" authorId="0" shapeId="0" xr:uid="{00000000-0006-0000-1400-000013000000}">
      <text>
        <r>
          <rPr>
            <b/>
            <sz val="9"/>
            <color indexed="81"/>
            <rFont val="Tahoma"/>
            <family val="2"/>
          </rPr>
          <t>Patrick Elliott:</t>
        </r>
        <r>
          <rPr>
            <sz val="9"/>
            <color indexed="81"/>
            <rFont val="Tahoma"/>
            <family val="2"/>
          </rPr>
          <t xml:space="preserve">
This is equal to the total amount distributed to the LP divided by the LPs proportional equity share (this calculates the total amount that was available to distribute that month) then multiplied by the GPs proportional equity share.</t>
        </r>
      </text>
    </comment>
    <comment ref="H41" authorId="0" shapeId="0" xr:uid="{00000000-0006-0000-1400-000014000000}">
      <text>
        <r>
          <rPr>
            <b/>
            <sz val="9"/>
            <color indexed="81"/>
            <rFont val="Tahoma"/>
            <family val="2"/>
          </rPr>
          <t>Patrick Elliott:</t>
        </r>
        <r>
          <rPr>
            <sz val="9"/>
            <color indexed="81"/>
            <rFont val="Tahoma"/>
            <family val="2"/>
          </rPr>
          <t xml:space="preserve">
This is the total amount distibuted to the LP + the total amount distributed to the GP.</t>
        </r>
      </text>
    </comment>
    <comment ref="H42" authorId="0" shapeId="0" xr:uid="{00000000-0006-0000-1400-000015000000}">
      <text>
        <r>
          <rPr>
            <b/>
            <sz val="9"/>
            <color indexed="81"/>
            <rFont val="Tahoma"/>
            <family val="2"/>
          </rPr>
          <t>Patrick Elliott:</t>
        </r>
        <r>
          <rPr>
            <sz val="9"/>
            <color indexed="81"/>
            <rFont val="Tahoma"/>
            <family val="2"/>
          </rPr>
          <t xml:space="preserve">
This is equal to the total positive cash flow remaining from the prior Hurdle minus the total amount that was distributed in the current Hurdle</t>
        </r>
      </text>
    </comment>
    <comment ref="H46" authorId="0" shapeId="0" xr:uid="{00000000-0006-0000-1400-000016000000}">
      <text>
        <r>
          <rPr>
            <b/>
            <sz val="9"/>
            <color indexed="81"/>
            <rFont val="Tahoma"/>
            <family val="2"/>
          </rPr>
          <t>Patrick Elliott:</t>
        </r>
        <r>
          <rPr>
            <sz val="9"/>
            <color indexed="81"/>
            <rFont val="Tahoma"/>
            <family val="2"/>
          </rPr>
          <t xml:space="preserve">
This is equal to the ending balance of the prior month (which in the case of month zero is just zero)</t>
        </r>
      </text>
    </comment>
    <comment ref="H47" authorId="0" shapeId="0" xr:uid="{00000000-0006-0000-1400-000017000000}">
      <text>
        <r>
          <rPr>
            <b/>
            <sz val="9"/>
            <color indexed="81"/>
            <rFont val="Tahoma"/>
            <family val="2"/>
          </rPr>
          <t>Patrick Elliott:</t>
        </r>
        <r>
          <rPr>
            <sz val="9"/>
            <color indexed="81"/>
            <rFont val="Tahoma"/>
            <family val="2"/>
          </rPr>
          <t xml:space="preserve">
This equals the beginning balance of the LPs capital account multiplied by the preferred return rate.
*IMPORTANT: The Hurdle 1 IRR input in this model (cell E14) assumes an annual compounded rate or return, therefore the rate must be divided by 12 to model a monthly compounded rate of return.</t>
        </r>
      </text>
    </comment>
    <comment ref="H48" authorId="0" shapeId="0" xr:uid="{00000000-0006-0000-1400-000018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H49" authorId="0" shapeId="0" xr:uid="{00000000-0006-0000-1400-000019000000}">
      <text>
        <r>
          <rPr>
            <b/>
            <sz val="9"/>
            <color indexed="81"/>
            <rFont val="Tahoma"/>
            <family val="2"/>
          </rPr>
          <t>Patrick Elliott:</t>
        </r>
        <r>
          <rPr>
            <sz val="9"/>
            <color indexed="81"/>
            <rFont val="Tahoma"/>
            <family val="2"/>
          </rPr>
          <t xml:space="preserve">
This is the equal to the prior distributions to the LP in the Preferred Return hurdle and Hurdle 1.</t>
        </r>
      </text>
    </comment>
    <comment ref="H50" authorId="0" shapeId="0" xr:uid="{00000000-0006-0000-1400-00001A000000}">
      <text>
        <r>
          <rPr>
            <b/>
            <sz val="9"/>
            <color indexed="81"/>
            <rFont val="Tahoma"/>
            <family val="2"/>
          </rPr>
          <t>Patrick Elliott:</t>
        </r>
        <r>
          <rPr>
            <sz val="9"/>
            <color indexed="81"/>
            <rFont val="Tahoma"/>
            <family val="2"/>
          </rPr>
          <t xml:space="preserve">
This is equal to the minimum of either the total cash flow remaining multiplied by the LPs proportional equity share or the total amount required to distribute in order to pay off Hurdle 2.
That total amount required to pay off Hurdle 2 is equal to the beginning balance of the LP Capital Account + the LPs required return within this Hurdle MINUS prior distributions (if prior distributions are not subtracted out, it will be double counted in the model)</t>
        </r>
      </text>
    </comment>
    <comment ref="H51" authorId="0" shapeId="0" xr:uid="{00000000-0006-0000-1400-00001B000000}">
      <text>
        <r>
          <rPr>
            <b/>
            <sz val="9"/>
            <color indexed="81"/>
            <rFont val="Tahoma"/>
            <family val="2"/>
          </rPr>
          <t>Patrick Elliott:</t>
        </r>
        <r>
          <rPr>
            <sz val="9"/>
            <color indexed="81"/>
            <rFont val="Tahoma"/>
            <family val="2"/>
          </rPr>
          <t xml:space="preserve">
This is equal to the beginning balance of the LP (how much money they initially put in that they will charge the interest rate on specific to which Hurdle the waterfall is in) + the Hurdle's specific return interest accrued that month (this will now be included as part of the balance and will continue to compound until sufficiently (fully) paid off) + any further contributions made by the LP (if the LP has to pay out of pocket any given month, this amount is now added to the original balance and interest will also begin accruing on it) MINUS any distributions made in prior Hurdles (in Hurdle 1's case: what was paid off in the Preferred Return segment so that it is not double counted, in Hurdle 2's case: what was paid off in the Pref segment and now also Hurdle 1, and so on) MINUS any amount of money that was available and thus distributed to the LP that month (thus paying down part of what is owed to the LP)</t>
        </r>
      </text>
    </comment>
    <comment ref="H52" authorId="0" shapeId="0" xr:uid="{00000000-0006-0000-1400-00001C000000}">
      <text>
        <r>
          <rPr>
            <b/>
            <sz val="9"/>
            <color indexed="81"/>
            <rFont val="Tahoma"/>
            <family val="2"/>
          </rPr>
          <t>Patrick Elliott:</t>
        </r>
        <r>
          <rPr>
            <sz val="9"/>
            <color indexed="81"/>
            <rFont val="Tahoma"/>
            <family val="2"/>
          </rPr>
          <t xml:space="preserve">
This is equal to the net total between the total contributions made by the LP (negative outflow by the LP since they're putting down money), the total amount distributed to the LP in prior hurdle(s) (postive inflow of cash to the LP when they are receiving money, the prior are included because we also want to inlcude those in the IRR calculation. It has been paid and it doesn't just go away in the next hurdle so it must be accounted for. This will keep the IRR calculation "up to speed" since the IRR Hurdles don't restart at 0% once one it is achieved, it continues being calculated onward from the range between the level that was just achieved and anything up to and between the next Hurdle), and the total amount distributed to the LP in this current Hurdle
</t>
        </r>
      </text>
    </comment>
    <comment ref="H56" authorId="0" shapeId="0" xr:uid="{00000000-0006-0000-1400-00001D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H57" authorId="0" shapeId="0" xr:uid="{00000000-0006-0000-1400-00001E000000}">
      <text>
        <r>
          <rPr>
            <b/>
            <sz val="9"/>
            <color indexed="81"/>
            <rFont val="Tahoma"/>
            <family val="2"/>
          </rPr>
          <t>Patrick Elliott:</t>
        </r>
        <r>
          <rPr>
            <sz val="9"/>
            <color indexed="81"/>
            <rFont val="Tahoma"/>
            <family val="2"/>
          </rPr>
          <t xml:space="preserve">
This is equal to the total amount distributed to the LP divided by the LPs proportional equity share (this calculates the total amount that was available to distribute that month) then multiplied by the GPs proportional equity share.</t>
        </r>
      </text>
    </comment>
    <comment ref="H59" authorId="0" shapeId="0" xr:uid="{00000000-0006-0000-1400-00001F000000}">
      <text>
        <r>
          <rPr>
            <b/>
            <sz val="9"/>
            <color indexed="81"/>
            <rFont val="Tahoma"/>
            <family val="2"/>
          </rPr>
          <t>Patrick Elliott:</t>
        </r>
        <r>
          <rPr>
            <sz val="9"/>
            <color indexed="81"/>
            <rFont val="Tahoma"/>
            <family val="2"/>
          </rPr>
          <t xml:space="preserve">
This is the total amount distibuted to the LP + the total amount distributed to the GP.</t>
        </r>
      </text>
    </comment>
    <comment ref="H60" authorId="0" shapeId="0" xr:uid="{00000000-0006-0000-1400-000020000000}">
      <text>
        <r>
          <rPr>
            <b/>
            <sz val="9"/>
            <color indexed="81"/>
            <rFont val="Tahoma"/>
            <family val="2"/>
          </rPr>
          <t>Patrick Elliott:</t>
        </r>
        <r>
          <rPr>
            <sz val="9"/>
            <color indexed="81"/>
            <rFont val="Tahoma"/>
            <family val="2"/>
          </rPr>
          <t xml:space="preserve">
This is equal to the total positive cash flow remaining from the prior Hurdle minus the total amount that was distributed in the current Hurdle</t>
        </r>
      </text>
    </comment>
    <comment ref="H64" authorId="0" shapeId="0" xr:uid="{00000000-0006-0000-1400-000021000000}">
      <text>
        <r>
          <rPr>
            <b/>
            <sz val="9"/>
            <color indexed="81"/>
            <rFont val="Tahoma"/>
            <family val="2"/>
          </rPr>
          <t>Patrick Elliott:</t>
        </r>
        <r>
          <rPr>
            <sz val="9"/>
            <color indexed="81"/>
            <rFont val="Tahoma"/>
            <family val="2"/>
          </rPr>
          <t xml:space="preserve">
This is equal to the ending balance of the prior month (which in the case of month zero is just zero)</t>
        </r>
      </text>
    </comment>
    <comment ref="H65" authorId="0" shapeId="0" xr:uid="{00000000-0006-0000-1400-000022000000}">
      <text>
        <r>
          <rPr>
            <b/>
            <sz val="9"/>
            <color indexed="81"/>
            <rFont val="Tahoma"/>
            <family val="2"/>
          </rPr>
          <t>Patrick Elliott:</t>
        </r>
        <r>
          <rPr>
            <sz val="9"/>
            <color indexed="81"/>
            <rFont val="Tahoma"/>
            <family val="2"/>
          </rPr>
          <t xml:space="preserve">
This equals the beginning balance of the LPs capital account multiplied by the preferred return rate.
*IMPORTANT: The Hurdle 1 IRR input in this model (cell E14) assumes an annual compounded rate or return, therefore the rate must be divided by 12 to model a monthly compounded rate of return.</t>
        </r>
      </text>
    </comment>
    <comment ref="H66" authorId="0" shapeId="0" xr:uid="{00000000-0006-0000-1400-000023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H67" authorId="0" shapeId="0" xr:uid="{00000000-0006-0000-1400-000024000000}">
      <text>
        <r>
          <rPr>
            <b/>
            <sz val="9"/>
            <color indexed="81"/>
            <rFont val="Tahoma"/>
            <family val="2"/>
          </rPr>
          <t>Patrick Elliott:</t>
        </r>
        <r>
          <rPr>
            <sz val="9"/>
            <color indexed="81"/>
            <rFont val="Tahoma"/>
            <family val="2"/>
          </rPr>
          <t xml:space="preserve">
This is the equal to the prior distributions to the LP in the Preferred Return hurdle, Hurdle 1, and Hurdle 2</t>
        </r>
      </text>
    </comment>
    <comment ref="H68" authorId="0" shapeId="0" xr:uid="{00000000-0006-0000-1400-000025000000}">
      <text>
        <r>
          <rPr>
            <b/>
            <sz val="9"/>
            <color indexed="81"/>
            <rFont val="Tahoma"/>
            <family val="2"/>
          </rPr>
          <t>Patrick Elliott:</t>
        </r>
        <r>
          <rPr>
            <sz val="9"/>
            <color indexed="81"/>
            <rFont val="Tahoma"/>
            <family val="2"/>
          </rPr>
          <t xml:space="preserve">
This is equal to the minimum of either the total cash flow remaining multiplied by the LPs proportional equity share or the total amount required to distribute in order to pay off Hurdle 3.
That total amount required to pay off Hurdle 3 is equal to the beginning balance of the LP Capital Account + the LPs required return within this Hurdle MINUS prior distributions (if prior distributions are not subtracted out, it will be double counted in the model)</t>
        </r>
      </text>
    </comment>
    <comment ref="H69" authorId="0" shapeId="0" xr:uid="{00000000-0006-0000-1400-000026000000}">
      <text>
        <r>
          <rPr>
            <b/>
            <sz val="9"/>
            <color indexed="81"/>
            <rFont val="Tahoma"/>
            <family val="2"/>
          </rPr>
          <t>Patrick Elliott:</t>
        </r>
        <r>
          <rPr>
            <sz val="9"/>
            <color indexed="81"/>
            <rFont val="Tahoma"/>
            <family val="2"/>
          </rPr>
          <t xml:space="preserve">
This is equal to the beginning balance of the LP (how much money they initially put in that they will charge the interest rate on specific to which Hurdle the waterfall is in) + the Hurdle's specific return interest accrued that month (this will now be included as part of the balance and will continue to compound until sufficiently (fully) paid off) + any further contributions made by the LP (if the LP has to pay out of pocket any given month, this amount is now added to the original balance and interest will also begin accruing on it) MINUS any distributions made in prior Hurdles (in Hurdle 1's case, what was paid off in the Preferred Return segment so that it is not double counted) MINUS any amount of money that was available to the LP that month (thus paying down part of what is owed to the LP)</t>
        </r>
      </text>
    </comment>
    <comment ref="H70" authorId="0" shapeId="0" xr:uid="{00000000-0006-0000-1400-000027000000}">
      <text>
        <r>
          <rPr>
            <b/>
            <sz val="9"/>
            <color indexed="81"/>
            <rFont val="Tahoma"/>
            <family val="2"/>
          </rPr>
          <t>Patrick Elliott:</t>
        </r>
        <r>
          <rPr>
            <sz val="9"/>
            <color indexed="81"/>
            <rFont val="Tahoma"/>
            <family val="2"/>
          </rPr>
          <t xml:space="preserve">
This is equal to the net total between the total contributions made by the LP (negative outflow by the LP since they're putting down money), the total amount distributed to the LP in prior hurdle (postive inflow of cash to the LP when they are receiving money, the prior are included because we also want to inlcude those in the IRR calculation. This will keep the IRR calculation "up to speed" since the IRR Hurdles don't restart at 0% once one is achieved, it continues being calculated onward from the range between the level that was just achieved and anything up to and between the next Hurdle), and the total amount distributed to the LP in this current Hurdle
</t>
        </r>
      </text>
    </comment>
    <comment ref="H74" authorId="0" shapeId="0" xr:uid="{00000000-0006-0000-1400-000028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H75" authorId="0" shapeId="0" xr:uid="{00000000-0006-0000-1400-000029000000}">
      <text>
        <r>
          <rPr>
            <b/>
            <sz val="9"/>
            <color indexed="81"/>
            <rFont val="Tahoma"/>
            <family val="2"/>
          </rPr>
          <t>Patrick Elliott:</t>
        </r>
        <r>
          <rPr>
            <sz val="9"/>
            <color indexed="81"/>
            <rFont val="Tahoma"/>
            <family val="2"/>
          </rPr>
          <t xml:space="preserve">
This is equal to the total amount distributed to the LP divided by the LPs proportional equity share (this calculates the total amount that was available to distribute that month) then multiplied by the GPs proportional equity share.</t>
        </r>
      </text>
    </comment>
    <comment ref="H77" authorId="0" shapeId="0" xr:uid="{00000000-0006-0000-1400-00002A000000}">
      <text>
        <r>
          <rPr>
            <b/>
            <sz val="9"/>
            <color indexed="81"/>
            <rFont val="Tahoma"/>
            <family val="2"/>
          </rPr>
          <t>Patrick Elliott:</t>
        </r>
        <r>
          <rPr>
            <sz val="9"/>
            <color indexed="81"/>
            <rFont val="Tahoma"/>
            <family val="2"/>
          </rPr>
          <t xml:space="preserve">
This is the total amount distibuted to the LP + the total amount distributed to the GP.</t>
        </r>
      </text>
    </comment>
    <comment ref="H78" authorId="0" shapeId="0" xr:uid="{00000000-0006-0000-1400-00002B000000}">
      <text>
        <r>
          <rPr>
            <b/>
            <sz val="9"/>
            <color indexed="81"/>
            <rFont val="Tahoma"/>
            <family val="2"/>
          </rPr>
          <t>Patrick Elliott:</t>
        </r>
        <r>
          <rPr>
            <sz val="9"/>
            <color indexed="81"/>
            <rFont val="Tahoma"/>
            <family val="2"/>
          </rPr>
          <t xml:space="preserve">
This is equal to the total positive cash flow remaining from the prior Hurdle minus the total amount that was distributed in the current Hurdle</t>
        </r>
      </text>
    </comment>
    <comment ref="H82" authorId="0" shapeId="0" xr:uid="{00000000-0006-0000-1400-00002C000000}">
      <text>
        <r>
          <rPr>
            <b/>
            <sz val="9"/>
            <color indexed="81"/>
            <rFont val="Tahoma"/>
            <family val="2"/>
          </rPr>
          <t>Patrick Elliott:</t>
        </r>
        <r>
          <rPr>
            <sz val="9"/>
            <color indexed="81"/>
            <rFont val="Tahoma"/>
            <family val="2"/>
          </rPr>
          <t xml:space="preserve">
This is equal to the ending balance of the prior month (which in the case of month zero is just zero)</t>
        </r>
      </text>
    </comment>
    <comment ref="H83" authorId="0" shapeId="0" xr:uid="{00000000-0006-0000-1400-00002D000000}">
      <text>
        <r>
          <rPr>
            <b/>
            <sz val="9"/>
            <color indexed="81"/>
            <rFont val="Tahoma"/>
            <family val="2"/>
          </rPr>
          <t>Patrick Elliott:</t>
        </r>
        <r>
          <rPr>
            <sz val="9"/>
            <color indexed="81"/>
            <rFont val="Tahoma"/>
            <family val="2"/>
          </rPr>
          <t xml:space="preserve">
This equals the beginning balance of the LPs capital account multiplied by the preferred return rate.
*IMPORTANT: The Hurdle 1 IRR input in this model (cell E14) assumes an annual compounded rate or return, therefore the rate must be divided by 12 to model a monthly compounded rate of return.</t>
        </r>
      </text>
    </comment>
    <comment ref="H84" authorId="0" shapeId="0" xr:uid="{00000000-0006-0000-1400-00002E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H85" authorId="0" shapeId="0" xr:uid="{00000000-0006-0000-1400-00002F000000}">
      <text>
        <r>
          <rPr>
            <b/>
            <sz val="9"/>
            <color indexed="81"/>
            <rFont val="Tahoma"/>
            <family val="2"/>
          </rPr>
          <t>Patrick Elliott:</t>
        </r>
        <r>
          <rPr>
            <sz val="9"/>
            <color indexed="81"/>
            <rFont val="Tahoma"/>
            <family val="2"/>
          </rPr>
          <t xml:space="preserve">
This is the equal to the prior distributions to the LP in the Preferred Return hurdle, Hurdle 1, and Hurdle 2</t>
        </r>
      </text>
    </comment>
    <comment ref="H86" authorId="0" shapeId="0" xr:uid="{00000000-0006-0000-1400-000030000000}">
      <text>
        <r>
          <rPr>
            <b/>
            <sz val="9"/>
            <color indexed="81"/>
            <rFont val="Tahoma"/>
            <family val="2"/>
          </rPr>
          <t>Patrick Elliott:</t>
        </r>
        <r>
          <rPr>
            <sz val="9"/>
            <color indexed="81"/>
            <rFont val="Tahoma"/>
            <family val="2"/>
          </rPr>
          <t xml:space="preserve">
This is equal to the minimum of either the total cash flow remaining multiplied by the LPs proportional equity share or the total amount required to distribute in order to pay off Hurdle 3.
That total amount required to pay off Hurdle 3 is equal to the beginning balance of the LP Capital Account + the LPs required return within this Hurdle MINUS prior distributions (if prior distributions are not subtracted out, it will be double counted in the model)</t>
        </r>
      </text>
    </comment>
    <comment ref="H87" authorId="0" shapeId="0" xr:uid="{00000000-0006-0000-1400-000031000000}">
      <text>
        <r>
          <rPr>
            <b/>
            <sz val="9"/>
            <color indexed="81"/>
            <rFont val="Tahoma"/>
            <family val="2"/>
          </rPr>
          <t>Patrick Elliott:</t>
        </r>
        <r>
          <rPr>
            <sz val="9"/>
            <color indexed="81"/>
            <rFont val="Tahoma"/>
            <family val="2"/>
          </rPr>
          <t xml:space="preserve">
This is equal to the beginning balance of the LP (how much money they initially put in that they will charge the interest rate on specific to which Hurdle the waterfall is in) + the Hurdle's specific return interest accrued that month (this will now be included as part of the balance and will continue to compound until sufficiently (fully) paid off) + any further contributions made by the LP (if the LP has to pay out of pocket any given month, this amount is now added to the original balance and interest will also begin accruing on it) MINUS any distributions made in prior Hurdles (in Hurdle 1's case, what was paid off in the Preferred Return segment so that it is not double counted) MINUS any amount of money that was available to the LP that month (thus paying down part of what is owed to the LP)</t>
        </r>
      </text>
    </comment>
    <comment ref="H88" authorId="0" shapeId="0" xr:uid="{00000000-0006-0000-1400-000032000000}">
      <text>
        <r>
          <rPr>
            <b/>
            <sz val="9"/>
            <color indexed="81"/>
            <rFont val="Tahoma"/>
            <family val="2"/>
          </rPr>
          <t>Patrick Elliott:</t>
        </r>
        <r>
          <rPr>
            <sz val="9"/>
            <color indexed="81"/>
            <rFont val="Tahoma"/>
            <family val="2"/>
          </rPr>
          <t xml:space="preserve">
This is equal to the net total between the total contributions made by the LP (negative outflow by the LP since they're putting down money), the total amount distributed to the LP in prior hurdle (postive inflow of cash to the LP when they are receiving money, the prior are included because we also want to inlcude those in the IRR calculation. This will keep the IRR calculation "up to speed" since the IRR Hurdles don't restart at 0% once one is achieved, it continues being calculated onward from the range between the level that was just achieved and anything up to and between the next Hurdle), and the total amount distributed to the LP in this current Hurdle
</t>
        </r>
      </text>
    </comment>
    <comment ref="H92" authorId="0" shapeId="0" xr:uid="{00000000-0006-0000-1400-000033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H93" authorId="0" shapeId="0" xr:uid="{00000000-0006-0000-1400-000034000000}">
      <text>
        <r>
          <rPr>
            <b/>
            <sz val="9"/>
            <color indexed="81"/>
            <rFont val="Tahoma"/>
            <family val="2"/>
          </rPr>
          <t>Patrick Elliott:</t>
        </r>
        <r>
          <rPr>
            <sz val="9"/>
            <color indexed="81"/>
            <rFont val="Tahoma"/>
            <family val="2"/>
          </rPr>
          <t xml:space="preserve">
This is equal to the total amount distributed to the LP divided by the LPs proportional equity share (this calculates the total amount that was available to distribute that month) then multiplied by the GPs proportional equity share.</t>
        </r>
      </text>
    </comment>
    <comment ref="H95" authorId="0" shapeId="0" xr:uid="{00000000-0006-0000-1400-000035000000}">
      <text>
        <r>
          <rPr>
            <b/>
            <sz val="9"/>
            <color indexed="81"/>
            <rFont val="Tahoma"/>
            <family val="2"/>
          </rPr>
          <t>Patrick Elliott:</t>
        </r>
        <r>
          <rPr>
            <sz val="9"/>
            <color indexed="81"/>
            <rFont val="Tahoma"/>
            <family val="2"/>
          </rPr>
          <t xml:space="preserve">
This is the total amount distibuted to the LP + the total amount distributed to the GP.</t>
        </r>
      </text>
    </comment>
    <comment ref="H96" authorId="0" shapeId="0" xr:uid="{00000000-0006-0000-1400-000036000000}">
      <text>
        <r>
          <rPr>
            <b/>
            <sz val="9"/>
            <color indexed="81"/>
            <rFont val="Tahoma"/>
            <family val="2"/>
          </rPr>
          <t>Patrick Elliott:</t>
        </r>
        <r>
          <rPr>
            <sz val="9"/>
            <color indexed="81"/>
            <rFont val="Tahoma"/>
            <family val="2"/>
          </rPr>
          <t xml:space="preserve">
This is equal to the total positive cash flow remaining from the prior Hurdle minus the total amount that was distributed in the current Hurdle</t>
        </r>
      </text>
    </comment>
    <comment ref="H100" authorId="0" shapeId="0" xr:uid="{00000000-0006-0000-1400-000037000000}">
      <text>
        <r>
          <rPr>
            <b/>
            <sz val="9"/>
            <color indexed="81"/>
            <rFont val="Tahoma"/>
            <family val="2"/>
          </rPr>
          <t>Patrick Elliott:</t>
        </r>
        <r>
          <rPr>
            <sz val="9"/>
            <color indexed="81"/>
            <rFont val="Tahoma"/>
            <family val="2"/>
          </rPr>
          <t xml:space="preserve">
This is equal to the ending balance of the prior month (which in the case of month zero is just zero)</t>
        </r>
      </text>
    </comment>
    <comment ref="H101" authorId="0" shapeId="0" xr:uid="{00000000-0006-0000-1400-000038000000}">
      <text>
        <r>
          <rPr>
            <b/>
            <sz val="9"/>
            <color indexed="81"/>
            <rFont val="Tahoma"/>
            <family val="2"/>
          </rPr>
          <t>Patrick Elliott:</t>
        </r>
        <r>
          <rPr>
            <sz val="9"/>
            <color indexed="81"/>
            <rFont val="Tahoma"/>
            <family val="2"/>
          </rPr>
          <t xml:space="preserve">
This equals the beginning balance of the LPs capital account multiplied by the preferred return rate.
*IMPORTANT: The Hurdle 1 IRR input in this model (cell E14) assumes an annual compounded rate or return, therefore the rate must be divided by 12 to model a monthly compounded rate of return.</t>
        </r>
      </text>
    </comment>
    <comment ref="H102" authorId="0" shapeId="0" xr:uid="{00000000-0006-0000-1400-000039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H103" authorId="0" shapeId="0" xr:uid="{00000000-0006-0000-1400-00003A000000}">
      <text>
        <r>
          <rPr>
            <b/>
            <sz val="9"/>
            <color indexed="81"/>
            <rFont val="Tahoma"/>
            <family val="2"/>
          </rPr>
          <t>Patrick Elliott:</t>
        </r>
        <r>
          <rPr>
            <sz val="9"/>
            <color indexed="81"/>
            <rFont val="Tahoma"/>
            <family val="2"/>
          </rPr>
          <t xml:space="preserve">
This is the equal to the prior distributions to the LP in the Preferred Return hurdle, Hurdle 1, and Hurdle 2</t>
        </r>
      </text>
    </comment>
    <comment ref="H104" authorId="0" shapeId="0" xr:uid="{00000000-0006-0000-1400-00003B000000}">
      <text>
        <r>
          <rPr>
            <b/>
            <sz val="9"/>
            <color indexed="81"/>
            <rFont val="Tahoma"/>
            <family val="2"/>
          </rPr>
          <t>Patrick Elliott:</t>
        </r>
        <r>
          <rPr>
            <sz val="9"/>
            <color indexed="81"/>
            <rFont val="Tahoma"/>
            <family val="2"/>
          </rPr>
          <t xml:space="preserve">
This is equal to the minimum of either the total cash flow remaining multiplied by the LPs proportional equity share or the total amount required to distribute in order to pay off Hurdle 3.
That total amount required to pay off Hurdle 3 is equal to the beginning balance of the LP Capital Account + the LPs required return within this Hurdle MINUS prior distributions (if prior distributions are not subtracted out, it will be double counted in the model)</t>
        </r>
      </text>
    </comment>
    <comment ref="H105" authorId="0" shapeId="0" xr:uid="{00000000-0006-0000-1400-00003C000000}">
      <text>
        <r>
          <rPr>
            <b/>
            <sz val="9"/>
            <color indexed="81"/>
            <rFont val="Tahoma"/>
            <family val="2"/>
          </rPr>
          <t>Patrick Elliott:</t>
        </r>
        <r>
          <rPr>
            <sz val="9"/>
            <color indexed="81"/>
            <rFont val="Tahoma"/>
            <family val="2"/>
          </rPr>
          <t xml:space="preserve">
This is equal to the beginning balance of the LP (how much money they initially put in that they will charge the interest rate on specific to which Hurdle the waterfall is in) + the Hurdle's specific return interest accrued that month (this will now be included as part of the balance and will continue to compound until sufficiently (fully) paid off) + any further contributions made by the LP (if the LP has to pay out of pocket any given month, this amount is now added to the original balance and interest will also begin accruing on it) MINUS any distributions made in prior Hurdles (in Hurdle 1's case, what was paid off in the Preferred Return segment so that it is not double counted) MINUS any amount of money that was available to the LP that month (thus paying down part of what is owed to the LP)</t>
        </r>
      </text>
    </comment>
    <comment ref="H106" authorId="0" shapeId="0" xr:uid="{00000000-0006-0000-1400-00003D000000}">
      <text>
        <r>
          <rPr>
            <b/>
            <sz val="9"/>
            <color indexed="81"/>
            <rFont val="Tahoma"/>
            <family val="2"/>
          </rPr>
          <t>Patrick Elliott:</t>
        </r>
        <r>
          <rPr>
            <sz val="9"/>
            <color indexed="81"/>
            <rFont val="Tahoma"/>
            <family val="2"/>
          </rPr>
          <t xml:space="preserve">
This is equal to the net total between the total contributions made by the LP (negative outflow by the LP since they're putting down money), the total amount distributed to the LP in prior hurdle (postive inflow of cash to the LP when they are receiving money, the prior are included because we also want to inlcude those in the IRR calculation. This will keep the IRR calculation "up to speed" since the IRR Hurdles don't restart at 0% once one is achieved, it continues being calculated onward from the range between the level that was just achieved and anything up to and between the next Hurdle), and the total amount distributed to the LP in this current Hurdle
</t>
        </r>
      </text>
    </comment>
    <comment ref="H110" authorId="0" shapeId="0" xr:uid="{00000000-0006-0000-1400-00003E000000}">
      <text>
        <r>
          <rPr>
            <b/>
            <sz val="9"/>
            <color indexed="81"/>
            <rFont val="Tahoma"/>
            <family val="2"/>
          </rPr>
          <t>Patrick Elliott:</t>
        </r>
        <r>
          <rPr>
            <sz val="9"/>
            <color indexed="81"/>
            <rFont val="Tahoma"/>
            <family val="2"/>
          </rPr>
          <t xml:space="preserve">
This is equal to the same amount in the preferred return calculations done above since this will not change by hurdle (it is just the one payment in a month, if any.</t>
        </r>
      </text>
    </comment>
    <comment ref="H111" authorId="0" shapeId="0" xr:uid="{00000000-0006-0000-1400-00003F000000}">
      <text>
        <r>
          <rPr>
            <b/>
            <sz val="9"/>
            <color indexed="81"/>
            <rFont val="Tahoma"/>
            <family val="2"/>
          </rPr>
          <t>Patrick Elliott:</t>
        </r>
        <r>
          <rPr>
            <sz val="9"/>
            <color indexed="81"/>
            <rFont val="Tahoma"/>
            <family val="2"/>
          </rPr>
          <t xml:space="preserve">
This is equal to the total amount distributed to the LP divided by the LPs proportional equity share (this calculates the total amount that was available to distribute that month) then multiplied by the GPs proportional equity share.</t>
        </r>
      </text>
    </comment>
    <comment ref="H113" authorId="0" shapeId="0" xr:uid="{00000000-0006-0000-1400-000040000000}">
      <text>
        <r>
          <rPr>
            <b/>
            <sz val="9"/>
            <color indexed="81"/>
            <rFont val="Tahoma"/>
            <family val="2"/>
          </rPr>
          <t>Patrick Elliott:</t>
        </r>
        <r>
          <rPr>
            <sz val="9"/>
            <color indexed="81"/>
            <rFont val="Tahoma"/>
            <family val="2"/>
          </rPr>
          <t xml:space="preserve">
This is the total amount distibuted to the LP + the total amount distributed to the GP.</t>
        </r>
      </text>
    </comment>
    <comment ref="H114" authorId="0" shapeId="0" xr:uid="{00000000-0006-0000-1400-000041000000}">
      <text>
        <r>
          <rPr>
            <b/>
            <sz val="9"/>
            <color indexed="81"/>
            <rFont val="Tahoma"/>
            <family val="2"/>
          </rPr>
          <t>Patrick Elliott:</t>
        </r>
        <r>
          <rPr>
            <sz val="9"/>
            <color indexed="81"/>
            <rFont val="Tahoma"/>
            <family val="2"/>
          </rPr>
          <t xml:space="preserve">
This is equal to the total positive cash flow remaining from the prior Hurdle minus the total amount that was distributed in the current Hurdle</t>
        </r>
      </text>
    </comment>
    <comment ref="H117" authorId="0" shapeId="0" xr:uid="{00000000-0006-0000-1400-000042000000}">
      <text>
        <r>
          <rPr>
            <b/>
            <sz val="9"/>
            <color indexed="81"/>
            <rFont val="Tahoma"/>
            <family val="2"/>
          </rPr>
          <t>Patrick Elliott:</t>
        </r>
        <r>
          <rPr>
            <sz val="9"/>
            <color indexed="81"/>
            <rFont val="Tahoma"/>
            <family val="2"/>
          </rPr>
          <t xml:space="preserve">
This is equal to the the total cash flow remaining after Hurdle 3 multiplied by the LPs final split</t>
        </r>
      </text>
    </comment>
    <comment ref="H118" authorId="0" shapeId="0" xr:uid="{00000000-0006-0000-1400-000043000000}">
      <text>
        <r>
          <rPr>
            <b/>
            <sz val="9"/>
            <color indexed="81"/>
            <rFont val="Tahoma"/>
            <family val="2"/>
          </rPr>
          <t>Patrick Elliott:</t>
        </r>
        <r>
          <rPr>
            <sz val="9"/>
            <color indexed="81"/>
            <rFont val="Tahoma"/>
            <family val="2"/>
          </rPr>
          <t xml:space="preserve">
This is equal to the the total cash flow remaining after Hurdle 3 multiplied by the GPs final split</t>
        </r>
      </text>
    </comment>
    <comment ref="H119" authorId="0" shapeId="0" xr:uid="{00000000-0006-0000-1400-000044000000}">
      <text>
        <r>
          <rPr>
            <b/>
            <sz val="9"/>
            <color indexed="81"/>
            <rFont val="Tahoma"/>
            <family val="2"/>
          </rPr>
          <t>Patrick Elliott:</t>
        </r>
        <r>
          <rPr>
            <sz val="9"/>
            <color indexed="81"/>
            <rFont val="Tahoma"/>
            <family val="2"/>
          </rPr>
          <t xml:space="preserve">
This is equal to the LP distributions during the final split plus the GP distributions during the final split.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<sst xmlns="http://schemas.openxmlformats.org/spreadsheetml/2006/main" count="3162" uniqueCount="1201">
  <si>
    <t>DEBT CHARTS</t>
  </si>
  <si>
    <t>EQUITY CHARTS</t>
  </si>
  <si>
    <t>Sources of Funds</t>
  </si>
  <si>
    <t>Investment Returns</t>
  </si>
  <si>
    <t xml:space="preserve">Debt </t>
  </si>
  <si>
    <t>Hold Period (Months)</t>
  </si>
  <si>
    <t>Loan Terms</t>
  </si>
  <si>
    <t>Preferred Equity</t>
  </si>
  <si>
    <t>Deal Level IRR</t>
  </si>
  <si>
    <t>Loan Amount:</t>
  </si>
  <si>
    <t>Equity</t>
  </si>
  <si>
    <t>Deal Level EM</t>
  </si>
  <si>
    <t>Fixed</t>
  </si>
  <si>
    <t>Loan to Cost:</t>
  </si>
  <si>
    <t>Total Sources</t>
  </si>
  <si>
    <t>Terminal Cap Rate</t>
  </si>
  <si>
    <t>Floating</t>
  </si>
  <si>
    <t>Term:</t>
  </si>
  <si>
    <t>3 years</t>
  </si>
  <si>
    <t>3 Year Average Cash-on-Cash</t>
  </si>
  <si>
    <t>Amortization Term:</t>
  </si>
  <si>
    <t>Interest Only</t>
  </si>
  <si>
    <t>Uses of Funds</t>
  </si>
  <si>
    <t>5 Year Average Cash-on-Cash</t>
  </si>
  <si>
    <t>Purchase Price</t>
  </si>
  <si>
    <t>Income Trend</t>
  </si>
  <si>
    <t>Capital Expenditures</t>
  </si>
  <si>
    <t>Expense Trend</t>
  </si>
  <si>
    <t>Total Debt:</t>
  </si>
  <si>
    <t>Closing Costs</t>
  </si>
  <si>
    <t>Initial Funding:</t>
  </si>
  <si>
    <t>Total Uses</t>
  </si>
  <si>
    <t>Underwriting Metrics</t>
  </si>
  <si>
    <t>Future Funding:</t>
  </si>
  <si>
    <t>Underwritten NRI</t>
  </si>
  <si>
    <t>Equity:</t>
  </si>
  <si>
    <t>Financing Summary</t>
  </si>
  <si>
    <t>Underwritten EGI</t>
  </si>
  <si>
    <t>Total:</t>
  </si>
  <si>
    <t>Loan Request</t>
  </si>
  <si>
    <t>Total Expenses</t>
  </si>
  <si>
    <t>Loan / Unit</t>
  </si>
  <si>
    <t>OpEx Ratio</t>
  </si>
  <si>
    <t>Loan Type</t>
  </si>
  <si>
    <t>Underwritten NOI</t>
  </si>
  <si>
    <t>Purchase Price:</t>
  </si>
  <si>
    <t>Loan-to-Cost</t>
  </si>
  <si>
    <t>Capital Expenditures:</t>
  </si>
  <si>
    <t>Rate</t>
  </si>
  <si>
    <t>Closing &amp; Financing Costs:</t>
  </si>
  <si>
    <t>Interest Only (Months)</t>
  </si>
  <si>
    <t>Amortization (Months)</t>
  </si>
  <si>
    <t>Property</t>
  </si>
  <si>
    <t>Map</t>
  </si>
  <si>
    <t>Address:</t>
  </si>
  <si>
    <t>Year Built:</t>
  </si>
  <si>
    <t>Year Renovated:</t>
  </si>
  <si>
    <t># of Units:</t>
  </si>
  <si>
    <t>Effective Rent:</t>
  </si>
  <si>
    <t>PSF:</t>
  </si>
  <si>
    <t>Occupancy:</t>
  </si>
  <si>
    <t>Green Probability:</t>
  </si>
  <si>
    <t>Water/Unit</t>
  </si>
  <si>
    <t>Electricity/Unit</t>
  </si>
  <si>
    <t>Affordability:</t>
  </si>
  <si>
    <t>Current Ownership</t>
  </si>
  <si>
    <t>Owner:</t>
  </si>
  <si>
    <t>Management Company:</t>
  </si>
  <si>
    <t>Last Sale Date:</t>
  </si>
  <si>
    <t>Lender:</t>
  </si>
  <si>
    <t>Rate:</t>
  </si>
  <si>
    <t>Maturity:</t>
  </si>
  <si>
    <t>Submarket:</t>
  </si>
  <si>
    <t>Vacancy:</t>
  </si>
  <si>
    <t>Average Rent:</t>
  </si>
  <si>
    <t>Rent Growth:</t>
  </si>
  <si>
    <t>Supply:</t>
  </si>
  <si>
    <t>Crime:</t>
  </si>
  <si>
    <t>Estimated Purchase Price:</t>
  </si>
  <si>
    <t>Per Unit</t>
  </si>
  <si>
    <t>Notes:</t>
  </si>
  <si>
    <t>Historical Occupancy Chart (Yardi)</t>
  </si>
  <si>
    <t>Photo</t>
  </si>
  <si>
    <t>Inputs and Assumptions</t>
  </si>
  <si>
    <t>Equity Splits</t>
  </si>
  <si>
    <t>Refinance</t>
  </si>
  <si>
    <t>NO</t>
  </si>
  <si>
    <t>Disposition</t>
  </si>
  <si>
    <t>Agency</t>
  </si>
  <si>
    <t>YES</t>
  </si>
  <si>
    <t>PREFERRED RETURN</t>
  </si>
  <si>
    <t>Name</t>
  </si>
  <si>
    <t>The Winchester</t>
  </si>
  <si>
    <t>GP Equity</t>
  </si>
  <si>
    <t>Refinance Date (Month)</t>
  </si>
  <si>
    <t>Hold Period (Month)</t>
  </si>
  <si>
    <t>Bridge</t>
  </si>
  <si>
    <t>PURE PROMOTE</t>
  </si>
  <si>
    <t>Address</t>
  </si>
  <si>
    <t>4450 Friends Xing NE, Huntsville, AL</t>
  </si>
  <si>
    <t>LP Equity</t>
  </si>
  <si>
    <t>NOI at Refinance</t>
  </si>
  <si>
    <t>Tax Reassessed NOI at Sale</t>
  </si>
  <si>
    <t>Assumption</t>
  </si>
  <si>
    <t>Year Built</t>
  </si>
  <si>
    <t>Total Equity</t>
  </si>
  <si>
    <t>Cap Rate</t>
  </si>
  <si>
    <t>Value at Sale</t>
  </si>
  <si>
    <t>Rentable SF</t>
  </si>
  <si>
    <t>Value at Refinance</t>
  </si>
  <si>
    <t>Tax Reassessed Cap Rate</t>
  </si>
  <si>
    <t>Units</t>
  </si>
  <si>
    <t>Senior Loan</t>
  </si>
  <si>
    <t>Loan-to-Value</t>
  </si>
  <si>
    <t>Selling Costs</t>
  </si>
  <si>
    <t>Take Out Basis</t>
  </si>
  <si>
    <t>Debt Type</t>
  </si>
  <si>
    <t>DSCR Constraint</t>
  </si>
  <si>
    <t>Existing Senior Loan UPB</t>
  </si>
  <si>
    <t>Going-In Cap Rate</t>
  </si>
  <si>
    <t>Max Loan Amount</t>
  </si>
  <si>
    <t>Existing Supplemental UPB</t>
  </si>
  <si>
    <t>Asset Management Fee</t>
  </si>
  <si>
    <t>% of EGI</t>
  </si>
  <si>
    <t>Actual Loan Amount</t>
  </si>
  <si>
    <t>Prepayment Penalty</t>
  </si>
  <si>
    <t>Renovation Period (Months)</t>
  </si>
  <si>
    <t>Actual Loan-to-Value</t>
  </si>
  <si>
    <t>Existing Unpaid Pref Accrual Balance</t>
  </si>
  <si>
    <t>Acquisition Date</t>
  </si>
  <si>
    <t>Going-In Debt Yield</t>
  </si>
  <si>
    <t>Interest Rate</t>
  </si>
  <si>
    <t>Preferred Equity Profit Participation Kicker</t>
  </si>
  <si>
    <t>Year 3 Debt Yield</t>
  </si>
  <si>
    <t>Final Sale Proceeds</t>
  </si>
  <si>
    <t>Acquisition Budget</t>
  </si>
  <si>
    <t>Senior Loan UPB</t>
  </si>
  <si>
    <t>Acquisition Fee</t>
  </si>
  <si>
    <t>Assumed Principal</t>
  </si>
  <si>
    <t>Hold Period</t>
  </si>
  <si>
    <t>Debt Placement Fee (NM)</t>
  </si>
  <si>
    <t>Assumed LTV</t>
  </si>
  <si>
    <t>Refinance Closing Costs</t>
  </si>
  <si>
    <t>Watefall Structure</t>
  </si>
  <si>
    <t>Debt Origination Fee (Lender)</t>
  </si>
  <si>
    <t>Assumed IO (Months)</t>
  </si>
  <si>
    <t>Net Refinance Proceeds</t>
  </si>
  <si>
    <t>Equity Advisory Fee (NM)</t>
  </si>
  <si>
    <t>Assumed Amo (Months)</t>
  </si>
  <si>
    <t>New Equity Basis</t>
  </si>
  <si>
    <t>Deal Level Multiple</t>
  </si>
  <si>
    <t>Closing Costs &amp; Legal</t>
  </si>
  <si>
    <t>Assumed Rate</t>
  </si>
  <si>
    <t>LP IRR</t>
  </si>
  <si>
    <t>Rate Buydown</t>
  </si>
  <si>
    <t>LP EM</t>
  </si>
  <si>
    <t>Legal (sponsor + equity + lender)</t>
  </si>
  <si>
    <t>Preferred Equity Amount</t>
  </si>
  <si>
    <t>GP IRR</t>
  </si>
  <si>
    <t>Other Closing Costs (Title, Survey, Zoning, Termite, Etc.)</t>
  </si>
  <si>
    <t>Capital Stack % of Value</t>
  </si>
  <si>
    <t>GP EM</t>
  </si>
  <si>
    <t>Third Parties Contingency</t>
  </si>
  <si>
    <t>Capital Stack % of Cost</t>
  </si>
  <si>
    <t>3 Year Avg Cash-on-Cash</t>
  </si>
  <si>
    <t>Closing Costs (Insurance, First Month Interest Payment, Tax Escrow)</t>
  </si>
  <si>
    <t xml:space="preserve">Initial Going-In Basis </t>
  </si>
  <si>
    <t>4 Year Avg Cash-on-Cash</t>
  </si>
  <si>
    <t>Estimated Insurance Premium at Close</t>
  </si>
  <si>
    <t xml:space="preserve">Initial Going-In Basis / Unit </t>
  </si>
  <si>
    <t>5 Year Avg Cash-on-Cash</t>
  </si>
  <si>
    <t>Estimated Insurance Escrows</t>
  </si>
  <si>
    <t>Initial Going-In Debt Yield</t>
  </si>
  <si>
    <t>Estimated Tax Escrows</t>
  </si>
  <si>
    <t>Last Dollar Fully Funded  Stabilized Basis</t>
  </si>
  <si>
    <t>Last Dollar Fully Funded Stabilized Basis / Unit</t>
  </si>
  <si>
    <t>Stabilized Debt Yield</t>
  </si>
  <si>
    <t>Contingency</t>
  </si>
  <si>
    <t>Stabilized DSCR</t>
  </si>
  <si>
    <t>Lender Repair Reserves</t>
  </si>
  <si>
    <t>Current Rate</t>
  </si>
  <si>
    <t>Interior CapX</t>
  </si>
  <si>
    <t>Accrual Rate</t>
  </si>
  <si>
    <t>Accrue</t>
  </si>
  <si>
    <t>Deferred Maintenance</t>
  </si>
  <si>
    <t xml:space="preserve">Supplemental </t>
  </si>
  <si>
    <t>Preferred Return All-In Rate</t>
  </si>
  <si>
    <t>Construction Contingency</t>
  </si>
  <si>
    <t>Supplmental Date (Month)</t>
  </si>
  <si>
    <t>Profit Participation Kicker</t>
  </si>
  <si>
    <t>Construction Management Fee</t>
  </si>
  <si>
    <t>Supplemental Proceeds</t>
  </si>
  <si>
    <t>Total Capital Expenditures</t>
  </si>
  <si>
    <t>Cost to Close (net CapX)</t>
  </si>
  <si>
    <t>Total Project Cost</t>
  </si>
  <si>
    <t>Amortization Table</t>
  </si>
  <si>
    <t>Initial Funding</t>
  </si>
  <si>
    <t>Future Funding</t>
  </si>
  <si>
    <t>Loan Amount</t>
  </si>
  <si>
    <t>Interest Rate / Spread</t>
  </si>
  <si>
    <t>Monthly Payment</t>
  </si>
  <si>
    <t>IO Monthly Payment</t>
  </si>
  <si>
    <t>Year</t>
  </si>
  <si>
    <t>Month</t>
  </si>
  <si>
    <t>Start Balance</t>
  </si>
  <si>
    <t>Interest Pmt</t>
  </si>
  <si>
    <t>Principal Pmt</t>
  </si>
  <si>
    <t>Additional Proceeds</t>
  </si>
  <si>
    <t>Payment</t>
  </si>
  <si>
    <t>End Balance</t>
  </si>
  <si>
    <t>Estimated Value</t>
  </si>
  <si>
    <t>Additional</t>
  </si>
  <si>
    <t>Supplemental Amount</t>
  </si>
  <si>
    <t>Chatham Link</t>
  </si>
  <si>
    <t>https://www.chathamfinancial.com/technology/us-forward-curves</t>
  </si>
  <si>
    <t>PASTE</t>
  </si>
  <si>
    <t>Date</t>
  </si>
  <si>
    <t>Actual Modeled Rate</t>
  </si>
  <si>
    <t>1 Month Term SOFR Forward Curve</t>
  </si>
  <si>
    <t>RENT ROLL DATE</t>
  </si>
  <si>
    <t>Rent Roll Analysis</t>
  </si>
  <si>
    <t>Occupancy Status</t>
  </si>
  <si>
    <t>Unit #</t>
  </si>
  <si>
    <t>Unit Type</t>
  </si>
  <si>
    <t>Contract Rent</t>
  </si>
  <si>
    <t>SQFT</t>
  </si>
  <si>
    <t>Move In</t>
  </si>
  <si>
    <t>Lease Expiration</t>
  </si>
  <si>
    <t>Beds</t>
  </si>
  <si>
    <t>Total Units</t>
  </si>
  <si>
    <t>90-Day Move-Ins</t>
  </si>
  <si>
    <t>60-Day Move-Ins</t>
  </si>
  <si>
    <t>30-Day Move-Ins</t>
  </si>
  <si>
    <t>Current Rents</t>
  </si>
  <si>
    <t>90-Day Rents</t>
  </si>
  <si>
    <t>60-Day Rents</t>
  </si>
  <si>
    <t>30-Day Rents</t>
  </si>
  <si>
    <t>Occupied</t>
  </si>
  <si>
    <t>1-111</t>
  </si>
  <si>
    <t>B1</t>
  </si>
  <si>
    <t>Totals/Avg</t>
  </si>
  <si>
    <t>1-112</t>
  </si>
  <si>
    <t>A2</t>
  </si>
  <si>
    <t>1-113</t>
  </si>
  <si>
    <t>B2</t>
  </si>
  <si>
    <t>1-114</t>
  </si>
  <si>
    <t>1-115</t>
  </si>
  <si>
    <t>1-116</t>
  </si>
  <si>
    <t>1-117</t>
  </si>
  <si>
    <t>1-118</t>
  </si>
  <si>
    <t>1-121</t>
  </si>
  <si>
    <t>1-122</t>
  </si>
  <si>
    <t>1-123</t>
  </si>
  <si>
    <t>1-124</t>
  </si>
  <si>
    <t>1-125</t>
  </si>
  <si>
    <t>1-126</t>
  </si>
  <si>
    <t>1-127</t>
  </si>
  <si>
    <t>1-128</t>
  </si>
  <si>
    <t>1-131</t>
  </si>
  <si>
    <t>1-132</t>
  </si>
  <si>
    <t>1-133</t>
  </si>
  <si>
    <t>1-134</t>
  </si>
  <si>
    <t>1-135</t>
  </si>
  <si>
    <t>1-136</t>
  </si>
  <si>
    <t>1-137</t>
  </si>
  <si>
    <t>1-138</t>
  </si>
  <si>
    <t>2-211</t>
  </si>
  <si>
    <t>Vacant</t>
  </si>
  <si>
    <t>2-212</t>
  </si>
  <si>
    <t>2-213</t>
  </si>
  <si>
    <t>2-214</t>
  </si>
  <si>
    <t>2-215</t>
  </si>
  <si>
    <t>2-216</t>
  </si>
  <si>
    <t>2-217</t>
  </si>
  <si>
    <t>2-218</t>
  </si>
  <si>
    <t>2-221</t>
  </si>
  <si>
    <t>2-222</t>
  </si>
  <si>
    <t>2-223</t>
  </si>
  <si>
    <t>2-224</t>
  </si>
  <si>
    <t>2-225</t>
  </si>
  <si>
    <t>2-226</t>
  </si>
  <si>
    <t>2-227</t>
  </si>
  <si>
    <t>2-228</t>
  </si>
  <si>
    <t>2-231</t>
  </si>
  <si>
    <t>2-232</t>
  </si>
  <si>
    <t>2-233</t>
  </si>
  <si>
    <t>2-234</t>
  </si>
  <si>
    <t>2-235</t>
  </si>
  <si>
    <t>2-236</t>
  </si>
  <si>
    <t>2-237</t>
  </si>
  <si>
    <t>2-238</t>
  </si>
  <si>
    <t>3-311</t>
  </si>
  <si>
    <t>3-312</t>
  </si>
  <si>
    <t>3-313</t>
  </si>
  <si>
    <t>3-314</t>
  </si>
  <si>
    <t>3-315</t>
  </si>
  <si>
    <t>3-316</t>
  </si>
  <si>
    <t>3-317</t>
  </si>
  <si>
    <t>3-318</t>
  </si>
  <si>
    <t>3-321</t>
  </si>
  <si>
    <t>3-322</t>
  </si>
  <si>
    <t>3-323</t>
  </si>
  <si>
    <t>3-324</t>
  </si>
  <si>
    <t>3-325</t>
  </si>
  <si>
    <t>3-326</t>
  </si>
  <si>
    <t>3-327</t>
  </si>
  <si>
    <t>3-328</t>
  </si>
  <si>
    <t>3-331</t>
  </si>
  <si>
    <t>3-332</t>
  </si>
  <si>
    <t>3-333</t>
  </si>
  <si>
    <t>3-334</t>
  </si>
  <si>
    <t>3-335</t>
  </si>
  <si>
    <t>3-336</t>
  </si>
  <si>
    <t>3-337</t>
  </si>
  <si>
    <t>3-338</t>
  </si>
  <si>
    <t>4-411</t>
  </si>
  <si>
    <t>C1</t>
  </si>
  <si>
    <t>4-412</t>
  </si>
  <si>
    <t>A1</t>
  </si>
  <si>
    <t>4-413</t>
  </si>
  <si>
    <t>Market rent. No rent noted on the RR.</t>
  </si>
  <si>
    <t>4-414</t>
  </si>
  <si>
    <t>MTM Rent</t>
  </si>
  <si>
    <t>4-415</t>
  </si>
  <si>
    <t>4-416</t>
  </si>
  <si>
    <t>4-417</t>
  </si>
  <si>
    <t>4-418</t>
  </si>
  <si>
    <t>4-421</t>
  </si>
  <si>
    <t>4-422</t>
  </si>
  <si>
    <t>4-423</t>
  </si>
  <si>
    <t>4-424</t>
  </si>
  <si>
    <t>4-425</t>
  </si>
  <si>
    <t>4-426</t>
  </si>
  <si>
    <t>4-427</t>
  </si>
  <si>
    <t>4-428</t>
  </si>
  <si>
    <t>4-431</t>
  </si>
  <si>
    <t>4-432</t>
  </si>
  <si>
    <t>4-433</t>
  </si>
  <si>
    <t>4-434</t>
  </si>
  <si>
    <t>4-435</t>
  </si>
  <si>
    <t>4-436</t>
  </si>
  <si>
    <t>4-437</t>
  </si>
  <si>
    <t>4-438</t>
  </si>
  <si>
    <t>5-511</t>
  </si>
  <si>
    <t>5-512</t>
  </si>
  <si>
    <t>5-514</t>
  </si>
  <si>
    <t>5-515</t>
  </si>
  <si>
    <t>5-516</t>
  </si>
  <si>
    <t>5-517</t>
  </si>
  <si>
    <t>5-518</t>
  </si>
  <si>
    <t>5-521</t>
  </si>
  <si>
    <t>5-522</t>
  </si>
  <si>
    <t>5-523</t>
  </si>
  <si>
    <t>5-524</t>
  </si>
  <si>
    <t>5-525</t>
  </si>
  <si>
    <t>5-526</t>
  </si>
  <si>
    <t>5-527</t>
  </si>
  <si>
    <t>5-528</t>
  </si>
  <si>
    <t>5-531</t>
  </si>
  <si>
    <t>5-532</t>
  </si>
  <si>
    <t>5-533</t>
  </si>
  <si>
    <t>5-534</t>
  </si>
  <si>
    <t>5-535</t>
  </si>
  <si>
    <t>5-536</t>
  </si>
  <si>
    <t>5-537</t>
  </si>
  <si>
    <t>5-538</t>
  </si>
  <si>
    <t>6-611</t>
  </si>
  <si>
    <t>6-612</t>
  </si>
  <si>
    <t>6-613</t>
  </si>
  <si>
    <t>6-614</t>
  </si>
  <si>
    <t>6-615</t>
  </si>
  <si>
    <t>6-616</t>
  </si>
  <si>
    <t>6-617</t>
  </si>
  <si>
    <t>6-618</t>
  </si>
  <si>
    <t>6-621</t>
  </si>
  <si>
    <t>6-622</t>
  </si>
  <si>
    <t>6-623</t>
  </si>
  <si>
    <t>6-624</t>
  </si>
  <si>
    <t>6-625</t>
  </si>
  <si>
    <t>6-626</t>
  </si>
  <si>
    <t>6-627</t>
  </si>
  <si>
    <t>6-628</t>
  </si>
  <si>
    <t>6-631</t>
  </si>
  <si>
    <t>6-632</t>
  </si>
  <si>
    <t>6-633</t>
  </si>
  <si>
    <t>6-634</t>
  </si>
  <si>
    <t>6-635</t>
  </si>
  <si>
    <t>6-636</t>
  </si>
  <si>
    <t>6-637</t>
  </si>
  <si>
    <t>6-638</t>
  </si>
  <si>
    <t>7-711</t>
  </si>
  <si>
    <t>7-712</t>
  </si>
  <si>
    <t>7-713</t>
  </si>
  <si>
    <t>7-714</t>
  </si>
  <si>
    <t>7-715</t>
  </si>
  <si>
    <t>7-716</t>
  </si>
  <si>
    <t>7-717</t>
  </si>
  <si>
    <t>7-718</t>
  </si>
  <si>
    <t>7-721</t>
  </si>
  <si>
    <t>7-722</t>
  </si>
  <si>
    <t>7-723</t>
  </si>
  <si>
    <t>7-724</t>
  </si>
  <si>
    <t>7-725</t>
  </si>
  <si>
    <t>7-726</t>
  </si>
  <si>
    <t>7-727</t>
  </si>
  <si>
    <t>7-728</t>
  </si>
  <si>
    <t>7-731</t>
  </si>
  <si>
    <t>7-732</t>
  </si>
  <si>
    <t>7-733</t>
  </si>
  <si>
    <t>7-734</t>
  </si>
  <si>
    <t>7-735</t>
  </si>
  <si>
    <t>7-736</t>
  </si>
  <si>
    <t>7-737</t>
  </si>
  <si>
    <t>7-738</t>
  </si>
  <si>
    <t>8-811</t>
  </si>
  <si>
    <t>8-812</t>
  </si>
  <si>
    <t>8-813</t>
  </si>
  <si>
    <t>8-814</t>
  </si>
  <si>
    <t>8-815</t>
  </si>
  <si>
    <t>8-816</t>
  </si>
  <si>
    <t>8-817</t>
  </si>
  <si>
    <t>8-818</t>
  </si>
  <si>
    <t>8-821</t>
  </si>
  <si>
    <t>8-822</t>
  </si>
  <si>
    <t>8-823</t>
  </si>
  <si>
    <t>8-824</t>
  </si>
  <si>
    <t>8-825</t>
  </si>
  <si>
    <t>8-826</t>
  </si>
  <si>
    <t>8-827</t>
  </si>
  <si>
    <t>8-828</t>
  </si>
  <si>
    <t>8-831</t>
  </si>
  <si>
    <t>8-832</t>
  </si>
  <si>
    <t>8-833</t>
  </si>
  <si>
    <t>8-834</t>
  </si>
  <si>
    <t>8-835</t>
  </si>
  <si>
    <t>8-836</t>
  </si>
  <si>
    <t>8-837</t>
  </si>
  <si>
    <t>8-838</t>
  </si>
  <si>
    <t>9-911</t>
  </si>
  <si>
    <t>9-912</t>
  </si>
  <si>
    <t>9-913</t>
  </si>
  <si>
    <t>9-914</t>
  </si>
  <si>
    <t>9-915</t>
  </si>
  <si>
    <t>9-916</t>
  </si>
  <si>
    <t>9-917</t>
  </si>
  <si>
    <t>9-918</t>
  </si>
  <si>
    <t>9-921</t>
  </si>
  <si>
    <t>9-922</t>
  </si>
  <si>
    <t>9-923</t>
  </si>
  <si>
    <t>9-924</t>
  </si>
  <si>
    <t>9-925</t>
  </si>
  <si>
    <t>9-926</t>
  </si>
  <si>
    <t>9-927</t>
  </si>
  <si>
    <t>9-928</t>
  </si>
  <si>
    <t>9-931</t>
  </si>
  <si>
    <t>9-932</t>
  </si>
  <si>
    <t>9-933</t>
  </si>
  <si>
    <t>9-934</t>
  </si>
  <si>
    <t>9-935</t>
  </si>
  <si>
    <t>9-936</t>
  </si>
  <si>
    <t>9-937</t>
  </si>
  <si>
    <t>9-938</t>
  </si>
  <si>
    <t>10-1011</t>
  </si>
  <si>
    <t>10-1012</t>
  </si>
  <si>
    <t>10-1013</t>
  </si>
  <si>
    <t>10-1014</t>
  </si>
  <si>
    <t>10-1015</t>
  </si>
  <si>
    <t>10-1016</t>
  </si>
  <si>
    <t>10-1017</t>
  </si>
  <si>
    <t>10-1018</t>
  </si>
  <si>
    <t>10-1021</t>
  </si>
  <si>
    <t>10-1022</t>
  </si>
  <si>
    <t>10-1023</t>
  </si>
  <si>
    <t>10-1024</t>
  </si>
  <si>
    <t>10-1025</t>
  </si>
  <si>
    <t>10-1026</t>
  </si>
  <si>
    <t>10-1027</t>
  </si>
  <si>
    <t>10-1028</t>
  </si>
  <si>
    <t>10-1031</t>
  </si>
  <si>
    <t>10-1032</t>
  </si>
  <si>
    <t>10-1033</t>
  </si>
  <si>
    <t>10-1034</t>
  </si>
  <si>
    <t>10-1035</t>
  </si>
  <si>
    <t>10-1036</t>
  </si>
  <si>
    <t>10-1037</t>
  </si>
  <si>
    <t>10-1038</t>
  </si>
  <si>
    <t>11-1111</t>
  </si>
  <si>
    <t>11-1112</t>
  </si>
  <si>
    <t>B3</t>
  </si>
  <si>
    <t>11-1113</t>
  </si>
  <si>
    <t>11-1114</t>
  </si>
  <si>
    <t>11-1115</t>
  </si>
  <si>
    <t>11-1116</t>
  </si>
  <si>
    <t>11-1117</t>
  </si>
  <si>
    <t>11-1118</t>
  </si>
  <si>
    <t>11-1121</t>
  </si>
  <si>
    <t>11-1122</t>
  </si>
  <si>
    <t>11-1123</t>
  </si>
  <si>
    <t>11-1124</t>
  </si>
  <si>
    <t>11-1125</t>
  </si>
  <si>
    <t>11-1126</t>
  </si>
  <si>
    <t>11-1127</t>
  </si>
  <si>
    <t>11-1128</t>
  </si>
  <si>
    <t>11-1131</t>
  </si>
  <si>
    <t>11-1132</t>
  </si>
  <si>
    <t>11-1133</t>
  </si>
  <si>
    <t>11-1134</t>
  </si>
  <si>
    <t>11-1135</t>
  </si>
  <si>
    <t>11-1136</t>
  </si>
  <si>
    <t>11-1137</t>
  </si>
  <si>
    <t>11-1138</t>
  </si>
  <si>
    <t># Units</t>
  </si>
  <si>
    <t># Occupied</t>
  </si>
  <si>
    <t>Unit SF</t>
  </si>
  <si>
    <t>Market Rent</t>
  </si>
  <si>
    <t>In-Place Rent</t>
  </si>
  <si>
    <t>Year 1 is doing 50% of the number shown</t>
  </si>
  <si>
    <t># of Floor Plans</t>
  </si>
  <si>
    <t>Reno %</t>
  </si>
  <si>
    <t>Method</t>
  </si>
  <si>
    <t>Standard</t>
  </si>
  <si>
    <t>In-Place</t>
  </si>
  <si>
    <t>Renovation Plan</t>
  </si>
  <si>
    <t>Mark to Market</t>
  </si>
  <si>
    <t>Rent Increase Assumptions</t>
  </si>
  <si>
    <t xml:space="preserve"># </t>
  </si>
  <si>
    <t>Bed | Bath</t>
  </si>
  <si>
    <t># Vacant</t>
  </si>
  <si>
    <t>Total SF</t>
  </si>
  <si>
    <t>$/SF</t>
  </si>
  <si>
    <t>Year 1</t>
  </si>
  <si>
    <t>Remaining Classic</t>
  </si>
  <si>
    <t>Year 2</t>
  </si>
  <si>
    <t>Total Classic</t>
  </si>
  <si>
    <t>Total Reno</t>
  </si>
  <si>
    <t>Max Rent</t>
  </si>
  <si>
    <t>Recent Avg</t>
  </si>
  <si>
    <t>Reno Rent</t>
  </si>
  <si>
    <t>Reno $/SF</t>
  </si>
  <si>
    <t>Premium</t>
  </si>
  <si>
    <t>Year 3 +%</t>
  </si>
  <si>
    <t>$ Delta Over Day 1</t>
  </si>
  <si>
    <t>Year 1 Rent</t>
  </si>
  <si>
    <t>Year 2%</t>
  </si>
  <si>
    <t>Year 2 Rent</t>
  </si>
  <si>
    <t>Year 3 Rent</t>
  </si>
  <si>
    <t>Year 1%</t>
  </si>
  <si>
    <t>Year 2 Classic</t>
  </si>
  <si>
    <t>Year 2 Reno</t>
  </si>
  <si>
    <t>Year 3 Classic</t>
  </si>
  <si>
    <t>Year 3 Reno</t>
  </si>
  <si>
    <t>Delta</t>
  </si>
  <si>
    <t>Rent Growth</t>
  </si>
  <si>
    <t>Renovated Rent</t>
  </si>
  <si>
    <t>Un-Renovated Rent</t>
  </si>
  <si>
    <t>GPR</t>
  </si>
  <si>
    <t>Target GPR</t>
  </si>
  <si>
    <t>.</t>
  </si>
  <si>
    <t>Total/Avg</t>
  </si>
  <si>
    <t>GPR Check</t>
  </si>
  <si>
    <t>Occupancy</t>
  </si>
  <si>
    <t>Vacancy</t>
  </si>
  <si>
    <t>Leasing office included</t>
  </si>
  <si>
    <t>#</t>
  </si>
  <si>
    <t>% of Unit Mix</t>
  </si>
  <si>
    <t xml:space="preserve">Total SF </t>
  </si>
  <si>
    <t>% of SF</t>
  </si>
  <si>
    <t>Avg SF</t>
  </si>
  <si>
    <t>Avg Rent</t>
  </si>
  <si>
    <t>Avg Rent / SF</t>
  </si>
  <si>
    <t>Waterfall Structure</t>
  </si>
  <si>
    <t>Eff/Studio Classic</t>
  </si>
  <si>
    <t>Eff/Studio Partial</t>
  </si>
  <si>
    <t>Eff/Studio Reno</t>
  </si>
  <si>
    <t>1x1 Classic</t>
  </si>
  <si>
    <t>1x1 Partial</t>
  </si>
  <si>
    <t>1x1 Reno</t>
  </si>
  <si>
    <t>1x1.5 Classic</t>
  </si>
  <si>
    <t>1x1.5 Partial</t>
  </si>
  <si>
    <t>1x1.5 Reno</t>
  </si>
  <si>
    <t>2x1 Classic</t>
  </si>
  <si>
    <t>2x1 Partial</t>
  </si>
  <si>
    <t>2x1 Reno</t>
  </si>
  <si>
    <t>2x1.5 Classic</t>
  </si>
  <si>
    <t>2x1.5 Partial</t>
  </si>
  <si>
    <t>2x1.5 Reno</t>
  </si>
  <si>
    <t>2x2 Classic</t>
  </si>
  <si>
    <t>2x2 Partial</t>
  </si>
  <si>
    <t>2x2 Reno</t>
  </si>
  <si>
    <t>3x2 Classic</t>
  </si>
  <si>
    <t>3x2 Partial</t>
  </si>
  <si>
    <t>3x2 Reno</t>
  </si>
  <si>
    <t>3x3 Classic</t>
  </si>
  <si>
    <t>3x3 Partial</t>
  </si>
  <si>
    <t>3x3 Reno</t>
  </si>
  <si>
    <t>Total</t>
  </si>
  <si>
    <t>Historical</t>
  </si>
  <si>
    <t>Sponsor Pro Forma</t>
  </si>
  <si>
    <t>Income &amp; Expenses</t>
  </si>
  <si>
    <t>Sponsor Pro Forma Year 1</t>
  </si>
  <si>
    <t>Unit / Month</t>
  </si>
  <si>
    <t>Income</t>
  </si>
  <si>
    <t>Year 5+</t>
  </si>
  <si>
    <t>Override</t>
  </si>
  <si>
    <t>Net Move Ins/ Outs</t>
  </si>
  <si>
    <t>Rental Income</t>
  </si>
  <si>
    <t>Monthly Collections</t>
  </si>
  <si>
    <t>Annual Increase</t>
  </si>
  <si>
    <t>Total Other Income</t>
  </si>
  <si>
    <t>Total Income</t>
  </si>
  <si>
    <t>Operating Expenses</t>
  </si>
  <si>
    <t>Total Variable Expenses</t>
  </si>
  <si>
    <t>Total Fixed Expenses</t>
  </si>
  <si>
    <t>Net Operating Income</t>
  </si>
  <si>
    <t>Trend</t>
  </si>
  <si>
    <t>Annual</t>
  </si>
  <si>
    <t>UNDERWRITING ANALYSIS</t>
  </si>
  <si>
    <t>CMBS</t>
  </si>
  <si>
    <t>Life Company</t>
  </si>
  <si>
    <t>HUD</t>
  </si>
  <si>
    <t>Agency Quote 2</t>
  </si>
  <si>
    <t>T6</t>
  </si>
  <si>
    <t>T3</t>
  </si>
  <si>
    <t>T1</t>
  </si>
  <si>
    <t>30yr AM</t>
  </si>
  <si>
    <t>35yr AM | 70% LTV</t>
  </si>
  <si>
    <t>30 AM | 65% LTV FTIO</t>
  </si>
  <si>
    <t>In-Place UW</t>
  </si>
  <si>
    <t>Going-In UW</t>
  </si>
  <si>
    <t>Notes</t>
  </si>
  <si>
    <t>Detailed Comments</t>
  </si>
  <si>
    <t>Stabilized UW</t>
  </si>
  <si>
    <t>T2</t>
  </si>
  <si>
    <t>Per Unit/Month</t>
  </si>
  <si>
    <t>Patrick</t>
  </si>
  <si>
    <t>Gross Potential Rent</t>
  </si>
  <si>
    <t>Current Rent Roll</t>
  </si>
  <si>
    <t>Leasing Office - Back online as 2-bed</t>
  </si>
  <si>
    <t>Deon</t>
  </si>
  <si>
    <t>Loss to Lease</t>
  </si>
  <si>
    <t>T12</t>
  </si>
  <si>
    <t>Andy</t>
  </si>
  <si>
    <t>5% Minimum</t>
  </si>
  <si>
    <t>Concessions</t>
  </si>
  <si>
    <t>Loren</t>
  </si>
  <si>
    <t>Models/Non-Rev Units</t>
  </si>
  <si>
    <t>Emily</t>
  </si>
  <si>
    <t>Bad Debt</t>
  </si>
  <si>
    <t>Bryan</t>
  </si>
  <si>
    <t>Mason</t>
  </si>
  <si>
    <t>Lesser of Normalized T3/T1/RR</t>
  </si>
  <si>
    <t>Commercial Income</t>
  </si>
  <si>
    <t>RUBS Income</t>
  </si>
  <si>
    <t>Other Income</t>
  </si>
  <si>
    <t>Repairs &amp; Maint</t>
  </si>
  <si>
    <t>Pro Forma</t>
  </si>
  <si>
    <t>Contract Services</t>
  </si>
  <si>
    <t>Turnover</t>
  </si>
  <si>
    <t>Payroll</t>
  </si>
  <si>
    <t>(Custom)</t>
  </si>
  <si>
    <t>Marketing</t>
  </si>
  <si>
    <t>General &amp; Admin</t>
  </si>
  <si>
    <t>Utilities</t>
  </si>
  <si>
    <t>Insurance</t>
  </si>
  <si>
    <t xml:space="preserve">Property Management </t>
  </si>
  <si>
    <t>Real Estate Taxes</t>
  </si>
  <si>
    <t>2025 AV, 2024 Millage Rate</t>
  </si>
  <si>
    <t>Franchise Taxes</t>
  </si>
  <si>
    <t>0.331% of EGI</t>
  </si>
  <si>
    <t>Replacement Reserves</t>
  </si>
  <si>
    <t>Debt Yield</t>
  </si>
  <si>
    <t>Estimated Market Value</t>
  </si>
  <si>
    <t>Agency Sizing Playground</t>
  </si>
  <si>
    <t>Capitalization Rate</t>
  </si>
  <si>
    <t>Net Rental Income</t>
  </si>
  <si>
    <t>Target Loan Amount</t>
  </si>
  <si>
    <t>Uses</t>
  </si>
  <si>
    <t>Sizing Note Rate</t>
  </si>
  <si>
    <t>Sizing Rate Increments</t>
  </si>
  <si>
    <t>NRI Increments</t>
  </si>
  <si>
    <t>Closing Costs (% of PP)</t>
  </si>
  <si>
    <t>Sources</t>
  </si>
  <si>
    <t>Senior Loan - Initial Funding</t>
  </si>
  <si>
    <t>Initial Loan Amount</t>
  </si>
  <si>
    <t>Hud Loan Amt</t>
  </si>
  <si>
    <t>Loan-to-Purchase Price</t>
  </si>
  <si>
    <t>Term (Months)</t>
  </si>
  <si>
    <t>Term</t>
  </si>
  <si>
    <t>IO (Months)</t>
  </si>
  <si>
    <t>Amortization</t>
  </si>
  <si>
    <t>Spread</t>
  </si>
  <si>
    <t>fannie</t>
  </si>
  <si>
    <t>HUD Rate</t>
  </si>
  <si>
    <t>Index Rate</t>
  </si>
  <si>
    <t>Freddie</t>
  </si>
  <si>
    <t>5 Yr UST</t>
  </si>
  <si>
    <t>1 Mo Term SOFR</t>
  </si>
  <si>
    <t>10 Yr UST</t>
  </si>
  <si>
    <t>MIP</t>
  </si>
  <si>
    <t>Average</t>
  </si>
  <si>
    <t>Curve On</t>
  </si>
  <si>
    <t>Curtail Rate</t>
  </si>
  <si>
    <t>Constant</t>
  </si>
  <si>
    <t>Sum of Rates</t>
  </si>
  <si>
    <t>Debt Service</t>
  </si>
  <si>
    <t>Cash Flow After Debt</t>
  </si>
  <si>
    <t>Debt Coverage Ratio</t>
  </si>
  <si>
    <t>Debt Coverage Ratio (I/O)</t>
  </si>
  <si>
    <t>Refinance?</t>
  </si>
  <si>
    <t>Yes</t>
  </si>
  <si>
    <t>Senior Loan - Future Funding</t>
  </si>
  <si>
    <t>7 Yr UST</t>
  </si>
  <si>
    <t>NA</t>
  </si>
  <si>
    <t>1 Mo LIBOR</t>
  </si>
  <si>
    <t>Total Loan Amount</t>
  </si>
  <si>
    <t>30 Day Avg SOFR</t>
  </si>
  <si>
    <t>Total Loan-to-Total Cost</t>
  </si>
  <si>
    <t>Initial Funding-to-Total Cost</t>
  </si>
  <si>
    <t>B Piece</t>
  </si>
  <si>
    <t>Proceeds</t>
  </si>
  <si>
    <t>7 OR 10</t>
  </si>
  <si>
    <t>IO</t>
  </si>
  <si>
    <t>Total Proceeds</t>
  </si>
  <si>
    <t>LTV</t>
  </si>
  <si>
    <t>Blended Interest Rate</t>
  </si>
  <si>
    <t>DROP IN TRAILING TWELVE PROVIDED FROM SPONSOR</t>
  </si>
  <si>
    <t>ONLY PASTE VALUES</t>
  </si>
  <si>
    <t>TYPE FINAL DATE OF TRAILING TWELVE IN HIGHLIGHTED CELL "M6" (EX: SEPT 2018)</t>
  </si>
  <si>
    <t>PASTE ALL BLUE-FILLED CELLS INTO CORRESPONDING AGECNY TEMPLATE</t>
  </si>
  <si>
    <t>Freddie Collections</t>
  </si>
  <si>
    <t>Gross Potential Rent-Residential</t>
  </si>
  <si>
    <t>Less: Residential Vacancy</t>
  </si>
  <si>
    <t>Less:  Residential Concessions</t>
  </si>
  <si>
    <t>Less:  Residential Bad Debt</t>
  </si>
  <si>
    <t>Fannie Collections</t>
  </si>
  <si>
    <t>RED HIGHLIGHTED LINE ITEMS SHOULD CONTAIN POSITIVE VALUES</t>
  </si>
  <si>
    <t>NMC VALIDATION</t>
  </si>
  <si>
    <t>AGENCY VALIDATION</t>
  </si>
  <si>
    <t>NOTES</t>
  </si>
  <si>
    <t>T12 vs T1 %</t>
  </si>
  <si>
    <t>INCOME</t>
  </si>
  <si>
    <t>Short Term Premiums</t>
  </si>
  <si>
    <t>PASTE BELOW LINE</t>
  </si>
  <si>
    <t>Residential NET RENTAL INCOME</t>
  </si>
  <si>
    <t xml:space="preserve">   Monthly Residential NRI</t>
  </si>
  <si>
    <t xml:space="preserve"> RENTAL INCOME</t>
  </si>
  <si>
    <t>Less: Commercial Vacancy</t>
  </si>
  <si>
    <t xml:space="preserve"> GROSS POTENTIAL RENT</t>
  </si>
  <si>
    <t>Commercial NET RENTAL INCOME</t>
  </si>
  <si>
    <t xml:space="preserve">    Gross Potential Rents</t>
  </si>
  <si>
    <t>Monthly Commercial NRI</t>
  </si>
  <si>
    <t xml:space="preserve">    Gain (Loss) to Lease</t>
  </si>
  <si>
    <t xml:space="preserve">Coop Maint Fee </t>
  </si>
  <si>
    <t>Utility Reimbursement</t>
  </si>
  <si>
    <t xml:space="preserve">  TOTAL GROSS POTENTIAL RENTS</t>
  </si>
  <si>
    <t>Laundry</t>
  </si>
  <si>
    <t xml:space="preserve">  RENTAL INCOME ADJUSTMENTS</t>
  </si>
  <si>
    <t>Parking</t>
  </si>
  <si>
    <t xml:space="preserve">    Rent Concessions/Incentives</t>
  </si>
  <si>
    <t>Cable</t>
  </si>
  <si>
    <t xml:space="preserve">    Non-Income Units /Model/Office</t>
  </si>
  <si>
    <t>Miscellaneous Other Income</t>
  </si>
  <si>
    <t xml:space="preserve">    Employee Units</t>
  </si>
  <si>
    <t>EGI</t>
  </si>
  <si>
    <t xml:space="preserve">    Courtesy Officer Units</t>
  </si>
  <si>
    <t xml:space="preserve">    Vacancy Loss</t>
  </si>
  <si>
    <t>FIXED EXPENSES</t>
  </si>
  <si>
    <t xml:space="preserve">    Bad Debt Expense</t>
  </si>
  <si>
    <t xml:space="preserve">    Bad Debt Collections</t>
  </si>
  <si>
    <t>Total Insurance</t>
  </si>
  <si>
    <t>Fuel</t>
  </si>
  <si>
    <t xml:space="preserve">  TOTAL RENTAL INCOME ADJUSTMENTS</t>
  </si>
  <si>
    <t>Gas</t>
  </si>
  <si>
    <t>Electricity</t>
  </si>
  <si>
    <t xml:space="preserve">  NET RENTAL INCOME</t>
  </si>
  <si>
    <t>Water &amp; Sewer</t>
  </si>
  <si>
    <t xml:space="preserve">  OTHER INCOME</t>
  </si>
  <si>
    <t>Sub-Total, Utilities/Water &amp; Sewer</t>
  </si>
  <si>
    <t xml:space="preserve">    Access Gate Remotes</t>
  </si>
  <si>
    <t>TOTAL FIXED EXPENSES</t>
  </si>
  <si>
    <t xml:space="preserve">    Admin Fees</t>
  </si>
  <si>
    <t xml:space="preserve">  OPERATING EXPENSES</t>
  </si>
  <si>
    <t xml:space="preserve">    Application Fees</t>
  </si>
  <si>
    <t>Trash Removal</t>
  </si>
  <si>
    <t xml:space="preserve">    Cable Income</t>
  </si>
  <si>
    <t>Pest Control</t>
  </si>
  <si>
    <t xml:space="preserve">    Cancellation/Termination Fees</t>
  </si>
  <si>
    <t>Bldg. Maint. &amp; Repair</t>
  </si>
  <si>
    <t xml:space="preserve">    Credit Reporting Income</t>
  </si>
  <si>
    <t>Int. &amp; Ext. Decorating</t>
  </si>
  <si>
    <t xml:space="preserve">    Damage/Cleaning Fees</t>
  </si>
  <si>
    <t>Cleaning/Turnover</t>
  </si>
  <si>
    <t xml:space="preserve">    Forfeited Deposits</t>
  </si>
  <si>
    <t>Elevator Maintenance</t>
  </si>
  <si>
    <t xml:space="preserve">    Garage Rental</t>
  </si>
  <si>
    <t>T12 Cap Rate</t>
  </si>
  <si>
    <t>Recreation Amenities</t>
  </si>
  <si>
    <t xml:space="preserve">    Late Charges</t>
  </si>
  <si>
    <t>Adjusted T12 NOI</t>
  </si>
  <si>
    <t>Parking Maint/Snow</t>
  </si>
  <si>
    <t xml:space="preserve">    Legal / Eviction Fees</t>
  </si>
  <si>
    <t>Adjusted T12 Cap Rate</t>
  </si>
  <si>
    <t>Grounds Maintenance</t>
  </si>
  <si>
    <t xml:space="preserve">    Month-to-Month Fees</t>
  </si>
  <si>
    <t>Repair and Maintenance</t>
  </si>
  <si>
    <t xml:space="preserve">    NSF Fees</t>
  </si>
  <si>
    <t>Nonresident Mgt.</t>
  </si>
  <si>
    <t xml:space="preserve">    Pet Rent/Fees</t>
  </si>
  <si>
    <t>Onsite Manager Salary</t>
  </si>
  <si>
    <t xml:space="preserve">    Pet Fees - Nonrefundable</t>
  </si>
  <si>
    <t xml:space="preserve">Security </t>
  </si>
  <si>
    <t xml:space="preserve">    Transfer Fees</t>
  </si>
  <si>
    <t>Other Salaries</t>
  </si>
  <si>
    <t xml:space="preserve">    Valet Trash Income</t>
  </si>
  <si>
    <t>Payroll Taxes &amp; Benefits</t>
  </si>
  <si>
    <t xml:space="preserve">    Water Income</t>
  </si>
  <si>
    <t>Apt Allowance</t>
  </si>
  <si>
    <t xml:space="preserve">    Pest Control Income</t>
  </si>
  <si>
    <t>Total Payroll</t>
  </si>
  <si>
    <t xml:space="preserve">    Electric Income</t>
  </si>
  <si>
    <t>Advertising</t>
  </si>
  <si>
    <t xml:space="preserve">    Renter's Insurance Income</t>
  </si>
  <si>
    <t>Office/Model/Down Units</t>
  </si>
  <si>
    <t xml:space="preserve">    Miscellaneous Income</t>
  </si>
  <si>
    <t>Office Expenses</t>
  </si>
  <si>
    <t xml:space="preserve">    Bad Debt - Other</t>
  </si>
  <si>
    <t>Legal &amp; Audit</t>
  </si>
  <si>
    <t>Leased Furniture</t>
  </si>
  <si>
    <t xml:space="preserve">  TOTAL OTHER INCOME</t>
  </si>
  <si>
    <t>License/Permits</t>
  </si>
  <si>
    <t>Other Taxes or  Assmnts</t>
  </si>
  <si>
    <t xml:space="preserve"> TOTAL OPERATING REVENUE</t>
  </si>
  <si>
    <t>Corporate Units</t>
  </si>
  <si>
    <t>Total Gen &amp; Admin Expenses</t>
  </si>
  <si>
    <t xml:space="preserve"> OPERATING EXPENSES</t>
  </si>
  <si>
    <t>Commercial Expenses</t>
  </si>
  <si>
    <t>Miscellaneous Expenses</t>
  </si>
  <si>
    <t xml:space="preserve">  PROPERTY OPERATING EXPENSE</t>
  </si>
  <si>
    <t>TOTAL OPERATING EXPENSES</t>
  </si>
  <si>
    <t xml:space="preserve">   PROPERTY PAYROLL</t>
  </si>
  <si>
    <t xml:space="preserve">    Property Manager Salary</t>
  </si>
  <si>
    <t>TOTAL EXPENSES</t>
  </si>
  <si>
    <t xml:space="preserve">    Property Manager Bonus</t>
  </si>
  <si>
    <t>Ground Rents</t>
  </si>
  <si>
    <t xml:space="preserve">    Assistant Manager Salary</t>
  </si>
  <si>
    <t xml:space="preserve">    Leasing Associate Salary</t>
  </si>
  <si>
    <t>TI&amp;LC</t>
  </si>
  <si>
    <t xml:space="preserve">    Maintenance Supervisor Salary</t>
  </si>
  <si>
    <t>Total Expenses &amp; Reserves</t>
  </si>
  <si>
    <t xml:space="preserve">    Maintenance Assistant Salary</t>
  </si>
  <si>
    <t xml:space="preserve">    Taxes - FUTA/FICA/SUTA</t>
  </si>
  <si>
    <t>Calculated NOI</t>
  </si>
  <si>
    <t xml:space="preserve">    Group Insurance</t>
  </si>
  <si>
    <t xml:space="preserve">    Uniform Expense</t>
  </si>
  <si>
    <t xml:space="preserve">    Staff Bonus &amp; Commissions</t>
  </si>
  <si>
    <t xml:space="preserve">    401(k) Match</t>
  </si>
  <si>
    <t xml:space="preserve">    Workers Compensation Insurance</t>
  </si>
  <si>
    <t xml:space="preserve">   TOTAL PROPERTY PAYROLL</t>
  </si>
  <si>
    <t xml:space="preserve">   ADVERTISING AND MARKETING</t>
  </si>
  <si>
    <t xml:space="preserve">    Collateral Materials</t>
  </si>
  <si>
    <t xml:space="preserve">    External Broker/Locator Fees</t>
  </si>
  <si>
    <t xml:space="preserve">    Internet Advertising</t>
  </si>
  <si>
    <t xml:space="preserve">    Promotional Events</t>
  </si>
  <si>
    <t xml:space="preserve">    Prospect Refreshments</t>
  </si>
  <si>
    <t xml:space="preserve">    Resident Retention</t>
  </si>
  <si>
    <t xml:space="preserve">    Seasonal Decorations</t>
  </si>
  <si>
    <t xml:space="preserve">    Move-in Gifts</t>
  </si>
  <si>
    <t xml:space="preserve">    Temporary Signage</t>
  </si>
  <si>
    <t xml:space="preserve">    Other Advertising/Marketing</t>
  </si>
  <si>
    <t xml:space="preserve">   TOTAL ADVERTISING AND MARKETING</t>
  </si>
  <si>
    <t xml:space="preserve">   GENERAL AND ADMINISTRATIVE</t>
  </si>
  <si>
    <t xml:space="preserve">    Answering Service</t>
  </si>
  <si>
    <t xml:space="preserve">    Associate Recognition</t>
  </si>
  <si>
    <t xml:space="preserve">    Associate Travel</t>
  </si>
  <si>
    <t xml:space="preserve">    Bank Charges/Processing Fees</t>
  </si>
  <si>
    <t xml:space="preserve">    Cable</t>
  </si>
  <si>
    <t xml:space="preserve">    HOA Expenses</t>
  </si>
  <si>
    <t xml:space="preserve">    Computer Support/Software</t>
  </si>
  <si>
    <t xml:space="preserve">    Credit Bureau Fees</t>
  </si>
  <si>
    <t xml:space="preserve">    Dues and Subscriptions</t>
  </si>
  <si>
    <t xml:space="preserve">    Equipment Rental and Leasing</t>
  </si>
  <si>
    <t xml:space="preserve">    Internet</t>
  </si>
  <si>
    <t xml:space="preserve">    Legal Costs/Evictions</t>
  </si>
  <si>
    <t xml:space="preserve">    Mobile Phone</t>
  </si>
  <si>
    <t xml:space="preserve">    Office Supplies</t>
  </si>
  <si>
    <t xml:space="preserve">    Payroll/Benefit Service Fees</t>
  </si>
  <si>
    <t xml:space="preserve">    Permits/ Licenses / Fees</t>
  </si>
  <si>
    <t xml:space="preserve">    Postage</t>
  </si>
  <si>
    <t xml:space="preserve">    Telephone</t>
  </si>
  <si>
    <t xml:space="preserve">    Training</t>
  </si>
  <si>
    <t xml:space="preserve">    Website</t>
  </si>
  <si>
    <t xml:space="preserve">    Other G&amp;A</t>
  </si>
  <si>
    <t xml:space="preserve">    Management Fees</t>
  </si>
  <si>
    <t xml:space="preserve">   TOTAL GENERAL AND ADMINISTRATIVE</t>
  </si>
  <si>
    <t xml:space="preserve">   LANDSCAPE/GROUNDS</t>
  </si>
  <si>
    <t xml:space="preserve">    Flowers</t>
  </si>
  <si>
    <t xml:space="preserve">    Landscape Services</t>
  </si>
  <si>
    <t xml:space="preserve">    Mulch</t>
  </si>
  <si>
    <t xml:space="preserve">    Irrigation Repair and Maintenance</t>
  </si>
  <si>
    <t xml:space="preserve">    Other Landscape/Grounds</t>
  </si>
  <si>
    <t xml:space="preserve">   TOTAL LANDSCAPE/GROUNDS</t>
  </si>
  <si>
    <t xml:space="preserve">   REDECORATING</t>
  </si>
  <si>
    <t xml:space="preserve">    Carpet Cleaning - Turnkey</t>
  </si>
  <si>
    <t xml:space="preserve">    Carpet Repairs</t>
  </si>
  <si>
    <t xml:space="preserve">    Interior Cleaning</t>
  </si>
  <si>
    <t xml:space="preserve">    Interior Repairs/Materials</t>
  </si>
  <si>
    <t xml:space="preserve">    Millwork/Doors/Hardware</t>
  </si>
  <si>
    <t xml:space="preserve">    Painting Supplies</t>
  </si>
  <si>
    <t xml:space="preserve">    Painting-Units</t>
  </si>
  <si>
    <t xml:space="preserve">    Window Coverings</t>
  </si>
  <si>
    <t xml:space="preserve">   TOTAL REDECORATING</t>
  </si>
  <si>
    <t xml:space="preserve">   GENERAL R&amp;M</t>
  </si>
  <si>
    <t xml:space="preserve">    Access Gate R&amp;M</t>
  </si>
  <si>
    <t xml:space="preserve">    Appliance Repair/Maintenance</t>
  </si>
  <si>
    <t xml:space="preserve">    Cleaning Supplies</t>
  </si>
  <si>
    <t xml:space="preserve">    Common Area Cleaning/Repairs</t>
  </si>
  <si>
    <t xml:space="preserve">    Doors/Windows/Screens</t>
  </si>
  <si>
    <t xml:space="preserve">    Electrical Supplies/Parts</t>
  </si>
  <si>
    <t xml:space="preserve">    Fire Alarm and Sprinkler Repairs</t>
  </si>
  <si>
    <t xml:space="preserve">    HVAC Supplies/Parts</t>
  </si>
  <si>
    <t xml:space="preserve">    Inspections (Fire &amp; Safety)</t>
  </si>
  <si>
    <t xml:space="preserve">    Light Bulbs</t>
  </si>
  <si>
    <t xml:space="preserve">    Locks &amp; Keys</t>
  </si>
  <si>
    <t xml:space="preserve">    Maintenance Supplies</t>
  </si>
  <si>
    <t xml:space="preserve">    Pest Control</t>
  </si>
  <si>
    <t xml:space="preserve">    Plumbing Supplies/Parts</t>
  </si>
  <si>
    <t xml:space="preserve">    Pool Maintenance and Supplies</t>
  </si>
  <si>
    <t xml:space="preserve">    Repairs/Labor - Exterior</t>
  </si>
  <si>
    <t xml:space="preserve">    Repairs/Labor - Interior</t>
  </si>
  <si>
    <t xml:space="preserve">    Security/Fire Alarm Monitor</t>
  </si>
  <si>
    <t xml:space="preserve">   TOTAL GENERAL R&amp;M</t>
  </si>
  <si>
    <t xml:space="preserve">   UTILITIES</t>
  </si>
  <si>
    <t xml:space="preserve">    Electricity - Common Area</t>
  </si>
  <si>
    <t xml:space="preserve">    Electricity - Vacants</t>
  </si>
  <si>
    <t xml:space="preserve">    Trash Removal</t>
  </si>
  <si>
    <t xml:space="preserve">    Valet Trash</t>
  </si>
  <si>
    <t xml:space="preserve">    Gas - Common Area</t>
  </si>
  <si>
    <t xml:space="preserve">    Utility Billing Fee</t>
  </si>
  <si>
    <t xml:space="preserve">    Water/Sewer</t>
  </si>
  <si>
    <t xml:space="preserve">   TOTAL UTILITIES</t>
  </si>
  <si>
    <t xml:space="preserve">   INSURANCE</t>
  </si>
  <si>
    <t xml:space="preserve">    Insurance Premium</t>
  </si>
  <si>
    <t xml:space="preserve">    Loss on Casualty</t>
  </si>
  <si>
    <t xml:space="preserve">   TOTAL INSURANCE</t>
  </si>
  <si>
    <t xml:space="preserve">   TAXES</t>
  </si>
  <si>
    <t xml:space="preserve">    Property Taxes - Real Estate</t>
  </si>
  <si>
    <t xml:space="preserve">    Property Taxes - Personal Property</t>
  </si>
  <si>
    <t xml:space="preserve">   TOTAL TAXES</t>
  </si>
  <si>
    <t xml:space="preserve"> TOTAL PROPERTY EXPENSES</t>
  </si>
  <si>
    <t xml:space="preserve">  TOTAL OPERATING EXPENSES</t>
  </si>
  <si>
    <t xml:space="preserve"> NET OPERATING INCOME (LOSS)</t>
  </si>
  <si>
    <t>Tax Analysis</t>
  </si>
  <si>
    <t>Annual Value Increase %</t>
  </si>
  <si>
    <t>UW</t>
  </si>
  <si>
    <t>Current Assessment</t>
  </si>
  <si>
    <t>Tax Entity</t>
  </si>
  <si>
    <t>Sale Reassessment</t>
  </si>
  <si>
    <t>Market Value / PP</t>
  </si>
  <si>
    <t>City</t>
  </si>
  <si>
    <t>Assessment Ratio</t>
  </si>
  <si>
    <t>County</t>
  </si>
  <si>
    <t>Flood</t>
  </si>
  <si>
    <t>Assessed Value</t>
  </si>
  <si>
    <t>Auth</t>
  </si>
  <si>
    <t>Hosp</t>
  </si>
  <si>
    <t>Tax Rate</t>
  </si>
  <si>
    <t>Educ</t>
  </si>
  <si>
    <t>Total Taxes</t>
  </si>
  <si>
    <t>FRE UW</t>
  </si>
  <si>
    <t>Annual Tax Increase %</t>
  </si>
  <si>
    <t>Com Col</t>
  </si>
  <si>
    <t>Monthly</t>
  </si>
  <si>
    <t>Parcel #:</t>
  </si>
  <si>
    <t>Account #:</t>
  </si>
  <si>
    <t>NorthMarq - A Direct Agency Lender (Freddie Mac Seller Servicer &amp; Fannie Mae DUS)</t>
  </si>
  <si>
    <t>DATE</t>
  </si>
  <si>
    <t>Loan Options</t>
  </si>
  <si>
    <t xml:space="preserve">Bridge Lender  </t>
  </si>
  <si>
    <t>Bank</t>
  </si>
  <si>
    <t>Projected Loan Amount:</t>
  </si>
  <si>
    <t>$,000,000 + 100% CapX</t>
  </si>
  <si>
    <t>Underwritten LTV:</t>
  </si>
  <si>
    <t>Max LTV / LTC: *</t>
  </si>
  <si>
    <t>60% LTV</t>
  </si>
  <si>
    <t>70% LTV + 100% CapX</t>
  </si>
  <si>
    <t>60% - 70% LTC ***</t>
  </si>
  <si>
    <t>Min DCR:</t>
  </si>
  <si>
    <t>N/A</t>
  </si>
  <si>
    <t>10 Year</t>
  </si>
  <si>
    <t>3 + 1 + 1</t>
  </si>
  <si>
    <t>5 - 7 Year</t>
  </si>
  <si>
    <t>Loan Type:</t>
  </si>
  <si>
    <t>Fixed / Floating</t>
  </si>
  <si>
    <t>Index Rate:</t>
  </si>
  <si>
    <t>Spread:</t>
  </si>
  <si>
    <t>-</t>
  </si>
  <si>
    <t>Note Rate:</t>
  </si>
  <si>
    <t>Interest-Only Period (Years):</t>
  </si>
  <si>
    <t>2 - 3</t>
  </si>
  <si>
    <t>3</t>
  </si>
  <si>
    <t>Amortization (Years):</t>
  </si>
  <si>
    <t>25 - 30</t>
  </si>
  <si>
    <t>Prepayment:</t>
  </si>
  <si>
    <t>9.5 Year YM</t>
  </si>
  <si>
    <t>6.5 Year YM</t>
  </si>
  <si>
    <t>12-18 mos Interest</t>
  </si>
  <si>
    <t>No prepayment</t>
  </si>
  <si>
    <t>Recourse:</t>
  </si>
  <si>
    <t>Non-Recourse</t>
  </si>
  <si>
    <t>1 Yr Lockout, then 1%</t>
  </si>
  <si>
    <t>Partial to Full</t>
  </si>
  <si>
    <t>Preferred Equity available. Please call to discuss options.</t>
  </si>
  <si>
    <t>All quotes subject to fluctuations of Index Rates, steady to increasing NRI collections, and lender's full approval of Sponsorship and underwriting</t>
  </si>
  <si>
    <t>* Based on current Whisper Pricing</t>
  </si>
  <si>
    <t>** Subject to Agency review and approval</t>
  </si>
  <si>
    <t>*** Subject to Guarantor strength, depository relationship, and potential for recourse</t>
  </si>
  <si>
    <t>Historical Operating Performance and Underwriting Summary</t>
  </si>
  <si>
    <t>T-3</t>
  </si>
  <si>
    <t xml:space="preserve">Northmarq  </t>
  </si>
  <si>
    <t>T-12</t>
  </si>
  <si>
    <t>Capital Markets</t>
  </si>
  <si>
    <t>Effective Gross Income</t>
  </si>
  <si>
    <t>* Percentage based off of 3rd party assessment analysis</t>
  </si>
  <si>
    <t>Disclaimer</t>
  </si>
  <si>
    <t>Note: Rates that are published by Northmarq are based on a specific point in time and are for informational use only. Rates are subject to change at any time without notice.  
Quotes are subject to full borrower, market and property underwriting.</t>
  </si>
  <si>
    <t>This is not a commitment to lend.</t>
  </si>
  <si>
    <t>Agency Quote 1</t>
  </si>
  <si>
    <t>Estimated Note Rate</t>
  </si>
  <si>
    <t>Fannie 5 Yr</t>
  </si>
  <si>
    <t>Freddie 5 Yr</t>
  </si>
  <si>
    <t>Fannie 7 Yr</t>
  </si>
  <si>
    <t>Northmarq - A Direct Agency Lender (Freddie Mac Seller Servicer &amp; Fannie Mae DUS)</t>
  </si>
  <si>
    <t>Freddie 7 Yr</t>
  </si>
  <si>
    <t>Fannie 10 Yr</t>
  </si>
  <si>
    <t>Freddie 10 Yr</t>
  </si>
  <si>
    <t>Bridge
Fixed Rate</t>
  </si>
  <si>
    <t>Agency 
Standard</t>
  </si>
  <si>
    <t>Input Spread:</t>
  </si>
  <si>
    <t>Buydown Spread:</t>
  </si>
  <si>
    <t>Buy Down % of Loan</t>
  </si>
  <si>
    <t>Underwritten NOI:</t>
  </si>
  <si>
    <t>Max LTV / LTC:¹</t>
  </si>
  <si>
    <t>80% LTV</t>
  </si>
  <si>
    <t>75% LTV</t>
  </si>
  <si>
    <t>Actual LTV</t>
  </si>
  <si>
    <t>Min DCR/DY:</t>
  </si>
  <si>
    <t>1.18x</t>
  </si>
  <si>
    <t>35 Year</t>
  </si>
  <si>
    <t>3 Year</t>
  </si>
  <si>
    <t>3 - 4</t>
  </si>
  <si>
    <t>None</t>
  </si>
  <si>
    <t>Whisper Price:</t>
  </si>
  <si>
    <t>LTV Loan Constraint:</t>
  </si>
  <si>
    <t>Prepayment Type:</t>
  </si>
  <si>
    <t>YM / Defeasance</t>
  </si>
  <si>
    <t>Yield Maintenance</t>
  </si>
  <si>
    <t>4.5 Years</t>
  </si>
  <si>
    <t>6.5 Years</t>
  </si>
  <si>
    <t>Stepdown from 10%</t>
  </si>
  <si>
    <t>2%, 1%, Par</t>
  </si>
  <si>
    <t>¹ Based on Whisper Price</t>
  </si>
  <si>
    <t>Standard options include closing cost build up of up to 3%</t>
  </si>
  <si>
    <t>$ Amount</t>
  </si>
  <si>
    <t>$/Unit/Month</t>
  </si>
  <si>
    <t>NMC Taxes</t>
  </si>
  <si>
    <t>MONTHLY CASH FLOW</t>
  </si>
  <si>
    <t>Sponsor Taxes</t>
  </si>
  <si>
    <t xml:space="preserve">Year </t>
  </si>
  <si>
    <t>% of NOI</t>
  </si>
  <si>
    <t>Rent</t>
  </si>
  <si>
    <t>Upon Acquisition</t>
  </si>
  <si>
    <t>Total GPR - Standard</t>
  </si>
  <si>
    <t>Units Unrenovated</t>
  </si>
  <si>
    <t>Units Renovated</t>
  </si>
  <si>
    <t>Units Offline for Renovations</t>
  </si>
  <si>
    <t>Vacant Units</t>
  </si>
  <si>
    <t>Total Units Occupied</t>
  </si>
  <si>
    <t>Newly Renovated - Per Month</t>
  </si>
  <si>
    <t>Newly Renovated - Cumulative</t>
  </si>
  <si>
    <t>Rent - Renovated Unit</t>
  </si>
  <si>
    <t>Rent - Unrenovated Unit - Renewal</t>
  </si>
  <si>
    <t>GPR Renovated Units</t>
  </si>
  <si>
    <t>GPR Un-Renovated Units</t>
  </si>
  <si>
    <t>Total GPR - GPR Seek</t>
  </si>
  <si>
    <t>&lt;----------</t>
  </si>
  <si>
    <t>Floor Plan GPR Detail</t>
  </si>
  <si>
    <t>Day 1 Pro Forma</t>
  </si>
  <si>
    <t>Cash Flow Before Debt</t>
  </si>
  <si>
    <t>DSCR</t>
  </si>
  <si>
    <t>Lender Reserve Release</t>
  </si>
  <si>
    <t>Proceeds From Refinance</t>
  </si>
  <si>
    <t xml:space="preserve">Proceeds From Supplemental </t>
  </si>
  <si>
    <t>Supplemental Debt Service</t>
  </si>
  <si>
    <t>Senior Interest Shortfall</t>
  </si>
  <si>
    <t>Pref Current Pay</t>
  </si>
  <si>
    <t>Cash Flow After Current Pref</t>
  </si>
  <si>
    <t>Pref Interest Shortfall</t>
  </si>
  <si>
    <t>Pref Accrual Starting Balance</t>
  </si>
  <si>
    <t>Pref Accrual Interest Expense</t>
  </si>
  <si>
    <t>Pref Accrual Ending Balance</t>
  </si>
  <si>
    <t>Reversion</t>
  </si>
  <si>
    <t>Proceeds From Sale</t>
  </si>
  <si>
    <t>Hard Costs and Funding Draw</t>
  </si>
  <si>
    <t>Debt</t>
  </si>
  <si>
    <t>Cash Flow to Equity</t>
  </si>
  <si>
    <t>XIRR</t>
  </si>
  <si>
    <t>Equity Multiple</t>
  </si>
  <si>
    <t>Profit</t>
  </si>
  <si>
    <t>Syndication Model</t>
  </si>
  <si>
    <t>GP Equity Contribution</t>
  </si>
  <si>
    <t>LP Equity Contribution</t>
  </si>
  <si>
    <t>GP Cash Flow Split</t>
  </si>
  <si>
    <t>LP Cash Flow Split</t>
  </si>
  <si>
    <t>GP Total</t>
  </si>
  <si>
    <t>LP Total</t>
  </si>
  <si>
    <t>LP Profit</t>
  </si>
  <si>
    <t>LP Cash-on-Cash Year 1</t>
  </si>
  <si>
    <t>LP Cash-on-Cash Year 2</t>
  </si>
  <si>
    <t>LP Cash-on-Cash Year 3</t>
  </si>
  <si>
    <t>LP Cash-on-Cash Year 4</t>
  </si>
  <si>
    <t>LP Cash-on-Cash Year 5</t>
  </si>
  <si>
    <t>LP Cash-on-Cash Year 6</t>
  </si>
  <si>
    <t>LP Cash-on-Cash Year 7</t>
  </si>
  <si>
    <t>ANNUAL CASH FLOW</t>
  </si>
  <si>
    <t>NMC UW</t>
  </si>
  <si>
    <t>Return on Cost</t>
  </si>
  <si>
    <t xml:space="preserve">Senior Piece DSCR </t>
  </si>
  <si>
    <t xml:space="preserve">Senior Piece Debt Yield </t>
  </si>
  <si>
    <t>Pref Piece Debt Yield</t>
  </si>
  <si>
    <t xml:space="preserve">Deal Level Cash-on-Cash </t>
  </si>
  <si>
    <t xml:space="preserve">3 Year Average Cash-on-Cash </t>
  </si>
  <si>
    <t xml:space="preserve">4 Year Average Cash-on-Cash </t>
  </si>
  <si>
    <t xml:space="preserve">5 Year Average Cash-on-Cash </t>
  </si>
  <si>
    <t>Partnership Structure</t>
  </si>
  <si>
    <t>Levered Cash Flow</t>
  </si>
  <si>
    <t>GP</t>
  </si>
  <si>
    <t>LP</t>
  </si>
  <si>
    <t>Deal Level</t>
  </si>
  <si>
    <t>Equity Share</t>
  </si>
  <si>
    <t>Preferred Return and Return of Capital</t>
  </si>
  <si>
    <t>IRR</t>
  </si>
  <si>
    <t>Beginning Balance (LP Capital Account)</t>
  </si>
  <si>
    <t>Monthly IRR</t>
  </si>
  <si>
    <t>EM</t>
  </si>
  <si>
    <t>LP Required Return to hit Preferred Return</t>
  </si>
  <si>
    <t xml:space="preserve">Contributions from LP </t>
  </si>
  <si>
    <t>Promote Structure</t>
  </si>
  <si>
    <t>Distributions to LP (Preferred Return)</t>
  </si>
  <si>
    <t>Ending Balance (LP Capital Account)</t>
  </si>
  <si>
    <t>Preferred Return</t>
  </si>
  <si>
    <t>Net Cash Flow to LP</t>
  </si>
  <si>
    <t>Hurdle 1</t>
  </si>
  <si>
    <t>LP IRR Check</t>
  </si>
  <si>
    <t>IRR Check</t>
  </si>
  <si>
    <t>Hurdle 2</t>
  </si>
  <si>
    <t>EM Check</t>
  </si>
  <si>
    <t>Hurdle 3</t>
  </si>
  <si>
    <t>Hurdle 4</t>
  </si>
  <si>
    <t>Contributions from GP</t>
  </si>
  <si>
    <t>Hurdle 5</t>
  </si>
  <si>
    <t>Distributions to GP</t>
  </si>
  <si>
    <t>Final Split</t>
  </si>
  <si>
    <t>GP IRR Check</t>
  </si>
  <si>
    <t>Error Check</t>
  </si>
  <si>
    <t>Net Project CF</t>
  </si>
  <si>
    <t>Total Distributions (Pref)</t>
  </si>
  <si>
    <t>Net Partnership CF</t>
  </si>
  <si>
    <t>Cash Flow Remaining</t>
  </si>
  <si>
    <t>LP Required Return to hit Hurdle 1 IRR</t>
  </si>
  <si>
    <t>Prior Distributions to LP (Preferred Return)</t>
  </si>
  <si>
    <t>Distributions to LP (Hurdle 1)</t>
  </si>
  <si>
    <t>Total Distributions (Hurdle 1)</t>
  </si>
  <si>
    <t>LP Required Return to hit Hurdle 2 IRR</t>
  </si>
  <si>
    <t>Prior Distributions to LP (Pref &amp; Hurdle 1)</t>
  </si>
  <si>
    <t>Distributions to LP (Hurdle 2)</t>
  </si>
  <si>
    <t>Total Distributions (Hurdle 2)</t>
  </si>
  <si>
    <t>LP Required Return to hit Hurdle 3 IRR</t>
  </si>
  <si>
    <t>Prior Distributions to LP (Pref, Hurdle 1 &amp; 2)</t>
  </si>
  <si>
    <t>Distributions to LP (Hurdle 3)</t>
  </si>
  <si>
    <t>Total Distributions (Hurdle 3)</t>
  </si>
  <si>
    <t>LP Required Return to hit Hurdle 4 IRR</t>
  </si>
  <si>
    <t>Prior Distributions to LP (Pref, Hurdle 1, 2, &amp; 3)</t>
  </si>
  <si>
    <t>Distributions to LP (Hurdle 4)</t>
  </si>
  <si>
    <t>Total Distributions (Hurdle 4)</t>
  </si>
  <si>
    <t>LP Required Return to hit Hurdle 5 IRR</t>
  </si>
  <si>
    <t>Prior Distributions to LP (Pref, Hurdle 1, 2, 3, &amp; 4)</t>
  </si>
  <si>
    <t>Distributions to LP (Hurdle 5)</t>
  </si>
  <si>
    <t>Total Distributions (Hurdle 5)</t>
  </si>
  <si>
    <t>Distributions to LP (Final Split)</t>
  </si>
  <si>
    <t>Distributions to GP (Final Split)</t>
  </si>
  <si>
    <t>Total Distributions</t>
  </si>
  <si>
    <t>LP Cash Flow</t>
  </si>
  <si>
    <t>Distributions</t>
  </si>
  <si>
    <t>Contributions</t>
  </si>
  <si>
    <t>Net Cash Flow (Profit)</t>
  </si>
  <si>
    <t>GP Cash Flow</t>
  </si>
  <si>
    <t>Class B</t>
  </si>
  <si>
    <t>Class A</t>
  </si>
  <si>
    <t>LP Dilution</t>
  </si>
  <si>
    <t>notes need revising</t>
  </si>
  <si>
    <t>assume 3% growth over 4 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</si>
</sst>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1">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quot;$&quot;#,##0"/>
    <numFmt numFmtId="165" formatCode="&quot;$&quot;#,##0.00"/>
    <numFmt numFmtId="166" formatCode="_(&quot;$&quot;* #,##0_);_(&quot;$&quot;* \(#,##0\);_(&quot;$&quot;* &quot;-&quot;??_);_(@_)"/>
    <numFmt numFmtId="167" formatCode="[$-409]mmm\-yy;@"/>
    <numFmt numFmtId="168" formatCode="_(* #,##0_);_(* \(#,##0\);_(* &quot;-&quot;??_);_(@_)"/>
    <numFmt numFmtId="169" formatCode="[$-409]m/d/yy\ h:mm\ AM/PM;@"/>
    <numFmt numFmtId="170" formatCode="#,##0.00%_);\(#,##0.00%\)"/>
    <numFmt numFmtId="171" formatCode="0.000%"/>
    <numFmt numFmtId="172" formatCode="0.0%"/>
    <numFmt numFmtId="173" formatCode="0.00%\ &quot;(Comb)&quot;"/>
    <numFmt numFmtId="174" formatCode="#.00\x"/>
    <numFmt numFmtId="175" formatCode="#,##0%_);\(#,##0%\)"/>
    <numFmt numFmtId="176" formatCode="0.0000%"/>
    <numFmt numFmtId="177" formatCode="0.00\x"/>
    <numFmt numFmtId="178" formatCode="[$-409]mmmm\ d\,\ yyyy;@"/>
    <numFmt numFmtId="179" formatCode="0%\ &quot;of Purchase Price&quot;"/>
    <numFmt numFmtId="180" formatCode="&quot;$&quot;#,##0\ &quot;Reserves&quot;"/>
    <numFmt numFmtId="181" formatCode="0%\ &quot;of Purchase Price *&quot;"/>
    <numFmt numFmtId="182" formatCode="&quot;T12&quot;\ mmmm\ yyyy"/>
    <numFmt numFmtId="183" formatCode="&quot;$&quot;#,##0\ &quot;Unit / Month&quot;"/>
    <numFmt numFmtId="184" formatCode="mmmm\ dd\,\ yyyy"/>
    <numFmt numFmtId="185" formatCode="0.00%\ &quot;Management Fee&quot;"/>
    <numFmt numFmtId="186" formatCode="&quot;Year&quot;\ 0"/>
    <numFmt numFmtId="187" formatCode="_(* #,##0.000_);_(* \(#,##0.000\);_(* &quot;-&quot;??_);_(@_)"/>
    <numFmt numFmtId="188" formatCode="&quot;$&quot;#,##0_)&quot;/ Unit&quot;"/>
    <numFmt numFmtId="189" formatCode="&quot;$&quot;#,##0.00_);[Red]\(&quot;$&quot;#,##0.00\)&quot;/ SF&quot;"/>
    <numFmt numFmtId="190" formatCode="0_);\(0\)"/>
    <numFmt numFmtId="191" formatCode="#.0000\x"/>
    <numFmt numFmtId="192" formatCode="&quot;Release Month:&quot;\ 0"/>
    <numFmt numFmtId="193" formatCode="&quot;Year&quot;\ 0\ &quot;%&quot;"/>
    <numFmt numFmtId="194" formatCode="&quot;$&quot;#,##0_)&quot;/ SF&quot;"/>
    <numFmt numFmtId="195" formatCode="0%\ &quot;Increase over PP&quot;"/>
    <numFmt numFmtId="196" formatCode="&quot;Months Collected:&quot;\ 0"/>
    <numFmt numFmtId="197" formatCode="&quot;Cushion:&quot;\ 0%"/>
    <numFmt numFmtId="198" formatCode="&quot;Year&quot;\ General"/>
    <numFmt numFmtId="199" formatCode="&quot;Month&quot;\ General"/>
    <numFmt numFmtId="200" formatCode="General\ &quot;unit(s)&quot;"/>
    <numFmt numFmtId="201" formatCode="#.000\x"/>
    <numFmt numFmtId="202" formatCode="&quot;$&quot;#,##0.000000000_);\(&quot;$&quot;#,##0.000000000\)"/>
    <numFmt numFmtId="203" formatCode="&quot;$&quot;#,##0.0000000000_);\(&quot;$&quot;#,##0.0000000000\)"/>
    <numFmt numFmtId="204" formatCode="&quot;$&quot;#,##0_)\ &quot;+ 100% CapX&quot;"/>
    <numFmt numFmtId="205" formatCode="0%\ &quot;LTV&quot;"/>
    <numFmt numFmtId="206" formatCode="0%\ &quot;LTC ***&quot;"/>
    <numFmt numFmtId="207" formatCode="0%\ &quot;LTV + 100% CapX&quot;"/>
    <numFmt numFmtId="208" formatCode="0\ &quot;Year&quot;"/>
    <numFmt numFmtId="209" formatCode="&quot;UW NRI Assumes &quot;&quot;$&quot;#,##0&quot; Monthly Collections (Supported by T3 at closing)&quot;"/>
    <numFmt numFmtId="210" formatCode="&quot;UW NOI Assumes Insurance Premium of &quot;&quot;$&quot;#,##0&quot;/unit&quot;"/>
    <numFmt numFmtId="211" formatCode="&quot;Index Rate (&quot;m/d/yyyy&quot;):&quot;"/>
    <numFmt numFmtId="212" formatCode="#,##0_);\(#,##0\);_(&quot;-&quot;_);\ @_)"/>
    <numFmt numFmtId="213" formatCode="\ @_)"/>
    <numFmt numFmtId="214" formatCode="#,##0\ &quot;BR&quot;_);\(#,##0\);&quot;Studio&quot;_);\ @_)"/>
    <numFmt numFmtId="215" formatCode="#,##0\ &quot;sf&quot;_);\(#,##0\ &quot;sf&quot;\)_);_(&quot;-&quot;_);\ @_)"/>
    <numFmt numFmtId="216" formatCode="#,##0%_);\(#,##0%\);&quot;-&quot;_);\ @_)"/>
    <numFmt numFmtId="217" formatCode="#,##0\ &quot;units&quot;_);\(#,##0\ &quot;units&quot;\)_);_(&quot;-&quot;_);\ @_)"/>
    <numFmt numFmtId="218" formatCode="&quot;$&quot;\ #,##0_);\(&quot;$&quot;\ #,##0\);_(&quot;-&quot;_);\ @_)"/>
    <numFmt numFmtId="219" formatCode="&quot;$&quot;\ #,##0.00_);\(&quot;$&quot;\ #,##0.00\);_(&quot;-&quot;_);\ @_)"/>
    <numFmt numFmtId="220" formatCode="#,##0.0_);\(#,##0.0\);_(&quot;-&quot;_);\ @_)"/>
    <numFmt numFmtId="221" formatCode="[$-409]mmm\ d\,\ yyyy_);[Red]&quot;must be date&quot;;[Red]&quot;must be date&quot;;[Red]&quot;must be date&quot;"/>
    <numFmt numFmtId="222" formatCode="#,##0\ &quot;months&quot;_);\(#,##0\ &quot;months&quot;\)_);_(&quot;-&quot;_);\ @_)"/>
    <numFmt numFmtId="223" formatCode="_(#,##0_)_%;\(#,##0\)_%;_(&quot;–&quot;_)_%;_(@_)_%"/>
    <numFmt numFmtId="224" formatCode="0%&quot; Tax Growth&quot;"/>
    <numFmt numFmtId="225" formatCode="0%&quot; Mill Growth&quot;"/>
    <numFmt numFmtId="226" formatCode="&quot;$&quot;#,##0.0000_);[Red]\(&quot;$&quot;#,##0.0000\)"/>
  </numFmts>
  <fonts count="169">
    <font>
      <sz val="11"/>
      <color theme="1"/>
      <name val="Calibri"/>
      <family val="2"/>
      <scheme val="minor"/>
    </font>
    <font>
      <sz val="11"/>
      <color theme="1"/>
      <name val="Calibri"/>
      <family val="2"/>
      <scheme val="minor"/>
    </font>
    <font>
      <sz val="10"/>
      <name val="Arial"/>
      <family val="2"/>
    </font>
    <font>
      <u/>
      <sz val="10"/>
      <color indexed="12"/>
      <name val="Arial"/>
      <family val="2"/>
    </font>
    <font>
      <sz val="11"/>
      <name val="Arial"/>
      <family val="2"/>
    </font>
    <font>
      <sz val="10"/>
      <color theme="1"/>
      <name val="Arial"/>
      <family val="2"/>
    </font>
    <font>
      <sz val="10"/>
      <color theme="1"/>
      <name val="Calibri"/>
      <family val="2"/>
    </font>
    <font>
      <sz val="12"/>
      <color theme="1"/>
      <name val="Arial"/>
      <family val="2"/>
    </font>
    <font>
      <b/>
      <sz val="11"/>
      <color theme="0"/>
      <name val="Arial"/>
      <family val="2"/>
    </font>
    <font>
      <b/>
      <sz val="11"/>
      <name val="Arial"/>
      <family val="2"/>
    </font>
    <font>
      <sz val="12"/>
      <name val="Arial"/>
      <family val="2"/>
    </font>
    <font>
      <sz val="11"/>
      <color theme="1"/>
      <name val="Arial"/>
      <family val="2"/>
    </font>
    <font>
      <b/>
      <sz val="12"/>
      <name val="Arial"/>
      <family val="2"/>
    </font>
    <font>
      <b/>
      <sz val="11"/>
      <color theme="1"/>
      <name val="Arial"/>
      <family val="2"/>
    </font>
    <font>
      <u/>
      <sz val="10"/>
      <color theme="1"/>
      <name val="Arial"/>
      <family val="2"/>
    </font>
    <font>
      <sz val="11"/>
      <color theme="0"/>
      <name val="Arial"/>
      <family val="2"/>
    </font>
    <font>
      <b/>
      <sz val="11"/>
      <color rgb="FFFF0000"/>
      <name val="Calibri"/>
      <family val="2"/>
      <scheme val="minor"/>
    </font>
    <font>
      <sz val="12"/>
      <name val="Arial MT"/>
    </font>
    <font>
      <b/>
      <sz val="12"/>
      <name val="Calibri"/>
      <family val="2"/>
      <scheme val="minor"/>
    </font>
    <font>
      <sz val="10"/>
      <name val="Calibri"/>
      <family val="2"/>
      <scheme val="minor"/>
    </font>
    <font>
      <b/>
      <sz val="10"/>
      <name val="Calibri"/>
      <family val="2"/>
      <scheme val="minor"/>
    </font>
    <font>
      <b/>
      <sz val="12"/>
      <color rgb="FF00B050"/>
      <name val="Arial"/>
      <family val="2"/>
    </font>
    <font>
      <b/>
      <sz val="12"/>
      <color rgb="FF0000FF"/>
      <name val="Arial"/>
      <family val="2"/>
    </font>
    <font>
      <b/>
      <sz val="18"/>
      <color theme="3"/>
      <name val="Arial"/>
      <family val="2"/>
    </font>
    <font>
      <sz val="12"/>
      <color theme="3" tint="-0.249977111117893"/>
      <name val="Arial"/>
      <family val="2"/>
    </font>
    <font>
      <b/>
      <i/>
      <sz val="12"/>
      <color theme="0"/>
      <name val="Arial"/>
      <family val="2"/>
    </font>
    <font>
      <b/>
      <sz val="14"/>
      <name val="Calibri"/>
      <family val="2"/>
      <scheme val="minor"/>
    </font>
    <font>
      <sz val="12"/>
      <name val="Times New Roman"/>
      <family val="1"/>
    </font>
    <font>
      <b/>
      <sz val="10"/>
      <color theme="0"/>
      <name val="Calibri"/>
      <family val="2"/>
      <scheme val="minor"/>
    </font>
    <font>
      <sz val="10"/>
      <color theme="0"/>
      <name val="Calibri"/>
      <family val="2"/>
      <scheme val="minor"/>
    </font>
    <font>
      <sz val="10"/>
      <color rgb="FF00B050"/>
      <name val="Calibri"/>
      <family val="2"/>
      <scheme val="minor"/>
    </font>
    <font>
      <b/>
      <sz val="9"/>
      <color indexed="81"/>
      <name val="Tahoma"/>
      <family val="2"/>
    </font>
    <font>
      <sz val="9"/>
      <color indexed="81"/>
      <name val="Tahoma"/>
      <family val="2"/>
    </font>
    <font>
      <b/>
      <sz val="12"/>
      <color indexed="81"/>
      <name val="Tahoma"/>
      <family val="2"/>
    </font>
    <font>
      <sz val="12"/>
      <color indexed="81"/>
      <name val="Tahoma"/>
      <family val="2"/>
    </font>
    <font>
      <b/>
      <sz val="18"/>
      <color theme="3"/>
      <name val="Jost"/>
    </font>
    <font>
      <sz val="11"/>
      <color theme="1"/>
      <name val="Jost"/>
    </font>
    <font>
      <b/>
      <sz val="11"/>
      <name val="Jost"/>
    </font>
    <font>
      <b/>
      <sz val="12"/>
      <color theme="0"/>
      <name val="Jost"/>
    </font>
    <font>
      <sz val="12"/>
      <color theme="1"/>
      <name val="Jost"/>
    </font>
    <font>
      <b/>
      <sz val="18"/>
      <color rgb="FF0000FF"/>
      <name val="Jost"/>
    </font>
    <font>
      <sz val="12"/>
      <color theme="3"/>
      <name val="Jost"/>
    </font>
    <font>
      <b/>
      <sz val="12"/>
      <color rgb="FF0000FF"/>
      <name val="Jost"/>
    </font>
    <font>
      <b/>
      <sz val="12"/>
      <color theme="3"/>
      <name val="Jost"/>
    </font>
    <font>
      <sz val="12"/>
      <color rgb="FF00B050"/>
      <name val="Jost"/>
    </font>
    <font>
      <b/>
      <sz val="12"/>
      <color rgb="FF00B050"/>
      <name val="Jost"/>
    </font>
    <font>
      <sz val="12"/>
      <name val="Jost"/>
    </font>
    <font>
      <sz val="12"/>
      <color rgb="FF0000FF"/>
      <name val="Jost"/>
    </font>
    <font>
      <b/>
      <i/>
      <sz val="12"/>
      <color rgb="FF0000FF"/>
      <name val="Jost"/>
    </font>
    <font>
      <sz val="12"/>
      <color theme="3" tint="-0.249977111117893"/>
      <name val="Jost"/>
    </font>
    <font>
      <b/>
      <sz val="16"/>
      <color theme="3"/>
      <name val="Jost"/>
    </font>
    <font>
      <sz val="18"/>
      <color theme="3"/>
      <name val="Jost"/>
    </font>
    <font>
      <sz val="18"/>
      <color theme="1"/>
      <name val="Jost"/>
    </font>
    <font>
      <sz val="10"/>
      <color theme="1"/>
      <name val="Jost"/>
    </font>
    <font>
      <sz val="12"/>
      <color theme="0"/>
      <name val="Jost"/>
    </font>
    <font>
      <i/>
      <sz val="12"/>
      <color theme="1"/>
      <name val="Jost"/>
    </font>
    <font>
      <b/>
      <sz val="11"/>
      <color theme="0"/>
      <name val="Jost"/>
    </font>
    <font>
      <i/>
      <sz val="12"/>
      <name val="Jost"/>
    </font>
    <font>
      <b/>
      <sz val="12"/>
      <name val="Jost"/>
    </font>
    <font>
      <b/>
      <sz val="11"/>
      <color theme="1"/>
      <name val="Jost"/>
    </font>
    <font>
      <sz val="8"/>
      <color theme="1"/>
      <name val="Jost"/>
    </font>
    <font>
      <b/>
      <sz val="8"/>
      <color rgb="FF0000FF"/>
      <name val="Jost"/>
    </font>
    <font>
      <i/>
      <sz val="12"/>
      <color rgb="FF00B050"/>
      <name val="Jost"/>
    </font>
    <font>
      <sz val="11"/>
      <color rgb="FFFF0000"/>
      <name val="Jost"/>
    </font>
    <font>
      <b/>
      <sz val="11"/>
      <color rgb="FFFF0000"/>
      <name val="Jost"/>
    </font>
    <font>
      <sz val="10"/>
      <name val="Jost"/>
    </font>
    <font>
      <b/>
      <sz val="16"/>
      <name val="Jost"/>
    </font>
    <font>
      <b/>
      <i/>
      <sz val="12"/>
      <name val="Jost"/>
    </font>
    <font>
      <b/>
      <i/>
      <sz val="12"/>
      <color theme="0"/>
      <name val="Jost"/>
    </font>
    <font>
      <b/>
      <sz val="10"/>
      <color theme="0"/>
      <name val="Jost"/>
    </font>
    <font>
      <i/>
      <sz val="12"/>
      <color theme="0"/>
      <name val="Jost"/>
    </font>
    <font>
      <b/>
      <sz val="16"/>
      <color theme="1"/>
      <name val="Jost"/>
    </font>
    <font>
      <sz val="11"/>
      <color theme="0"/>
      <name val="Jost"/>
    </font>
    <font>
      <b/>
      <sz val="12"/>
      <color theme="1"/>
      <name val="Jost"/>
    </font>
    <font>
      <b/>
      <i/>
      <sz val="12"/>
      <color rgb="FF00B050"/>
      <name val="Jost"/>
    </font>
    <font>
      <b/>
      <sz val="10"/>
      <color rgb="FF00B050"/>
      <name val="Jost"/>
    </font>
    <font>
      <b/>
      <i/>
      <sz val="12"/>
      <color theme="1"/>
      <name val="Jost"/>
    </font>
    <font>
      <sz val="11"/>
      <name val="Jost"/>
    </font>
    <font>
      <sz val="10"/>
      <color theme="3" tint="0.39997558519241921"/>
      <name val="Jost"/>
    </font>
    <font>
      <sz val="11"/>
      <color rgb="FF00B050"/>
      <name val="Jost"/>
    </font>
    <font>
      <u/>
      <sz val="11"/>
      <color theme="1"/>
      <name val="Jost"/>
    </font>
    <font>
      <u/>
      <sz val="11"/>
      <color theme="0"/>
      <name val="Jost"/>
    </font>
    <font>
      <b/>
      <sz val="12"/>
      <color rgb="FFFF0000"/>
      <name val="Jost"/>
    </font>
    <font>
      <b/>
      <sz val="14"/>
      <color rgb="FFFFFFFF"/>
      <name val="Jost"/>
    </font>
    <font>
      <sz val="14"/>
      <color rgb="FF666666"/>
      <name val="Jost"/>
    </font>
    <font>
      <b/>
      <sz val="14"/>
      <color rgb="FF62B5E5"/>
      <name val="Jost"/>
    </font>
    <font>
      <b/>
      <sz val="16"/>
      <color theme="0"/>
      <name val="Jost"/>
    </font>
    <font>
      <sz val="18"/>
      <name val="Jost"/>
    </font>
    <font>
      <b/>
      <sz val="20"/>
      <color theme="0"/>
      <name val="Jost"/>
    </font>
    <font>
      <sz val="12"/>
      <color rgb="FF666666"/>
      <name val="Jost"/>
    </font>
    <font>
      <b/>
      <sz val="14"/>
      <color theme="0"/>
      <name val="Jost"/>
    </font>
    <font>
      <sz val="14"/>
      <color theme="1"/>
      <name val="Jost"/>
    </font>
    <font>
      <sz val="14"/>
      <color theme="3" tint="-0.249977111117893"/>
      <name val="Jost"/>
    </font>
    <font>
      <b/>
      <sz val="12"/>
      <color rgb="FF666666"/>
      <name val="Jost"/>
    </font>
    <font>
      <i/>
      <sz val="12"/>
      <color rgb="FF666666"/>
      <name val="Jost"/>
    </font>
    <font>
      <b/>
      <sz val="11"/>
      <color rgb="FF666666"/>
      <name val="Jost"/>
    </font>
    <font>
      <sz val="10"/>
      <color rgb="FF666666"/>
      <name val="Jost"/>
    </font>
    <font>
      <b/>
      <i/>
      <sz val="10"/>
      <color rgb="FF666666"/>
      <name val="Jost"/>
    </font>
    <font>
      <b/>
      <sz val="16"/>
      <color rgb="FF666666"/>
      <name val="Jost"/>
    </font>
    <font>
      <sz val="11"/>
      <color rgb="FF0000FF"/>
      <name val="Jost"/>
    </font>
    <font>
      <b/>
      <sz val="11"/>
      <color rgb="FF0000FF"/>
      <name val="Jost"/>
    </font>
    <font>
      <b/>
      <sz val="18"/>
      <color rgb="FF666666"/>
      <name val="Jost"/>
    </font>
    <font>
      <i/>
      <sz val="12"/>
      <name val="Arial"/>
      <family val="2"/>
    </font>
    <font>
      <sz val="11"/>
      <name val="Calibri"/>
      <family val="2"/>
    </font>
    <font>
      <sz val="11"/>
      <color rgb="FFFFFFFF"/>
      <name val="Calibri"/>
      <family val="2"/>
    </font>
    <font>
      <u/>
      <sz val="11"/>
      <color theme="10"/>
      <name val="Calibri"/>
      <family val="2"/>
      <scheme val="minor"/>
    </font>
    <font>
      <b/>
      <sz val="10"/>
      <name val="Jost"/>
    </font>
    <font>
      <b/>
      <u/>
      <sz val="12"/>
      <color theme="1"/>
      <name val="Jost"/>
    </font>
    <font>
      <b/>
      <sz val="14"/>
      <color theme="1"/>
      <name val="Jost"/>
    </font>
    <font>
      <b/>
      <sz val="14"/>
      <color rgb="FF0000FF"/>
      <name val="Jost"/>
    </font>
    <font>
      <i/>
      <sz val="11"/>
      <name val="Jost"/>
    </font>
    <font>
      <i/>
      <sz val="11"/>
      <color theme="1"/>
      <name val="Jost"/>
    </font>
    <font>
      <b/>
      <i/>
      <sz val="11"/>
      <color theme="1"/>
      <name val="Jost"/>
    </font>
    <font>
      <b/>
      <sz val="10"/>
      <color rgb="FF0000FF"/>
      <name val="Jost"/>
    </font>
    <font>
      <sz val="10"/>
      <color rgb="FF000000"/>
      <name val="Jost"/>
    </font>
    <font>
      <b/>
      <sz val="11"/>
      <color rgb="FF666666"/>
      <name val="Arial"/>
      <family val="2"/>
    </font>
    <font>
      <b/>
      <i/>
      <sz val="10"/>
      <color theme="1"/>
      <name val="Jost"/>
    </font>
    <font>
      <i/>
      <sz val="10"/>
      <name val="Jost"/>
    </font>
    <font>
      <sz val="10"/>
      <color theme="3"/>
      <name val="Jost"/>
    </font>
    <font>
      <sz val="10"/>
      <color rgb="FF003DA6"/>
      <name val="Jost"/>
    </font>
    <font>
      <b/>
      <u/>
      <sz val="10"/>
      <color rgb="FF003DA6"/>
      <name val="Jost"/>
    </font>
    <font>
      <b/>
      <sz val="11"/>
      <color rgb="FF003DA6"/>
      <name val="Jost"/>
    </font>
    <font>
      <b/>
      <sz val="10"/>
      <color rgb="FF666666"/>
      <name val="Jost"/>
    </font>
    <font>
      <b/>
      <sz val="12"/>
      <color rgb="FF003DA6"/>
      <name val="Jost"/>
    </font>
    <font>
      <b/>
      <sz val="10"/>
      <color rgb="FF003DA6"/>
      <name val="Jost"/>
    </font>
    <font>
      <sz val="11"/>
      <color rgb="FF003DA6"/>
      <name val="Jost"/>
    </font>
    <font>
      <b/>
      <i/>
      <sz val="10"/>
      <color rgb="FF62B5E5"/>
      <name val="Jost"/>
    </font>
    <font>
      <b/>
      <sz val="10"/>
      <color rgb="FF62B5E5"/>
      <name val="Jost"/>
    </font>
    <font>
      <i/>
      <sz val="10"/>
      <color theme="1"/>
      <name val="Jost"/>
    </font>
    <font>
      <i/>
      <sz val="11"/>
      <color rgb="FF00B050"/>
      <name val="Jost"/>
    </font>
    <font>
      <b/>
      <i/>
      <sz val="12"/>
      <color rgb="FF666666"/>
      <name val="Jost"/>
    </font>
    <font>
      <b/>
      <sz val="18"/>
      <color theme="0"/>
      <name val="Jost"/>
    </font>
    <font>
      <b/>
      <i/>
      <sz val="16"/>
      <color rgb="FF003DA6"/>
      <name val="Jost"/>
    </font>
    <font>
      <b/>
      <i/>
      <sz val="12"/>
      <color rgb="FF003DA6"/>
      <name val="Jost"/>
    </font>
    <font>
      <sz val="11"/>
      <color rgb="FF666666"/>
      <name val="Jost"/>
    </font>
    <font>
      <sz val="11"/>
      <color theme="3"/>
      <name val="Jost"/>
    </font>
    <font>
      <b/>
      <sz val="11"/>
      <color rgb="FF002060"/>
      <name val="Jost"/>
    </font>
    <font>
      <b/>
      <sz val="11"/>
      <color theme="3"/>
      <name val="Jost"/>
    </font>
    <font>
      <i/>
      <sz val="12"/>
      <color theme="3"/>
      <name val="Jost"/>
    </font>
    <font>
      <b/>
      <sz val="10"/>
      <color theme="1"/>
      <name val="Jost"/>
    </font>
    <font>
      <sz val="8"/>
      <color theme="1"/>
      <name val="Trebuchet MS"/>
      <family val="2"/>
    </font>
    <font>
      <sz val="10"/>
      <color rgb="FF0000FF"/>
      <name val="Jost"/>
    </font>
    <font>
      <b/>
      <sz val="12"/>
      <color theme="6"/>
      <name val="Jost"/>
    </font>
    <font>
      <b/>
      <i/>
      <sz val="12"/>
      <color theme="6"/>
      <name val="Jost"/>
    </font>
    <font>
      <sz val="9"/>
      <color theme="1"/>
      <name val="Calibri"/>
      <family val="2"/>
      <scheme val="minor"/>
    </font>
    <font>
      <b/>
      <sz val="9"/>
      <color theme="0"/>
      <name val="Calibri"/>
      <family val="2"/>
      <scheme val="minor"/>
    </font>
    <font>
      <b/>
      <sz val="9"/>
      <name val="Calibri"/>
      <family val="2"/>
      <scheme val="minor"/>
    </font>
    <font>
      <sz val="9"/>
      <color rgb="FF0000CC"/>
      <name val="Calibri"/>
      <family val="2"/>
      <scheme val="minor"/>
    </font>
    <font>
      <sz val="10"/>
      <name val="Palacio CS ATT"/>
      <family val="1"/>
    </font>
    <font>
      <sz val="10"/>
      <color theme="1"/>
      <name val="Calibri"/>
      <family val="2"/>
      <scheme val="minor"/>
    </font>
    <font>
      <sz val="12"/>
      <color rgb="FFFF0000"/>
      <name val="Jost"/>
    </font>
    <font>
      <i/>
      <sz val="12"/>
      <color rgb="FFFF0000"/>
      <name val="Jost"/>
    </font>
    <font>
      <b/>
      <sz val="9"/>
      <color theme="1"/>
      <name val="Calibri"/>
      <family val="2"/>
      <scheme val="minor"/>
    </font>
    <font>
      <i/>
      <sz val="9"/>
      <color theme="1"/>
      <name val="Calibri"/>
      <family val="2"/>
      <scheme val="minor"/>
    </font>
    <font>
      <sz val="9"/>
      <color rgb="FF0000FF"/>
      <name val="Calibri"/>
      <family val="2"/>
      <scheme val="minor"/>
    </font>
    <font>
      <sz val="11"/>
      <color theme="1"/>
      <name val="Calibri"/>
      <family val="2"/>
    </font>
    <font>
      <b/>
      <sz val="12"/>
      <color rgb="FF003DA6"/>
      <name val="Arial"/>
      <family val="2"/>
    </font>
    <font>
      <sz val="10"/>
      <color rgb="FFFF0000"/>
      <name val="Jost"/>
    </font>
    <font>
      <b/>
      <sz val="9"/>
      <color rgb="FFFF0000"/>
      <name val="Calibri"/>
      <family val="2"/>
      <scheme val="minor"/>
    </font>
    <font>
      <sz val="10"/>
      <color theme="1"/>
      <name val="Times New Roman"/>
      <family val="1"/>
    </font>
    <font>
      <b/>
      <u/>
      <sz val="10"/>
      <color theme="1"/>
      <name val="Times New Roman"/>
      <family val="1"/>
    </font>
    <font>
      <u/>
      <sz val="10"/>
      <color theme="1"/>
      <name val="Times New Roman"/>
      <family val="1"/>
    </font>
    <font>
      <b/>
      <sz val="10"/>
      <color theme="1"/>
      <name val="Times New Roman"/>
      <family val="1"/>
    </font>
    <font>
      <sz val="10"/>
      <color rgb="FF0070C0"/>
      <name val="Times New Roman"/>
      <family val="1"/>
    </font>
    <font>
      <u/>
      <sz val="10"/>
      <color rgb="FF0070C0"/>
      <name val="Times New Roman"/>
      <family val="1"/>
    </font>
    <font>
      <b/>
      <sz val="8"/>
      <name val="Tahoma"/>
      <family val="2"/>
    </font>
    <font>
      <sz val="8"/>
      <name val="Tahoma"/>
      <family val="2"/>
    </font>
    <font>
      <sz val="8"/>
      <color rgb="FF000000"/>
      <name val="Segoe UI"/>
      <family val="2"/>
    </font>
    <font>
      <sz val="11"/>
      <color rgb="FF000000"/>
      <name val="Calibri"/>
      <family val="2"/>
    </font>
  </fonts>
  <fills count="4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bgColor indexed="64"/>
      </patternFill>
    </fill>
    <fill>
      <patternFill patternType="solid">
        <fgColor indexed="22"/>
        <bgColor indexed="64"/>
      </patternFill>
    </fill>
    <fill>
      <patternFill patternType="solid">
        <fgColor indexed="26"/>
        <bgColor indexed="64"/>
      </patternFill>
    </fill>
    <fill>
      <patternFill patternType="solid">
        <fgColor theme="3" tint="0.59999389629810485"/>
        <bgColor indexed="64"/>
      </patternFill>
    </fill>
    <fill>
      <patternFill patternType="solid">
        <fgColor theme="3"/>
        <bgColor indexed="64"/>
      </patternFill>
    </fill>
    <fill>
      <patternFill patternType="solid">
        <fgColor theme="6"/>
        <bgColor indexed="64"/>
      </patternFill>
    </fill>
    <fill>
      <patternFill patternType="solid">
        <fgColor theme="3" tint="0.79998168889431442"/>
        <bgColor indexed="64"/>
      </patternFill>
    </fill>
    <fill>
      <patternFill patternType="solid">
        <fgColor theme="0" tint="-0.34998626667073579"/>
        <bgColor indexed="64"/>
      </patternFill>
    </fill>
    <fill>
      <patternFill patternType="solid">
        <fgColor theme="4" tint="0.749992370372631"/>
        <bgColor indexed="64"/>
      </patternFill>
    </fill>
    <fill>
      <patternFill patternType="solid">
        <fgColor theme="5" tint="0.79998168889431442"/>
        <bgColor indexed="64"/>
      </patternFill>
    </fill>
    <fill>
      <patternFill patternType="solid">
        <fgColor rgb="FFFFC000"/>
        <bgColor indexed="64"/>
      </patternFill>
    </fill>
    <fill>
      <patternFill patternType="solid">
        <fgColor theme="4" tint="0.89999084444715716"/>
        <bgColor indexed="64"/>
      </patternFill>
    </fill>
    <fill>
      <patternFill patternType="solid">
        <fgColor rgb="FF003DA6"/>
        <bgColor indexed="64"/>
      </patternFill>
    </fill>
    <fill>
      <patternFill patternType="solid">
        <fgColor rgb="FFE7E8F0"/>
        <bgColor indexed="64"/>
      </patternFill>
    </fill>
    <fill>
      <patternFill patternType="solid">
        <fgColor rgb="FF3E3E3E"/>
        <bgColor indexed="64"/>
      </patternFill>
    </fill>
    <fill>
      <patternFill patternType="solid">
        <fgColor theme="4" tint="0.499984740745262"/>
        <bgColor indexed="64"/>
      </patternFill>
    </fill>
    <fill>
      <patternFill patternType="solid">
        <fgColor rgb="FF002060"/>
        <bgColor indexed="64"/>
      </patternFill>
    </fill>
    <fill>
      <patternFill patternType="solid">
        <fgColor rgb="FFD5EDFF"/>
        <bgColor indexed="64"/>
      </patternFill>
    </fill>
    <fill>
      <patternFill patternType="solid">
        <fgColor theme="2"/>
        <bgColor indexed="64"/>
      </patternFill>
    </fill>
    <fill>
      <patternFill patternType="solid">
        <fgColor rgb="FFD4E5F7"/>
        <bgColor indexed="64"/>
      </patternFill>
    </fill>
    <fill>
      <patternFill patternType="solid">
        <fgColor theme="0" tint="-4.9989318521683403E-2"/>
        <bgColor indexed="64"/>
      </patternFill>
    </fill>
    <fill>
      <patternFill patternType="solid">
        <fgColor rgb="FF62B5E5"/>
        <bgColor indexed="64"/>
      </patternFill>
    </fill>
    <fill>
      <patternFill patternType="solid">
        <fgColor rgb="FFCCECFF"/>
        <bgColor indexed="64"/>
      </patternFill>
    </fill>
    <fill>
      <patternFill patternType="solid">
        <fgColor theme="1"/>
        <bgColor indexed="64"/>
      </patternFill>
    </fill>
    <fill>
      <patternFill patternType="solid">
        <fgColor rgb="FFF4F7ED"/>
        <bgColor indexed="64"/>
      </patternFill>
    </fill>
    <fill>
      <patternFill patternType="solid">
        <fgColor theme="8" tint="-0.24994659260841701"/>
        <bgColor indexed="64"/>
      </patternFill>
    </fill>
    <fill>
      <patternFill patternType="solid">
        <fgColor rgb="FFF5F5F5"/>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4.9958800012207406E-2"/>
        <bgColor indexed="64"/>
      </patternFill>
    </fill>
    <fill>
      <patternFill patternType="solid">
        <fgColor rgb="FFEAEAEA"/>
        <bgColor indexed="64"/>
      </patternFill>
    </fill>
    <fill>
      <patternFill patternType="solid">
        <fgColor rgb="FF00B050"/>
        <bgColor indexed="64"/>
      </patternFill>
    </fill>
    <fill>
      <patternFill patternType="solid">
        <fgColor theme="9" tint="0.59999389629810485"/>
        <bgColor indexed="64"/>
      </patternFill>
    </fill>
  </fills>
  <borders count="107">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hair">
        <color auto="1"/>
      </bottom>
      <diagonal/>
    </border>
    <border>
      <left/>
      <right/>
      <top style="hair">
        <color auto="1"/>
      </top>
      <bottom/>
      <diagonal/>
    </border>
    <border>
      <left style="thin">
        <color indexed="64"/>
      </left>
      <right/>
      <top style="hair">
        <color auto="1"/>
      </top>
      <bottom/>
      <diagonal/>
    </border>
    <border>
      <left/>
      <right/>
      <top style="hair">
        <color auto="1"/>
      </top>
      <bottom style="thin">
        <color indexed="64"/>
      </bottom>
      <diagonal/>
    </border>
    <border>
      <left/>
      <right/>
      <top/>
      <bottom style="double">
        <color indexed="64"/>
      </bottom>
      <diagonal/>
    </border>
    <border>
      <left/>
      <right/>
      <top/>
      <bottom style="medium">
        <color auto="1"/>
      </bottom>
      <diagonal/>
    </border>
    <border>
      <left/>
      <right style="medium">
        <color indexed="64"/>
      </right>
      <top/>
      <bottom/>
      <diagonal/>
    </border>
    <border>
      <left/>
      <right/>
      <top style="thin">
        <color auto="1"/>
      </top>
      <bottom style="thin">
        <color auto="1"/>
      </bottom>
      <diagonal/>
    </border>
    <border>
      <left/>
      <right/>
      <top style="thin">
        <color indexed="64"/>
      </top>
      <bottom style="double">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dotted">
        <color theme="3"/>
      </bottom>
      <diagonal/>
    </border>
    <border>
      <left/>
      <right/>
      <top style="dotted">
        <color theme="3"/>
      </top>
      <bottom style="medium">
        <color theme="3"/>
      </bottom>
      <diagonal/>
    </border>
    <border>
      <left/>
      <right/>
      <top/>
      <bottom style="medium">
        <color theme="3"/>
      </bottom>
      <diagonal/>
    </border>
    <border>
      <left/>
      <right/>
      <top style="medium">
        <color theme="3"/>
      </top>
      <bottom/>
      <diagonal/>
    </border>
    <border>
      <left/>
      <right style="thin">
        <color indexed="64"/>
      </right>
      <top/>
      <bottom style="medium">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64"/>
      </left>
      <right style="thin">
        <color auto="1"/>
      </right>
      <top style="thin">
        <color indexed="64"/>
      </top>
      <bottom/>
      <diagonal/>
    </border>
    <border>
      <left style="thin">
        <color indexed="64"/>
      </left>
      <right style="thin">
        <color auto="1"/>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hair">
        <color auto="1"/>
      </top>
      <bottom/>
      <diagonal/>
    </border>
    <border>
      <left/>
      <right/>
      <top style="dotted">
        <color theme="3"/>
      </top>
      <bottom style="dotted">
        <color theme="3"/>
      </bottom>
      <diagonal/>
    </border>
    <border>
      <left style="medium">
        <color theme="6"/>
      </left>
      <right style="medium">
        <color theme="6"/>
      </right>
      <top style="medium">
        <color theme="6"/>
      </top>
      <bottom/>
      <diagonal/>
    </border>
    <border>
      <left style="medium">
        <color theme="6"/>
      </left>
      <right/>
      <top style="medium">
        <color theme="6"/>
      </top>
      <bottom/>
      <diagonal/>
    </border>
    <border>
      <left/>
      <right style="medium">
        <color theme="6"/>
      </right>
      <top style="medium">
        <color theme="6"/>
      </top>
      <bottom/>
      <diagonal/>
    </border>
    <border>
      <left style="medium">
        <color theme="6"/>
      </left>
      <right style="medium">
        <color theme="6"/>
      </right>
      <top/>
      <bottom/>
      <diagonal/>
    </border>
    <border>
      <left style="medium">
        <color theme="6"/>
      </left>
      <right/>
      <top/>
      <bottom/>
      <diagonal/>
    </border>
    <border>
      <left/>
      <right style="medium">
        <color theme="6"/>
      </right>
      <top/>
      <bottom/>
      <diagonal/>
    </border>
    <border>
      <left style="medium">
        <color theme="6"/>
      </left>
      <right style="medium">
        <color theme="6"/>
      </right>
      <top/>
      <bottom style="dotted">
        <color theme="3"/>
      </bottom>
      <diagonal/>
    </border>
    <border>
      <left style="medium">
        <color theme="6"/>
      </left>
      <right/>
      <top/>
      <bottom style="dotted">
        <color theme="3"/>
      </bottom>
      <diagonal/>
    </border>
    <border>
      <left/>
      <right style="medium">
        <color theme="6"/>
      </right>
      <top/>
      <bottom style="dotted">
        <color theme="3"/>
      </bottom>
      <diagonal/>
    </border>
    <border>
      <left style="medium">
        <color theme="6"/>
      </left>
      <right/>
      <top style="dotted">
        <color theme="3"/>
      </top>
      <bottom style="medium">
        <color theme="3"/>
      </bottom>
      <diagonal/>
    </border>
    <border>
      <left/>
      <right style="medium">
        <color theme="6"/>
      </right>
      <top style="dotted">
        <color theme="3"/>
      </top>
      <bottom style="medium">
        <color theme="3"/>
      </bottom>
      <diagonal/>
    </border>
    <border>
      <left/>
      <right/>
      <top style="medium">
        <color rgb="FF3E3E3E"/>
      </top>
      <bottom/>
      <diagonal/>
    </border>
    <border>
      <left style="medium">
        <color rgb="FF3E3E3E"/>
      </left>
      <right/>
      <top style="medium">
        <color rgb="FF3E3E3E"/>
      </top>
      <bottom/>
      <diagonal/>
    </border>
    <border>
      <left/>
      <right style="medium">
        <color rgb="FF3E3E3E"/>
      </right>
      <top style="medium">
        <color rgb="FF3E3E3E"/>
      </top>
      <bottom/>
      <diagonal/>
    </border>
    <border>
      <left/>
      <right style="medium">
        <color rgb="FF3E3E3E"/>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theme="3"/>
      </top>
      <bottom style="medium">
        <color theme="3"/>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medium">
        <color indexed="64"/>
      </top>
      <bottom style="medium">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rgb="FF002060"/>
      </left>
      <right/>
      <top style="medium">
        <color rgb="FF002060"/>
      </top>
      <bottom/>
      <diagonal/>
    </border>
    <border>
      <left/>
      <right/>
      <top style="medium">
        <color rgb="FF002060"/>
      </top>
      <bottom/>
      <diagonal/>
    </border>
    <border>
      <left/>
      <right style="medium">
        <color rgb="FF002060"/>
      </right>
      <top style="medium">
        <color rgb="FF002060"/>
      </top>
      <bottom/>
      <diagonal/>
    </border>
    <border>
      <left/>
      <right/>
      <top/>
      <bottom style="medium">
        <color rgb="FF002060"/>
      </bottom>
      <diagonal/>
    </border>
    <border>
      <left/>
      <right style="medium">
        <color rgb="FF002060"/>
      </right>
      <top/>
      <bottom style="medium">
        <color rgb="FF002060"/>
      </bottom>
      <diagonal/>
    </border>
    <border>
      <left style="medium">
        <color rgb="FF002060"/>
      </left>
      <right style="thin">
        <color rgb="FF002060"/>
      </right>
      <top/>
      <bottom style="medium">
        <color rgb="FF002060"/>
      </bottom>
      <diagonal/>
    </border>
    <border>
      <left style="medium">
        <color rgb="FF002060"/>
      </left>
      <right style="thin">
        <color rgb="FF002060"/>
      </right>
      <top/>
      <bottom style="hair">
        <color rgb="FF002060"/>
      </bottom>
      <diagonal/>
    </border>
    <border>
      <left/>
      <right/>
      <top/>
      <bottom style="hair">
        <color rgb="FF002060"/>
      </bottom>
      <diagonal/>
    </border>
    <border>
      <left/>
      <right style="medium">
        <color rgb="FF002060"/>
      </right>
      <top/>
      <bottom style="hair">
        <color rgb="FF002060"/>
      </bottom>
      <diagonal/>
    </border>
    <border>
      <left style="medium">
        <color rgb="FF002060"/>
      </left>
      <right style="thin">
        <color rgb="FF002060"/>
      </right>
      <top style="hair">
        <color rgb="FF002060"/>
      </top>
      <bottom style="hair">
        <color rgb="FF002060"/>
      </bottom>
      <diagonal/>
    </border>
    <border>
      <left/>
      <right/>
      <top style="hair">
        <color rgb="FF002060"/>
      </top>
      <bottom style="hair">
        <color rgb="FF002060"/>
      </bottom>
      <diagonal/>
    </border>
    <border>
      <left/>
      <right style="medium">
        <color rgb="FF002060"/>
      </right>
      <top style="hair">
        <color rgb="FF002060"/>
      </top>
      <bottom style="hair">
        <color rgb="FF002060"/>
      </bottom>
      <diagonal/>
    </border>
    <border>
      <left style="medium">
        <color rgb="FF002060"/>
      </left>
      <right style="thin">
        <color rgb="FF002060"/>
      </right>
      <top style="hair">
        <color rgb="FF002060"/>
      </top>
      <bottom style="thin">
        <color rgb="FF002060"/>
      </bottom>
      <diagonal/>
    </border>
    <border>
      <left/>
      <right/>
      <top style="hair">
        <color rgb="FF002060"/>
      </top>
      <bottom style="thin">
        <color rgb="FF002060"/>
      </bottom>
      <diagonal/>
    </border>
    <border>
      <left/>
      <right style="medium">
        <color rgb="FF002060"/>
      </right>
      <top style="hair">
        <color rgb="FF002060"/>
      </top>
      <bottom style="thin">
        <color rgb="FF002060"/>
      </bottom>
      <diagonal/>
    </border>
    <border>
      <left/>
      <right/>
      <top/>
      <bottom style="thin">
        <color rgb="FF003DA6"/>
      </bottom>
      <diagonal/>
    </border>
    <border>
      <left style="thin">
        <color rgb="FF7F7F7F"/>
      </left>
      <right style="thin">
        <color rgb="FF7F7F7F"/>
      </right>
      <top style="thin">
        <color rgb="FF7F7F7F"/>
      </top>
      <bottom style="thin">
        <color rgb="FF7F7F7F"/>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rgb="FFC4C4C4"/>
      </left>
      <right style="thin">
        <color rgb="FFC4C4C4"/>
      </right>
      <top style="thin">
        <color rgb="FFC4C4C4"/>
      </top>
      <bottom style="thin">
        <color rgb="FFC4C4C4"/>
      </bottom>
      <diagonal/>
    </border>
    <border>
      <left style="medium">
        <color auto="1"/>
      </left>
      <right/>
      <top/>
      <bottom/>
      <diagonal/>
    </border>
    <border>
      <left style="medium">
        <color auto="1"/>
      </left>
      <right/>
      <top/>
      <bottom style="medium">
        <color auto="1"/>
      </bottom>
      <diagonal/>
    </border>
    <border>
      <left/>
      <right style="medium">
        <color auto="1"/>
      </right>
      <top/>
      <bottom style="medium">
        <color auto="1"/>
      </bottom>
      <diagonal/>
    </border>
    <border>
      <left style="hair">
        <color auto="1"/>
      </left>
      <right style="medium">
        <color auto="1"/>
      </right>
      <top/>
      <bottom style="hair">
        <color auto="1"/>
      </bottom>
      <diagonal/>
    </border>
    <border>
      <left style="medium">
        <color auto="1"/>
      </left>
      <right style="hair">
        <color auto="1"/>
      </right>
      <top/>
      <bottom style="hair">
        <color auto="1"/>
      </bottom>
      <diagonal/>
    </border>
    <border>
      <left style="medium">
        <color auto="1"/>
      </left>
      <right/>
      <top/>
      <bottom style="thin">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right/>
      <top style="medium">
        <color indexed="64"/>
      </top>
      <bottom/>
      <diagonal/>
    </border>
    <border>
      <left style="hair">
        <color theme="0" tint="-0.24991607409894101"/>
      </left>
      <right style="hair">
        <color theme="0" tint="-0.24991607409894101"/>
      </right>
      <top/>
      <bottom/>
      <diagonal/>
    </border>
    <border>
      <left/>
      <right style="hair">
        <color theme="0" tint="-0.24991607409894101"/>
      </right>
      <top/>
      <bottom/>
      <diagonal/>
    </border>
    <border>
      <left style="thin">
        <color theme="0" tint="-0.49995422223578601"/>
      </left>
      <right style="hair">
        <color theme="0" tint="-0.24991607409894101"/>
      </right>
      <top/>
      <bottom/>
      <diagonal/>
    </border>
    <border>
      <left style="hair">
        <color theme="0" tint="-0.24991607409894101"/>
      </left>
      <right style="thin">
        <color theme="0" tint="-0.49995422223578601"/>
      </right>
      <top/>
      <bottom/>
      <diagonal/>
    </border>
    <border>
      <left style="thin">
        <color theme="0" tint="-0.24991607409894101"/>
      </left>
      <right style="hair">
        <color theme="0" tint="-0.24991607409894101"/>
      </right>
      <top/>
      <bottom/>
      <diagonal/>
    </border>
    <border>
      <left/>
      <right/>
      <top/>
      <bottom style="thin">
        <color rgb="FF000000"/>
      </bottom>
      <diagonal/>
    </border>
    <border>
      <left/>
      <right/>
      <top style="thin">
        <color rgb="FF000000"/>
      </top>
      <bottom/>
      <diagonal/>
    </border>
    <border>
      <left/>
      <right/>
      <top/>
      <bottom style="thin">
        <color rgb="FFCCCCCC"/>
      </bottom>
      <diagonal/>
    </border>
    <border>
      <left/>
      <right/>
      <top style="thin">
        <color rgb="FFCCCCCC"/>
      </top>
      <bottom style="double">
        <color rgb="FFCCCCCC"/>
      </bottom>
      <diagonal/>
    </border>
    <border>
      <left/>
      <right/>
      <top style="double">
        <color rgb="FFCCCCCC"/>
      </top>
      <bottom/>
      <diagonal/>
    </border>
    <border>
      <left/>
      <right/>
      <top style="thin">
        <color rgb="FF000000"/>
      </top>
      <bottom style="thin">
        <color rgb="FF000000"/>
      </bottom>
      <diagonal/>
    </border>
    <border>
      <left style="medium">
        <color auto="1"/>
      </left>
      <right/>
      <top style="medium">
        <color auto="1"/>
      </top>
      <bottom/>
      <diagonal/>
    </border>
    <border>
      <left/>
      <right style="medium">
        <color auto="1"/>
      </right>
      <top style="medium">
        <color auto="1"/>
      </top>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medium">
        <color indexed="8"/>
      </bottom>
      <diagonal/>
    </border>
  </borders>
  <cellStyleXfs count="81">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43"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0" fontId="3" fillId="0" borderId="0" applyNumberFormat="0" applyFill="0" applyBorder="0" applyAlignment="0" applyProtection="0">
      <alignment vertical="top"/>
      <protection locked="0"/>
    </xf>
    <xf numFmtId="43"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7" fillId="0" borderId="0"/>
    <xf numFmtId="0" fontId="2"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178" fontId="2" fillId="0" borderId="0"/>
    <xf numFmtId="44"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2" fillId="0" borderId="0"/>
    <xf numFmtId="43" fontId="27" fillId="0" borderId="0" applyFont="0" applyFill="0" applyBorder="0" applyAlignment="0" applyProtection="0"/>
    <xf numFmtId="44" fontId="1" fillId="0" borderId="0" applyFont="0" applyFill="0" applyBorder="0" applyAlignment="0" applyProtection="0"/>
    <xf numFmtId="9" fontId="27"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 fillId="0" borderId="0">
      <alignment vertical="center"/>
    </xf>
    <xf numFmtId="9" fontId="2" fillId="0" borderId="0"/>
    <xf numFmtId="44" fontId="2" fillId="0" borderId="0"/>
    <xf numFmtId="42" fontId="2" fillId="0" borderId="0"/>
    <xf numFmtId="43" fontId="2" fillId="0" borderId="0"/>
    <xf numFmtId="41" fontId="2" fillId="0" borderId="0"/>
    <xf numFmtId="0" fontId="105" fillId="0" borderId="0" applyNumberFormat="0" applyFill="0" applyBorder="0" applyAlignment="0" applyProtection="0"/>
    <xf numFmtId="44" fontId="2" fillId="0" borderId="0"/>
    <xf numFmtId="44" fontId="2" fillId="0" borderId="0"/>
    <xf numFmtId="43" fontId="2" fillId="0" borderId="0"/>
    <xf numFmtId="43" fontId="2" fillId="0" borderId="0"/>
    <xf numFmtId="0" fontId="140" fillId="0" borderId="0"/>
    <xf numFmtId="44" fontId="2" fillId="0" borderId="0"/>
    <xf numFmtId="44" fontId="2" fillId="0" borderId="0"/>
    <xf numFmtId="43" fontId="2" fillId="0" borderId="0"/>
    <xf numFmtId="43" fontId="2" fillId="0" borderId="0"/>
    <xf numFmtId="0" fontId="147" fillId="29" borderId="80" applyNumberFormat="0" applyAlignment="0">
      <protection locked="0"/>
    </xf>
    <xf numFmtId="0" fontId="1"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148" fillId="0" borderId="0" applyFont="0" applyFill="0" applyBorder="0" applyAlignment="0" applyProtection="0"/>
    <xf numFmtId="0" fontId="145" fillId="30" borderId="0" applyNumberFormat="0" applyBorder="0" applyAlignment="0"/>
    <xf numFmtId="0" fontId="144" fillId="0" borderId="0">
      <protection locked="0"/>
    </xf>
    <xf numFmtId="0" fontId="145" fillId="30" borderId="0" applyNumberFormat="0" applyBorder="0" applyAlignment="0"/>
    <xf numFmtId="0" fontId="146" fillId="31" borderId="81" applyNumberFormat="0" applyAlignment="0"/>
    <xf numFmtId="0" fontId="147" fillId="29" borderId="80" applyNumberFormat="0" applyAlignment="0">
      <protection locked="0"/>
    </xf>
    <xf numFmtId="0" fontId="145" fillId="32" borderId="0" applyNumberFormat="0" applyBorder="0" applyAlignment="0"/>
    <xf numFmtId="212" fontId="149" fillId="0" borderId="0" applyFill="0" applyBorder="0" applyAlignment="0" applyProtection="0"/>
    <xf numFmtId="213" fontId="149" fillId="0" borderId="0" applyFill="0" applyBorder="0" applyAlignment="0" applyProtection="0"/>
    <xf numFmtId="214" fontId="149" fillId="0" borderId="0" applyFill="0" applyBorder="0" applyAlignment="0" applyProtection="0"/>
    <xf numFmtId="215" fontId="149" fillId="0" borderId="0" applyFill="0" applyBorder="0" applyAlignment="0" applyProtection="0"/>
    <xf numFmtId="216" fontId="149" fillId="0" borderId="0" applyFill="0" applyBorder="0" applyAlignment="0" applyProtection="0"/>
    <xf numFmtId="217" fontId="149" fillId="0" borderId="0" applyFill="0" applyBorder="0" applyAlignment="0" applyProtection="0"/>
    <xf numFmtId="218" fontId="149" fillId="0" borderId="0" applyFill="0" applyBorder="0" applyAlignment="0" applyProtection="0"/>
    <xf numFmtId="219" fontId="149" fillId="0" borderId="0" applyFill="0" applyBorder="0" applyAlignment="0" applyProtection="0"/>
    <xf numFmtId="220" fontId="149" fillId="0" borderId="0" applyFill="0" applyBorder="0" applyAlignment="0" applyProtection="0"/>
    <xf numFmtId="221" fontId="149" fillId="0" borderId="0" applyFill="0" applyBorder="0" applyAlignment="0" applyProtection="0"/>
    <xf numFmtId="222" fontId="149" fillId="0" borderId="0" applyFill="0" applyBorder="0" applyAlignment="0" applyProtection="0"/>
  </cellStyleXfs>
  <cellXfs count="2020">
    <xf numFmtId="0" fontId="0" fillId="0" borderId="0" xfId="0"/>
    <xf numFmtId="0" fontId="5" fillId="0" borderId="0" xfId="6" applyFont="1" applyAlignment="1">
      <alignment vertical="center"/>
    </xf>
    <xf numFmtId="0" fontId="7" fillId="0" borderId="0" xfId="6" applyFont="1"/>
    <xf numFmtId="0" fontId="8" fillId="0" borderId="0" xfId="6" applyFont="1"/>
    <xf numFmtId="43" fontId="11" fillId="3" borderId="0" xfId="7" applyFont="1" applyFill="1" applyBorder="1"/>
    <xf numFmtId="0" fontId="11" fillId="0" borderId="0" xfId="6" applyFont="1"/>
    <xf numFmtId="0" fontId="13" fillId="0" borderId="0" xfId="6" applyFont="1"/>
    <xf numFmtId="0" fontId="5" fillId="0" borderId="0" xfId="6" applyFont="1"/>
    <xf numFmtId="0" fontId="14" fillId="0" borderId="0" xfId="16" applyFont="1" applyFill="1" applyBorder="1" applyAlignment="1" applyProtection="1"/>
    <xf numFmtId="0" fontId="2" fillId="0" borderId="0" xfId="6"/>
    <xf numFmtId="0" fontId="0" fillId="0" borderId="0" xfId="0" applyAlignment="1">
      <alignment vertical="center"/>
    </xf>
    <xf numFmtId="0" fontId="0" fillId="0" borderId="0" xfId="0" applyAlignment="1">
      <alignment horizontal="left" vertical="center"/>
    </xf>
    <xf numFmtId="0" fontId="5" fillId="0" borderId="5" xfId="6" applyFont="1" applyBorder="1"/>
    <xf numFmtId="0" fontId="11" fillId="0" borderId="5" xfId="6" applyFont="1" applyBorder="1"/>
    <xf numFmtId="0" fontId="11" fillId="0" borderId="0" xfId="0" applyFont="1"/>
    <xf numFmtId="0" fontId="23" fillId="0" borderId="0" xfId="0" applyFont="1"/>
    <xf numFmtId="0" fontId="11" fillId="0" borderId="0" xfId="0" applyFont="1" applyAlignment="1">
      <alignment vertical="center"/>
    </xf>
    <xf numFmtId="0" fontId="11" fillId="0" borderId="0" xfId="0" applyFont="1" applyAlignment="1">
      <alignment horizontal="left" vertical="center"/>
    </xf>
    <xf numFmtId="0" fontId="24" fillId="3" borderId="0" xfId="2" applyFont="1" applyFill="1" applyAlignment="1">
      <alignment vertical="center"/>
    </xf>
    <xf numFmtId="0" fontId="26" fillId="0" borderId="0" xfId="35" applyFont="1"/>
    <xf numFmtId="0" fontId="19" fillId="0" borderId="0" xfId="35" applyFont="1"/>
    <xf numFmtId="0" fontId="19" fillId="11" borderId="0" xfId="35" applyFont="1" applyFill="1"/>
    <xf numFmtId="43" fontId="19" fillId="11" borderId="0" xfId="36" applyFont="1" applyFill="1" applyAlignment="1">
      <alignment vertical="top"/>
    </xf>
    <xf numFmtId="43" fontId="28" fillId="11" borderId="0" xfId="36" applyFont="1" applyFill="1" applyAlignment="1">
      <alignment horizontal="left" vertical="top"/>
    </xf>
    <xf numFmtId="0" fontId="29" fillId="11" borderId="0" xfId="35" applyFont="1" applyFill="1"/>
    <xf numFmtId="0" fontId="18" fillId="0" borderId="0" xfId="35" applyFont="1"/>
    <xf numFmtId="43" fontId="19" fillId="0" borderId="0" xfId="36" applyFont="1" applyBorder="1"/>
    <xf numFmtId="168" fontId="19" fillId="11" borderId="0" xfId="36" applyNumberFormat="1" applyFont="1" applyFill="1"/>
    <xf numFmtId="168" fontId="20" fillId="0" borderId="0" xfId="36" applyNumberFormat="1" applyFont="1" applyBorder="1" applyAlignment="1">
      <alignment horizontal="center"/>
    </xf>
    <xf numFmtId="166" fontId="20" fillId="0" borderId="0" xfId="36" applyNumberFormat="1" applyFont="1" applyBorder="1"/>
    <xf numFmtId="187" fontId="19" fillId="0" borderId="0" xfId="36" applyNumberFormat="1" applyFont="1" applyBorder="1"/>
    <xf numFmtId="9" fontId="19" fillId="11" borderId="0" xfId="38" applyFont="1" applyFill="1"/>
    <xf numFmtId="9" fontId="20" fillId="0" borderId="0" xfId="38" applyFont="1" applyBorder="1" applyAlignment="1">
      <alignment horizontal="right"/>
    </xf>
    <xf numFmtId="7" fontId="20" fillId="0" borderId="0" xfId="36" applyNumberFormat="1" applyFont="1" applyBorder="1"/>
    <xf numFmtId="43" fontId="20" fillId="0" borderId="0" xfId="36" applyFont="1" applyBorder="1"/>
    <xf numFmtId="3" fontId="30" fillId="0" borderId="0" xfId="38" applyNumberFormat="1" applyFont="1" applyFill="1" applyAlignment="1">
      <alignment horizontal="right"/>
    </xf>
    <xf numFmtId="168" fontId="19" fillId="0" borderId="0" xfId="36" applyNumberFormat="1" applyFont="1" applyBorder="1"/>
    <xf numFmtId="10" fontId="19" fillId="0" borderId="0" xfId="36" applyNumberFormat="1" applyFont="1" applyBorder="1"/>
    <xf numFmtId="6" fontId="19" fillId="0" borderId="0" xfId="36" applyNumberFormat="1" applyFont="1" applyFill="1" applyAlignment="1">
      <alignment vertical="top"/>
    </xf>
    <xf numFmtId="43" fontId="20" fillId="0" borderId="0" xfId="36" applyFont="1" applyBorder="1" applyAlignment="1">
      <alignment horizontal="right" vertical="top"/>
    </xf>
    <xf numFmtId="165" fontId="20" fillId="0" borderId="0" xfId="36" applyNumberFormat="1" applyFont="1" applyBorder="1" applyAlignment="1">
      <alignment vertical="top"/>
    </xf>
    <xf numFmtId="187" fontId="19" fillId="0" borderId="0" xfId="35" applyNumberFormat="1" applyFont="1"/>
    <xf numFmtId="43" fontId="19" fillId="0" borderId="0" xfId="36" applyFont="1" applyAlignment="1">
      <alignment vertical="top"/>
    </xf>
    <xf numFmtId="43" fontId="19" fillId="0" borderId="0" xfId="36" applyFont="1"/>
    <xf numFmtId="0" fontId="20" fillId="0" borderId="2" xfId="35" applyFont="1" applyBorder="1"/>
    <xf numFmtId="43" fontId="20" fillId="0" borderId="2" xfId="36" applyFont="1" applyBorder="1" applyAlignment="1">
      <alignment horizontal="right" vertical="top"/>
    </xf>
    <xf numFmtId="43" fontId="20" fillId="0" borderId="9" xfId="36" applyFont="1" applyBorder="1" applyAlignment="1">
      <alignment horizontal="right" vertical="top"/>
    </xf>
    <xf numFmtId="0" fontId="20" fillId="0" borderId="0" xfId="35" applyFont="1"/>
    <xf numFmtId="43" fontId="19" fillId="0" borderId="6" xfId="36" applyFont="1" applyBorder="1" applyAlignment="1">
      <alignment vertical="top"/>
    </xf>
    <xf numFmtId="0" fontId="19" fillId="0" borderId="2" xfId="35" applyFont="1" applyBorder="1"/>
    <xf numFmtId="43" fontId="19" fillId="0" borderId="2" xfId="36" applyFont="1" applyBorder="1" applyAlignment="1">
      <alignment vertical="top"/>
    </xf>
    <xf numFmtId="43" fontId="19" fillId="0" borderId="9" xfId="36" applyFont="1" applyBorder="1" applyAlignment="1">
      <alignment vertical="top"/>
    </xf>
    <xf numFmtId="8" fontId="19" fillId="0" borderId="0" xfId="36" applyNumberFormat="1" applyFont="1" applyAlignment="1">
      <alignment vertical="top"/>
    </xf>
    <xf numFmtId="0" fontId="19" fillId="3" borderId="2" xfId="35" applyFont="1" applyFill="1" applyBorder="1"/>
    <xf numFmtId="43" fontId="19" fillId="3" borderId="2" xfId="36" applyFont="1" applyFill="1" applyBorder="1" applyAlignment="1">
      <alignment vertical="top"/>
    </xf>
    <xf numFmtId="43" fontId="19" fillId="3" borderId="9" xfId="36" applyFont="1" applyFill="1" applyBorder="1" applyAlignment="1">
      <alignment vertical="top"/>
    </xf>
    <xf numFmtId="0" fontId="19" fillId="0" borderId="1" xfId="35" applyFont="1" applyBorder="1"/>
    <xf numFmtId="43" fontId="19" fillId="0" borderId="1" xfId="36" applyFont="1" applyBorder="1" applyAlignment="1">
      <alignment vertical="top"/>
    </xf>
    <xf numFmtId="43" fontId="19" fillId="0" borderId="0" xfId="36" applyFont="1" applyBorder="1" applyAlignment="1">
      <alignment vertical="top"/>
    </xf>
    <xf numFmtId="0" fontId="19" fillId="0" borderId="16" xfId="35" applyFont="1" applyBorder="1"/>
    <xf numFmtId="43" fontId="20" fillId="0" borderId="9" xfId="36" applyFont="1" applyBorder="1" applyAlignment="1">
      <alignment vertical="top"/>
    </xf>
    <xf numFmtId="43" fontId="20" fillId="0" borderId="2" xfId="36" applyFont="1" applyBorder="1" applyAlignment="1">
      <alignment vertical="top"/>
    </xf>
    <xf numFmtId="43" fontId="20" fillId="0" borderId="16" xfId="36" applyFont="1" applyFill="1" applyBorder="1" applyAlignment="1">
      <alignment vertical="top"/>
    </xf>
    <xf numFmtId="8" fontId="20" fillId="0" borderId="16" xfId="36" applyNumberFormat="1" applyFont="1" applyFill="1" applyBorder="1" applyAlignment="1">
      <alignment vertical="top"/>
    </xf>
    <xf numFmtId="43" fontId="20" fillId="0" borderId="26" xfId="36" applyFont="1" applyFill="1" applyBorder="1" applyAlignment="1">
      <alignment vertical="top"/>
    </xf>
    <xf numFmtId="43" fontId="19" fillId="0" borderId="0" xfId="36" applyFont="1" applyFill="1" applyAlignment="1">
      <alignment vertical="top"/>
    </xf>
    <xf numFmtId="43" fontId="19" fillId="0" borderId="6" xfId="36" applyFont="1" applyFill="1" applyBorder="1" applyAlignment="1">
      <alignment vertical="top"/>
    </xf>
    <xf numFmtId="43" fontId="19" fillId="0" borderId="0" xfId="35" applyNumberFormat="1" applyFont="1"/>
    <xf numFmtId="8" fontId="19" fillId="0" borderId="0" xfId="35" applyNumberFormat="1" applyFont="1"/>
    <xf numFmtId="5" fontId="19" fillId="0" borderId="0" xfId="35" applyNumberFormat="1" applyFont="1"/>
    <xf numFmtId="171" fontId="30" fillId="0" borderId="0" xfId="38" applyNumberFormat="1" applyFont="1" applyFill="1"/>
    <xf numFmtId="166" fontId="30" fillId="0" borderId="0" xfId="37" applyNumberFormat="1" applyFont="1" applyFill="1" applyAlignment="1">
      <alignment horizontal="right"/>
    </xf>
    <xf numFmtId="168" fontId="30" fillId="0" borderId="0" xfId="36" applyNumberFormat="1" applyFont="1" applyFill="1" applyAlignment="1">
      <alignment horizontal="right"/>
    </xf>
    <xf numFmtId="6" fontId="19" fillId="0" borderId="0" xfId="36" applyNumberFormat="1" applyFont="1" applyAlignment="1">
      <alignment horizontal="center" vertical="center"/>
    </xf>
    <xf numFmtId="6" fontId="19" fillId="0" borderId="6" xfId="36" applyNumberFormat="1" applyFont="1" applyBorder="1" applyAlignment="1">
      <alignment horizontal="center" vertical="center"/>
    </xf>
    <xf numFmtId="6" fontId="19" fillId="0" borderId="2" xfId="36" applyNumberFormat="1" applyFont="1" applyBorder="1" applyAlignment="1">
      <alignment horizontal="center" vertical="center"/>
    </xf>
    <xf numFmtId="6" fontId="19" fillId="3" borderId="2" xfId="36" applyNumberFormat="1" applyFont="1" applyFill="1" applyBorder="1" applyAlignment="1">
      <alignment horizontal="center" vertical="center"/>
    </xf>
    <xf numFmtId="6" fontId="19" fillId="0" borderId="1" xfId="36" applyNumberFormat="1" applyFont="1" applyBorder="1" applyAlignment="1">
      <alignment horizontal="center" vertical="center"/>
    </xf>
    <xf numFmtId="6" fontId="19" fillId="0" borderId="0" xfId="36" applyNumberFormat="1" applyFont="1" applyBorder="1" applyAlignment="1">
      <alignment horizontal="center" vertical="center"/>
    </xf>
    <xf numFmtId="6" fontId="20" fillId="0" borderId="2" xfId="36" applyNumberFormat="1" applyFont="1" applyBorder="1" applyAlignment="1">
      <alignment horizontal="center" vertical="center"/>
    </xf>
    <xf numFmtId="6" fontId="19" fillId="0" borderId="0" xfId="36" applyNumberFormat="1" applyFont="1" applyFill="1" applyAlignment="1">
      <alignment horizontal="center" vertical="center"/>
    </xf>
    <xf numFmtId="0" fontId="11" fillId="0" borderId="5" xfId="6" applyFont="1" applyBorder="1" applyAlignment="1">
      <alignment vertical="center"/>
    </xf>
    <xf numFmtId="0" fontId="8" fillId="0" borderId="0" xfId="6" applyFont="1" applyAlignment="1">
      <alignment vertical="center"/>
    </xf>
    <xf numFmtId="0" fontId="8" fillId="0" borderId="5" xfId="6" applyFont="1" applyBorder="1" applyAlignment="1">
      <alignment vertical="center"/>
    </xf>
    <xf numFmtId="0" fontId="4" fillId="0" borderId="0" xfId="6" applyFont="1" applyAlignment="1">
      <alignment vertical="center"/>
    </xf>
    <xf numFmtId="0" fontId="4" fillId="0" borderId="5" xfId="6" applyFont="1" applyBorder="1" applyAlignment="1">
      <alignment vertical="center"/>
    </xf>
    <xf numFmtId="0" fontId="11" fillId="0" borderId="0" xfId="6" applyFont="1" applyAlignment="1">
      <alignment vertical="center"/>
    </xf>
    <xf numFmtId="0" fontId="13" fillId="0" borderId="0" xfId="6" applyFont="1" applyAlignment="1">
      <alignment vertical="center"/>
    </xf>
    <xf numFmtId="166" fontId="19" fillId="0" borderId="0" xfId="37" applyNumberFormat="1" applyFont="1" applyFill="1" applyAlignment="1">
      <alignment horizontal="right"/>
    </xf>
    <xf numFmtId="10" fontId="30" fillId="0" borderId="0" xfId="37" applyNumberFormat="1" applyFont="1" applyFill="1" applyAlignment="1">
      <alignment horizontal="right"/>
    </xf>
    <xf numFmtId="1" fontId="30" fillId="0" borderId="0" xfId="37" applyNumberFormat="1" applyFont="1" applyFill="1" applyAlignment="1">
      <alignment horizontal="right"/>
    </xf>
    <xf numFmtId="8" fontId="11" fillId="0" borderId="0" xfId="0" applyNumberFormat="1" applyFont="1"/>
    <xf numFmtId="0" fontId="9" fillId="0" borderId="0" xfId="6" applyFont="1"/>
    <xf numFmtId="6" fontId="19" fillId="0" borderId="9" xfId="36" applyNumberFormat="1" applyFont="1" applyBorder="1" applyAlignment="1">
      <alignment horizontal="center" vertical="center"/>
    </xf>
    <xf numFmtId="6" fontId="19" fillId="0" borderId="4" xfId="36" applyNumberFormat="1" applyFont="1" applyBorder="1" applyAlignment="1">
      <alignment horizontal="center" vertical="center"/>
    </xf>
    <xf numFmtId="6" fontId="20" fillId="0" borderId="2" xfId="36" applyNumberFormat="1" applyFont="1" applyFill="1" applyBorder="1" applyAlignment="1">
      <alignment horizontal="center" vertical="center"/>
    </xf>
    <xf numFmtId="0" fontId="10" fillId="0" borderId="0" xfId="6" applyFont="1"/>
    <xf numFmtId="0" fontId="24" fillId="3" borderId="0" xfId="2" applyFont="1" applyFill="1" applyAlignment="1">
      <alignment horizontal="center" vertical="center"/>
    </xf>
    <xf numFmtId="6" fontId="11" fillId="0" borderId="0" xfId="0" applyNumberFormat="1" applyFont="1"/>
    <xf numFmtId="9" fontId="11" fillId="0" borderId="0" xfId="0" applyNumberFormat="1" applyFont="1"/>
    <xf numFmtId="0" fontId="35" fillId="0" borderId="0" xfId="0" applyFont="1"/>
    <xf numFmtId="0" fontId="36" fillId="0" borderId="0" xfId="0" applyFont="1"/>
    <xf numFmtId="5" fontId="37" fillId="0" borderId="0" xfId="6" applyNumberFormat="1" applyFont="1" applyAlignment="1">
      <alignment vertical="center"/>
    </xf>
    <xf numFmtId="8" fontId="36" fillId="0" borderId="0" xfId="0" applyNumberFormat="1" applyFont="1"/>
    <xf numFmtId="0" fontId="39" fillId="0" borderId="0" xfId="0" applyFont="1"/>
    <xf numFmtId="0" fontId="40" fillId="10" borderId="0" xfId="0" applyFont="1" applyFill="1" applyAlignment="1">
      <alignment horizontal="center" vertical="center"/>
    </xf>
    <xf numFmtId="0" fontId="41" fillId="0" borderId="22" xfId="0" applyFont="1" applyBorder="1" applyAlignment="1">
      <alignment horizontal="left" vertical="center" indent="1"/>
    </xf>
    <xf numFmtId="0" fontId="42" fillId="0" borderId="22" xfId="0" quotePrefix="1" applyFont="1" applyBorder="1" applyAlignment="1">
      <alignment vertical="center"/>
    </xf>
    <xf numFmtId="10" fontId="42" fillId="0" borderId="22" xfId="0" applyNumberFormat="1" applyFont="1" applyBorder="1" applyAlignment="1">
      <alignment horizontal="right" vertical="center"/>
    </xf>
    <xf numFmtId="6" fontId="41" fillId="0" borderId="22" xfId="0" applyNumberFormat="1" applyFont="1" applyBorder="1" applyAlignment="1">
      <alignment horizontal="right" vertical="center" indent="1"/>
    </xf>
    <xf numFmtId="0" fontId="41" fillId="0" borderId="22" xfId="0" applyFont="1" applyBorder="1" applyAlignment="1">
      <alignment horizontal="left" vertical="center"/>
    </xf>
    <xf numFmtId="0" fontId="42" fillId="0" borderId="22" xfId="0" applyFont="1" applyBorder="1" applyAlignment="1">
      <alignment horizontal="right" vertical="center" indent="1"/>
    </xf>
    <xf numFmtId="6" fontId="41" fillId="0" borderId="22" xfId="1" applyNumberFormat="1" applyFont="1" applyBorder="1" applyAlignment="1">
      <alignment vertical="center"/>
    </xf>
    <xf numFmtId="10" fontId="41" fillId="0" borderId="22" xfId="0" applyNumberFormat="1" applyFont="1" applyBorder="1" applyAlignment="1">
      <alignment horizontal="right" vertical="center"/>
    </xf>
    <xf numFmtId="0" fontId="42" fillId="0" borderId="22" xfId="0" quotePrefix="1" applyFont="1" applyBorder="1" applyAlignment="1">
      <alignment horizontal="right" vertical="center"/>
    </xf>
    <xf numFmtId="0" fontId="43" fillId="0" borderId="23" xfId="0" applyFont="1" applyBorder="1" applyAlignment="1">
      <alignment horizontal="left" vertical="center" indent="1"/>
    </xf>
    <xf numFmtId="9" fontId="43" fillId="0" borderId="23" xfId="0" applyNumberFormat="1" applyFont="1" applyBorder="1" applyAlignment="1">
      <alignment horizontal="right" vertical="center"/>
    </xf>
    <xf numFmtId="6" fontId="43" fillId="0" borderId="23" xfId="0" applyNumberFormat="1" applyFont="1" applyBorder="1" applyAlignment="1">
      <alignment horizontal="right" vertical="center" indent="1"/>
    </xf>
    <xf numFmtId="10" fontId="42" fillId="0" borderId="22" xfId="0" applyNumberFormat="1" applyFont="1" applyBorder="1" applyAlignment="1">
      <alignment horizontal="right" vertical="center" indent="1"/>
    </xf>
    <xf numFmtId="194" fontId="41" fillId="15" borderId="22" xfId="0" applyNumberFormat="1" applyFont="1" applyFill="1" applyBorder="1" applyAlignment="1">
      <alignment horizontal="right" vertical="center" indent="1"/>
    </xf>
    <xf numFmtId="3" fontId="44" fillId="0" borderId="22" xfId="0" quotePrefix="1" applyNumberFormat="1" applyFont="1" applyBorder="1" applyAlignment="1">
      <alignment vertical="center"/>
    </xf>
    <xf numFmtId="188" fontId="41" fillId="15" borderId="22" xfId="0" applyNumberFormat="1" applyFont="1" applyFill="1" applyBorder="1" applyAlignment="1">
      <alignment horizontal="right" vertical="center" indent="1"/>
    </xf>
    <xf numFmtId="6" fontId="42" fillId="0" borderId="22" xfId="0" applyNumberFormat="1" applyFont="1" applyBorder="1" applyAlignment="1">
      <alignment vertical="center"/>
    </xf>
    <xf numFmtId="0" fontId="41" fillId="10" borderId="22" xfId="0" applyFont="1" applyFill="1" applyBorder="1" applyAlignment="1">
      <alignment horizontal="left" vertical="center" indent="1"/>
    </xf>
    <xf numFmtId="10" fontId="40" fillId="10" borderId="22" xfId="0" applyNumberFormat="1" applyFont="1" applyFill="1" applyBorder="1" applyAlignment="1">
      <alignment horizontal="right" vertical="center"/>
    </xf>
    <xf numFmtId="177" fontId="42" fillId="0" borderId="22" xfId="0" applyNumberFormat="1" applyFont="1" applyBorder="1" applyAlignment="1">
      <alignment horizontal="right" vertical="center" indent="1"/>
    </xf>
    <xf numFmtId="188" fontId="41" fillId="0" borderId="22" xfId="0" applyNumberFormat="1" applyFont="1" applyBorder="1" applyAlignment="1">
      <alignment horizontal="right" vertical="center" indent="1"/>
    </xf>
    <xf numFmtId="10" fontId="44" fillId="0" borderId="22" xfId="0" applyNumberFormat="1" applyFont="1" applyBorder="1" applyAlignment="1">
      <alignment horizontal="right" vertical="center" indent="1"/>
    </xf>
    <xf numFmtId="0" fontId="41" fillId="0" borderId="0" xfId="0" applyFont="1" applyAlignment="1">
      <alignment horizontal="left" vertical="center" indent="1"/>
    </xf>
    <xf numFmtId="6" fontId="41" fillId="0" borderId="0" xfId="1" applyNumberFormat="1" applyFont="1" applyBorder="1" applyAlignment="1">
      <alignment vertical="center"/>
    </xf>
    <xf numFmtId="6" fontId="41" fillId="0" borderId="0" xfId="0" applyNumberFormat="1" applyFont="1" applyAlignment="1">
      <alignment horizontal="right" vertical="center" indent="1"/>
    </xf>
    <xf numFmtId="0" fontId="41" fillId="0" borderId="24" xfId="0" applyFont="1" applyBorder="1" applyAlignment="1">
      <alignment horizontal="left" vertical="center" indent="1"/>
    </xf>
    <xf numFmtId="14" fontId="42" fillId="0" borderId="24" xfId="0" quotePrefix="1" applyNumberFormat="1" applyFont="1" applyBorder="1" applyAlignment="1">
      <alignment vertical="center"/>
    </xf>
    <xf numFmtId="0" fontId="41" fillId="0" borderId="33" xfId="0" applyFont="1" applyBorder="1" applyAlignment="1">
      <alignment horizontal="left" vertical="center" indent="1"/>
    </xf>
    <xf numFmtId="10" fontId="42" fillId="0" borderId="33" xfId="0" applyNumberFormat="1" applyFont="1" applyBorder="1" applyAlignment="1">
      <alignment horizontal="right" vertical="center" indent="1"/>
    </xf>
    <xf numFmtId="6" fontId="41" fillId="0" borderId="33" xfId="0" applyNumberFormat="1" applyFont="1" applyBorder="1" applyAlignment="1">
      <alignment horizontal="right" vertical="center" indent="1"/>
    </xf>
    <xf numFmtId="9" fontId="41" fillId="0" borderId="22" xfId="0" applyNumberFormat="1" applyFont="1" applyBorder="1" applyAlignment="1">
      <alignment horizontal="right" vertical="center" indent="1"/>
    </xf>
    <xf numFmtId="10" fontId="41" fillId="0" borderId="22" xfId="0" applyNumberFormat="1" applyFont="1" applyBorder="1" applyAlignment="1">
      <alignment horizontal="right" vertical="center" indent="1"/>
    </xf>
    <xf numFmtId="0" fontId="36" fillId="0" borderId="0" xfId="0" applyFont="1" applyAlignment="1">
      <alignment vertical="center"/>
    </xf>
    <xf numFmtId="6" fontId="41" fillId="0" borderId="23" xfId="1" applyNumberFormat="1" applyFont="1" applyBorder="1" applyAlignment="1">
      <alignment vertical="center"/>
    </xf>
    <xf numFmtId="6" fontId="45" fillId="0" borderId="22" xfId="0" applyNumberFormat="1" applyFont="1" applyBorder="1" applyAlignment="1">
      <alignment vertical="center"/>
    </xf>
    <xf numFmtId="0" fontId="41" fillId="0" borderId="23" xfId="0" applyFont="1" applyBorder="1" applyAlignment="1">
      <alignment horizontal="left" vertical="center" indent="1"/>
    </xf>
    <xf numFmtId="0" fontId="41" fillId="0" borderId="23" xfId="0" applyFont="1" applyBorder="1" applyAlignment="1">
      <alignment horizontal="left" vertical="center"/>
    </xf>
    <xf numFmtId="10" fontId="41" fillId="0" borderId="23" xfId="0" applyNumberFormat="1" applyFont="1" applyBorder="1" applyAlignment="1">
      <alignment horizontal="right" vertical="center" indent="1"/>
    </xf>
    <xf numFmtId="10" fontId="42" fillId="0" borderId="22" xfId="0" applyNumberFormat="1" applyFont="1" applyBorder="1" applyAlignment="1">
      <alignment vertical="center"/>
    </xf>
    <xf numFmtId="0" fontId="44" fillId="0" borderId="22" xfId="0" applyFont="1" applyBorder="1" applyAlignment="1">
      <alignment horizontal="right" vertical="center" indent="1"/>
    </xf>
    <xf numFmtId="6" fontId="42" fillId="0" borderId="22" xfId="0" applyNumberFormat="1" applyFont="1" applyBorder="1" applyAlignment="1">
      <alignment horizontal="right" vertical="center"/>
    </xf>
    <xf numFmtId="9" fontId="42" fillId="0" borderId="22" xfId="0" applyNumberFormat="1" applyFont="1" applyBorder="1" applyAlignment="1">
      <alignment horizontal="center" vertical="center"/>
    </xf>
    <xf numFmtId="9" fontId="46" fillId="0" borderId="22" xfId="0" applyNumberFormat="1" applyFont="1" applyBorder="1" applyAlignment="1">
      <alignment horizontal="right" vertical="center"/>
    </xf>
    <xf numFmtId="9" fontId="42" fillId="0" borderId="0" xfId="0" applyNumberFormat="1" applyFont="1" applyAlignment="1">
      <alignment horizontal="center" vertical="center"/>
    </xf>
    <xf numFmtId="9" fontId="42" fillId="0" borderId="22" xfId="0" applyNumberFormat="1" applyFont="1" applyBorder="1" applyAlignment="1">
      <alignment vertical="center"/>
    </xf>
    <xf numFmtId="6" fontId="41" fillId="0" borderId="23" xfId="0" applyNumberFormat="1" applyFont="1" applyBorder="1" applyAlignment="1">
      <alignment horizontal="right" vertical="center" indent="1"/>
    </xf>
    <xf numFmtId="177" fontId="44" fillId="0" borderId="22" xfId="0" applyNumberFormat="1" applyFont="1" applyBorder="1" applyAlignment="1">
      <alignment horizontal="right" vertical="center" indent="1"/>
    </xf>
    <xf numFmtId="0" fontId="47" fillId="0" borderId="22" xfId="0" applyFont="1" applyBorder="1" applyAlignment="1">
      <alignment horizontal="left" vertical="center" indent="1"/>
    </xf>
    <xf numFmtId="10" fontId="42" fillId="0" borderId="23" xfId="0" applyNumberFormat="1" applyFont="1" applyBorder="1" applyAlignment="1">
      <alignment horizontal="right" vertical="center"/>
    </xf>
    <xf numFmtId="192" fontId="48" fillId="0" borderId="22" xfId="0" applyNumberFormat="1" applyFont="1" applyBorder="1" applyAlignment="1">
      <alignment vertical="center"/>
    </xf>
    <xf numFmtId="10" fontId="44" fillId="0" borderId="23" xfId="0" applyNumberFormat="1" applyFont="1" applyBorder="1" applyAlignment="1">
      <alignment horizontal="right" vertical="center" indent="1"/>
    </xf>
    <xf numFmtId="9" fontId="43" fillId="0" borderId="23" xfId="0" applyNumberFormat="1" applyFont="1" applyBorder="1" applyAlignment="1">
      <alignment horizontal="right" vertical="center" indent="1"/>
    </xf>
    <xf numFmtId="0" fontId="42" fillId="0" borderId="23" xfId="0" applyFont="1" applyBorder="1" applyAlignment="1">
      <alignment horizontal="right" vertical="center" indent="1"/>
    </xf>
    <xf numFmtId="0" fontId="36" fillId="0" borderId="0" xfId="0" applyFont="1" applyAlignment="1">
      <alignment horizontal="left" vertical="center"/>
    </xf>
    <xf numFmtId="9" fontId="41" fillId="0" borderId="22" xfId="0" applyNumberFormat="1" applyFont="1" applyBorder="1" applyAlignment="1">
      <alignment horizontal="right" vertical="center"/>
    </xf>
    <xf numFmtId="0" fontId="39" fillId="0" borderId="0" xfId="0" applyFont="1" applyAlignment="1">
      <alignment vertical="center"/>
    </xf>
    <xf numFmtId="0" fontId="39" fillId="0" borderId="0" xfId="0" applyFont="1" applyAlignment="1">
      <alignment horizontal="right" vertical="center"/>
    </xf>
    <xf numFmtId="0" fontId="49" fillId="3" borderId="0" xfId="2" applyFont="1" applyFill="1" applyAlignment="1">
      <alignment vertical="center"/>
    </xf>
    <xf numFmtId="6" fontId="42" fillId="0" borderId="22" xfId="0" applyNumberFormat="1" applyFont="1" applyBorder="1" applyAlignment="1">
      <alignment horizontal="right" vertical="center" indent="1"/>
    </xf>
    <xf numFmtId="6" fontId="43" fillId="0" borderId="22" xfId="0" applyNumberFormat="1" applyFont="1" applyBorder="1" applyAlignment="1">
      <alignment vertical="center"/>
    </xf>
    <xf numFmtId="6" fontId="41" fillId="0" borderId="22" xfId="1" applyNumberFormat="1" applyFont="1" applyFill="1" applyBorder="1" applyAlignment="1">
      <alignment vertical="center"/>
    </xf>
    <xf numFmtId="6" fontId="43" fillId="0" borderId="23" xfId="1" applyNumberFormat="1" applyFont="1" applyBorder="1" applyAlignment="1">
      <alignment vertical="center"/>
    </xf>
    <xf numFmtId="0" fontId="41" fillId="0" borderId="25" xfId="0" applyFont="1" applyBorder="1" applyAlignment="1">
      <alignment horizontal="left" vertical="center" indent="1"/>
    </xf>
    <xf numFmtId="9" fontId="42" fillId="0" borderId="25" xfId="0" applyNumberFormat="1" applyFont="1" applyBorder="1" applyAlignment="1">
      <alignment vertical="center"/>
    </xf>
    <xf numFmtId="0" fontId="49" fillId="3" borderId="0" xfId="2" applyFont="1" applyFill="1" applyAlignment="1">
      <alignment horizontal="center" vertical="center"/>
    </xf>
    <xf numFmtId="8" fontId="36" fillId="0" borderId="0" xfId="0" applyNumberFormat="1" applyFont="1" applyAlignment="1">
      <alignment horizontal="left" vertical="center"/>
    </xf>
    <xf numFmtId="0" fontId="49" fillId="0" borderId="0" xfId="2" applyFont="1" applyAlignment="1">
      <alignment horizontal="center" vertical="center"/>
    </xf>
    <xf numFmtId="0" fontId="38" fillId="19" borderId="0" xfId="0" applyFont="1" applyFill="1" applyAlignment="1">
      <alignment horizontal="left" vertical="center" indent="1"/>
    </xf>
    <xf numFmtId="0" fontId="38" fillId="19" borderId="0" xfId="0" applyFont="1" applyFill="1" applyAlignment="1">
      <alignment vertical="center"/>
    </xf>
    <xf numFmtId="0" fontId="38" fillId="19" borderId="0" xfId="0" applyFont="1" applyFill="1" applyAlignment="1">
      <alignment horizontal="center" vertical="center"/>
    </xf>
    <xf numFmtId="0" fontId="50" fillId="0" borderId="0" xfId="6" applyFont="1" applyAlignment="1">
      <alignment vertical="center"/>
    </xf>
    <xf numFmtId="168" fontId="51" fillId="0" borderId="0" xfId="6" applyNumberFormat="1" applyFont="1" applyAlignment="1">
      <alignment vertical="center"/>
    </xf>
    <xf numFmtId="0" fontId="52" fillId="0" borderId="0" xfId="6" applyFont="1" applyAlignment="1">
      <alignment vertical="center"/>
    </xf>
    <xf numFmtId="0" fontId="53" fillId="3" borderId="0" xfId="6" applyFont="1" applyFill="1" applyAlignment="1">
      <alignment vertical="center"/>
    </xf>
    <xf numFmtId="0" fontId="53" fillId="0" borderId="0" xfId="6" applyFont="1" applyAlignment="1">
      <alignment vertical="center"/>
    </xf>
    <xf numFmtId="43" fontId="51" fillId="0" borderId="0" xfId="8" applyFont="1" applyFill="1" applyBorder="1" applyAlignment="1">
      <alignment vertical="center"/>
    </xf>
    <xf numFmtId="7" fontId="52" fillId="0" borderId="0" xfId="6" applyNumberFormat="1" applyFont="1" applyAlignment="1">
      <alignment vertical="center"/>
    </xf>
    <xf numFmtId="3" fontId="54" fillId="0" borderId="0" xfId="6" applyNumberFormat="1" applyFont="1" applyAlignment="1">
      <alignment vertical="center"/>
    </xf>
    <xf numFmtId="0" fontId="55" fillId="0" borderId="0" xfId="6" applyFont="1" applyAlignment="1">
      <alignment horizontal="center" vertical="center"/>
    </xf>
    <xf numFmtId="0" fontId="39" fillId="0" borderId="0" xfId="6" applyFont="1"/>
    <xf numFmtId="0" fontId="39" fillId="3" borderId="0" xfId="6" applyFont="1" applyFill="1"/>
    <xf numFmtId="0" fontId="56" fillId="0" borderId="0" xfId="6" applyFont="1"/>
    <xf numFmtId="7" fontId="55" fillId="0" borderId="0" xfId="6" applyNumberFormat="1" applyFont="1" applyAlignment="1">
      <alignment horizontal="center" vertical="center"/>
    </xf>
    <xf numFmtId="169" fontId="37" fillId="0" borderId="0" xfId="6" applyNumberFormat="1" applyFont="1"/>
    <xf numFmtId="0" fontId="56" fillId="3" borderId="0" xfId="6" applyFont="1" applyFill="1"/>
    <xf numFmtId="43" fontId="56" fillId="3" borderId="0" xfId="7" applyFont="1" applyFill="1" applyBorder="1"/>
    <xf numFmtId="0" fontId="57" fillId="0" borderId="10" xfId="6" applyFont="1" applyBorder="1" applyAlignment="1">
      <alignment horizontal="center" vertical="center"/>
    </xf>
    <xf numFmtId="0" fontId="57" fillId="0" borderId="9" xfId="6" applyFont="1" applyBorder="1" applyAlignment="1">
      <alignment horizontal="center" vertical="center"/>
    </xf>
    <xf numFmtId="0" fontId="36" fillId="3" borderId="0" xfId="6" applyFont="1" applyFill="1"/>
    <xf numFmtId="43" fontId="36" fillId="3" borderId="0" xfId="7" applyFont="1" applyFill="1" applyBorder="1"/>
    <xf numFmtId="0" fontId="36" fillId="0" borderId="0" xfId="6" applyFont="1"/>
    <xf numFmtId="0" fontId="58" fillId="0" borderId="0" xfId="6" applyFont="1" applyAlignment="1">
      <alignment vertical="center"/>
    </xf>
    <xf numFmtId="0" fontId="58" fillId="0" borderId="5" xfId="6" applyFont="1" applyBorder="1"/>
    <xf numFmtId="0" fontId="58" fillId="0" borderId="6" xfId="6" applyFont="1" applyBorder="1"/>
    <xf numFmtId="0" fontId="46" fillId="0" borderId="0" xfId="6" applyFont="1" applyAlignment="1">
      <alignment horizontal="left" vertical="center" indent="1"/>
    </xf>
    <xf numFmtId="0" fontId="59" fillId="3" borderId="0" xfId="6" applyFont="1" applyFill="1"/>
    <xf numFmtId="0" fontId="59" fillId="0" borderId="0" xfId="6" applyFont="1"/>
    <xf numFmtId="0" fontId="46" fillId="0" borderId="0" xfId="6" applyFont="1" applyAlignment="1">
      <alignment horizontal="left" vertical="center" indent="2"/>
    </xf>
    <xf numFmtId="5" fontId="46" fillId="0" borderId="5" xfId="9" applyNumberFormat="1" applyFont="1" applyFill="1" applyBorder="1" applyAlignment="1" applyProtection="1">
      <alignment horizontal="right" vertical="center"/>
    </xf>
    <xf numFmtId="5" fontId="46" fillId="0" borderId="6" xfId="9" applyNumberFormat="1" applyFont="1" applyFill="1" applyBorder="1" applyAlignment="1" applyProtection="1">
      <alignment horizontal="right" vertical="center"/>
    </xf>
    <xf numFmtId="5" fontId="44" fillId="0" borderId="5" xfId="9" applyNumberFormat="1" applyFont="1" applyFill="1" applyBorder="1" applyAlignment="1" applyProtection="1">
      <alignment horizontal="right" vertical="center"/>
    </xf>
    <xf numFmtId="10" fontId="57" fillId="0" borderId="6" xfId="10" applyNumberFormat="1" applyFont="1" applyFill="1" applyBorder="1" applyAlignment="1" applyProtection="1">
      <alignment horizontal="right" vertical="center"/>
    </xf>
    <xf numFmtId="10" fontId="46" fillId="0" borderId="6" xfId="5" applyNumberFormat="1" applyFont="1" applyFill="1" applyBorder="1" applyAlignment="1" applyProtection="1">
      <alignment horizontal="right" vertical="center"/>
    </xf>
    <xf numFmtId="5" fontId="36" fillId="3" borderId="0" xfId="6" applyNumberFormat="1" applyFont="1" applyFill="1"/>
    <xf numFmtId="44" fontId="36" fillId="3" borderId="0" xfId="4" applyFont="1" applyFill="1" applyBorder="1"/>
    <xf numFmtId="10" fontId="36" fillId="3" borderId="0" xfId="6" applyNumberFormat="1" applyFont="1" applyFill="1"/>
    <xf numFmtId="0" fontId="58" fillId="0" borderId="18" xfId="6" applyFont="1" applyBorder="1" applyAlignment="1">
      <alignment vertical="center"/>
    </xf>
    <xf numFmtId="43" fontId="59" fillId="3" borderId="0" xfId="7" applyFont="1" applyFill="1" applyBorder="1"/>
    <xf numFmtId="0" fontId="57" fillId="0" borderId="0" xfId="6" applyFont="1" applyAlignment="1">
      <alignment horizontal="left" vertical="center" indent="2"/>
    </xf>
    <xf numFmtId="5" fontId="57" fillId="0" borderId="5" xfId="7" applyNumberFormat="1" applyFont="1" applyFill="1" applyBorder="1" applyAlignment="1" applyProtection="1">
      <alignment horizontal="right" vertical="center"/>
    </xf>
    <xf numFmtId="164" fontId="57" fillId="0" borderId="6" xfId="7" applyNumberFormat="1" applyFont="1" applyFill="1" applyBorder="1" applyAlignment="1" applyProtection="1">
      <alignment horizontal="right" vertical="center"/>
    </xf>
    <xf numFmtId="5" fontId="57" fillId="0" borderId="5" xfId="7" applyNumberFormat="1" applyFont="1" applyFill="1" applyBorder="1" applyAlignment="1" applyProtection="1">
      <alignment horizontal="left" vertical="center" indent="2"/>
    </xf>
    <xf numFmtId="168" fontId="46" fillId="0" borderId="6" xfId="9" applyNumberFormat="1" applyFont="1" applyFill="1" applyBorder="1" applyAlignment="1" applyProtection="1">
      <alignment horizontal="right" vertical="center"/>
    </xf>
    <xf numFmtId="166" fontId="36" fillId="3" borderId="0" xfId="4" applyNumberFormat="1" applyFont="1" applyFill="1" applyBorder="1"/>
    <xf numFmtId="5" fontId="58" fillId="0" borderId="10" xfId="9" applyNumberFormat="1" applyFont="1" applyFill="1" applyBorder="1" applyAlignment="1" applyProtection="1">
      <alignment horizontal="right" vertical="center"/>
    </xf>
    <xf numFmtId="0" fontId="58" fillId="0" borderId="18" xfId="6" applyFont="1" applyBorder="1" applyAlignment="1">
      <alignment horizontal="left" vertical="center"/>
    </xf>
    <xf numFmtId="5" fontId="58" fillId="0" borderId="21" xfId="9" applyNumberFormat="1" applyFont="1" applyFill="1" applyBorder="1" applyAlignment="1" applyProtection="1">
      <alignment horizontal="right" vertical="center"/>
    </xf>
    <xf numFmtId="168" fontId="59" fillId="3" borderId="0" xfId="6" applyNumberFormat="1" applyFont="1" applyFill="1"/>
    <xf numFmtId="0" fontId="60" fillId="3" borderId="0" xfId="11" applyFont="1" applyFill="1" applyAlignment="1">
      <alignment horizontal="right" vertical="center"/>
    </xf>
    <xf numFmtId="168" fontId="60" fillId="3" borderId="0" xfId="8" applyNumberFormat="1" applyFont="1" applyFill="1" applyBorder="1" applyAlignment="1">
      <alignment horizontal="right" vertical="center"/>
    </xf>
    <xf numFmtId="0" fontId="46" fillId="0" borderId="0" xfId="6" applyFont="1" applyAlignment="1">
      <alignment vertical="center"/>
    </xf>
    <xf numFmtId="5" fontId="46" fillId="0" borderId="5" xfId="12" applyNumberFormat="1" applyFont="1" applyFill="1" applyBorder="1" applyAlignment="1" applyProtection="1">
      <alignment horizontal="right" vertical="center"/>
    </xf>
    <xf numFmtId="168" fontId="46" fillId="0" borderId="6" xfId="12" applyNumberFormat="1" applyFont="1" applyFill="1" applyBorder="1" applyAlignment="1" applyProtection="1">
      <alignment horizontal="right" vertical="center"/>
    </xf>
    <xf numFmtId="5" fontId="58" fillId="0" borderId="5" xfId="12" applyNumberFormat="1" applyFont="1" applyFill="1" applyBorder="1" applyAlignment="1" applyProtection="1">
      <alignment horizontal="right" vertical="center"/>
    </xf>
    <xf numFmtId="168" fontId="58" fillId="0" borderId="6" xfId="12" applyNumberFormat="1" applyFont="1" applyFill="1" applyBorder="1" applyAlignment="1" applyProtection="1">
      <alignment horizontal="right" vertical="center"/>
    </xf>
    <xf numFmtId="5" fontId="59" fillId="3" borderId="0" xfId="6" applyNumberFormat="1" applyFont="1" applyFill="1"/>
    <xf numFmtId="5" fontId="59" fillId="3" borderId="0" xfId="7" applyNumberFormat="1" applyFont="1" applyFill="1" applyBorder="1"/>
    <xf numFmtId="0" fontId="61" fillId="3" borderId="0" xfId="11" applyFont="1" applyFill="1" applyAlignment="1">
      <alignment horizontal="right" vertical="center"/>
    </xf>
    <xf numFmtId="5" fontId="58" fillId="0" borderId="5" xfId="9" applyNumberFormat="1" applyFont="1" applyFill="1" applyBorder="1" applyAlignment="1" applyProtection="1">
      <alignment horizontal="right" vertical="center"/>
    </xf>
    <xf numFmtId="5" fontId="58" fillId="0" borderId="6" xfId="9" applyNumberFormat="1" applyFont="1" applyFill="1" applyBorder="1" applyAlignment="1" applyProtection="1">
      <alignment horizontal="right" vertical="center"/>
    </xf>
    <xf numFmtId="5" fontId="36" fillId="3" borderId="0" xfId="7" applyNumberFormat="1" applyFont="1" applyFill="1" applyBorder="1"/>
    <xf numFmtId="10" fontId="44" fillId="0" borderId="6" xfId="9" applyNumberFormat="1" applyFont="1" applyFill="1" applyBorder="1" applyAlignment="1" applyProtection="1">
      <alignment horizontal="right" vertical="center"/>
    </xf>
    <xf numFmtId="10" fontId="57" fillId="0" borderId="6" xfId="5" applyNumberFormat="1" applyFont="1" applyFill="1" applyBorder="1" applyAlignment="1" applyProtection="1">
      <alignment horizontal="right" vertical="center"/>
    </xf>
    <xf numFmtId="171" fontId="62" fillId="0" borderId="6" xfId="5" applyNumberFormat="1" applyFont="1" applyFill="1" applyBorder="1" applyAlignment="1" applyProtection="1">
      <alignment horizontal="right" vertical="center"/>
    </xf>
    <xf numFmtId="0" fontId="46" fillId="0" borderId="10" xfId="6" applyFont="1" applyBorder="1" applyAlignment="1">
      <alignment horizontal="left" vertical="center" indent="1"/>
    </xf>
    <xf numFmtId="5" fontId="58" fillId="0" borderId="20" xfId="12" applyNumberFormat="1" applyFont="1" applyFill="1" applyBorder="1" applyAlignment="1" applyProtection="1">
      <alignment horizontal="right" vertical="center"/>
    </xf>
    <xf numFmtId="0" fontId="46" fillId="0" borderId="20" xfId="6" applyFont="1" applyBorder="1" applyAlignment="1">
      <alignment horizontal="left" vertical="center" indent="1"/>
    </xf>
    <xf numFmtId="5" fontId="58" fillId="0" borderId="5" xfId="6" applyNumberFormat="1" applyFont="1" applyBorder="1"/>
    <xf numFmtId="10" fontId="57" fillId="0" borderId="6" xfId="13" applyNumberFormat="1" applyFont="1" applyFill="1" applyBorder="1" applyAlignment="1">
      <alignment horizontal="right" vertical="center"/>
    </xf>
    <xf numFmtId="168" fontId="46" fillId="0" borderId="10" xfId="12" applyNumberFormat="1" applyFont="1" applyFill="1" applyBorder="1" applyAlignment="1">
      <alignment horizontal="left" vertical="center" indent="1"/>
    </xf>
    <xf numFmtId="5" fontId="58" fillId="0" borderId="18" xfId="6" applyNumberFormat="1" applyFont="1" applyBorder="1" applyAlignment="1">
      <alignment horizontal="left" vertical="center" indent="1"/>
    </xf>
    <xf numFmtId="0" fontId="46" fillId="0" borderId="0" xfId="6" applyFont="1"/>
    <xf numFmtId="164" fontId="58" fillId="0" borderId="5" xfId="12" applyNumberFormat="1" applyFont="1" applyFill="1" applyBorder="1" applyAlignment="1" applyProtection="1">
      <alignment horizontal="right" vertical="center"/>
    </xf>
    <xf numFmtId="5" fontId="58" fillId="0" borderId="0" xfId="12" applyNumberFormat="1" applyFont="1" applyFill="1" applyBorder="1" applyAlignment="1" applyProtection="1">
      <alignment horizontal="right" vertical="center"/>
    </xf>
    <xf numFmtId="164" fontId="45" fillId="0" borderId="5" xfId="12" applyNumberFormat="1" applyFont="1" applyFill="1" applyBorder="1" applyAlignment="1" applyProtection="1">
      <alignment horizontal="right" vertical="center"/>
    </xf>
    <xf numFmtId="0" fontId="58" fillId="0" borderId="0" xfId="6" applyFont="1"/>
    <xf numFmtId="164" fontId="58" fillId="0" borderId="10" xfId="12" applyNumberFormat="1" applyFont="1" applyFill="1" applyBorder="1" applyAlignment="1" applyProtection="1">
      <alignment horizontal="right" vertical="center"/>
    </xf>
    <xf numFmtId="168" fontId="58" fillId="0" borderId="9" xfId="12" applyNumberFormat="1" applyFont="1" applyFill="1" applyBorder="1" applyAlignment="1" applyProtection="1">
      <alignment horizontal="right" vertical="center"/>
    </xf>
    <xf numFmtId="5" fontId="58" fillId="0" borderId="2" xfId="12" applyNumberFormat="1" applyFont="1" applyFill="1" applyBorder="1" applyAlignment="1" applyProtection="1">
      <alignment horizontal="right" vertical="center"/>
    </xf>
    <xf numFmtId="10" fontId="46" fillId="0" borderId="5" xfId="14" applyNumberFormat="1" applyFont="1" applyFill="1" applyBorder="1" applyAlignment="1" applyProtection="1">
      <alignment horizontal="right" vertical="center"/>
    </xf>
    <xf numFmtId="0" fontId="65" fillId="0" borderId="0" xfId="6" applyFont="1"/>
    <xf numFmtId="0" fontId="46" fillId="0" borderId="0" xfId="6" applyFont="1" applyAlignment="1">
      <alignment horizontal="left" indent="1"/>
    </xf>
    <xf numFmtId="0" fontId="46" fillId="0" borderId="5" xfId="6" applyFont="1" applyBorder="1" applyAlignment="1">
      <alignment horizontal="left" indent="1"/>
    </xf>
    <xf numFmtId="0" fontId="46" fillId="0" borderId="6" xfId="6" applyFont="1" applyBorder="1"/>
    <xf numFmtId="0" fontId="58" fillId="0" borderId="0" xfId="6" applyFont="1" applyAlignment="1">
      <alignment horizontal="left" indent="1"/>
    </xf>
    <xf numFmtId="0" fontId="63" fillId="3" borderId="0" xfId="6" applyFont="1" applyFill="1"/>
    <xf numFmtId="5" fontId="46" fillId="0" borderId="5" xfId="6" applyNumberFormat="1" applyFont="1" applyBorder="1"/>
    <xf numFmtId="5" fontId="46" fillId="0" borderId="6" xfId="12" applyNumberFormat="1" applyFont="1" applyFill="1" applyBorder="1" applyAlignment="1" applyProtection="1">
      <alignment horizontal="right" vertical="center"/>
    </xf>
    <xf numFmtId="5" fontId="47" fillId="0" borderId="5" xfId="6" applyNumberFormat="1" applyFont="1" applyBorder="1"/>
    <xf numFmtId="5" fontId="46" fillId="0" borderId="0" xfId="6" applyNumberFormat="1" applyFont="1" applyAlignment="1">
      <alignment horizontal="left" indent="1"/>
    </xf>
    <xf numFmtId="9" fontId="46" fillId="0" borderId="5" xfId="6" applyNumberFormat="1" applyFont="1" applyBorder="1"/>
    <xf numFmtId="168" fontId="46" fillId="0" borderId="5" xfId="9" applyNumberFormat="1" applyFont="1" applyFill="1" applyBorder="1" applyAlignment="1" applyProtection="1">
      <alignment horizontal="right" vertical="center"/>
    </xf>
    <xf numFmtId="9" fontId="46" fillId="0" borderId="6" xfId="6" applyNumberFormat="1" applyFont="1" applyBorder="1" applyAlignment="1">
      <alignment horizontal="left" vertical="center" indent="2" shrinkToFit="1"/>
    </xf>
    <xf numFmtId="168" fontId="47" fillId="0" borderId="5" xfId="9" applyNumberFormat="1" applyFont="1" applyFill="1" applyBorder="1" applyAlignment="1" applyProtection="1">
      <alignment horizontal="right" vertical="center"/>
    </xf>
    <xf numFmtId="0" fontId="46" fillId="0" borderId="6" xfId="6" applyFont="1" applyBorder="1" applyAlignment="1">
      <alignment horizontal="left" vertical="center" indent="2" shrinkToFit="1"/>
    </xf>
    <xf numFmtId="10" fontId="46" fillId="0" borderId="5" xfId="9" applyNumberFormat="1" applyFont="1" applyFill="1" applyBorder="1" applyAlignment="1" applyProtection="1">
      <alignment horizontal="right" vertical="center"/>
    </xf>
    <xf numFmtId="10" fontId="47" fillId="0" borderId="5" xfId="9" applyNumberFormat="1" applyFont="1" applyFill="1" applyBorder="1" applyAlignment="1" applyProtection="1">
      <alignment horizontal="right" vertical="center"/>
    </xf>
    <xf numFmtId="14" fontId="47" fillId="0" borderId="6" xfId="6" applyNumberFormat="1" applyFont="1" applyBorder="1" applyAlignment="1">
      <alignment horizontal="left" vertical="center" indent="2" shrinkToFit="1"/>
    </xf>
    <xf numFmtId="10" fontId="47" fillId="0" borderId="5" xfId="9" quotePrefix="1" applyNumberFormat="1" applyFont="1" applyFill="1" applyBorder="1" applyAlignment="1" applyProtection="1">
      <alignment horizontal="right" vertical="center"/>
    </xf>
    <xf numFmtId="10" fontId="46" fillId="0" borderId="5" xfId="14" applyNumberFormat="1" applyFont="1" applyFill="1" applyBorder="1"/>
    <xf numFmtId="168" fontId="57" fillId="0" borderId="6" xfId="9" applyNumberFormat="1" applyFont="1" applyFill="1" applyBorder="1" applyAlignment="1" applyProtection="1">
      <alignment horizontal="right" vertical="center"/>
    </xf>
    <xf numFmtId="168" fontId="57" fillId="0" borderId="0" xfId="9" applyNumberFormat="1" applyFont="1" applyFill="1" applyBorder="1" applyAlignment="1" applyProtection="1">
      <alignment vertical="center"/>
    </xf>
    <xf numFmtId="44" fontId="39" fillId="3" borderId="0" xfId="6" applyNumberFormat="1" applyFont="1" applyFill="1" applyAlignment="1">
      <alignment horizontal="right" vertical="center"/>
    </xf>
    <xf numFmtId="173" fontId="46" fillId="0" borderId="6" xfId="14" applyNumberFormat="1" applyFont="1" applyFill="1" applyBorder="1" applyAlignment="1" applyProtection="1">
      <alignment horizontal="left" vertical="center" indent="2" shrinkToFit="1"/>
    </xf>
    <xf numFmtId="44" fontId="46" fillId="0" borderId="6" xfId="6" applyNumberFormat="1" applyFont="1" applyBorder="1" applyAlignment="1">
      <alignment horizontal="left" vertical="center" indent="2"/>
    </xf>
    <xf numFmtId="0" fontId="46" fillId="0" borderId="6" xfId="6" applyFont="1" applyBorder="1" applyAlignment="1">
      <alignment horizontal="left" vertical="center" indent="2"/>
    </xf>
    <xf numFmtId="43" fontId="46" fillId="0" borderId="6" xfId="6" applyNumberFormat="1" applyFont="1" applyBorder="1" applyAlignment="1">
      <alignment horizontal="left" vertical="center" indent="2"/>
    </xf>
    <xf numFmtId="174" fontId="46" fillId="0" borderId="5" xfId="9" applyNumberFormat="1" applyFont="1" applyFill="1" applyBorder="1" applyAlignment="1" applyProtection="1">
      <alignment horizontal="right" vertical="center"/>
    </xf>
    <xf numFmtId="168" fontId="46" fillId="0" borderId="0" xfId="7" applyNumberFormat="1" applyFont="1" applyFill="1" applyBorder="1" applyAlignment="1"/>
    <xf numFmtId="164" fontId="44" fillId="0" borderId="5" xfId="14" applyNumberFormat="1" applyFont="1" applyFill="1" applyBorder="1" applyAlignment="1" applyProtection="1">
      <alignment horizontal="right" vertical="center"/>
    </xf>
    <xf numFmtId="6" fontId="46" fillId="0" borderId="5" xfId="9" applyNumberFormat="1" applyFont="1" applyFill="1" applyBorder="1" applyAlignment="1" applyProtection="1">
      <alignment horizontal="right" vertical="center"/>
    </xf>
    <xf numFmtId="0" fontId="39" fillId="0" borderId="0" xfId="6" applyFont="1" applyAlignment="1">
      <alignment vertical="center"/>
    </xf>
    <xf numFmtId="0" fontId="39" fillId="0" borderId="5" xfId="6" applyFont="1" applyBorder="1" applyAlignment="1">
      <alignment vertical="center"/>
    </xf>
    <xf numFmtId="0" fontId="39" fillId="0" borderId="6" xfId="6" applyFont="1" applyBorder="1" applyAlignment="1">
      <alignment vertical="center"/>
    </xf>
    <xf numFmtId="44" fontId="39" fillId="0" borderId="5" xfId="6" applyNumberFormat="1" applyFont="1" applyBorder="1" applyAlignment="1">
      <alignment horizontal="right" vertical="center"/>
    </xf>
    <xf numFmtId="44" fontId="39" fillId="0" borderId="6" xfId="6" applyNumberFormat="1" applyFont="1" applyBorder="1" applyAlignment="1">
      <alignment horizontal="right" vertical="center"/>
    </xf>
    <xf numFmtId="6" fontId="47" fillId="0" borderId="5" xfId="6" applyNumberFormat="1" applyFont="1" applyBorder="1" applyAlignment="1">
      <alignment horizontal="right" vertical="center"/>
    </xf>
    <xf numFmtId="44" fontId="39" fillId="0" borderId="0" xfId="6" applyNumberFormat="1" applyFont="1" applyAlignment="1">
      <alignment horizontal="right" vertical="center"/>
    </xf>
    <xf numFmtId="0" fontId="53" fillId="0" borderId="0" xfId="6" applyFont="1"/>
    <xf numFmtId="190" fontId="47" fillId="0" borderId="5" xfId="6" applyNumberFormat="1" applyFont="1" applyBorder="1" applyAlignment="1">
      <alignment horizontal="right" vertical="center"/>
    </xf>
    <xf numFmtId="43" fontId="53" fillId="0" borderId="0" xfId="7" applyFont="1" applyFill="1" applyBorder="1"/>
    <xf numFmtId="170" fontId="47" fillId="0" borderId="5" xfId="6" applyNumberFormat="1" applyFont="1" applyBorder="1" applyAlignment="1">
      <alignment horizontal="right" vertical="center"/>
    </xf>
    <xf numFmtId="0" fontId="39" fillId="0" borderId="5" xfId="6" applyFont="1" applyBorder="1" applyAlignment="1">
      <alignment horizontal="right" vertical="center"/>
    </xf>
    <xf numFmtId="0" fontId="39" fillId="0" borderId="6" xfId="6" applyFont="1" applyBorder="1" applyAlignment="1">
      <alignment horizontal="right" vertical="center"/>
    </xf>
    <xf numFmtId="7" fontId="39" fillId="0" borderId="5" xfId="6" applyNumberFormat="1" applyFont="1" applyBorder="1" applyAlignment="1">
      <alignment vertical="center"/>
    </xf>
    <xf numFmtId="7" fontId="39" fillId="0" borderId="6" xfId="6" applyNumberFormat="1" applyFont="1" applyBorder="1" applyAlignment="1">
      <alignment vertical="center"/>
    </xf>
    <xf numFmtId="7" fontId="39" fillId="0" borderId="0" xfId="6" applyNumberFormat="1" applyFont="1" applyAlignment="1">
      <alignment vertical="center"/>
    </xf>
    <xf numFmtId="0" fontId="53" fillId="0" borderId="5" xfId="6" applyFont="1" applyBorder="1" applyAlignment="1">
      <alignment vertical="center"/>
    </xf>
    <xf numFmtId="0" fontId="53" fillId="0" borderId="6" xfId="6" applyFont="1" applyBorder="1" applyAlignment="1">
      <alignment vertical="center"/>
    </xf>
    <xf numFmtId="0" fontId="39" fillId="0" borderId="0" xfId="6" applyFont="1" applyAlignment="1">
      <alignment horizontal="center" vertical="center"/>
    </xf>
    <xf numFmtId="0" fontId="39" fillId="0" borderId="5" xfId="6" applyFont="1" applyBorder="1" applyAlignment="1">
      <alignment horizontal="center" vertical="center"/>
    </xf>
    <xf numFmtId="0" fontId="39" fillId="0" borderId="6" xfId="6" applyFont="1" applyBorder="1" applyAlignment="1">
      <alignment horizontal="center" vertical="center"/>
    </xf>
    <xf numFmtId="0" fontId="38" fillId="19" borderId="0" xfId="6" applyFont="1" applyFill="1" applyAlignment="1">
      <alignment horizontal="left" vertical="center" indent="1"/>
    </xf>
    <xf numFmtId="0" fontId="38" fillId="19" borderId="0" xfId="6" applyFont="1" applyFill="1" applyAlignment="1">
      <alignment vertical="center"/>
    </xf>
    <xf numFmtId="5" fontId="39" fillId="19" borderId="5" xfId="6" applyNumberFormat="1" applyFont="1" applyFill="1" applyBorder="1" applyAlignment="1">
      <alignment horizontal="center" vertical="center"/>
    </xf>
    <xf numFmtId="0" fontId="39" fillId="19" borderId="6" xfId="6" applyFont="1" applyFill="1" applyBorder="1" applyAlignment="1">
      <alignment horizontal="center" vertical="center"/>
    </xf>
    <xf numFmtId="0" fontId="39" fillId="19" borderId="0" xfId="6" applyFont="1" applyFill="1" applyAlignment="1">
      <alignment vertical="center"/>
    </xf>
    <xf numFmtId="0" fontId="46" fillId="19" borderId="5" xfId="6" applyFont="1" applyFill="1" applyBorder="1" applyAlignment="1">
      <alignment horizontal="center" vertical="center"/>
    </xf>
    <xf numFmtId="0" fontId="46" fillId="19" borderId="6" xfId="6" applyFont="1" applyFill="1" applyBorder="1" applyAlignment="1">
      <alignment horizontal="center" vertical="center"/>
    </xf>
    <xf numFmtId="0" fontId="46" fillId="19" borderId="0" xfId="6" applyFont="1" applyFill="1" applyAlignment="1">
      <alignment vertical="center"/>
    </xf>
    <xf numFmtId="0" fontId="38" fillId="19" borderId="2" xfId="6" applyFont="1" applyFill="1" applyBorder="1" applyAlignment="1">
      <alignment horizontal="center" vertical="center"/>
    </xf>
    <xf numFmtId="0" fontId="36" fillId="19" borderId="5" xfId="6" applyFont="1" applyFill="1" applyBorder="1" applyAlignment="1">
      <alignment horizontal="center" vertical="center"/>
    </xf>
    <xf numFmtId="0" fontId="36" fillId="19" borderId="6" xfId="6" applyFont="1" applyFill="1" applyBorder="1" applyAlignment="1">
      <alignment horizontal="center" vertical="center"/>
    </xf>
    <xf numFmtId="0" fontId="36" fillId="19" borderId="0" xfId="6" applyFont="1" applyFill="1" applyAlignment="1">
      <alignment horizontal="center" vertical="center"/>
    </xf>
    <xf numFmtId="0" fontId="66" fillId="0" borderId="0" xfId="6" applyFont="1" applyAlignment="1">
      <alignment vertical="center"/>
    </xf>
    <xf numFmtId="166" fontId="67" fillId="12" borderId="0" xfId="4" applyNumberFormat="1" applyFont="1" applyFill="1" applyBorder="1" applyAlignment="1">
      <alignment horizontal="left"/>
    </xf>
    <xf numFmtId="0" fontId="67" fillId="12" borderId="0" xfId="6" applyFont="1" applyFill="1"/>
    <xf numFmtId="9" fontId="67" fillId="12" borderId="0" xfId="6" applyNumberFormat="1" applyFont="1" applyFill="1" applyAlignment="1">
      <alignment horizontal="left"/>
    </xf>
    <xf numFmtId="0" fontId="38" fillId="19" borderId="0" xfId="6" applyFont="1" applyFill="1"/>
    <xf numFmtId="0" fontId="38" fillId="19" borderId="0" xfId="6" applyFont="1" applyFill="1" applyAlignment="1">
      <alignment horizontal="center"/>
    </xf>
    <xf numFmtId="0" fontId="58" fillId="0" borderId="0" xfId="6" applyFont="1" applyAlignment="1">
      <alignment horizontal="right"/>
    </xf>
    <xf numFmtId="0" fontId="68" fillId="19" borderId="0" xfId="6" applyFont="1" applyFill="1" applyAlignment="1">
      <alignment horizontal="center"/>
    </xf>
    <xf numFmtId="0" fontId="38" fillId="19" borderId="0" xfId="24" applyFont="1" applyFill="1" applyAlignment="1">
      <alignment horizontal="center"/>
    </xf>
    <xf numFmtId="6" fontId="46" fillId="0" borderId="0" xfId="6" applyNumberFormat="1" applyFont="1"/>
    <xf numFmtId="5" fontId="46" fillId="0" borderId="0" xfId="6" applyNumberFormat="1" applyFont="1"/>
    <xf numFmtId="5" fontId="45" fillId="10" borderId="0" xfId="6" applyNumberFormat="1" applyFont="1" applyFill="1" applyAlignment="1">
      <alignment horizontal="right"/>
    </xf>
    <xf numFmtId="5" fontId="58" fillId="0" borderId="0" xfId="6" applyNumberFormat="1" applyFont="1" applyAlignment="1">
      <alignment horizontal="right"/>
    </xf>
    <xf numFmtId="9" fontId="57" fillId="10" borderId="0" xfId="6" applyNumberFormat="1" applyFont="1" applyFill="1" applyAlignment="1">
      <alignment horizontal="center"/>
    </xf>
    <xf numFmtId="0" fontId="57" fillId="0" borderId="0" xfId="6" applyFont="1"/>
    <xf numFmtId="0" fontId="47" fillId="0" borderId="0" xfId="24" applyFont="1"/>
    <xf numFmtId="176" fontId="47" fillId="0" borderId="0" xfId="24" applyNumberFormat="1" applyFont="1"/>
    <xf numFmtId="170" fontId="46" fillId="0" borderId="0" xfId="6" applyNumberFormat="1" applyFont="1"/>
    <xf numFmtId="9" fontId="42" fillId="10" borderId="0" xfId="5" applyFont="1" applyFill="1" applyAlignment="1">
      <alignment horizontal="right"/>
    </xf>
    <xf numFmtId="9" fontId="58" fillId="0" borderId="0" xfId="5" applyFont="1" applyFill="1" applyAlignment="1">
      <alignment horizontal="right"/>
    </xf>
    <xf numFmtId="0" fontId="58" fillId="10" borderId="0" xfId="6" applyFont="1" applyFill="1" applyAlignment="1">
      <alignment horizontal="right"/>
    </xf>
    <xf numFmtId="164" fontId="58" fillId="10" borderId="0" xfId="6" applyNumberFormat="1" applyFont="1" applyFill="1" applyAlignment="1">
      <alignment horizontal="right"/>
    </xf>
    <xf numFmtId="176" fontId="46" fillId="0" borderId="0" xfId="6" applyNumberFormat="1" applyFont="1"/>
    <xf numFmtId="176" fontId="58" fillId="10" borderId="0" xfId="6" applyNumberFormat="1" applyFont="1" applyFill="1" applyAlignment="1">
      <alignment horizontal="right"/>
    </xf>
    <xf numFmtId="0" fontId="46" fillId="0" borderId="2" xfId="6" applyFont="1" applyBorder="1"/>
    <xf numFmtId="0" fontId="46" fillId="0" borderId="1" xfId="6" applyFont="1" applyBorder="1"/>
    <xf numFmtId="5" fontId="46" fillId="0" borderId="1" xfId="6" applyNumberFormat="1" applyFont="1" applyBorder="1"/>
    <xf numFmtId="166" fontId="58" fillId="0" borderId="0" xfId="4" applyNumberFormat="1" applyFont="1" applyFill="1" applyBorder="1" applyAlignment="1">
      <alignment horizontal="right"/>
    </xf>
    <xf numFmtId="5" fontId="62" fillId="10" borderId="0" xfId="6" applyNumberFormat="1" applyFont="1" applyFill="1" applyAlignment="1">
      <alignment horizontal="center"/>
    </xf>
    <xf numFmtId="0" fontId="47" fillId="0" borderId="15" xfId="24" applyFont="1" applyBorder="1"/>
    <xf numFmtId="176" fontId="47" fillId="0" borderId="15" xfId="24" applyNumberFormat="1" applyFont="1" applyBorder="1"/>
    <xf numFmtId="166" fontId="58" fillId="12" borderId="0" xfId="4" applyNumberFormat="1" applyFont="1" applyFill="1" applyBorder="1" applyAlignment="1">
      <alignment horizontal="right"/>
    </xf>
    <xf numFmtId="9" fontId="67" fillId="12" borderId="0" xfId="4" applyNumberFormat="1" applyFont="1" applyFill="1" applyBorder="1" applyAlignment="1">
      <alignment horizontal="left"/>
    </xf>
    <xf numFmtId="0" fontId="58" fillId="0" borderId="0" xfId="24" applyFont="1"/>
    <xf numFmtId="176" fontId="46" fillId="0" borderId="0" xfId="24" applyNumberFormat="1" applyFont="1"/>
    <xf numFmtId="0" fontId="46" fillId="0" borderId="0" xfId="6" applyFont="1" applyAlignment="1">
      <alignment horizontal="right"/>
    </xf>
    <xf numFmtId="0" fontId="42" fillId="0" borderId="2" xfId="0" applyFont="1" applyBorder="1" applyAlignment="1">
      <alignment horizontal="left" vertical="center" indent="1"/>
    </xf>
    <xf numFmtId="0" fontId="38" fillId="0" borderId="0" xfId="0" applyFont="1" applyAlignment="1">
      <alignment horizontal="left" vertical="center" indent="1"/>
    </xf>
    <xf numFmtId="0" fontId="47" fillId="0" borderId="18" xfId="0" quotePrefix="1" applyFont="1" applyBorder="1" applyAlignment="1">
      <alignment horizontal="left" vertical="center"/>
    </xf>
    <xf numFmtId="0" fontId="44" fillId="0" borderId="0" xfId="0" applyFont="1" applyAlignment="1">
      <alignment horizontal="right" vertical="center" indent="1"/>
    </xf>
    <xf numFmtId="0" fontId="41" fillId="0" borderId="0" xfId="0" applyFont="1" applyAlignment="1">
      <alignment horizontal="left" vertical="center"/>
    </xf>
    <xf numFmtId="177" fontId="44" fillId="0" borderId="0" xfId="0" applyNumberFormat="1" applyFont="1" applyAlignment="1">
      <alignment horizontal="right" vertical="center" indent="1"/>
    </xf>
    <xf numFmtId="0" fontId="46" fillId="0" borderId="0" xfId="6" applyFont="1" applyAlignment="1">
      <alignment horizontal="center"/>
    </xf>
    <xf numFmtId="0" fontId="53" fillId="3" borderId="27" xfId="6" applyFont="1" applyFill="1" applyBorder="1" applyAlignment="1">
      <alignment vertical="center"/>
    </xf>
    <xf numFmtId="0" fontId="53" fillId="3" borderId="5" xfId="6" applyFont="1" applyFill="1" applyBorder="1" applyAlignment="1">
      <alignment vertical="center"/>
    </xf>
    <xf numFmtId="0" fontId="69" fillId="0" borderId="0" xfId="6" applyFont="1" applyAlignment="1">
      <alignment vertical="center"/>
    </xf>
    <xf numFmtId="14" fontId="38" fillId="19" borderId="0" xfId="6" applyNumberFormat="1" applyFont="1" applyFill="1" applyAlignment="1">
      <alignment horizontal="center" vertical="center" wrapText="1"/>
    </xf>
    <xf numFmtId="14" fontId="38" fillId="19" borderId="5" xfId="6" applyNumberFormat="1" applyFont="1" applyFill="1" applyBorder="1" applyAlignment="1">
      <alignment horizontal="center" vertical="center" wrapText="1"/>
    </xf>
    <xf numFmtId="0" fontId="56" fillId="0" borderId="5" xfId="6" applyFont="1" applyBorder="1"/>
    <xf numFmtId="0" fontId="38" fillId="19" borderId="0" xfId="6" applyFont="1" applyFill="1" applyAlignment="1">
      <alignment horizontal="center" vertical="center" wrapText="1"/>
    </xf>
    <xf numFmtId="0" fontId="38" fillId="19" borderId="6" xfId="6" applyFont="1" applyFill="1" applyBorder="1" applyAlignment="1">
      <alignment horizontal="center" vertical="center" wrapText="1"/>
    </xf>
    <xf numFmtId="0" fontId="38" fillId="19" borderId="27" xfId="6" applyFont="1" applyFill="1" applyBorder="1" applyAlignment="1">
      <alignment horizontal="center" vertical="center" wrapText="1"/>
    </xf>
    <xf numFmtId="0" fontId="38" fillId="19" borderId="5" xfId="6" applyFont="1" applyFill="1" applyBorder="1" applyAlignment="1">
      <alignment horizontal="center" vertical="center" wrapText="1"/>
    </xf>
    <xf numFmtId="0" fontId="38" fillId="19" borderId="28" xfId="6" applyFont="1" applyFill="1" applyBorder="1" applyAlignment="1">
      <alignment horizontal="center" vertical="center" wrapText="1"/>
    </xf>
    <xf numFmtId="0" fontId="38" fillId="19" borderId="10" xfId="6" applyFont="1" applyFill="1" applyBorder="1" applyAlignment="1">
      <alignment horizontal="center" vertical="center" wrapText="1"/>
    </xf>
    <xf numFmtId="0" fontId="37" fillId="0" borderId="0" xfId="6" applyFont="1"/>
    <xf numFmtId="0" fontId="58" fillId="0" borderId="0" xfId="6" applyFont="1" applyAlignment="1">
      <alignment horizontal="center" vertical="center" wrapText="1"/>
    </xf>
    <xf numFmtId="0" fontId="58" fillId="0" borderId="6" xfId="6" applyFont="1" applyBorder="1" applyAlignment="1">
      <alignment horizontal="center" vertical="center" wrapText="1"/>
    </xf>
    <xf numFmtId="8" fontId="58" fillId="0" borderId="27" xfId="6" applyNumberFormat="1" applyFont="1" applyBorder="1" applyAlignment="1">
      <alignment horizontal="center" vertical="center" wrapText="1"/>
    </xf>
    <xf numFmtId="0" fontId="37" fillId="0" borderId="5" xfId="6" applyFont="1" applyBorder="1"/>
    <xf numFmtId="0" fontId="36" fillId="3" borderId="27" xfId="6" applyFont="1" applyFill="1" applyBorder="1"/>
    <xf numFmtId="0" fontId="36" fillId="3" borderId="5" xfId="6" applyFont="1" applyFill="1" applyBorder="1"/>
    <xf numFmtId="0" fontId="36" fillId="0" borderId="5" xfId="6" applyFont="1" applyBorder="1"/>
    <xf numFmtId="0" fontId="44" fillId="0" borderId="0" xfId="6" applyFont="1" applyAlignment="1">
      <alignment vertical="center"/>
    </xf>
    <xf numFmtId="6" fontId="36" fillId="3" borderId="27" xfId="6" applyNumberFormat="1" applyFont="1" applyFill="1" applyBorder="1" applyAlignment="1">
      <alignment vertical="center"/>
    </xf>
    <xf numFmtId="0" fontId="36" fillId="0" borderId="5" xfId="6" applyFont="1" applyBorder="1" applyAlignment="1">
      <alignment vertical="center"/>
    </xf>
    <xf numFmtId="0" fontId="57" fillId="0" borderId="18" xfId="6" applyFont="1" applyBorder="1" applyAlignment="1">
      <alignment horizontal="center" vertical="center"/>
    </xf>
    <xf numFmtId="6" fontId="58" fillId="0" borderId="18" xfId="6" applyNumberFormat="1" applyFont="1" applyBorder="1" applyAlignment="1">
      <alignment horizontal="center" vertical="center"/>
    </xf>
    <xf numFmtId="6" fontId="58" fillId="0" borderId="20" xfId="6" applyNumberFormat="1" applyFont="1" applyBorder="1" applyAlignment="1">
      <alignment horizontal="center" vertical="center"/>
    </xf>
    <xf numFmtId="0" fontId="57" fillId="0" borderId="1" xfId="6" applyFont="1" applyBorder="1" applyAlignment="1">
      <alignment horizontal="center" vertical="center"/>
    </xf>
    <xf numFmtId="6" fontId="58" fillId="0" borderId="0" xfId="6" applyNumberFormat="1" applyFont="1" applyAlignment="1">
      <alignment horizontal="center" vertical="center"/>
    </xf>
    <xf numFmtId="6" fontId="58" fillId="0" borderId="5" xfId="6" applyNumberFormat="1" applyFont="1" applyBorder="1" applyAlignment="1">
      <alignment horizontal="center" vertical="center"/>
    </xf>
    <xf numFmtId="0" fontId="71" fillId="0" borderId="0" xfId="6" applyFont="1" applyAlignment="1">
      <alignment horizontal="left" vertical="center"/>
    </xf>
    <xf numFmtId="0" fontId="57" fillId="0" borderId="0" xfId="6" applyFont="1" applyAlignment="1">
      <alignment horizontal="center" vertical="center"/>
    </xf>
    <xf numFmtId="8" fontId="36" fillId="3" borderId="27" xfId="6" applyNumberFormat="1" applyFont="1" applyFill="1" applyBorder="1"/>
    <xf numFmtId="0" fontId="36" fillId="6" borderId="0" xfId="6" applyFont="1" applyFill="1"/>
    <xf numFmtId="0" fontId="63" fillId="0" borderId="0" xfId="6" applyFont="1"/>
    <xf numFmtId="5" fontId="46" fillId="0" borderId="0" xfId="9" applyNumberFormat="1" applyFont="1" applyFill="1" applyBorder="1" applyAlignment="1" applyProtection="1">
      <alignment horizontal="right" vertical="center"/>
    </xf>
    <xf numFmtId="6" fontId="46" fillId="0" borderId="0" xfId="9" applyNumberFormat="1" applyFont="1" applyFill="1" applyBorder="1" applyAlignment="1" applyProtection="1">
      <alignment horizontal="center" vertical="center"/>
    </xf>
    <xf numFmtId="0" fontId="72" fillId="0" borderId="0" xfId="6" applyFont="1"/>
    <xf numFmtId="6" fontId="39" fillId="3" borderId="27" xfId="9" applyNumberFormat="1" applyFont="1" applyFill="1" applyBorder="1" applyAlignment="1">
      <alignment horizontal="right" vertical="center"/>
    </xf>
    <xf numFmtId="6" fontId="39" fillId="3" borderId="5" xfId="9" applyNumberFormat="1" applyFont="1" applyFill="1" applyBorder="1" applyAlignment="1">
      <alignment horizontal="right" vertical="center"/>
    </xf>
    <xf numFmtId="5" fontId="46" fillId="0" borderId="2" xfId="9" applyNumberFormat="1" applyFont="1" applyFill="1" applyBorder="1" applyAlignment="1" applyProtection="1">
      <alignment horizontal="right" vertical="center"/>
    </xf>
    <xf numFmtId="5" fontId="58" fillId="0" borderId="18" xfId="9" applyNumberFormat="1" applyFont="1" applyFill="1" applyBorder="1" applyAlignment="1" applyProtection="1">
      <alignment horizontal="right" vertical="center"/>
    </xf>
    <xf numFmtId="6" fontId="58" fillId="0" borderId="18" xfId="9" applyNumberFormat="1" applyFont="1" applyFill="1" applyBorder="1" applyAlignment="1" applyProtection="1">
      <alignment horizontal="center" vertical="center"/>
    </xf>
    <xf numFmtId="6" fontId="58" fillId="0" borderId="20" xfId="9" applyNumberFormat="1" applyFont="1" applyFill="1" applyBorder="1" applyAlignment="1" applyProtection="1">
      <alignment horizontal="right" vertical="center"/>
    </xf>
    <xf numFmtId="5" fontId="57" fillId="0" borderId="0" xfId="7" applyNumberFormat="1" applyFont="1" applyFill="1" applyBorder="1" applyAlignment="1" applyProtection="1">
      <alignment horizontal="right" vertical="center"/>
    </xf>
    <xf numFmtId="6" fontId="57" fillId="0" borderId="0" xfId="7" applyNumberFormat="1" applyFont="1" applyFill="1" applyBorder="1" applyAlignment="1" applyProtection="1">
      <alignment horizontal="center" vertical="center"/>
    </xf>
    <xf numFmtId="6" fontId="57" fillId="0" borderId="5" xfId="7" applyNumberFormat="1" applyFont="1" applyFill="1" applyBorder="1" applyAlignment="1" applyProtection="1">
      <alignment horizontal="right" vertical="center"/>
    </xf>
    <xf numFmtId="5" fontId="57" fillId="0" borderId="0" xfId="7" applyNumberFormat="1" applyFont="1" applyFill="1" applyBorder="1" applyAlignment="1" applyProtection="1">
      <alignment horizontal="left" vertical="center" indent="2"/>
    </xf>
    <xf numFmtId="6" fontId="58" fillId="0" borderId="6" xfId="7" applyNumberFormat="1" applyFont="1" applyFill="1" applyBorder="1" applyAlignment="1" applyProtection="1">
      <alignment horizontal="right" vertical="center"/>
    </xf>
    <xf numFmtId="6" fontId="58" fillId="0" borderId="27" xfId="7" applyNumberFormat="1" applyFont="1" applyFill="1" applyBorder="1" applyAlignment="1" applyProtection="1">
      <alignment horizontal="right" vertical="center"/>
    </xf>
    <xf numFmtId="6" fontId="58" fillId="0" borderId="0" xfId="7" applyNumberFormat="1" applyFont="1" applyFill="1" applyBorder="1" applyAlignment="1" applyProtection="1">
      <alignment horizontal="right" vertical="center"/>
    </xf>
    <xf numFmtId="6" fontId="62" fillId="10" borderId="0" xfId="7" applyNumberFormat="1" applyFont="1" applyFill="1" applyBorder="1" applyAlignment="1" applyProtection="1">
      <alignment horizontal="right" vertical="center"/>
    </xf>
    <xf numFmtId="0" fontId="58" fillId="0" borderId="18" xfId="6" applyFont="1" applyBorder="1" applyAlignment="1">
      <alignment horizontal="left" vertical="center" indent="1"/>
    </xf>
    <xf numFmtId="6" fontId="58" fillId="10" borderId="21" xfId="9" applyNumberFormat="1" applyFont="1" applyFill="1" applyBorder="1" applyAlignment="1" applyProtection="1">
      <alignment horizontal="right" vertical="center"/>
    </xf>
    <xf numFmtId="5" fontId="46" fillId="0" borderId="0" xfId="12" applyNumberFormat="1" applyFont="1" applyFill="1" applyBorder="1" applyAlignment="1" applyProtection="1">
      <alignment horizontal="right" vertical="center"/>
    </xf>
    <xf numFmtId="6" fontId="46" fillId="0" borderId="0" xfId="12" applyNumberFormat="1" applyFont="1" applyFill="1" applyBorder="1" applyAlignment="1" applyProtection="1">
      <alignment horizontal="center" vertical="center"/>
    </xf>
    <xf numFmtId="6" fontId="39" fillId="3" borderId="27" xfId="6" applyNumberFormat="1" applyFont="1" applyFill="1" applyBorder="1" applyAlignment="1">
      <alignment horizontal="right" vertical="center"/>
    </xf>
    <xf numFmtId="6" fontId="39" fillId="3" borderId="5" xfId="6" applyNumberFormat="1" applyFont="1" applyFill="1" applyBorder="1" applyAlignment="1">
      <alignment horizontal="right" vertical="center"/>
    </xf>
    <xf numFmtId="6" fontId="58" fillId="0" borderId="0" xfId="12" applyNumberFormat="1" applyFont="1" applyFill="1" applyBorder="1" applyAlignment="1" applyProtection="1">
      <alignment horizontal="center" vertical="center"/>
    </xf>
    <xf numFmtId="6" fontId="73" fillId="3" borderId="27" xfId="6" applyNumberFormat="1" applyFont="1" applyFill="1" applyBorder="1" applyAlignment="1">
      <alignment horizontal="right" vertical="center"/>
    </xf>
    <xf numFmtId="6" fontId="73" fillId="3" borderId="5" xfId="6" applyNumberFormat="1" applyFont="1" applyFill="1" applyBorder="1" applyAlignment="1">
      <alignment horizontal="right" vertical="center"/>
    </xf>
    <xf numFmtId="6" fontId="46" fillId="0" borderId="0" xfId="9" applyNumberFormat="1" applyFont="1" applyFill="1" applyBorder="1" applyAlignment="1" applyProtection="1">
      <alignment horizontal="right" vertical="center"/>
    </xf>
    <xf numFmtId="6" fontId="39" fillId="3" borderId="27" xfId="7" applyNumberFormat="1" applyFont="1" applyFill="1" applyBorder="1" applyAlignment="1">
      <alignment horizontal="right" vertical="center"/>
    </xf>
    <xf numFmtId="6" fontId="39" fillId="3" borderId="5" xfId="7" applyNumberFormat="1" applyFont="1" applyFill="1" applyBorder="1" applyAlignment="1">
      <alignment horizontal="right" vertical="center"/>
    </xf>
    <xf numFmtId="10" fontId="62" fillId="10" borderId="0" xfId="7" applyNumberFormat="1" applyFont="1" applyFill="1" applyBorder="1" applyAlignment="1" applyProtection="1">
      <alignment horizontal="right" vertical="center"/>
    </xf>
    <xf numFmtId="171" fontId="62" fillId="10" borderId="0" xfId="7" applyNumberFormat="1" applyFont="1" applyFill="1" applyBorder="1" applyAlignment="1" applyProtection="1">
      <alignment horizontal="right" vertical="center"/>
    </xf>
    <xf numFmtId="5" fontId="58" fillId="0" borderId="18" xfId="12" applyNumberFormat="1" applyFont="1" applyFill="1" applyBorder="1" applyAlignment="1" applyProtection="1">
      <alignment horizontal="right" vertical="center"/>
    </xf>
    <xf numFmtId="6" fontId="58" fillId="10" borderId="21" xfId="12" applyNumberFormat="1" applyFont="1" applyFill="1" applyBorder="1" applyAlignment="1" applyProtection="1">
      <alignment horizontal="right" vertical="center"/>
    </xf>
    <xf numFmtId="6" fontId="58" fillId="0" borderId="20" xfId="12" applyNumberFormat="1" applyFont="1" applyFill="1" applyBorder="1" applyAlignment="1" applyProtection="1">
      <alignment horizontal="right" vertical="center"/>
    </xf>
    <xf numFmtId="5" fontId="58" fillId="0" borderId="2" xfId="6" applyNumberFormat="1" applyFont="1" applyBorder="1"/>
    <xf numFmtId="9" fontId="57" fillId="0" borderId="0" xfId="6" applyNumberFormat="1" applyFont="1" applyAlignment="1">
      <alignment horizontal="center"/>
    </xf>
    <xf numFmtId="9" fontId="57" fillId="0" borderId="5" xfId="6" applyNumberFormat="1" applyFont="1" applyBorder="1" applyAlignment="1">
      <alignment horizontal="right" vertical="center"/>
    </xf>
    <xf numFmtId="6" fontId="58" fillId="0" borderId="21" xfId="12" applyNumberFormat="1" applyFont="1" applyFill="1" applyBorder="1" applyAlignment="1" applyProtection="1">
      <alignment horizontal="center" vertical="center"/>
    </xf>
    <xf numFmtId="6" fontId="58" fillId="0" borderId="30" xfId="12" applyNumberFormat="1" applyFont="1" applyFill="1" applyBorder="1" applyAlignment="1" applyProtection="1">
      <alignment horizontal="right" vertical="center"/>
    </xf>
    <xf numFmtId="8" fontId="53" fillId="0" borderId="0" xfId="6" applyNumberFormat="1" applyFont="1"/>
    <xf numFmtId="6" fontId="53" fillId="0" borderId="0" xfId="6" applyNumberFormat="1" applyFont="1" applyAlignment="1">
      <alignment horizontal="center"/>
    </xf>
    <xf numFmtId="6" fontId="39" fillId="0" borderId="27" xfId="6" applyNumberFormat="1" applyFont="1" applyBorder="1" applyAlignment="1">
      <alignment horizontal="right" vertical="center"/>
    </xf>
    <xf numFmtId="6" fontId="39" fillId="0" borderId="5" xfId="6" applyNumberFormat="1" applyFont="1" applyBorder="1" applyAlignment="1">
      <alignment horizontal="right" vertical="center"/>
    </xf>
    <xf numFmtId="9" fontId="74" fillId="0" borderId="0" xfId="9" applyNumberFormat="1" applyFont="1" applyFill="1" applyBorder="1" applyAlignment="1" applyProtection="1">
      <alignment horizontal="right" vertical="center"/>
    </xf>
    <xf numFmtId="6" fontId="39" fillId="0" borderId="27" xfId="7" applyNumberFormat="1" applyFont="1" applyFill="1" applyBorder="1" applyAlignment="1">
      <alignment horizontal="right" vertical="center"/>
    </xf>
    <xf numFmtId="6" fontId="39" fillId="0" borderId="5" xfId="7" applyNumberFormat="1" applyFont="1" applyFill="1" applyBorder="1" applyAlignment="1">
      <alignment horizontal="right" vertical="center"/>
    </xf>
    <xf numFmtId="0" fontId="53" fillId="0" borderId="18" xfId="6" applyFont="1" applyBorder="1"/>
    <xf numFmtId="6" fontId="53" fillId="0" borderId="21" xfId="6" applyNumberFormat="1" applyFont="1" applyBorder="1" applyAlignment="1">
      <alignment horizontal="center"/>
    </xf>
    <xf numFmtId="6" fontId="46" fillId="0" borderId="27" xfId="12" applyNumberFormat="1" applyFont="1" applyFill="1" applyBorder="1" applyAlignment="1" applyProtection="1">
      <alignment horizontal="right" vertical="center"/>
    </xf>
    <xf numFmtId="6" fontId="58" fillId="0" borderId="5" xfId="12" applyNumberFormat="1" applyFont="1" applyFill="1" applyBorder="1" applyAlignment="1" applyProtection="1">
      <alignment horizontal="right" vertical="center"/>
    </xf>
    <xf numFmtId="6" fontId="46" fillId="0" borderId="5" xfId="12" applyNumberFormat="1" applyFont="1" applyFill="1" applyBorder="1" applyAlignment="1" applyProtection="1">
      <alignment horizontal="right" vertical="center"/>
    </xf>
    <xf numFmtId="0" fontId="58" fillId="0" borderId="0" xfId="6" applyFont="1" applyAlignment="1">
      <alignment horizontal="left" vertical="center"/>
    </xf>
    <xf numFmtId="6" fontId="58" fillId="0" borderId="27" xfId="12" applyNumberFormat="1" applyFont="1" applyFill="1" applyBorder="1" applyAlignment="1" applyProtection="1">
      <alignment horizontal="right" vertical="center"/>
    </xf>
    <xf numFmtId="0" fontId="46" fillId="0" borderId="0" xfId="6" applyFont="1" applyAlignment="1">
      <alignment horizontal="left" vertical="center"/>
    </xf>
    <xf numFmtId="10" fontId="75" fillId="0" borderId="0" xfId="6" applyNumberFormat="1" applyFont="1" applyAlignment="1">
      <alignment horizontal="center"/>
    </xf>
    <xf numFmtId="0" fontId="53" fillId="0" borderId="18" xfId="6" applyFont="1" applyBorder="1" applyAlignment="1">
      <alignment horizontal="center"/>
    </xf>
    <xf numFmtId="6" fontId="53" fillId="0" borderId="18" xfId="6" applyNumberFormat="1" applyFont="1" applyBorder="1" applyAlignment="1">
      <alignment horizontal="center"/>
    </xf>
    <xf numFmtId="6" fontId="73" fillId="0" borderId="30" xfId="6" applyNumberFormat="1" applyFont="1" applyBorder="1" applyAlignment="1">
      <alignment horizontal="right" vertical="center"/>
    </xf>
    <xf numFmtId="0" fontId="57" fillId="17" borderId="0" xfId="6" applyFont="1" applyFill="1" applyAlignment="1">
      <alignment horizontal="left" vertical="center"/>
    </xf>
    <xf numFmtId="0" fontId="53" fillId="17" borderId="0" xfId="6" applyFont="1" applyFill="1" applyAlignment="1">
      <alignment horizontal="center"/>
    </xf>
    <xf numFmtId="6" fontId="55" fillId="17" borderId="27" xfId="6" applyNumberFormat="1" applyFont="1" applyFill="1" applyBorder="1" applyAlignment="1">
      <alignment horizontal="right" vertical="center"/>
    </xf>
    <xf numFmtId="0" fontId="53" fillId="0" borderId="0" xfId="6" applyFont="1" applyAlignment="1">
      <alignment horizontal="center"/>
    </xf>
    <xf numFmtId="6" fontId="44" fillId="0" borderId="27" xfId="6" applyNumberFormat="1" applyFont="1" applyBorder="1" applyAlignment="1">
      <alignment horizontal="right" vertical="center"/>
    </xf>
    <xf numFmtId="0" fontId="75" fillId="0" borderId="0" xfId="6" applyFont="1" applyAlignment="1">
      <alignment horizontal="center"/>
    </xf>
    <xf numFmtId="0" fontId="59" fillId="0" borderId="30" xfId="6" applyFont="1" applyBorder="1" applyAlignment="1">
      <alignment horizontal="center"/>
    </xf>
    <xf numFmtId="6" fontId="39" fillId="0" borderId="6" xfId="6" applyNumberFormat="1" applyFont="1" applyBorder="1" applyAlignment="1">
      <alignment horizontal="right" vertical="center"/>
    </xf>
    <xf numFmtId="6" fontId="76" fillId="0" borderId="27" xfId="6" applyNumberFormat="1" applyFont="1" applyBorder="1" applyAlignment="1">
      <alignment horizontal="center" vertical="center"/>
    </xf>
    <xf numFmtId="6" fontId="39" fillId="0" borderId="0" xfId="6" applyNumberFormat="1" applyFont="1" applyAlignment="1">
      <alignment horizontal="right" vertical="center"/>
    </xf>
    <xf numFmtId="6" fontId="76" fillId="0" borderId="28" xfId="6" applyNumberFormat="1" applyFont="1" applyBorder="1" applyAlignment="1">
      <alignment horizontal="center" vertical="center"/>
    </xf>
    <xf numFmtId="0" fontId="58" fillId="0" borderId="0" xfId="6" applyFont="1" applyAlignment="1">
      <alignment horizontal="left" vertical="center" indent="2"/>
    </xf>
    <xf numFmtId="6" fontId="73" fillId="0" borderId="21" xfId="6" applyNumberFormat="1" applyFont="1" applyBorder="1" applyAlignment="1">
      <alignment horizontal="right" vertical="center"/>
    </xf>
    <xf numFmtId="6" fontId="53" fillId="0" borderId="27" xfId="6" applyNumberFormat="1" applyFont="1" applyBorder="1" applyAlignment="1">
      <alignment horizontal="center"/>
    </xf>
    <xf numFmtId="6" fontId="53" fillId="0" borderId="5" xfId="6" applyNumberFormat="1" applyFont="1" applyBorder="1" applyAlignment="1">
      <alignment horizontal="center"/>
    </xf>
    <xf numFmtId="0" fontId="39" fillId="10" borderId="0" xfId="6" applyFont="1" applyFill="1"/>
    <xf numFmtId="10" fontId="39" fillId="10" borderId="0" xfId="6" applyNumberFormat="1" applyFont="1" applyFill="1" applyAlignment="1">
      <alignment horizontal="center"/>
    </xf>
    <xf numFmtId="177" fontId="39" fillId="10" borderId="0" xfId="6" applyNumberFormat="1" applyFont="1" applyFill="1" applyAlignment="1">
      <alignment horizontal="center"/>
    </xf>
    <xf numFmtId="6" fontId="53" fillId="0" borderId="0" xfId="6" applyNumberFormat="1" applyFont="1"/>
    <xf numFmtId="6" fontId="39" fillId="10" borderId="0" xfId="6" applyNumberFormat="1" applyFont="1" applyFill="1" applyAlignment="1">
      <alignment horizontal="center"/>
    </xf>
    <xf numFmtId="0" fontId="73" fillId="0" borderId="2" xfId="6" applyFont="1" applyBorder="1"/>
    <xf numFmtId="0" fontId="53" fillId="0" borderId="2" xfId="6" applyFont="1" applyBorder="1"/>
    <xf numFmtId="0" fontId="36" fillId="0" borderId="2" xfId="0" applyFont="1" applyBorder="1"/>
    <xf numFmtId="0" fontId="53" fillId="0" borderId="9" xfId="6" applyFont="1" applyBorder="1"/>
    <xf numFmtId="9" fontId="42" fillId="0" borderId="0" xfId="6" applyNumberFormat="1" applyFont="1"/>
    <xf numFmtId="6" fontId="39" fillId="0" borderId="0" xfId="6" applyNumberFormat="1" applyFont="1"/>
    <xf numFmtId="9" fontId="39" fillId="0" borderId="0" xfId="6" applyNumberFormat="1" applyFont="1"/>
    <xf numFmtId="10" fontId="39" fillId="0" borderId="0" xfId="6" applyNumberFormat="1" applyFont="1" applyAlignment="1">
      <alignment horizontal="center"/>
    </xf>
    <xf numFmtId="0" fontId="39" fillId="0" borderId="5" xfId="6" applyFont="1" applyBorder="1"/>
    <xf numFmtId="0" fontId="39" fillId="0" borderId="0" xfId="6" applyFont="1" applyAlignment="1">
      <alignment wrapText="1"/>
    </xf>
    <xf numFmtId="9" fontId="53" fillId="0" borderId="0" xfId="6" applyNumberFormat="1" applyFont="1"/>
    <xf numFmtId="0" fontId="53" fillId="0" borderId="5" xfId="6" applyFont="1" applyBorder="1"/>
    <xf numFmtId="0" fontId="53" fillId="0" borderId="0" xfId="6" applyFont="1" applyAlignment="1">
      <alignment wrapText="1"/>
    </xf>
    <xf numFmtId="0" fontId="38" fillId="19" borderId="6" xfId="6" applyFont="1" applyFill="1" applyBorder="1" applyAlignment="1">
      <alignment vertical="center"/>
    </xf>
    <xf numFmtId="0" fontId="77" fillId="0" borderId="0" xfId="6" applyFont="1"/>
    <xf numFmtId="10" fontId="57" fillId="0" borderId="0" xfId="10" applyNumberFormat="1" applyFont="1" applyFill="1" applyBorder="1" applyAlignment="1" applyProtection="1">
      <alignment horizontal="right" vertical="center"/>
    </xf>
    <xf numFmtId="10" fontId="46" fillId="0" borderId="0" xfId="5" applyNumberFormat="1" applyFont="1" applyFill="1" applyBorder="1" applyAlignment="1" applyProtection="1">
      <alignment horizontal="right" vertical="center"/>
    </xf>
    <xf numFmtId="10" fontId="46" fillId="0" borderId="6" xfId="9" applyNumberFormat="1" applyFont="1" applyFill="1" applyBorder="1" applyAlignment="1" applyProtection="1">
      <alignment horizontal="right" vertical="center"/>
    </xf>
    <xf numFmtId="0" fontId="53" fillId="0" borderId="6" xfId="6" applyFont="1" applyBorder="1"/>
    <xf numFmtId="0" fontId="53" fillId="0" borderId="0" xfId="6" applyFont="1" applyAlignment="1">
      <alignment vertical="center" wrapText="1"/>
    </xf>
    <xf numFmtId="0" fontId="39" fillId="14" borderId="6" xfId="6" applyFont="1" applyFill="1" applyBorder="1"/>
    <xf numFmtId="9" fontId="39" fillId="14" borderId="5" xfId="6" applyNumberFormat="1" applyFont="1" applyFill="1" applyBorder="1" applyAlignment="1">
      <alignment horizontal="center"/>
    </xf>
    <xf numFmtId="6" fontId="53" fillId="14" borderId="0" xfId="6" applyNumberFormat="1" applyFont="1" applyFill="1" applyAlignment="1">
      <alignment horizontal="center"/>
    </xf>
    <xf numFmtId="6" fontId="53" fillId="14" borderId="0" xfId="6" applyNumberFormat="1" applyFont="1" applyFill="1" applyAlignment="1">
      <alignment horizontal="center" vertical="center"/>
    </xf>
    <xf numFmtId="6" fontId="53" fillId="14" borderId="5" xfId="6" applyNumberFormat="1" applyFont="1" applyFill="1" applyBorder="1" applyAlignment="1">
      <alignment horizontal="center" vertical="center"/>
    </xf>
    <xf numFmtId="6" fontId="53" fillId="14" borderId="6" xfId="6" applyNumberFormat="1" applyFont="1" applyFill="1" applyBorder="1" applyAlignment="1">
      <alignment horizontal="center" vertical="center"/>
    </xf>
    <xf numFmtId="10" fontId="53" fillId="14" borderId="5" xfId="6" applyNumberFormat="1" applyFont="1" applyFill="1" applyBorder="1" applyAlignment="1">
      <alignment horizontal="right" vertical="center"/>
    </xf>
    <xf numFmtId="10" fontId="53" fillId="14" borderId="6" xfId="6" applyNumberFormat="1" applyFont="1" applyFill="1" applyBorder="1" applyAlignment="1">
      <alignment horizontal="center" vertical="center"/>
    </xf>
    <xf numFmtId="10" fontId="53" fillId="14" borderId="0" xfId="6" applyNumberFormat="1" applyFont="1" applyFill="1" applyAlignment="1">
      <alignment horizontal="center" vertical="center"/>
    </xf>
    <xf numFmtId="177" fontId="53" fillId="14" borderId="5" xfId="6" applyNumberFormat="1" applyFont="1" applyFill="1" applyBorder="1" applyAlignment="1">
      <alignment horizontal="right" vertical="center"/>
    </xf>
    <xf numFmtId="177" fontId="39" fillId="14" borderId="5" xfId="6" applyNumberFormat="1" applyFont="1" applyFill="1" applyBorder="1" applyAlignment="1">
      <alignment horizontal="center"/>
    </xf>
    <xf numFmtId="0" fontId="53" fillId="14" borderId="0" xfId="6" applyFont="1" applyFill="1"/>
    <xf numFmtId="0" fontId="53" fillId="14" borderId="0" xfId="6" applyFont="1" applyFill="1" applyAlignment="1">
      <alignment vertical="center"/>
    </xf>
    <xf numFmtId="0" fontId="53" fillId="14" borderId="5" xfId="6" applyFont="1" applyFill="1" applyBorder="1" applyAlignment="1">
      <alignment vertical="center"/>
    </xf>
    <xf numFmtId="0" fontId="53" fillId="14" borderId="6" xfId="6" applyFont="1" applyFill="1" applyBorder="1" applyAlignment="1">
      <alignment vertical="center"/>
    </xf>
    <xf numFmtId="10" fontId="53" fillId="14" borderId="5" xfId="6" applyNumberFormat="1" applyFont="1" applyFill="1" applyBorder="1" applyAlignment="1">
      <alignment vertical="center"/>
    </xf>
    <xf numFmtId="6" fontId="39" fillId="14" borderId="5" xfId="6" applyNumberFormat="1" applyFont="1" applyFill="1" applyBorder="1" applyAlignment="1">
      <alignment horizontal="center"/>
    </xf>
    <xf numFmtId="0" fontId="78" fillId="14" borderId="6" xfId="6" applyFont="1" applyFill="1" applyBorder="1" applyAlignment="1">
      <alignment vertical="center"/>
    </xf>
    <xf numFmtId="0" fontId="39" fillId="13" borderId="6" xfId="6" applyFont="1" applyFill="1" applyBorder="1"/>
    <xf numFmtId="0" fontId="53" fillId="13" borderId="5" xfId="6" applyFont="1" applyFill="1" applyBorder="1"/>
    <xf numFmtId="0" fontId="53" fillId="13" borderId="0" xfId="6" applyFont="1" applyFill="1"/>
    <xf numFmtId="0" fontId="53" fillId="13" borderId="6" xfId="6" applyFont="1" applyFill="1" applyBorder="1"/>
    <xf numFmtId="10" fontId="53" fillId="13" borderId="5" xfId="6" applyNumberFormat="1" applyFont="1" applyFill="1" applyBorder="1"/>
    <xf numFmtId="0" fontId="36" fillId="0" borderId="0" xfId="0" applyFont="1" applyAlignment="1">
      <alignment horizontal="left" vertical="center" indent="1"/>
    </xf>
    <xf numFmtId="14" fontId="58" fillId="0" borderId="0" xfId="6" applyNumberFormat="1" applyFont="1" applyAlignment="1">
      <alignment horizontal="center" vertical="center" wrapText="1"/>
    </xf>
    <xf numFmtId="0" fontId="56" fillId="10" borderId="0" xfId="0" applyFont="1" applyFill="1" applyAlignment="1">
      <alignment horizontal="left" vertical="center" indent="1"/>
    </xf>
    <xf numFmtId="0" fontId="36" fillId="10" borderId="0" xfId="0" applyFont="1" applyFill="1" applyAlignment="1">
      <alignment vertical="center"/>
    </xf>
    <xf numFmtId="5" fontId="79" fillId="10" borderId="0" xfId="0" applyNumberFormat="1" applyFont="1" applyFill="1" applyAlignment="1">
      <alignment vertical="center"/>
    </xf>
    <xf numFmtId="0" fontId="36" fillId="0" borderId="0" xfId="0" applyFont="1" applyAlignment="1">
      <alignment horizontal="center" vertical="center"/>
    </xf>
    <xf numFmtId="0" fontId="38" fillId="10" borderId="0" xfId="0" applyFont="1" applyFill="1" applyAlignment="1">
      <alignment horizontal="left" vertical="center" indent="1"/>
    </xf>
    <xf numFmtId="0" fontId="38" fillId="10" borderId="0" xfId="0" applyFont="1" applyFill="1" applyAlignment="1">
      <alignment horizontal="center" vertical="center"/>
    </xf>
    <xf numFmtId="6" fontId="36" fillId="0" borderId="0" xfId="0" applyNumberFormat="1" applyFont="1" applyAlignment="1">
      <alignment vertical="center"/>
    </xf>
    <xf numFmtId="10" fontId="44" fillId="0" borderId="22" xfId="1" applyNumberFormat="1" applyFont="1" applyBorder="1" applyAlignment="1">
      <alignment horizontal="center" vertical="center"/>
    </xf>
    <xf numFmtId="10" fontId="46" fillId="0" borderId="22" xfId="0" applyNumberFormat="1" applyFont="1" applyBorder="1" applyAlignment="1">
      <alignment horizontal="center" vertical="center"/>
    </xf>
    <xf numFmtId="0" fontId="56" fillId="19" borderId="0" xfId="0" applyFont="1" applyFill="1" applyAlignment="1">
      <alignment vertical="center"/>
    </xf>
    <xf numFmtId="0" fontId="72" fillId="19" borderId="0" xfId="0" applyFont="1" applyFill="1" applyAlignment="1">
      <alignment vertical="center"/>
    </xf>
    <xf numFmtId="6" fontId="44" fillId="0" borderId="22" xfId="0" applyNumberFormat="1" applyFont="1" applyBorder="1" applyAlignment="1">
      <alignment horizontal="center" vertical="center"/>
    </xf>
    <xf numFmtId="6" fontId="46" fillId="0" borderId="22" xfId="0" applyNumberFormat="1" applyFont="1" applyBorder="1" applyAlignment="1">
      <alignment horizontal="center" vertical="center"/>
    </xf>
    <xf numFmtId="0" fontId="59" fillId="10" borderId="0" xfId="0" applyFont="1" applyFill="1" applyAlignment="1">
      <alignment vertical="center"/>
    </xf>
    <xf numFmtId="0" fontId="80" fillId="0" borderId="0" xfId="0" applyFont="1" applyAlignment="1">
      <alignment vertical="center"/>
    </xf>
    <xf numFmtId="177" fontId="44" fillId="0" borderId="23" xfId="0" applyNumberFormat="1" applyFont="1" applyBorder="1" applyAlignment="1">
      <alignment horizontal="center" vertical="center"/>
    </xf>
    <xf numFmtId="177" fontId="46" fillId="0" borderId="23" xfId="0" applyNumberFormat="1" applyFont="1" applyBorder="1" applyAlignment="1">
      <alignment horizontal="center" vertical="center"/>
    </xf>
    <xf numFmtId="10" fontId="79" fillId="0" borderId="0" xfId="0" applyNumberFormat="1" applyFont="1" applyAlignment="1">
      <alignment horizontal="center" vertical="center"/>
    </xf>
    <xf numFmtId="10" fontId="36" fillId="0" borderId="0" xfId="0" applyNumberFormat="1" applyFont="1" applyAlignment="1">
      <alignment horizontal="center" vertical="center"/>
    </xf>
    <xf numFmtId="9" fontId="79" fillId="0" borderId="0" xfId="0" applyNumberFormat="1" applyFont="1" applyAlignment="1">
      <alignment horizontal="center" vertical="center"/>
    </xf>
    <xf numFmtId="9" fontId="36" fillId="0" borderId="0" xfId="0" applyNumberFormat="1" applyFont="1" applyAlignment="1">
      <alignment horizontal="center" vertical="center"/>
    </xf>
    <xf numFmtId="10" fontId="44" fillId="0" borderId="22" xfId="0" applyNumberFormat="1" applyFont="1" applyBorder="1" applyAlignment="1">
      <alignment horizontal="center" vertical="center"/>
    </xf>
    <xf numFmtId="10" fontId="42" fillId="0" borderId="22" xfId="0" applyNumberFormat="1" applyFont="1" applyBorder="1" applyAlignment="1">
      <alignment horizontal="center" vertical="center"/>
    </xf>
    <xf numFmtId="10" fontId="81" fillId="0" borderId="0" xfId="0" applyNumberFormat="1" applyFont="1" applyAlignment="1">
      <alignment horizontal="center" vertical="center"/>
    </xf>
    <xf numFmtId="10" fontId="42" fillId="0" borderId="22" xfId="1" applyNumberFormat="1" applyFont="1" applyBorder="1" applyAlignment="1">
      <alignment horizontal="center" vertical="center"/>
    </xf>
    <xf numFmtId="0" fontId="72" fillId="0" borderId="0" xfId="0" applyFont="1" applyAlignment="1">
      <alignment horizontal="left" vertical="center" indent="1"/>
    </xf>
    <xf numFmtId="10" fontId="77" fillId="0" borderId="0" xfId="0" applyNumberFormat="1" applyFont="1" applyAlignment="1">
      <alignment horizontal="right" vertical="center"/>
    </xf>
    <xf numFmtId="10" fontId="77" fillId="0" borderId="0" xfId="0" applyNumberFormat="1" applyFont="1" applyAlignment="1">
      <alignment horizontal="center" vertical="center"/>
    </xf>
    <xf numFmtId="177" fontId="36" fillId="0" borderId="0" xfId="0" applyNumberFormat="1" applyFont="1" applyAlignment="1">
      <alignment vertical="center"/>
    </xf>
    <xf numFmtId="10" fontId="42" fillId="0" borderId="23" xfId="1" applyNumberFormat="1" applyFont="1" applyBorder="1" applyAlignment="1">
      <alignment horizontal="center" vertical="center"/>
    </xf>
    <xf numFmtId="10" fontId="46" fillId="0" borderId="23" xfId="0" applyNumberFormat="1" applyFont="1" applyBorder="1" applyAlignment="1">
      <alignment horizontal="center" vertical="center"/>
    </xf>
    <xf numFmtId="9" fontId="47" fillId="0" borderId="23" xfId="0" applyNumberFormat="1" applyFont="1" applyBorder="1" applyAlignment="1">
      <alignment horizontal="center" vertical="center"/>
    </xf>
    <xf numFmtId="0" fontId="82" fillId="19" borderId="0" xfId="0" applyFont="1" applyFill="1" applyAlignment="1">
      <alignment horizontal="center" vertical="center"/>
    </xf>
    <xf numFmtId="6" fontId="46" fillId="0" borderId="23" xfId="1" applyNumberFormat="1" applyFont="1" applyBorder="1" applyAlignment="1">
      <alignment horizontal="center" vertical="center"/>
    </xf>
    <xf numFmtId="0" fontId="36" fillId="0" borderId="16" xfId="0" applyFont="1" applyBorder="1" applyAlignment="1">
      <alignment horizontal="left" vertical="center" indent="1"/>
    </xf>
    <xf numFmtId="0" fontId="36" fillId="0" borderId="16" xfId="0" applyFont="1" applyBorder="1" applyAlignment="1">
      <alignment vertical="center"/>
    </xf>
    <xf numFmtId="6" fontId="36" fillId="0" borderId="16" xfId="0" applyNumberFormat="1" applyFont="1" applyBorder="1" applyAlignment="1">
      <alignment vertical="center"/>
    </xf>
    <xf numFmtId="6" fontId="59" fillId="0" borderId="0" xfId="0" applyNumberFormat="1" applyFont="1" applyAlignment="1">
      <alignment vertical="center"/>
    </xf>
    <xf numFmtId="10" fontId="59" fillId="0" borderId="0" xfId="0" applyNumberFormat="1" applyFont="1" applyAlignment="1">
      <alignment horizontal="center" vertical="center"/>
    </xf>
    <xf numFmtId="177" fontId="59" fillId="0" borderId="16" xfId="0" applyNumberFormat="1" applyFont="1" applyBorder="1" applyAlignment="1">
      <alignment horizontal="center" vertical="center"/>
    </xf>
    <xf numFmtId="0" fontId="83" fillId="19" borderId="0" xfId="0" applyFont="1" applyFill="1" applyAlignment="1">
      <alignment horizontal="left" vertical="center" wrapText="1" readingOrder="1"/>
    </xf>
    <xf numFmtId="0" fontId="84" fillId="0" borderId="0" xfId="0" applyFont="1" applyAlignment="1">
      <alignment horizontal="left" vertical="center" wrapText="1" readingOrder="1"/>
    </xf>
    <xf numFmtId="6" fontId="84" fillId="0" borderId="0" xfId="0" applyNumberFormat="1" applyFont="1" applyAlignment="1">
      <alignment horizontal="right" vertical="center" wrapText="1" indent="1" readingOrder="1"/>
    </xf>
    <xf numFmtId="0" fontId="84" fillId="20" borderId="0" xfId="0" applyFont="1" applyFill="1" applyAlignment="1">
      <alignment horizontal="left" vertical="center" wrapText="1" readingOrder="1"/>
    </xf>
    <xf numFmtId="9" fontId="84" fillId="20" borderId="0" xfId="0" applyNumberFormat="1" applyFont="1" applyFill="1" applyAlignment="1">
      <alignment horizontal="right" vertical="center" wrapText="1" indent="1" readingOrder="1"/>
    </xf>
    <xf numFmtId="0" fontId="84" fillId="0" borderId="0" xfId="0" applyFont="1" applyAlignment="1">
      <alignment horizontal="right" vertical="center" wrapText="1" indent="1" readingOrder="1"/>
    </xf>
    <xf numFmtId="0" fontId="84" fillId="20" borderId="0" xfId="0" applyFont="1" applyFill="1" applyAlignment="1">
      <alignment horizontal="right" vertical="center" wrapText="1" indent="1" readingOrder="1"/>
    </xf>
    <xf numFmtId="6" fontId="84" fillId="20" borderId="0" xfId="0" applyNumberFormat="1" applyFont="1" applyFill="1" applyAlignment="1">
      <alignment horizontal="right" vertical="center" wrapText="1" indent="1" readingOrder="1"/>
    </xf>
    <xf numFmtId="0" fontId="85" fillId="0" borderId="0" xfId="0" applyFont="1" applyAlignment="1">
      <alignment horizontal="left" vertical="center" wrapText="1" readingOrder="1"/>
    </xf>
    <xf numFmtId="6" fontId="85" fillId="0" borderId="0" xfId="0" applyNumberFormat="1" applyFont="1" applyAlignment="1">
      <alignment horizontal="right" vertical="center" wrapText="1" indent="1" readingOrder="1"/>
    </xf>
    <xf numFmtId="0" fontId="86" fillId="0" borderId="0" xfId="0" applyFont="1" applyAlignment="1">
      <alignment horizontal="center" vertical="center"/>
    </xf>
    <xf numFmtId="0" fontId="86" fillId="10" borderId="0" xfId="0" applyFont="1" applyFill="1" applyAlignment="1">
      <alignment horizontal="center" vertical="center"/>
    </xf>
    <xf numFmtId="0" fontId="36" fillId="10" borderId="0" xfId="0" applyFont="1" applyFill="1"/>
    <xf numFmtId="0" fontId="43" fillId="0" borderId="25" xfId="0" applyFont="1" applyBorder="1" applyAlignment="1">
      <alignment horizontal="left" vertical="center" indent="1"/>
    </xf>
    <xf numFmtId="9" fontId="41" fillId="0" borderId="25" xfId="0" applyNumberFormat="1" applyFont="1" applyBorder="1" applyAlignment="1">
      <alignment horizontal="right" vertical="center" indent="1"/>
    </xf>
    <xf numFmtId="0" fontId="43" fillId="0" borderId="0" xfId="0" applyFont="1" applyAlignment="1">
      <alignment horizontal="left" vertical="center" indent="1"/>
    </xf>
    <xf numFmtId="9" fontId="41" fillId="0" borderId="0" xfId="0" applyNumberFormat="1" applyFont="1" applyAlignment="1">
      <alignment horizontal="right" vertical="center" indent="1"/>
    </xf>
    <xf numFmtId="6" fontId="41" fillId="10" borderId="0" xfId="0" applyNumberFormat="1" applyFont="1" applyFill="1" applyAlignment="1">
      <alignment horizontal="right" vertical="center" indent="1"/>
    </xf>
    <xf numFmtId="0" fontId="87" fillId="19" borderId="0" xfId="0" applyFont="1" applyFill="1" applyAlignment="1">
      <alignment vertical="top" wrapText="1"/>
    </xf>
    <xf numFmtId="9" fontId="41" fillId="10" borderId="0" xfId="0" applyNumberFormat="1" applyFont="1" applyFill="1" applyAlignment="1">
      <alignment horizontal="right" vertical="center" indent="1"/>
    </xf>
    <xf numFmtId="10" fontId="41" fillId="0" borderId="0" xfId="0" applyNumberFormat="1" applyFont="1" applyAlignment="1">
      <alignment horizontal="right" vertical="center" indent="1"/>
    </xf>
    <xf numFmtId="10" fontId="41" fillId="10" borderId="0" xfId="0" applyNumberFormat="1" applyFont="1" applyFill="1" applyAlignment="1">
      <alignment horizontal="right" vertical="center" indent="1"/>
    </xf>
    <xf numFmtId="0" fontId="39" fillId="10" borderId="0" xfId="0" applyFont="1" applyFill="1"/>
    <xf numFmtId="0" fontId="39" fillId="10" borderId="0" xfId="0" applyFont="1" applyFill="1" applyAlignment="1">
      <alignment horizontal="right" vertical="center"/>
    </xf>
    <xf numFmtId="0" fontId="49" fillId="10" borderId="0" xfId="2" applyFont="1" applyFill="1" applyAlignment="1">
      <alignment horizontal="center" vertical="center"/>
    </xf>
    <xf numFmtId="0" fontId="36" fillId="10" borderId="0" xfId="0" applyFont="1" applyFill="1" applyAlignment="1">
      <alignment horizontal="left" vertical="center"/>
    </xf>
    <xf numFmtId="0" fontId="91" fillId="0" borderId="0" xfId="0" applyFont="1"/>
    <xf numFmtId="0" fontId="91" fillId="0" borderId="0" xfId="0" applyFont="1" applyAlignment="1">
      <alignment vertical="center"/>
    </xf>
    <xf numFmtId="0" fontId="91" fillId="0" borderId="0" xfId="0" applyFont="1" applyAlignment="1">
      <alignment horizontal="right" vertical="center"/>
    </xf>
    <xf numFmtId="0" fontId="92" fillId="3" borderId="0" xfId="2" applyFont="1" applyFill="1" applyAlignment="1">
      <alignment vertical="center"/>
    </xf>
    <xf numFmtId="0" fontId="91" fillId="0" borderId="0" xfId="0" applyFont="1" applyAlignment="1">
      <alignment horizontal="left" vertical="center"/>
    </xf>
    <xf numFmtId="0" fontId="85" fillId="20" borderId="0" xfId="0" applyFont="1" applyFill="1" applyAlignment="1">
      <alignment horizontal="left" vertical="center" wrapText="1" readingOrder="1"/>
    </xf>
    <xf numFmtId="6" fontId="85" fillId="20" borderId="0" xfId="0" applyNumberFormat="1" applyFont="1" applyFill="1" applyAlignment="1">
      <alignment horizontal="right" vertical="center" wrapText="1" indent="1" readingOrder="1"/>
    </xf>
    <xf numFmtId="0" fontId="85" fillId="20" borderId="0" xfId="0" applyFont="1" applyFill="1" applyAlignment="1">
      <alignment horizontal="left" vertical="center" indent="1"/>
    </xf>
    <xf numFmtId="6" fontId="85" fillId="20" borderId="0" xfId="1" applyNumberFormat="1" applyFont="1" applyFill="1" applyBorder="1" applyAlignment="1">
      <alignment vertical="center"/>
    </xf>
    <xf numFmtId="9" fontId="85" fillId="20" borderId="0" xfId="0" applyNumberFormat="1" applyFont="1" applyFill="1" applyAlignment="1">
      <alignment horizontal="right" vertical="center" indent="1"/>
    </xf>
    <xf numFmtId="6" fontId="85" fillId="20" borderId="0" xfId="0" applyNumberFormat="1" applyFont="1" applyFill="1" applyAlignment="1">
      <alignment horizontal="right" vertical="center"/>
    </xf>
    <xf numFmtId="0" fontId="84" fillId="0" borderId="0" xfId="0" applyFont="1" applyAlignment="1">
      <alignment horizontal="left" vertical="center" indent="1"/>
    </xf>
    <xf numFmtId="6" fontId="84" fillId="0" borderId="0" xfId="0" applyNumberFormat="1" applyFont="1" applyAlignment="1">
      <alignment horizontal="right" vertical="center"/>
    </xf>
    <xf numFmtId="9" fontId="84" fillId="0" borderId="0" xfId="0" applyNumberFormat="1" applyFont="1" applyAlignment="1">
      <alignment horizontal="right" vertical="center" indent="1"/>
    </xf>
    <xf numFmtId="0" fontId="84" fillId="20" borderId="0" xfId="0" applyFont="1" applyFill="1" applyAlignment="1">
      <alignment horizontal="left" vertical="center" indent="1"/>
    </xf>
    <xf numFmtId="6" fontId="84" fillId="20" borderId="0" xfId="0" applyNumberFormat="1" applyFont="1" applyFill="1" applyAlignment="1">
      <alignment horizontal="right" vertical="center"/>
    </xf>
    <xf numFmtId="9" fontId="84" fillId="20" borderId="0" xfId="0" applyNumberFormat="1" applyFont="1" applyFill="1" applyAlignment="1">
      <alignment horizontal="right" vertical="center" indent="1"/>
    </xf>
    <xf numFmtId="6" fontId="84" fillId="0" borderId="0" xfId="1" applyNumberFormat="1" applyFont="1" applyBorder="1" applyAlignment="1">
      <alignment vertical="center"/>
    </xf>
    <xf numFmtId="6" fontId="84" fillId="20" borderId="0" xfId="1" applyNumberFormat="1" applyFont="1" applyFill="1" applyBorder="1" applyAlignment="1">
      <alignment vertical="center"/>
    </xf>
    <xf numFmtId="0" fontId="84" fillId="0" borderId="0" xfId="0" applyFont="1" applyAlignment="1">
      <alignment horizontal="left" vertical="center"/>
    </xf>
    <xf numFmtId="6" fontId="84" fillId="0" borderId="0" xfId="0" applyNumberFormat="1" applyFont="1" applyAlignment="1">
      <alignment horizontal="right" vertical="center" indent="1"/>
    </xf>
    <xf numFmtId="0" fontId="84" fillId="20" borderId="0" xfId="0" applyFont="1" applyFill="1" applyAlignment="1">
      <alignment horizontal="left" vertical="center"/>
    </xf>
    <xf numFmtId="6" fontId="84" fillId="20" borderId="0" xfId="0" applyNumberFormat="1" applyFont="1" applyFill="1" applyAlignment="1">
      <alignment horizontal="right" vertical="center" indent="1"/>
    </xf>
    <xf numFmtId="10" fontId="84" fillId="0" borderId="0" xfId="0" applyNumberFormat="1" applyFont="1" applyAlignment="1">
      <alignment horizontal="right" vertical="center" indent="1"/>
    </xf>
    <xf numFmtId="1" fontId="84" fillId="20" borderId="0" xfId="0" applyNumberFormat="1" applyFont="1" applyFill="1" applyAlignment="1">
      <alignment horizontal="right" vertical="center" indent="1"/>
    </xf>
    <xf numFmtId="1" fontId="84" fillId="0" borderId="0" xfId="0" applyNumberFormat="1" applyFont="1" applyAlignment="1">
      <alignment horizontal="right" vertical="center" indent="1"/>
    </xf>
    <xf numFmtId="10" fontId="84" fillId="20" borderId="0" xfId="0" applyNumberFormat="1" applyFont="1" applyFill="1" applyAlignment="1">
      <alignment horizontal="right" vertical="center" indent="1"/>
    </xf>
    <xf numFmtId="177" fontId="84" fillId="0" borderId="0" xfId="0" applyNumberFormat="1" applyFont="1" applyAlignment="1">
      <alignment horizontal="right" vertical="center" indent="1"/>
    </xf>
    <xf numFmtId="6" fontId="89" fillId="0" borderId="22" xfId="0" applyNumberFormat="1" applyFont="1" applyBorder="1" applyAlignment="1">
      <alignment vertical="center"/>
    </xf>
    <xf numFmtId="0" fontId="89" fillId="0" borderId="22" xfId="0" applyFont="1" applyBorder="1" applyAlignment="1">
      <alignment horizontal="left" vertical="center" indent="1"/>
    </xf>
    <xf numFmtId="6" fontId="89" fillId="0" borderId="22" xfId="0" applyNumberFormat="1" applyFont="1" applyBorder="1" applyAlignment="1">
      <alignment horizontal="right" vertical="center"/>
    </xf>
    <xf numFmtId="9" fontId="89" fillId="0" borderId="22" xfId="0" applyNumberFormat="1" applyFont="1" applyBorder="1" applyAlignment="1">
      <alignment horizontal="right" vertical="center" indent="1"/>
    </xf>
    <xf numFmtId="0" fontId="93" fillId="0" borderId="23" xfId="0" applyFont="1" applyBorder="1" applyAlignment="1">
      <alignment horizontal="left" vertical="center" indent="1"/>
    </xf>
    <xf numFmtId="6" fontId="93" fillId="0" borderId="23" xfId="0" applyNumberFormat="1" applyFont="1" applyBorder="1" applyAlignment="1">
      <alignment horizontal="right" vertical="center"/>
    </xf>
    <xf numFmtId="9" fontId="93" fillId="0" borderId="23" xfId="0" applyNumberFormat="1" applyFont="1" applyBorder="1" applyAlignment="1">
      <alignment horizontal="right" vertical="center" indent="1"/>
    </xf>
    <xf numFmtId="0" fontId="89" fillId="0" borderId="23" xfId="0" applyFont="1" applyBorder="1" applyAlignment="1">
      <alignment horizontal="left" vertical="center" indent="1"/>
    </xf>
    <xf numFmtId="0" fontId="89" fillId="0" borderId="24" xfId="0" applyFont="1" applyBorder="1" applyAlignment="1">
      <alignment horizontal="left" vertical="center" indent="1"/>
    </xf>
    <xf numFmtId="0" fontId="93" fillId="0" borderId="22" xfId="0" applyFont="1" applyBorder="1" applyAlignment="1">
      <alignment horizontal="left" vertical="center" indent="1"/>
    </xf>
    <xf numFmtId="0" fontId="89" fillId="10" borderId="22" xfId="0" applyFont="1" applyFill="1" applyBorder="1" applyAlignment="1">
      <alignment horizontal="left" vertical="center" indent="1"/>
    </xf>
    <xf numFmtId="0" fontId="93" fillId="0" borderId="0" xfId="6" applyFont="1" applyAlignment="1">
      <alignment vertical="center"/>
    </xf>
    <xf numFmtId="0" fontId="93" fillId="0" borderId="5" xfId="6" applyFont="1" applyBorder="1"/>
    <xf numFmtId="0" fontId="93" fillId="0" borderId="6" xfId="6" applyFont="1" applyBorder="1"/>
    <xf numFmtId="0" fontId="89" fillId="0" borderId="0" xfId="6" applyFont="1" applyAlignment="1">
      <alignment horizontal="left" vertical="center" indent="2"/>
    </xf>
    <xf numFmtId="5" fontId="89" fillId="0" borderId="5" xfId="9" applyNumberFormat="1" applyFont="1" applyFill="1" applyBorder="1" applyAlignment="1" applyProtection="1">
      <alignment horizontal="right" vertical="center"/>
    </xf>
    <xf numFmtId="5" fontId="89" fillId="0" borderId="6" xfId="9" applyNumberFormat="1" applyFont="1" applyFill="1" applyBorder="1" applyAlignment="1" applyProtection="1">
      <alignment horizontal="right" vertical="center"/>
    </xf>
    <xf numFmtId="10" fontId="94" fillId="0" borderId="6" xfId="10" applyNumberFormat="1" applyFont="1" applyFill="1" applyBorder="1" applyAlignment="1" applyProtection="1">
      <alignment horizontal="right" vertical="center"/>
    </xf>
    <xf numFmtId="10" fontId="89" fillId="0" borderId="6" xfId="5" applyNumberFormat="1" applyFont="1" applyFill="1" applyBorder="1" applyAlignment="1" applyProtection="1">
      <alignment horizontal="right" vertical="center"/>
    </xf>
    <xf numFmtId="0" fontId="89" fillId="0" borderId="9" xfId="6" applyFont="1" applyBorder="1" applyAlignment="1">
      <alignment horizontal="left" vertical="center" indent="2"/>
    </xf>
    <xf numFmtId="0" fontId="93" fillId="0" borderId="18" xfId="6" applyFont="1" applyBorder="1" applyAlignment="1">
      <alignment vertical="center"/>
    </xf>
    <xf numFmtId="5" fontId="93" fillId="0" borderId="20" xfId="9" applyNumberFormat="1" applyFont="1" applyFill="1" applyBorder="1" applyAlignment="1" applyProtection="1">
      <alignment horizontal="right" vertical="center"/>
    </xf>
    <xf numFmtId="6" fontId="93" fillId="0" borderId="21" xfId="9" applyNumberFormat="1" applyFont="1" applyFill="1" applyBorder="1" applyAlignment="1" applyProtection="1">
      <alignment horizontal="right" vertical="center"/>
    </xf>
    <xf numFmtId="0" fontId="94" fillId="0" borderId="0" xfId="6" applyFont="1" applyAlignment="1">
      <alignment horizontal="left" vertical="center" indent="2"/>
    </xf>
    <xf numFmtId="5" fontId="94" fillId="0" borderId="5" xfId="7" applyNumberFormat="1" applyFont="1" applyFill="1" applyBorder="1" applyAlignment="1" applyProtection="1">
      <alignment horizontal="right" vertical="center"/>
    </xf>
    <xf numFmtId="164" fontId="94" fillId="0" borderId="6" xfId="7" applyNumberFormat="1" applyFont="1" applyFill="1" applyBorder="1" applyAlignment="1" applyProtection="1">
      <alignment horizontal="right" vertical="center"/>
    </xf>
    <xf numFmtId="5" fontId="94" fillId="0" borderId="5" xfId="7" applyNumberFormat="1" applyFont="1" applyFill="1" applyBorder="1" applyAlignment="1" applyProtection="1">
      <alignment horizontal="left" vertical="center" indent="2"/>
    </xf>
    <xf numFmtId="168" fontId="89" fillId="0" borderId="6" xfId="9" applyNumberFormat="1" applyFont="1" applyFill="1" applyBorder="1" applyAlignment="1" applyProtection="1">
      <alignment horizontal="right" vertical="center"/>
    </xf>
    <xf numFmtId="0" fontId="93" fillId="0" borderId="9" xfId="6" applyFont="1" applyBorder="1" applyAlignment="1">
      <alignment vertical="center"/>
    </xf>
    <xf numFmtId="5" fontId="93" fillId="0" borderId="10" xfId="9" applyNumberFormat="1" applyFont="1" applyFill="1" applyBorder="1" applyAlignment="1" applyProtection="1">
      <alignment horizontal="right" vertical="center"/>
    </xf>
    <xf numFmtId="5" fontId="93" fillId="0" borderId="9" xfId="9" applyNumberFormat="1" applyFont="1" applyFill="1" applyBorder="1" applyAlignment="1" applyProtection="1">
      <alignment horizontal="right" vertical="center"/>
    </xf>
    <xf numFmtId="0" fontId="93" fillId="0" borderId="18" xfId="6" applyFont="1" applyBorder="1" applyAlignment="1">
      <alignment horizontal="left" vertical="center"/>
    </xf>
    <xf numFmtId="5" fontId="93" fillId="0" borderId="21" xfId="9" applyNumberFormat="1" applyFont="1" applyFill="1" applyBorder="1" applyAlignment="1" applyProtection="1">
      <alignment horizontal="right" vertical="center"/>
    </xf>
    <xf numFmtId="0" fontId="89" fillId="0" borderId="0" xfId="6" applyFont="1" applyAlignment="1">
      <alignment vertical="center"/>
    </xf>
    <xf numFmtId="5" fontId="89" fillId="0" borderId="5" xfId="12" applyNumberFormat="1" applyFont="1" applyFill="1" applyBorder="1" applyAlignment="1" applyProtection="1">
      <alignment horizontal="right" vertical="center"/>
    </xf>
    <xf numFmtId="168" fontId="89" fillId="0" borderId="6" xfId="12" applyNumberFormat="1" applyFont="1" applyFill="1" applyBorder="1" applyAlignment="1" applyProtection="1">
      <alignment horizontal="right" vertical="center"/>
    </xf>
    <xf numFmtId="5" fontId="93" fillId="0" borderId="5" xfId="12" applyNumberFormat="1" applyFont="1" applyFill="1" applyBorder="1" applyAlignment="1" applyProtection="1">
      <alignment horizontal="right" vertical="center"/>
    </xf>
    <xf numFmtId="168" fontId="93" fillId="0" borderId="6" xfId="12" applyNumberFormat="1" applyFont="1" applyFill="1" applyBorder="1" applyAlignment="1" applyProtection="1">
      <alignment horizontal="right" vertical="center"/>
    </xf>
    <xf numFmtId="0" fontId="93" fillId="0" borderId="0" xfId="6" applyFont="1" applyAlignment="1">
      <alignment horizontal="left" vertical="center" indent="1"/>
    </xf>
    <xf numFmtId="5" fontId="93" fillId="0" borderId="5" xfId="9" applyNumberFormat="1" applyFont="1" applyFill="1" applyBorder="1" applyAlignment="1" applyProtection="1">
      <alignment horizontal="right" vertical="center"/>
    </xf>
    <xf numFmtId="5" fontId="93" fillId="0" borderId="6" xfId="9" applyNumberFormat="1" applyFont="1" applyFill="1" applyBorder="1" applyAlignment="1" applyProtection="1">
      <alignment horizontal="right" vertical="center"/>
    </xf>
    <xf numFmtId="0" fontId="93" fillId="0" borderId="2" xfId="6" applyFont="1" applyBorder="1" applyAlignment="1">
      <alignment horizontal="left" vertical="center" indent="1"/>
    </xf>
    <xf numFmtId="0" fontId="93" fillId="0" borderId="21" xfId="6" applyFont="1" applyBorder="1" applyAlignment="1">
      <alignment horizontal="left" vertical="center"/>
    </xf>
    <xf numFmtId="5" fontId="93" fillId="0" borderId="20" xfId="12" applyNumberFormat="1" applyFont="1" applyFill="1" applyBorder="1" applyAlignment="1" applyProtection="1">
      <alignment horizontal="right" vertical="center"/>
    </xf>
    <xf numFmtId="5" fontId="93" fillId="0" borderId="5" xfId="6" applyNumberFormat="1" applyFont="1" applyBorder="1"/>
    <xf numFmtId="10" fontId="94" fillId="0" borderId="6" xfId="13" applyNumberFormat="1" applyFont="1" applyFill="1" applyBorder="1" applyAlignment="1">
      <alignment horizontal="right" vertical="center"/>
    </xf>
    <xf numFmtId="0" fontId="89" fillId="0" borderId="0" xfId="6" applyFont="1" applyAlignment="1">
      <alignment horizontal="left" vertical="center"/>
    </xf>
    <xf numFmtId="5" fontId="89" fillId="0" borderId="5" xfId="6" applyNumberFormat="1" applyFont="1" applyBorder="1" applyAlignment="1">
      <alignment horizontal="right" vertical="center"/>
    </xf>
    <xf numFmtId="44" fontId="89" fillId="0" borderId="6" xfId="6" applyNumberFormat="1" applyFont="1" applyBorder="1" applyAlignment="1">
      <alignment horizontal="right" vertical="center"/>
    </xf>
    <xf numFmtId="10" fontId="89" fillId="0" borderId="5" xfId="6" applyNumberFormat="1" applyFont="1" applyBorder="1" applyAlignment="1">
      <alignment horizontal="right" vertical="center"/>
    </xf>
    <xf numFmtId="170" fontId="89" fillId="0" borderId="5" xfId="6" applyNumberFormat="1" applyFont="1" applyBorder="1" applyAlignment="1">
      <alignment horizontal="right" vertical="center"/>
    </xf>
    <xf numFmtId="171" fontId="94" fillId="0" borderId="6" xfId="5" applyNumberFormat="1" applyFont="1" applyFill="1" applyBorder="1" applyAlignment="1" applyProtection="1">
      <alignment horizontal="right" vertical="center"/>
    </xf>
    <xf numFmtId="10" fontId="89" fillId="0" borderId="6" xfId="9" applyNumberFormat="1" applyFont="1" applyFill="1" applyBorder="1" applyAlignment="1" applyProtection="1">
      <alignment horizontal="right" vertical="center"/>
    </xf>
    <xf numFmtId="0" fontId="89" fillId="0" borderId="0" xfId="6" applyFont="1" applyAlignment="1">
      <alignment horizontal="left" vertical="center" indent="1"/>
    </xf>
    <xf numFmtId="0" fontId="89" fillId="3" borderId="0" xfId="6" applyFont="1" applyFill="1" applyAlignment="1">
      <alignment horizontal="left" vertical="center" indent="1"/>
    </xf>
    <xf numFmtId="7" fontId="94" fillId="0" borderId="20" xfId="6" applyNumberFormat="1" applyFont="1" applyBorder="1" applyAlignment="1">
      <alignment horizontal="left" vertical="center" indent="1"/>
    </xf>
    <xf numFmtId="7" fontId="89" fillId="0" borderId="0" xfId="6" applyNumberFormat="1" applyFont="1" applyAlignment="1">
      <alignment horizontal="left" vertical="center" indent="1"/>
    </xf>
    <xf numFmtId="0" fontId="89" fillId="3" borderId="10" xfId="6" applyFont="1" applyFill="1" applyBorder="1" applyAlignment="1">
      <alignment horizontal="left" vertical="center" indent="1"/>
    </xf>
    <xf numFmtId="168" fontId="89" fillId="0" borderId="20" xfId="9" applyNumberFormat="1" applyFont="1" applyFill="1" applyBorder="1" applyAlignment="1" applyProtection="1">
      <alignment horizontal="left" vertical="center" indent="1"/>
    </xf>
    <xf numFmtId="185" fontId="89" fillId="3" borderId="0" xfId="6" applyNumberFormat="1" applyFont="1" applyFill="1" applyAlignment="1">
      <alignment horizontal="left" vertical="center" indent="1"/>
    </xf>
    <xf numFmtId="179" fontId="89" fillId="3" borderId="0" xfId="6" applyNumberFormat="1" applyFont="1" applyFill="1" applyAlignment="1">
      <alignment horizontal="left" vertical="center" indent="1"/>
    </xf>
    <xf numFmtId="180" fontId="89" fillId="0" borderId="5" xfId="6" applyNumberFormat="1" applyFont="1" applyBorder="1" applyAlignment="1">
      <alignment horizontal="left" vertical="center" indent="1"/>
    </xf>
    <xf numFmtId="0" fontId="89" fillId="0" borderId="6" xfId="6" applyFont="1" applyBorder="1" applyAlignment="1">
      <alignment vertical="center"/>
    </xf>
    <xf numFmtId="0" fontId="89" fillId="0" borderId="5" xfId="6" applyFont="1" applyBorder="1" applyAlignment="1">
      <alignment horizontal="center" vertical="center" wrapText="1"/>
    </xf>
    <xf numFmtId="0" fontId="89" fillId="0" borderId="6" xfId="6" applyFont="1" applyBorder="1" applyAlignment="1">
      <alignment horizontal="center" vertical="center" wrapText="1"/>
    </xf>
    <xf numFmtId="0" fontId="93" fillId="0" borderId="10" xfId="6" applyFont="1" applyBorder="1" applyAlignment="1">
      <alignment horizontal="center" vertical="center" wrapText="1"/>
    </xf>
    <xf numFmtId="0" fontId="93" fillId="0" borderId="2" xfId="6" applyFont="1" applyBorder="1" applyAlignment="1">
      <alignment horizontal="center" vertical="center" wrapText="1"/>
    </xf>
    <xf numFmtId="0" fontId="93" fillId="0" borderId="9" xfId="6" applyFont="1" applyBorder="1" applyAlignment="1">
      <alignment horizontal="center" vertical="center" wrapText="1"/>
    </xf>
    <xf numFmtId="0" fontId="93" fillId="0" borderId="6" xfId="6" applyFont="1" applyBorder="1" applyAlignment="1">
      <alignment vertical="center"/>
    </xf>
    <xf numFmtId="0" fontId="93" fillId="0" borderId="0" xfId="6" applyFont="1"/>
    <xf numFmtId="168" fontId="95" fillId="3" borderId="5" xfId="9" applyNumberFormat="1" applyFont="1" applyFill="1" applyBorder="1" applyAlignment="1">
      <alignment vertical="center"/>
    </xf>
    <xf numFmtId="168" fontId="95" fillId="3" borderId="0" xfId="9" applyNumberFormat="1" applyFont="1" applyFill="1" applyBorder="1" applyAlignment="1">
      <alignment horizontal="right" vertical="center"/>
    </xf>
    <xf numFmtId="168" fontId="95" fillId="3" borderId="6" xfId="9" applyNumberFormat="1" applyFont="1" applyFill="1" applyBorder="1" applyAlignment="1">
      <alignment vertical="center"/>
    </xf>
    <xf numFmtId="168" fontId="95" fillId="3" borderId="0" xfId="9" applyNumberFormat="1" applyFont="1" applyFill="1" applyBorder="1" applyAlignment="1">
      <alignment vertical="center"/>
    </xf>
    <xf numFmtId="0" fontId="89" fillId="0" borderId="6" xfId="6" applyFont="1" applyBorder="1" applyAlignment="1">
      <alignment horizontal="left" vertical="center" indent="2"/>
    </xf>
    <xf numFmtId="6" fontId="89" fillId="0" borderId="0" xfId="9" applyNumberFormat="1" applyFont="1" applyFill="1" applyBorder="1" applyAlignment="1" applyProtection="1">
      <alignment horizontal="center" vertical="center"/>
    </xf>
    <xf numFmtId="6" fontId="89" fillId="0" borderId="5" xfId="9" applyNumberFormat="1" applyFont="1" applyFill="1" applyBorder="1" applyAlignment="1" applyProtection="1">
      <alignment horizontal="right" vertical="center"/>
    </xf>
    <xf numFmtId="6" fontId="89" fillId="0" borderId="6" xfId="9" applyNumberFormat="1" applyFont="1" applyFill="1" applyBorder="1" applyAlignment="1" applyProtection="1">
      <alignment horizontal="right" vertical="center"/>
    </xf>
    <xf numFmtId="6" fontId="89" fillId="0" borderId="0" xfId="9" applyNumberFormat="1" applyFont="1" applyFill="1" applyBorder="1" applyAlignment="1" applyProtection="1">
      <alignment horizontal="right" vertical="center"/>
    </xf>
    <xf numFmtId="5" fontId="89" fillId="0" borderId="10" xfId="9" applyNumberFormat="1" applyFont="1" applyFill="1" applyBorder="1" applyAlignment="1" applyProtection="1">
      <alignment horizontal="right" vertical="center"/>
    </xf>
    <xf numFmtId="0" fontId="93" fillId="0" borderId="21" xfId="6" applyFont="1" applyBorder="1" applyAlignment="1">
      <alignment vertical="center"/>
    </xf>
    <xf numFmtId="6" fontId="93" fillId="0" borderId="18" xfId="9" applyNumberFormat="1" applyFont="1" applyFill="1" applyBorder="1" applyAlignment="1" applyProtection="1">
      <alignment horizontal="center" vertical="center"/>
    </xf>
    <xf numFmtId="6" fontId="93" fillId="0" borderId="20" xfId="9" applyNumberFormat="1" applyFont="1" applyFill="1" applyBorder="1" applyAlignment="1" applyProtection="1">
      <alignment horizontal="right" vertical="center"/>
    </xf>
    <xf numFmtId="6" fontId="93" fillId="0" borderId="18" xfId="9" applyNumberFormat="1" applyFont="1" applyFill="1" applyBorder="1" applyAlignment="1" applyProtection="1">
      <alignment horizontal="right" vertical="center"/>
    </xf>
    <xf numFmtId="0" fontId="94" fillId="0" borderId="6" xfId="6" applyFont="1" applyBorder="1" applyAlignment="1">
      <alignment horizontal="left" vertical="center" indent="2"/>
    </xf>
    <xf numFmtId="6" fontId="94" fillId="0" borderId="0" xfId="7" applyNumberFormat="1" applyFont="1" applyFill="1" applyBorder="1" applyAlignment="1" applyProtection="1">
      <alignment horizontal="center" vertical="center"/>
    </xf>
    <xf numFmtId="6" fontId="94" fillId="0" borderId="5" xfId="7" applyNumberFormat="1" applyFont="1" applyFill="1" applyBorder="1" applyAlignment="1" applyProtection="1">
      <alignment horizontal="right" vertical="center"/>
    </xf>
    <xf numFmtId="6" fontId="94" fillId="0" borderId="0" xfId="7" applyNumberFormat="1" applyFont="1" applyFill="1" applyBorder="1" applyAlignment="1" applyProtection="1">
      <alignment horizontal="right" vertical="center"/>
    </xf>
    <xf numFmtId="6" fontId="94" fillId="0" borderId="6" xfId="7" applyNumberFormat="1" applyFont="1" applyFill="1" applyBorder="1" applyAlignment="1" applyProtection="1">
      <alignment horizontal="right" vertical="center"/>
    </xf>
    <xf numFmtId="6" fontId="93" fillId="0" borderId="0" xfId="7" applyNumberFormat="1" applyFont="1" applyFill="1" applyBorder="1" applyAlignment="1" applyProtection="1">
      <alignment horizontal="center" vertical="center"/>
    </xf>
    <xf numFmtId="6" fontId="89" fillId="3" borderId="5" xfId="9" applyNumberFormat="1" applyFont="1" applyFill="1" applyBorder="1" applyAlignment="1">
      <alignment horizontal="right" vertical="center"/>
    </xf>
    <xf numFmtId="6" fontId="89" fillId="3" borderId="0" xfId="9" applyNumberFormat="1" applyFont="1" applyFill="1" applyBorder="1" applyAlignment="1">
      <alignment horizontal="right" vertical="center"/>
    </xf>
    <xf numFmtId="6" fontId="89" fillId="3" borderId="6" xfId="9" applyNumberFormat="1" applyFont="1" applyFill="1" applyBorder="1" applyAlignment="1">
      <alignment horizontal="right" vertical="center"/>
    </xf>
    <xf numFmtId="6" fontId="93" fillId="0" borderId="2" xfId="9" applyNumberFormat="1" applyFont="1" applyFill="1" applyBorder="1" applyAlignment="1" applyProtection="1">
      <alignment horizontal="center" vertical="center"/>
    </xf>
    <xf numFmtId="6" fontId="93" fillId="0" borderId="10" xfId="9" applyNumberFormat="1" applyFont="1" applyFill="1" applyBorder="1" applyAlignment="1" applyProtection="1">
      <alignment horizontal="right" vertical="center"/>
    </xf>
    <xf numFmtId="6" fontId="93" fillId="0" borderId="2" xfId="9" applyNumberFormat="1" applyFont="1" applyFill="1" applyBorder="1" applyAlignment="1" applyProtection="1">
      <alignment horizontal="right" vertical="center"/>
    </xf>
    <xf numFmtId="6" fontId="93" fillId="0" borderId="9" xfId="9" applyNumberFormat="1" applyFont="1" applyFill="1" applyBorder="1" applyAlignment="1" applyProtection="1">
      <alignment horizontal="right" vertical="center"/>
    </xf>
    <xf numFmtId="6" fontId="89" fillId="0" borderId="0" xfId="12" applyNumberFormat="1" applyFont="1" applyFill="1" applyBorder="1" applyAlignment="1" applyProtection="1">
      <alignment horizontal="center" vertical="center"/>
    </xf>
    <xf numFmtId="6" fontId="89" fillId="3" borderId="5" xfId="6" applyNumberFormat="1" applyFont="1" applyFill="1" applyBorder="1" applyAlignment="1">
      <alignment horizontal="right" vertical="center"/>
    </xf>
    <xf numFmtId="6" fontId="89" fillId="3" borderId="0" xfId="6" applyNumberFormat="1" applyFont="1" applyFill="1" applyAlignment="1">
      <alignment horizontal="right" vertical="center"/>
    </xf>
    <xf numFmtId="6" fontId="89" fillId="3" borderId="6" xfId="6" applyNumberFormat="1" applyFont="1" applyFill="1" applyBorder="1" applyAlignment="1">
      <alignment horizontal="right" vertical="center"/>
    </xf>
    <xf numFmtId="6" fontId="93" fillId="0" borderId="0" xfId="12" applyNumberFormat="1" applyFont="1" applyFill="1" applyBorder="1" applyAlignment="1" applyProtection="1">
      <alignment horizontal="center" vertical="center"/>
    </xf>
    <xf numFmtId="6" fontId="93" fillId="3" borderId="5" xfId="6" applyNumberFormat="1" applyFont="1" applyFill="1" applyBorder="1" applyAlignment="1">
      <alignment horizontal="right" vertical="center"/>
    </xf>
    <xf numFmtId="6" fontId="93" fillId="3" borderId="0" xfId="6" applyNumberFormat="1" applyFont="1" applyFill="1" applyAlignment="1">
      <alignment horizontal="right" vertical="center"/>
    </xf>
    <xf numFmtId="6" fontId="93" fillId="3" borderId="6" xfId="6" applyNumberFormat="1" applyFont="1" applyFill="1" applyBorder="1" applyAlignment="1">
      <alignment horizontal="right" vertical="center"/>
    </xf>
    <xf numFmtId="0" fontId="93" fillId="0" borderId="6" xfId="6" applyFont="1" applyBorder="1" applyAlignment="1">
      <alignment horizontal="left" vertical="center" indent="1"/>
    </xf>
    <xf numFmtId="6" fontId="93" fillId="0" borderId="0" xfId="9" applyNumberFormat="1" applyFont="1" applyFill="1" applyBorder="1" applyAlignment="1" applyProtection="1">
      <alignment horizontal="center" vertical="center"/>
    </xf>
    <xf numFmtId="6" fontId="93" fillId="0" borderId="5" xfId="9" applyNumberFormat="1" applyFont="1" applyFill="1" applyBorder="1" applyAlignment="1" applyProtection="1">
      <alignment horizontal="right" vertical="center"/>
    </xf>
    <xf numFmtId="6" fontId="93" fillId="0" borderId="0" xfId="9" applyNumberFormat="1" applyFont="1" applyFill="1" applyBorder="1" applyAlignment="1" applyProtection="1">
      <alignment horizontal="right" vertical="center"/>
    </xf>
    <xf numFmtId="6" fontId="93" fillId="0" borderId="6" xfId="9" applyNumberFormat="1" applyFont="1" applyFill="1" applyBorder="1" applyAlignment="1" applyProtection="1">
      <alignment horizontal="right" vertical="center"/>
    </xf>
    <xf numFmtId="6" fontId="89" fillId="3" borderId="5" xfId="7" applyNumberFormat="1" applyFont="1" applyFill="1" applyBorder="1" applyAlignment="1">
      <alignment horizontal="right" vertical="center"/>
    </xf>
    <xf numFmtId="6" fontId="89" fillId="3" borderId="0" xfId="7" applyNumberFormat="1" applyFont="1" applyFill="1" applyBorder="1" applyAlignment="1">
      <alignment horizontal="right" vertical="center"/>
    </xf>
    <xf numFmtId="6" fontId="89" fillId="3" borderId="6" xfId="7" applyNumberFormat="1" applyFont="1" applyFill="1" applyBorder="1" applyAlignment="1">
      <alignment horizontal="right" vertical="center"/>
    </xf>
    <xf numFmtId="6" fontId="93" fillId="0" borderId="18" xfId="12" applyNumberFormat="1" applyFont="1" applyFill="1" applyBorder="1" applyAlignment="1" applyProtection="1">
      <alignment horizontal="center" vertical="center"/>
    </xf>
    <xf numFmtId="6" fontId="93" fillId="0" borderId="20" xfId="12" applyNumberFormat="1" applyFont="1" applyFill="1" applyBorder="1" applyAlignment="1" applyProtection="1">
      <alignment horizontal="right" vertical="center"/>
    </xf>
    <xf numFmtId="6" fontId="93" fillId="0" borderId="18" xfId="12" applyNumberFormat="1" applyFont="1" applyFill="1" applyBorder="1" applyAlignment="1" applyProtection="1">
      <alignment horizontal="right" vertical="center"/>
    </xf>
    <xf numFmtId="6" fontId="93" fillId="0" borderId="21" xfId="12" applyNumberFormat="1" applyFont="1" applyFill="1" applyBorder="1" applyAlignment="1" applyProtection="1">
      <alignment horizontal="right" vertical="center"/>
    </xf>
    <xf numFmtId="5" fontId="93" fillId="0" borderId="10" xfId="6" applyNumberFormat="1" applyFont="1" applyBorder="1"/>
    <xf numFmtId="9" fontId="94" fillId="0" borderId="0" xfId="6" applyNumberFormat="1" applyFont="1" applyAlignment="1">
      <alignment horizontal="center"/>
    </xf>
    <xf numFmtId="9" fontId="94" fillId="0" borderId="5" xfId="6" applyNumberFormat="1" applyFont="1" applyBorder="1" applyAlignment="1">
      <alignment horizontal="right" vertical="center"/>
    </xf>
    <xf numFmtId="9" fontId="94" fillId="0" borderId="9" xfId="6" applyNumberFormat="1" applyFont="1" applyBorder="1" applyAlignment="1">
      <alignment horizontal="right" vertical="center"/>
    </xf>
    <xf numFmtId="6" fontId="93" fillId="0" borderId="21" xfId="12" applyNumberFormat="1" applyFont="1" applyFill="1" applyBorder="1" applyAlignment="1" applyProtection="1">
      <alignment horizontal="center" vertical="center"/>
    </xf>
    <xf numFmtId="0" fontId="96" fillId="0" borderId="6" xfId="6" applyFont="1" applyBorder="1"/>
    <xf numFmtId="0" fontId="96" fillId="0" borderId="5" xfId="6" applyFont="1" applyBorder="1"/>
    <xf numFmtId="6" fontId="96" fillId="0" borderId="0" xfId="6" applyNumberFormat="1" applyFont="1" applyAlignment="1">
      <alignment horizontal="center"/>
    </xf>
    <xf numFmtId="6" fontId="89" fillId="0" borderId="5" xfId="6" applyNumberFormat="1" applyFont="1" applyBorder="1" applyAlignment="1">
      <alignment horizontal="right" vertical="center"/>
    </xf>
    <xf numFmtId="6" fontId="89" fillId="0" borderId="0" xfId="6" applyNumberFormat="1" applyFont="1" applyAlignment="1">
      <alignment horizontal="right" vertical="center"/>
    </xf>
    <xf numFmtId="6" fontId="89" fillId="0" borderId="6" xfId="6" applyNumberFormat="1" applyFont="1" applyBorder="1" applyAlignment="1">
      <alignment horizontal="right" vertical="center"/>
    </xf>
    <xf numFmtId="5" fontId="97" fillId="0" borderId="5" xfId="6" applyNumberFormat="1" applyFont="1" applyBorder="1" applyAlignment="1">
      <alignment horizontal="right" vertical="center"/>
    </xf>
    <xf numFmtId="9" fontId="89" fillId="0" borderId="0" xfId="6" applyNumberFormat="1" applyFont="1" applyAlignment="1">
      <alignment horizontal="center"/>
    </xf>
    <xf numFmtId="6" fontId="89" fillId="0" borderId="5" xfId="7" applyNumberFormat="1" applyFont="1" applyFill="1" applyBorder="1" applyAlignment="1">
      <alignment horizontal="right" vertical="center"/>
    </xf>
    <xf numFmtId="6" fontId="89" fillId="0" borderId="0" xfId="7" applyNumberFormat="1" applyFont="1" applyFill="1" applyBorder="1" applyAlignment="1">
      <alignment horizontal="right" vertical="center"/>
    </xf>
    <xf numFmtId="6" fontId="89" fillId="0" borderId="6" xfId="7" applyNumberFormat="1" applyFont="1" applyFill="1" applyBorder="1" applyAlignment="1">
      <alignment horizontal="right" vertical="center"/>
    </xf>
    <xf numFmtId="0" fontId="96" fillId="0" borderId="20" xfId="6" applyFont="1" applyBorder="1"/>
    <xf numFmtId="6" fontId="96" fillId="0" borderId="21" xfId="6" applyNumberFormat="1" applyFont="1" applyBorder="1" applyAlignment="1">
      <alignment horizontal="center"/>
    </xf>
    <xf numFmtId="6" fontId="93" fillId="0" borderId="5" xfId="12" applyNumberFormat="1" applyFont="1" applyFill="1" applyBorder="1" applyAlignment="1" applyProtection="1">
      <alignment horizontal="right" vertical="center"/>
    </xf>
    <xf numFmtId="6" fontId="93" fillId="0" borderId="0" xfId="12" applyNumberFormat="1" applyFont="1" applyFill="1" applyBorder="1" applyAlignment="1" applyProtection="1">
      <alignment horizontal="right" vertical="center"/>
    </xf>
    <xf numFmtId="6" fontId="93" fillId="0" borderId="6" xfId="12" applyNumberFormat="1" applyFont="1" applyFill="1" applyBorder="1" applyAlignment="1" applyProtection="1">
      <alignment horizontal="right" vertical="center"/>
    </xf>
    <xf numFmtId="6" fontId="89" fillId="0" borderId="5" xfId="12" applyNumberFormat="1" applyFont="1" applyFill="1" applyBorder="1" applyAlignment="1" applyProtection="1">
      <alignment horizontal="right" vertical="center"/>
    </xf>
    <xf numFmtId="6" fontId="89" fillId="0" borderId="6" xfId="12" applyNumberFormat="1" applyFont="1" applyFill="1" applyBorder="1" applyAlignment="1" applyProtection="1">
      <alignment horizontal="right" vertical="center"/>
    </xf>
    <xf numFmtId="6" fontId="89" fillId="0" borderId="0" xfId="12" applyNumberFormat="1" applyFont="1" applyFill="1" applyBorder="1" applyAlignment="1" applyProtection="1">
      <alignment horizontal="right" vertical="center"/>
    </xf>
    <xf numFmtId="6" fontId="93" fillId="0" borderId="21" xfId="6" applyNumberFormat="1" applyFont="1" applyBorder="1" applyAlignment="1">
      <alignment horizontal="center" vertical="center"/>
    </xf>
    <xf numFmtId="6" fontId="96" fillId="0" borderId="5" xfId="6" applyNumberFormat="1" applyFont="1" applyBorder="1" applyAlignment="1">
      <alignment horizontal="center" vertical="center"/>
    </xf>
    <xf numFmtId="6" fontId="96" fillId="0" borderId="0" xfId="6" applyNumberFormat="1" applyFont="1" applyAlignment="1">
      <alignment horizontal="center" vertical="center"/>
    </xf>
    <xf numFmtId="6" fontId="96" fillId="0" borderId="6" xfId="6" applyNumberFormat="1" applyFont="1" applyBorder="1" applyAlignment="1">
      <alignment horizontal="center" vertical="center"/>
    </xf>
    <xf numFmtId="0" fontId="98" fillId="0" borderId="0" xfId="6" applyFont="1" applyAlignment="1">
      <alignment vertical="center"/>
    </xf>
    <xf numFmtId="5" fontId="95" fillId="0" borderId="0" xfId="6" applyNumberFormat="1" applyFont="1" applyAlignment="1">
      <alignment vertical="center"/>
    </xf>
    <xf numFmtId="5" fontId="37" fillId="0" borderId="0" xfId="6" applyNumberFormat="1" applyFont="1" applyAlignment="1">
      <alignment horizontal="center" vertical="center"/>
    </xf>
    <xf numFmtId="0" fontId="38" fillId="19" borderId="27" xfId="6" applyFont="1" applyFill="1" applyBorder="1" applyAlignment="1">
      <alignment vertical="center"/>
    </xf>
    <xf numFmtId="182" fontId="38" fillId="0" borderId="0" xfId="6" applyNumberFormat="1" applyFont="1" applyAlignment="1">
      <alignment horizontal="center" vertical="center" wrapText="1"/>
    </xf>
    <xf numFmtId="0" fontId="38" fillId="0" borderId="5" xfId="6" applyFont="1" applyBorder="1" applyAlignment="1">
      <alignment horizontal="center" vertical="center" wrapText="1"/>
    </xf>
    <xf numFmtId="0" fontId="38" fillId="0" borderId="6" xfId="6" applyFont="1" applyBorder="1" applyAlignment="1">
      <alignment horizontal="center" vertical="center" wrapText="1"/>
    </xf>
    <xf numFmtId="0" fontId="38" fillId="0" borderId="0" xfId="6" applyFont="1" applyAlignment="1">
      <alignment horizontal="center" vertical="center" wrapText="1"/>
    </xf>
    <xf numFmtId="182" fontId="38" fillId="0" borderId="5" xfId="6" applyNumberFormat="1" applyFont="1" applyBorder="1" applyAlignment="1">
      <alignment horizontal="center" vertical="center" wrapText="1"/>
    </xf>
    <xf numFmtId="182" fontId="38" fillId="0" borderId="6" xfId="6" applyNumberFormat="1" applyFont="1" applyBorder="1" applyAlignment="1">
      <alignment horizontal="center" vertical="center" wrapText="1"/>
    </xf>
    <xf numFmtId="0" fontId="57" fillId="0" borderId="5" xfId="6" applyFont="1" applyBorder="1" applyAlignment="1">
      <alignment horizontal="center" vertical="center"/>
    </xf>
    <xf numFmtId="0" fontId="58" fillId="0" borderId="27" xfId="6" applyFont="1" applyBorder="1" applyAlignment="1">
      <alignment vertical="center"/>
    </xf>
    <xf numFmtId="0" fontId="46" fillId="0" borderId="27" xfId="6" applyFont="1" applyBorder="1" applyAlignment="1">
      <alignment horizontal="left" vertical="center" indent="2"/>
    </xf>
    <xf numFmtId="0" fontId="46" fillId="0" borderId="28" xfId="6" applyFont="1" applyBorder="1" applyAlignment="1">
      <alignment horizontal="left" vertical="center" indent="2"/>
    </xf>
    <xf numFmtId="0" fontId="58" fillId="0" borderId="29" xfId="6" applyFont="1" applyBorder="1" applyAlignment="1">
      <alignment vertical="center"/>
    </xf>
    <xf numFmtId="5" fontId="58" fillId="0" borderId="3" xfId="9" applyNumberFormat="1" applyFont="1" applyFill="1" applyBorder="1" applyAlignment="1" applyProtection="1">
      <alignment horizontal="right" vertical="center"/>
    </xf>
    <xf numFmtId="5" fontId="58" fillId="0" borderId="4" xfId="9" applyNumberFormat="1" applyFont="1" applyFill="1" applyBorder="1" applyAlignment="1" applyProtection="1">
      <alignment horizontal="right" vertical="center"/>
    </xf>
    <xf numFmtId="5" fontId="58" fillId="0" borderId="0" xfId="9" applyNumberFormat="1" applyFont="1" applyFill="1" applyBorder="1" applyAlignment="1" applyProtection="1">
      <alignment horizontal="right" vertical="center"/>
    </xf>
    <xf numFmtId="0" fontId="57" fillId="0" borderId="27" xfId="6" applyFont="1" applyBorder="1" applyAlignment="1">
      <alignment horizontal="left" vertical="center" indent="2"/>
    </xf>
    <xf numFmtId="164" fontId="57" fillId="0" borderId="0" xfId="7" applyNumberFormat="1" applyFont="1" applyFill="1" applyBorder="1" applyAlignment="1" applyProtection="1">
      <alignment horizontal="right" vertical="center"/>
    </xf>
    <xf numFmtId="168" fontId="46" fillId="0" borderId="0" xfId="9" applyNumberFormat="1" applyFont="1" applyFill="1" applyBorder="1" applyAlignment="1" applyProtection="1">
      <alignment horizontal="right" vertical="center"/>
    </xf>
    <xf numFmtId="0" fontId="58" fillId="0" borderId="28" xfId="6" applyFont="1" applyBorder="1" applyAlignment="1">
      <alignment vertical="center"/>
    </xf>
    <xf numFmtId="0" fontId="58" fillId="0" borderId="27" xfId="6" applyFont="1" applyBorder="1" applyAlignment="1">
      <alignment horizontal="left" vertical="center"/>
    </xf>
    <xf numFmtId="0" fontId="46" fillId="0" borderId="27" xfId="6" applyFont="1" applyBorder="1" applyAlignment="1">
      <alignment vertical="center"/>
    </xf>
    <xf numFmtId="168" fontId="46" fillId="0" borderId="0" xfId="12" applyNumberFormat="1" applyFont="1" applyFill="1" applyBorder="1" applyAlignment="1" applyProtection="1">
      <alignment horizontal="right" vertical="center"/>
    </xf>
    <xf numFmtId="5" fontId="42" fillId="10" borderId="6" xfId="9" applyNumberFormat="1" applyFont="1" applyFill="1" applyBorder="1" applyAlignment="1" applyProtection="1">
      <alignment horizontal="right" vertical="center"/>
    </xf>
    <xf numFmtId="5" fontId="46" fillId="10" borderId="6" xfId="9" applyNumberFormat="1" applyFont="1" applyFill="1" applyBorder="1" applyAlignment="1" applyProtection="1">
      <alignment horizontal="right" vertical="center"/>
    </xf>
    <xf numFmtId="5" fontId="42" fillId="0" borderId="6" xfId="9" applyNumberFormat="1" applyFont="1" applyFill="1" applyBorder="1" applyAlignment="1" applyProtection="1">
      <alignment horizontal="right" vertical="center"/>
    </xf>
    <xf numFmtId="0" fontId="58" fillId="0" borderId="27" xfId="6" applyFont="1" applyBorder="1" applyAlignment="1">
      <alignment horizontal="left" vertical="center" indent="1"/>
    </xf>
    <xf numFmtId="9" fontId="46" fillId="0" borderId="0" xfId="9" applyNumberFormat="1" applyFont="1" applyFill="1" applyBorder="1" applyAlignment="1" applyProtection="1">
      <alignment horizontal="right" vertical="center"/>
    </xf>
    <xf numFmtId="171" fontId="42" fillId="0" borderId="6" xfId="5" applyNumberFormat="1" applyFont="1" applyFill="1" applyBorder="1" applyAlignment="1" applyProtection="1">
      <alignment horizontal="right" vertical="center"/>
    </xf>
    <xf numFmtId="10" fontId="57" fillId="0" borderId="0" xfId="5" applyNumberFormat="1" applyFont="1" applyFill="1" applyBorder="1" applyAlignment="1" applyProtection="1">
      <alignment horizontal="right" vertical="center"/>
    </xf>
    <xf numFmtId="0" fontId="58" fillId="0" borderId="28" xfId="6" applyFont="1" applyBorder="1" applyAlignment="1">
      <alignment horizontal="left" vertical="center" indent="1"/>
    </xf>
    <xf numFmtId="0" fontId="58" fillId="0" borderId="29" xfId="6" applyFont="1" applyBorder="1" applyAlignment="1">
      <alignment horizontal="left" vertical="center"/>
    </xf>
    <xf numFmtId="5" fontId="58" fillId="0" borderId="3" xfId="12" applyNumberFormat="1" applyFont="1" applyFill="1" applyBorder="1" applyAlignment="1" applyProtection="1">
      <alignment horizontal="right" vertical="center"/>
    </xf>
    <xf numFmtId="10" fontId="57" fillId="0" borderId="0" xfId="13" applyNumberFormat="1" applyFont="1" applyFill="1" applyBorder="1" applyAlignment="1">
      <alignment horizontal="right" vertical="center"/>
    </xf>
    <xf numFmtId="0" fontId="58" fillId="0" borderId="30" xfId="6" applyFont="1" applyBorder="1" applyAlignment="1">
      <alignment horizontal="left" vertical="center"/>
    </xf>
    <xf numFmtId="0" fontId="101" fillId="0" borderId="0" xfId="0" applyFont="1"/>
    <xf numFmtId="5" fontId="21" fillId="10" borderId="0" xfId="6" applyNumberFormat="1" applyFont="1" applyFill="1" applyAlignment="1">
      <alignment horizontal="right"/>
    </xf>
    <xf numFmtId="9" fontId="22" fillId="10" borderId="0" xfId="5" applyFont="1" applyFill="1" applyAlignment="1">
      <alignment horizontal="right"/>
    </xf>
    <xf numFmtId="0" fontId="12" fillId="10" borderId="0" xfId="6" applyFont="1" applyFill="1" applyAlignment="1">
      <alignment horizontal="right"/>
    </xf>
    <xf numFmtId="164" fontId="12" fillId="10" borderId="0" xfId="6" applyNumberFormat="1" applyFont="1" applyFill="1" applyAlignment="1">
      <alignment horizontal="right"/>
    </xf>
    <xf numFmtId="176" fontId="12" fillId="10" borderId="0" xfId="6" applyNumberFormat="1" applyFont="1" applyFill="1" applyAlignment="1">
      <alignment horizontal="right"/>
    </xf>
    <xf numFmtId="6" fontId="12" fillId="10" borderId="31" xfId="4" applyNumberFormat="1" applyFont="1" applyFill="1" applyBorder="1" applyAlignment="1">
      <alignment horizontal="right"/>
    </xf>
    <xf numFmtId="6" fontId="102" fillId="10" borderId="31" xfId="4" applyNumberFormat="1" applyFont="1" applyFill="1" applyBorder="1" applyAlignment="1">
      <alignment horizontal="right"/>
    </xf>
    <xf numFmtId="0" fontId="10" fillId="0" borderId="0" xfId="6" applyFont="1" applyAlignment="1">
      <alignment vertical="center"/>
    </xf>
    <xf numFmtId="0" fontId="25" fillId="4" borderId="0" xfId="6" applyFont="1" applyFill="1" applyAlignment="1">
      <alignment horizontal="left" vertical="center"/>
    </xf>
    <xf numFmtId="0" fontId="104" fillId="21" borderId="45" xfId="42" applyFont="1" applyFill="1" applyBorder="1" applyAlignment="1"/>
    <xf numFmtId="0" fontId="104" fillId="21" borderId="46" xfId="42" applyFont="1" applyFill="1" applyBorder="1" applyAlignment="1"/>
    <xf numFmtId="0" fontId="104" fillId="21" borderId="47" xfId="42" applyFont="1" applyFill="1" applyBorder="1" applyAlignment="1"/>
    <xf numFmtId="10" fontId="103" fillId="0" borderId="48" xfId="42" applyNumberFormat="1" applyFont="1" applyBorder="1" applyAlignment="1">
      <alignment horizontal="center" vertical="center"/>
    </xf>
    <xf numFmtId="168" fontId="103" fillId="0" borderId="0" xfId="41" applyNumberFormat="1" applyFont="1" applyBorder="1" applyAlignment="1"/>
    <xf numFmtId="168" fontId="103" fillId="0" borderId="0" xfId="42" applyNumberFormat="1" applyFont="1" applyAlignment="1"/>
    <xf numFmtId="0" fontId="72" fillId="3" borderId="0" xfId="6" applyFont="1" applyFill="1"/>
    <xf numFmtId="10" fontId="19" fillId="0" borderId="0" xfId="34" applyNumberFormat="1" applyFont="1"/>
    <xf numFmtId="10" fontId="19" fillId="0" borderId="2" xfId="34" applyNumberFormat="1" applyFont="1" applyBorder="1"/>
    <xf numFmtId="10" fontId="19" fillId="0" borderId="1" xfId="34" applyNumberFormat="1" applyFont="1" applyBorder="1"/>
    <xf numFmtId="10" fontId="19" fillId="3" borderId="2" xfId="34" applyNumberFormat="1" applyFont="1" applyFill="1" applyBorder="1"/>
    <xf numFmtId="10" fontId="19" fillId="0" borderId="0" xfId="34" applyNumberFormat="1" applyFont="1" applyBorder="1"/>
    <xf numFmtId="10" fontId="20" fillId="0" borderId="2" xfId="34" applyNumberFormat="1" applyFont="1" applyBorder="1"/>
    <xf numFmtId="10" fontId="19" fillId="0" borderId="2" xfId="34" applyNumberFormat="1" applyFont="1" applyFill="1" applyBorder="1"/>
    <xf numFmtId="10" fontId="19" fillId="0" borderId="0" xfId="34" applyNumberFormat="1" applyFont="1" applyFill="1"/>
    <xf numFmtId="195" fontId="25" fillId="4" borderId="0" xfId="6" applyNumberFormat="1" applyFont="1" applyFill="1" applyAlignment="1">
      <alignment horizontal="left" vertical="center"/>
    </xf>
    <xf numFmtId="0" fontId="104" fillId="21" borderId="0" xfId="42" applyFont="1" applyFill="1" applyAlignment="1"/>
    <xf numFmtId="0" fontId="105" fillId="0" borderId="0" xfId="48"/>
    <xf numFmtId="0" fontId="16" fillId="6" borderId="0" xfId="0" applyFont="1" applyFill="1" applyAlignment="1">
      <alignment horizontal="center"/>
    </xf>
    <xf numFmtId="0" fontId="16" fillId="0" borderId="0" xfId="0" applyFont="1" applyAlignment="1">
      <alignment horizontal="center"/>
    </xf>
    <xf numFmtId="10" fontId="47" fillId="0" borderId="6" xfId="6" applyNumberFormat="1" applyFont="1" applyBorder="1" applyAlignment="1">
      <alignment horizontal="left" vertical="center" indent="2" shrinkToFit="1"/>
    </xf>
    <xf numFmtId="0" fontId="37" fillId="5" borderId="3" xfId="2" applyFont="1" applyFill="1" applyBorder="1"/>
    <xf numFmtId="0" fontId="37" fillId="5" borderId="4" xfId="2" applyFont="1" applyFill="1" applyBorder="1" applyAlignment="1">
      <alignment horizontal="right"/>
    </xf>
    <xf numFmtId="0" fontId="65" fillId="0" borderId="0" xfId="2" applyFont="1"/>
    <xf numFmtId="0" fontId="77" fillId="0" borderId="0" xfId="2" applyFont="1"/>
    <xf numFmtId="0" fontId="37" fillId="5" borderId="5" xfId="2" applyFont="1" applyFill="1" applyBorder="1"/>
    <xf numFmtId="0" fontId="37" fillId="5" borderId="6" xfId="2" applyFont="1" applyFill="1" applyBorder="1" applyAlignment="1">
      <alignment horizontal="right"/>
    </xf>
    <xf numFmtId="0" fontId="77" fillId="5" borderId="7" xfId="2" applyFont="1" applyFill="1" applyBorder="1" applyAlignment="1">
      <alignment horizontal="left" indent="1"/>
    </xf>
    <xf numFmtId="0" fontId="37" fillId="5" borderId="8" xfId="2" applyFont="1" applyFill="1" applyBorder="1" applyAlignment="1">
      <alignment horizontal="right"/>
    </xf>
    <xf numFmtId="0" fontId="37" fillId="5" borderId="8" xfId="2" applyFont="1" applyFill="1" applyBorder="1"/>
    <xf numFmtId="165" fontId="37" fillId="5" borderId="8" xfId="2" applyNumberFormat="1" applyFont="1" applyFill="1" applyBorder="1"/>
    <xf numFmtId="8" fontId="37" fillId="5" borderId="8" xfId="2" applyNumberFormat="1" applyFont="1" applyFill="1" applyBorder="1"/>
    <xf numFmtId="9" fontId="37" fillId="5" borderId="8" xfId="5" applyFont="1" applyFill="1" applyBorder="1"/>
    <xf numFmtId="0" fontId="77" fillId="5" borderId="13" xfId="2" applyFont="1" applyFill="1" applyBorder="1" applyAlignment="1">
      <alignment horizontal="left" indent="1"/>
    </xf>
    <xf numFmtId="9" fontId="37" fillId="5" borderId="32" xfId="5" applyFont="1" applyFill="1" applyBorder="1"/>
    <xf numFmtId="0" fontId="77" fillId="5" borderId="5" xfId="2" applyFont="1" applyFill="1" applyBorder="1" applyAlignment="1">
      <alignment horizontal="left" indent="3"/>
    </xf>
    <xf numFmtId="8" fontId="77" fillId="5" borderId="6" xfId="5" applyNumberFormat="1" applyFont="1" applyFill="1" applyBorder="1"/>
    <xf numFmtId="0" fontId="77" fillId="5" borderId="13" xfId="2" applyFont="1" applyFill="1" applyBorder="1" applyAlignment="1">
      <alignment horizontal="left" vertical="center" indent="1"/>
    </xf>
    <xf numFmtId="0" fontId="37" fillId="5" borderId="32" xfId="2" applyFont="1" applyFill="1" applyBorder="1" applyAlignment="1">
      <alignment horizontal="right" wrapText="1"/>
    </xf>
    <xf numFmtId="0" fontId="77" fillId="5" borderId="5" xfId="2" applyFont="1" applyFill="1" applyBorder="1"/>
    <xf numFmtId="0" fontId="37" fillId="5" borderId="6" xfId="2" applyFont="1" applyFill="1" applyBorder="1" applyAlignment="1">
      <alignment wrapText="1"/>
    </xf>
    <xf numFmtId="0" fontId="37" fillId="5" borderId="6" xfId="2" applyFont="1" applyFill="1" applyBorder="1"/>
    <xf numFmtId="167" fontId="37" fillId="5" borderId="8" xfId="2" applyNumberFormat="1" applyFont="1" applyFill="1" applyBorder="1"/>
    <xf numFmtId="164" fontId="37" fillId="5" borderId="8" xfId="2" applyNumberFormat="1" applyFont="1" applyFill="1" applyBorder="1" applyAlignment="1">
      <alignment horizontal="right"/>
    </xf>
    <xf numFmtId="10" fontId="37" fillId="5" borderId="8" xfId="2" applyNumberFormat="1" applyFont="1" applyFill="1" applyBorder="1"/>
    <xf numFmtId="0" fontId="37" fillId="5" borderId="5" xfId="2" applyFont="1" applyFill="1" applyBorder="1" applyAlignment="1">
      <alignment horizontal="left"/>
    </xf>
    <xf numFmtId="6" fontId="37" fillId="5" borderId="8" xfId="2" applyNumberFormat="1" applyFont="1" applyFill="1" applyBorder="1"/>
    <xf numFmtId="3" fontId="37" fillId="5" borderId="8" xfId="2" applyNumberFormat="1" applyFont="1" applyFill="1" applyBorder="1" applyAlignment="1">
      <alignment horizontal="right"/>
    </xf>
    <xf numFmtId="0" fontId="37" fillId="5" borderId="8" xfId="2" applyFont="1" applyFill="1" applyBorder="1" applyAlignment="1">
      <alignment horizontal="right" wrapText="1"/>
    </xf>
    <xf numFmtId="0" fontId="77" fillId="5" borderId="5" xfId="2" applyFont="1" applyFill="1" applyBorder="1" applyAlignment="1">
      <alignment horizontal="left" indent="1"/>
    </xf>
    <xf numFmtId="5" fontId="37" fillId="5" borderId="6" xfId="2" applyNumberFormat="1" applyFont="1" applyFill="1" applyBorder="1"/>
    <xf numFmtId="0" fontId="37" fillId="5" borderId="0" xfId="2" applyFont="1" applyFill="1" applyAlignment="1">
      <alignment horizontal="left"/>
    </xf>
    <xf numFmtId="164" fontId="37" fillId="5" borderId="6" xfId="2" applyNumberFormat="1" applyFont="1" applyFill="1" applyBorder="1"/>
    <xf numFmtId="0" fontId="65" fillId="5" borderId="2" xfId="2" applyFont="1" applyFill="1" applyBorder="1" applyAlignment="1">
      <alignment horizontal="left"/>
    </xf>
    <xf numFmtId="0" fontId="106" fillId="5" borderId="9" xfId="2" applyFont="1" applyFill="1" applyBorder="1"/>
    <xf numFmtId="0" fontId="37" fillId="0" borderId="0" xfId="2" applyFont="1"/>
    <xf numFmtId="0" fontId="106" fillId="0" borderId="0" xfId="2" applyFont="1"/>
    <xf numFmtId="0" fontId="77" fillId="5" borderId="7" xfId="2" applyFont="1" applyFill="1" applyBorder="1" applyAlignment="1">
      <alignment horizontal="left" vertical="top" indent="1"/>
    </xf>
    <xf numFmtId="0" fontId="7" fillId="0" borderId="0" xfId="0" applyFont="1"/>
    <xf numFmtId="5" fontId="93" fillId="0" borderId="0" xfId="6" applyNumberFormat="1" applyFont="1" applyAlignment="1">
      <alignment vertical="center"/>
    </xf>
    <xf numFmtId="0" fontId="43" fillId="0" borderId="0" xfId="0" applyFont="1"/>
    <xf numFmtId="8" fontId="39" fillId="0" borderId="0" xfId="0" applyNumberFormat="1" applyFont="1"/>
    <xf numFmtId="14" fontId="42" fillId="6" borderId="0" xfId="0" applyNumberFormat="1" applyFont="1" applyFill="1"/>
    <xf numFmtId="0" fontId="71" fillId="0" borderId="0" xfId="0" applyFont="1"/>
    <xf numFmtId="0" fontId="73" fillId="0" borderId="0" xfId="0" applyFont="1" applyAlignment="1">
      <alignment horizontal="center"/>
    </xf>
    <xf numFmtId="164" fontId="73" fillId="0" borderId="0" xfId="0" applyNumberFormat="1" applyFont="1" applyAlignment="1">
      <alignment horizontal="center"/>
    </xf>
    <xf numFmtId="3" fontId="73" fillId="0" borderId="0" xfId="0" applyNumberFormat="1" applyFont="1" applyAlignment="1">
      <alignment horizontal="center"/>
    </xf>
    <xf numFmtId="0" fontId="73" fillId="0" borderId="0" xfId="0" applyFont="1"/>
    <xf numFmtId="0" fontId="107" fillId="0" borderId="0" xfId="0" applyFont="1"/>
    <xf numFmtId="0" fontId="107" fillId="0" borderId="0" xfId="0" applyFont="1" applyAlignment="1">
      <alignment horizontal="center"/>
    </xf>
    <xf numFmtId="6" fontId="39" fillId="0" borderId="0" xfId="0" applyNumberFormat="1" applyFont="1"/>
    <xf numFmtId="3" fontId="39" fillId="0" borderId="0" xfId="0" applyNumberFormat="1" applyFont="1"/>
    <xf numFmtId="164" fontId="39" fillId="0" borderId="0" xfId="0" applyNumberFormat="1" applyFont="1"/>
    <xf numFmtId="0" fontId="59" fillId="0" borderId="0" xfId="0" applyFont="1" applyAlignment="1">
      <alignment horizontal="center"/>
    </xf>
    <xf numFmtId="3" fontId="59" fillId="0" borderId="0" xfId="0" applyNumberFormat="1" applyFont="1" applyAlignment="1">
      <alignment horizontal="center"/>
    </xf>
    <xf numFmtId="164" fontId="59" fillId="0" borderId="0" xfId="0" applyNumberFormat="1" applyFont="1" applyAlignment="1">
      <alignment horizontal="center"/>
    </xf>
    <xf numFmtId="6" fontId="36" fillId="0" borderId="0" xfId="0" applyNumberFormat="1" applyFont="1"/>
    <xf numFmtId="0" fontId="108" fillId="0" borderId="0" xfId="0" applyFont="1" applyAlignment="1">
      <alignment vertical="center"/>
    </xf>
    <xf numFmtId="0" fontId="59" fillId="0" borderId="0" xfId="0" applyFont="1" applyAlignment="1">
      <alignment vertical="center"/>
    </xf>
    <xf numFmtId="0" fontId="59" fillId="0" borderId="2" xfId="0" applyFont="1" applyBorder="1" applyAlignment="1">
      <alignment horizontal="center" vertical="center"/>
    </xf>
    <xf numFmtId="0" fontId="59" fillId="0" borderId="0" xfId="0" applyFont="1" applyAlignment="1">
      <alignment horizontal="center" vertical="center"/>
    </xf>
    <xf numFmtId="14" fontId="42" fillId="0" borderId="0" xfId="0" applyNumberFormat="1" applyFont="1" applyAlignment="1">
      <alignment horizontal="center" vertical="center"/>
    </xf>
    <xf numFmtId="14" fontId="109" fillId="0" borderId="0" xfId="0" applyNumberFormat="1" applyFont="1" applyAlignment="1">
      <alignment horizontal="center" vertical="center"/>
    </xf>
    <xf numFmtId="0" fontId="59" fillId="10" borderId="3" xfId="0" applyFont="1" applyFill="1" applyBorder="1" applyAlignment="1">
      <alignment vertical="center"/>
    </xf>
    <xf numFmtId="0" fontId="59" fillId="10" borderId="1" xfId="0" applyFont="1" applyFill="1" applyBorder="1" applyAlignment="1">
      <alignment vertical="center"/>
    </xf>
    <xf numFmtId="0" fontId="37" fillId="10" borderId="18" xfId="0" applyFont="1" applyFill="1" applyBorder="1" applyAlignment="1">
      <alignment vertical="center"/>
    </xf>
    <xf numFmtId="0" fontId="36" fillId="0" borderId="5" xfId="0" applyFont="1" applyBorder="1" applyAlignment="1">
      <alignment vertical="center"/>
    </xf>
    <xf numFmtId="0" fontId="38" fillId="19" borderId="5" xfId="0" applyFont="1" applyFill="1" applyBorder="1" applyAlignment="1">
      <alignment horizontal="center" vertical="center"/>
    </xf>
    <xf numFmtId="6" fontId="38" fillId="19" borderId="0" xfId="0" applyNumberFormat="1" applyFont="1" applyFill="1" applyAlignment="1">
      <alignment horizontal="center" vertical="center"/>
    </xf>
    <xf numFmtId="6" fontId="68" fillId="19" borderId="0" xfId="0" applyNumberFormat="1" applyFont="1" applyFill="1" applyAlignment="1">
      <alignment horizontal="center" vertical="center"/>
    </xf>
    <xf numFmtId="0" fontId="68" fillId="19" borderId="0" xfId="0" applyFont="1" applyFill="1" applyAlignment="1">
      <alignment horizontal="center" vertical="center"/>
    </xf>
    <xf numFmtId="186" fontId="68" fillId="19" borderId="0" xfId="0" applyNumberFormat="1" applyFont="1" applyFill="1" applyAlignment="1">
      <alignment horizontal="center" vertical="center"/>
    </xf>
    <xf numFmtId="193" fontId="38" fillId="19" borderId="0" xfId="0" applyNumberFormat="1" applyFont="1" applyFill="1" applyAlignment="1">
      <alignment horizontal="center" vertical="center"/>
    </xf>
    <xf numFmtId="0" fontId="36" fillId="0" borderId="5" xfId="0" applyFont="1" applyBorder="1" applyAlignment="1">
      <alignment horizontal="center" vertical="center"/>
    </xf>
    <xf numFmtId="3" fontId="36" fillId="0" borderId="0" xfId="0" applyNumberFormat="1" applyFont="1" applyAlignment="1">
      <alignment horizontal="center" vertical="center"/>
    </xf>
    <xf numFmtId="6" fontId="36" fillId="0" borderId="0" xfId="0" applyNumberFormat="1" applyFont="1" applyAlignment="1">
      <alignment horizontal="right" vertical="center"/>
    </xf>
    <xf numFmtId="8" fontId="36" fillId="0" borderId="0" xfId="0" applyNumberFormat="1" applyFont="1" applyAlignment="1">
      <alignment horizontal="right" vertical="center"/>
    </xf>
    <xf numFmtId="0" fontId="110" fillId="0" borderId="0" xfId="0" applyFont="1" applyAlignment="1">
      <alignment horizontal="center" vertical="center"/>
    </xf>
    <xf numFmtId="6" fontId="99" fillId="0" borderId="0" xfId="0" applyNumberFormat="1" applyFont="1" applyAlignment="1">
      <alignment horizontal="center" vertical="center"/>
    </xf>
    <xf numFmtId="6" fontId="111" fillId="13" borderId="0" xfId="0" applyNumberFormat="1" applyFont="1" applyFill="1" applyAlignment="1">
      <alignment horizontal="center" vertical="center"/>
    </xf>
    <xf numFmtId="10" fontId="77" fillId="10" borderId="0" xfId="0" applyNumberFormat="1" applyFont="1" applyFill="1" applyAlignment="1">
      <alignment horizontal="center" vertical="center"/>
    </xf>
    <xf numFmtId="0" fontId="59" fillId="0" borderId="1" xfId="0" applyFont="1" applyBorder="1" applyAlignment="1">
      <alignment horizontal="center" vertical="center"/>
    </xf>
    <xf numFmtId="0" fontId="36" fillId="0" borderId="1" xfId="0" applyFont="1" applyBorder="1" applyAlignment="1">
      <alignment vertical="center"/>
    </xf>
    <xf numFmtId="6" fontId="59" fillId="0" borderId="1" xfId="0" applyNumberFormat="1" applyFont="1" applyBorder="1" applyAlignment="1">
      <alignment vertical="center"/>
    </xf>
    <xf numFmtId="8" fontId="59" fillId="0" borderId="1" xfId="0" applyNumberFormat="1" applyFont="1" applyBorder="1" applyAlignment="1">
      <alignment vertical="center"/>
    </xf>
    <xf numFmtId="0" fontId="36" fillId="0" borderId="4" xfId="0" applyFont="1" applyBorder="1" applyAlignment="1">
      <alignment vertical="center"/>
    </xf>
    <xf numFmtId="0" fontId="59" fillId="0" borderId="3" xfId="0" applyFont="1" applyBorder="1" applyAlignment="1">
      <alignment horizontal="center" vertical="center"/>
    </xf>
    <xf numFmtId="6" fontId="59" fillId="0" borderId="1" xfId="0" applyNumberFormat="1" applyFont="1" applyBorder="1" applyAlignment="1">
      <alignment horizontal="center" vertical="center"/>
    </xf>
    <xf numFmtId="10" fontId="59" fillId="0" borderId="1" xfId="0" applyNumberFormat="1" applyFont="1" applyBorder="1" applyAlignment="1">
      <alignment horizontal="center" vertical="center"/>
    </xf>
    <xf numFmtId="8" fontId="59" fillId="0" borderId="1" xfId="0" applyNumberFormat="1" applyFont="1" applyBorder="1" applyAlignment="1">
      <alignment horizontal="center" vertical="center"/>
    </xf>
    <xf numFmtId="0" fontId="36" fillId="0" borderId="2" xfId="0" applyFont="1" applyBorder="1" applyAlignment="1">
      <alignment vertical="center"/>
    </xf>
    <xf numFmtId="1" fontId="59" fillId="0" borderId="2" xfId="0" applyNumberFormat="1" applyFont="1" applyBorder="1" applyAlignment="1">
      <alignment horizontal="center" vertical="center"/>
    </xf>
    <xf numFmtId="189" fontId="111" fillId="0" borderId="2" xfId="0" applyNumberFormat="1" applyFont="1" applyBorder="1" applyAlignment="1">
      <alignment vertical="center"/>
    </xf>
    <xf numFmtId="0" fontId="36" fillId="0" borderId="9" xfId="0" applyFont="1" applyBorder="1" applyAlignment="1">
      <alignment vertical="center"/>
    </xf>
    <xf numFmtId="9" fontId="111" fillId="0" borderId="10" xfId="0" applyNumberFormat="1" applyFont="1" applyBorder="1" applyAlignment="1">
      <alignment horizontal="center" vertical="center"/>
    </xf>
    <xf numFmtId="9" fontId="111" fillId="0" borderId="2" xfId="0" applyNumberFormat="1" applyFont="1" applyBorder="1" applyAlignment="1">
      <alignment horizontal="center" vertical="center"/>
    </xf>
    <xf numFmtId="6" fontId="59" fillId="0" borderId="2" xfId="0" applyNumberFormat="1" applyFont="1" applyBorder="1" applyAlignment="1">
      <alignment horizontal="center" vertical="center"/>
    </xf>
    <xf numFmtId="10" fontId="59" fillId="0" borderId="2" xfId="0" applyNumberFormat="1" applyFont="1" applyBorder="1" applyAlignment="1">
      <alignment horizontal="center" vertical="center"/>
    </xf>
    <xf numFmtId="1" fontId="59" fillId="0" borderId="0" xfId="0" applyNumberFormat="1" applyFont="1" applyAlignment="1">
      <alignment horizontal="center" vertical="center"/>
    </xf>
    <xf numFmtId="189" fontId="111" fillId="0" borderId="0" xfId="0" applyNumberFormat="1" applyFont="1" applyAlignment="1">
      <alignment vertical="center"/>
    </xf>
    <xf numFmtId="10" fontId="59" fillId="19" borderId="20" xfId="0" applyNumberFormat="1" applyFont="1" applyFill="1" applyBorder="1" applyAlignment="1">
      <alignment horizontal="center" vertical="center"/>
    </xf>
    <xf numFmtId="0" fontId="56" fillId="19" borderId="18" xfId="0" applyFont="1" applyFill="1" applyBorder="1" applyAlignment="1">
      <alignment vertical="center"/>
    </xf>
    <xf numFmtId="189" fontId="111" fillId="0" borderId="18" xfId="0" applyNumberFormat="1" applyFont="1" applyBorder="1" applyAlignment="1">
      <alignment vertical="center"/>
    </xf>
    <xf numFmtId="10" fontId="59" fillId="0" borderId="18" xfId="0" applyNumberFormat="1" applyFont="1" applyBorder="1" applyAlignment="1">
      <alignment horizontal="center" vertical="center"/>
    </xf>
    <xf numFmtId="6" fontId="59" fillId="0" borderId="18" xfId="0" applyNumberFormat="1" applyFont="1" applyBorder="1" applyAlignment="1">
      <alignment horizontal="center" vertical="center"/>
    </xf>
    <xf numFmtId="0" fontId="36" fillId="0" borderId="18" xfId="0" applyFont="1" applyBorder="1" applyAlignment="1">
      <alignment vertical="center"/>
    </xf>
    <xf numFmtId="0" fontId="112" fillId="0" borderId="5" xfId="0" applyFont="1" applyBorder="1" applyAlignment="1">
      <alignment horizontal="right" vertical="center"/>
    </xf>
    <xf numFmtId="10" fontId="112" fillId="0" borderId="6" xfId="0" applyNumberFormat="1" applyFont="1" applyBorder="1" applyAlignment="1">
      <alignment horizontal="center" vertical="center"/>
    </xf>
    <xf numFmtId="10" fontId="112" fillId="0" borderId="0" xfId="0" applyNumberFormat="1" applyFont="1" applyAlignment="1">
      <alignment horizontal="center" vertical="center"/>
    </xf>
    <xf numFmtId="0" fontId="112" fillId="0" borderId="10" xfId="0" applyFont="1" applyBorder="1" applyAlignment="1">
      <alignment horizontal="right" vertical="center"/>
    </xf>
    <xf numFmtId="10" fontId="112" fillId="0" borderId="9" xfId="0" applyNumberFormat="1" applyFont="1" applyBorder="1" applyAlignment="1">
      <alignment horizontal="center" vertical="center"/>
    </xf>
    <xf numFmtId="0" fontId="36" fillId="0" borderId="0" xfId="22" applyFont="1"/>
    <xf numFmtId="9" fontId="36" fillId="0" borderId="0" xfId="34" applyFont="1" applyAlignment="1"/>
    <xf numFmtId="0" fontId="77" fillId="0" borderId="0" xfId="6" applyFont="1" applyAlignment="1">
      <alignment horizontal="left" vertical="center" indent="2"/>
    </xf>
    <xf numFmtId="9" fontId="36" fillId="0" borderId="0" xfId="34" applyFont="1"/>
    <xf numFmtId="9" fontId="36" fillId="0" borderId="0" xfId="22" applyNumberFormat="1" applyFont="1"/>
    <xf numFmtId="167" fontId="36" fillId="0" borderId="0" xfId="22" applyNumberFormat="1" applyFont="1"/>
    <xf numFmtId="10" fontId="36" fillId="0" borderId="0" xfId="22" applyNumberFormat="1" applyFont="1"/>
    <xf numFmtId="0" fontId="56" fillId="15" borderId="0" xfId="22" applyFont="1" applyFill="1"/>
    <xf numFmtId="0" fontId="36" fillId="15" borderId="0" xfId="22" applyFont="1" applyFill="1"/>
    <xf numFmtId="0" fontId="64" fillId="0" borderId="0" xfId="22" applyFont="1"/>
    <xf numFmtId="167" fontId="113" fillId="6" borderId="0" xfId="22" applyNumberFormat="1" applyFont="1" applyFill="1"/>
    <xf numFmtId="1" fontId="72" fillId="0" borderId="0" xfId="22" applyNumberFormat="1" applyFont="1"/>
    <xf numFmtId="8" fontId="36" fillId="0" borderId="0" xfId="22" applyNumberFormat="1" applyFont="1" applyAlignment="1">
      <alignment horizontal="center"/>
    </xf>
    <xf numFmtId="8" fontId="36" fillId="0" borderId="0" xfId="22" applyNumberFormat="1" applyFont="1" applyAlignment="1">
      <alignment horizontal="right"/>
    </xf>
    <xf numFmtId="0" fontId="64" fillId="0" borderId="0" xfId="22" applyFont="1" applyAlignment="1">
      <alignment horizontal="center"/>
    </xf>
    <xf numFmtId="164" fontId="114" fillId="19" borderId="0" xfId="22" applyNumberFormat="1" applyFont="1" applyFill="1"/>
    <xf numFmtId="9" fontId="64" fillId="0" borderId="0" xfId="34" applyFont="1" applyAlignment="1">
      <alignment horizontal="center"/>
    </xf>
    <xf numFmtId="0" fontId="80" fillId="0" borderId="0" xfId="22" applyFont="1" applyAlignment="1">
      <alignment horizontal="center" vertical="center"/>
    </xf>
    <xf numFmtId="164" fontId="114" fillId="0" borderId="0" xfId="22" applyNumberFormat="1" applyFont="1"/>
    <xf numFmtId="0" fontId="37" fillId="0" borderId="0" xfId="6" applyFont="1" applyAlignment="1">
      <alignment vertical="center"/>
    </xf>
    <xf numFmtId="9" fontId="36" fillId="0" borderId="0" xfId="34" applyFont="1" applyFill="1"/>
    <xf numFmtId="5" fontId="36" fillId="0" borderId="0" xfId="22" applyNumberFormat="1" applyFont="1"/>
    <xf numFmtId="0" fontId="106" fillId="2" borderId="0" xfId="23" applyFont="1" applyFill="1"/>
    <xf numFmtId="5" fontId="36" fillId="15" borderId="0" xfId="22" applyNumberFormat="1" applyFont="1" applyFill="1"/>
    <xf numFmtId="38" fontId="65" fillId="7" borderId="0" xfId="23" applyNumberFormat="1" applyFont="1" applyFill="1"/>
    <xf numFmtId="5" fontId="36" fillId="0" borderId="11" xfId="22" applyNumberFormat="1" applyFont="1" applyBorder="1"/>
    <xf numFmtId="9" fontId="36" fillId="0" borderId="11" xfId="22" applyNumberFormat="1" applyFont="1" applyBorder="1"/>
    <xf numFmtId="38" fontId="65" fillId="2" borderId="0" xfId="23" applyNumberFormat="1" applyFont="1" applyFill="1"/>
    <xf numFmtId="5" fontId="36" fillId="0" borderId="12" xfId="22" applyNumberFormat="1" applyFont="1" applyBorder="1"/>
    <xf numFmtId="5" fontId="59" fillId="0" borderId="0" xfId="22" applyNumberFormat="1" applyFont="1"/>
    <xf numFmtId="0" fontId="110" fillId="0" borderId="0" xfId="6" applyFont="1" applyAlignment="1">
      <alignment horizontal="left" vertical="center" indent="2"/>
    </xf>
    <xf numFmtId="5" fontId="111" fillId="5" borderId="0" xfId="22" applyNumberFormat="1" applyFont="1" applyFill="1"/>
    <xf numFmtId="5" fontId="111" fillId="0" borderId="0" xfId="22" applyNumberFormat="1" applyFont="1"/>
    <xf numFmtId="9" fontId="111" fillId="5" borderId="0" xfId="22" applyNumberFormat="1" applyFont="1" applyFill="1"/>
    <xf numFmtId="0" fontId="106" fillId="8" borderId="0" xfId="23" applyFont="1" applyFill="1" applyAlignment="1">
      <alignment horizontal="right"/>
    </xf>
    <xf numFmtId="38" fontId="65" fillId="2" borderId="0" xfId="23" applyNumberFormat="1" applyFont="1" applyFill="1" applyAlignment="1">
      <alignment horizontal="left"/>
    </xf>
    <xf numFmtId="0" fontId="65" fillId="7" borderId="0" xfId="23" applyFont="1" applyFill="1"/>
    <xf numFmtId="0" fontId="37" fillId="0" borderId="2" xfId="6" applyFont="1" applyBorder="1" applyAlignment="1">
      <alignment vertical="center"/>
    </xf>
    <xf numFmtId="5" fontId="36" fillId="0" borderId="2" xfId="22" applyNumberFormat="1" applyFont="1" applyBorder="1"/>
    <xf numFmtId="9" fontId="36" fillId="0" borderId="2" xfId="22" applyNumberFormat="1" applyFont="1" applyBorder="1"/>
    <xf numFmtId="0" fontId="37" fillId="0" borderId="0" xfId="6" applyFont="1" applyAlignment="1">
      <alignment horizontal="left" vertical="center"/>
    </xf>
    <xf numFmtId="0" fontId="77" fillId="0" borderId="0" xfId="6" applyFont="1" applyAlignment="1">
      <alignment vertical="center"/>
    </xf>
    <xf numFmtId="5" fontId="112" fillId="16" borderId="0" xfId="22" applyNumberFormat="1" applyFont="1" applyFill="1" applyAlignment="1">
      <alignment horizontal="center"/>
    </xf>
    <xf numFmtId="5" fontId="112" fillId="0" borderId="0" xfId="22" applyNumberFormat="1" applyFont="1" applyAlignment="1">
      <alignment horizontal="center"/>
    </xf>
    <xf numFmtId="164" fontId="36" fillId="0" borderId="0" xfId="22" applyNumberFormat="1" applyFont="1"/>
    <xf numFmtId="6" fontId="111" fillId="16" borderId="0" xfId="22" applyNumberFormat="1" applyFont="1" applyFill="1"/>
    <xf numFmtId="6" fontId="111" fillId="0" borderId="0" xfId="22" applyNumberFormat="1" applyFont="1"/>
    <xf numFmtId="0" fontId="65" fillId="9" borderId="0" xfId="23" applyFont="1" applyFill="1"/>
    <xf numFmtId="0" fontId="106" fillId="8" borderId="0" xfId="23" applyFont="1" applyFill="1"/>
    <xf numFmtId="5" fontId="111" fillId="16" borderId="11" xfId="22" applyNumberFormat="1" applyFont="1" applyFill="1" applyBorder="1"/>
    <xf numFmtId="0" fontId="37" fillId="0" borderId="0" xfId="6" applyFont="1" applyAlignment="1">
      <alignment horizontal="left" vertical="center" indent="1"/>
    </xf>
    <xf numFmtId="5" fontId="111" fillId="16" borderId="0" xfId="22" applyNumberFormat="1" applyFont="1" applyFill="1"/>
    <xf numFmtId="0" fontId="65" fillId="2" borderId="0" xfId="23" applyFont="1" applyFill="1"/>
    <xf numFmtId="0" fontId="111" fillId="16" borderId="0" xfId="22" applyFont="1" applyFill="1"/>
    <xf numFmtId="0" fontId="111" fillId="0" borderId="0" xfId="22" applyFont="1"/>
    <xf numFmtId="9" fontId="111" fillId="16" borderId="0" xfId="22" applyNumberFormat="1" applyFont="1" applyFill="1"/>
    <xf numFmtId="0" fontId="37" fillId="0" borderId="1" xfId="6" applyFont="1" applyBorder="1" applyAlignment="1">
      <alignment horizontal="left" vertical="center"/>
    </xf>
    <xf numFmtId="0" fontId="36" fillId="0" borderId="2" xfId="22" applyFont="1" applyBorder="1"/>
    <xf numFmtId="0" fontId="111" fillId="16" borderId="2" xfId="22" applyFont="1" applyFill="1" applyBorder="1"/>
    <xf numFmtId="10" fontId="36" fillId="0" borderId="0" xfId="22" applyNumberFormat="1" applyFont="1" applyAlignment="1">
      <alignment horizontal="right"/>
    </xf>
    <xf numFmtId="6" fontId="36" fillId="0" borderId="0" xfId="22" applyNumberFormat="1" applyFont="1" applyAlignment="1">
      <alignment horizontal="right"/>
    </xf>
    <xf numFmtId="0" fontId="106" fillId="8" borderId="0" xfId="23" applyFont="1" applyFill="1" applyAlignment="1">
      <alignment horizontal="left"/>
    </xf>
    <xf numFmtId="0" fontId="106" fillId="8" borderId="0" xfId="23" applyFont="1" applyFill="1" applyAlignment="1">
      <alignment horizontal="center"/>
    </xf>
    <xf numFmtId="165" fontId="36" fillId="0" borderId="0" xfId="22" applyNumberFormat="1" applyFont="1"/>
    <xf numFmtId="10" fontId="41" fillId="0" borderId="22" xfId="34" applyNumberFormat="1" applyFont="1" applyBorder="1" applyAlignment="1">
      <alignment horizontal="left" vertical="center" indent="1"/>
    </xf>
    <xf numFmtId="0" fontId="80" fillId="0" borderId="0" xfId="0" applyFont="1" applyAlignment="1">
      <alignment horizontal="center" vertical="center"/>
    </xf>
    <xf numFmtId="0" fontId="38" fillId="10" borderId="37" xfId="0" applyFont="1" applyFill="1" applyBorder="1" applyAlignment="1">
      <alignment horizontal="center" vertical="center"/>
    </xf>
    <xf numFmtId="0" fontId="38" fillId="10" borderId="38" xfId="0" applyFont="1" applyFill="1" applyBorder="1" applyAlignment="1">
      <alignment horizontal="center" vertical="center"/>
    </xf>
    <xf numFmtId="0" fontId="38" fillId="10" borderId="39" xfId="0" applyFont="1" applyFill="1" applyBorder="1" applyAlignment="1">
      <alignment horizontal="center" vertical="center"/>
    </xf>
    <xf numFmtId="0" fontId="41" fillId="0" borderId="40" xfId="0" applyFont="1" applyBorder="1" applyAlignment="1">
      <alignment horizontal="left" vertical="center" indent="1"/>
    </xf>
    <xf numFmtId="10" fontId="44" fillId="0" borderId="41" xfId="1" applyNumberFormat="1" applyFont="1" applyBorder="1" applyAlignment="1">
      <alignment horizontal="center" vertical="center"/>
    </xf>
    <xf numFmtId="10" fontId="44" fillId="0" borderId="42" xfId="0" applyNumberFormat="1" applyFont="1" applyBorder="1" applyAlignment="1">
      <alignment horizontal="center" vertical="center"/>
    </xf>
    <xf numFmtId="10" fontId="42" fillId="0" borderId="41" xfId="1" applyNumberFormat="1" applyFont="1" applyBorder="1" applyAlignment="1">
      <alignment horizontal="center" vertical="center"/>
    </xf>
    <xf numFmtId="10" fontId="46" fillId="0" borderId="41" xfId="1" applyNumberFormat="1" applyFont="1" applyBorder="1" applyAlignment="1">
      <alignment horizontal="center" vertical="center"/>
    </xf>
    <xf numFmtId="10" fontId="46" fillId="0" borderId="42" xfId="0" applyNumberFormat="1" applyFont="1" applyBorder="1" applyAlignment="1">
      <alignment horizontal="center" vertical="center"/>
    </xf>
    <xf numFmtId="177" fontId="36" fillId="0" borderId="0" xfId="0" applyNumberFormat="1" applyFont="1" applyAlignment="1">
      <alignment horizontal="center" vertical="center"/>
    </xf>
    <xf numFmtId="10" fontId="42" fillId="0" borderId="41" xfId="0" applyNumberFormat="1" applyFont="1" applyBorder="1" applyAlignment="1">
      <alignment horizontal="center" vertical="center"/>
    </xf>
    <xf numFmtId="10" fontId="42" fillId="0" borderId="43" xfId="1" applyNumberFormat="1" applyFont="1" applyBorder="1" applyAlignment="1">
      <alignment horizontal="center" vertical="center"/>
    </xf>
    <xf numFmtId="10" fontId="46" fillId="0" borderId="43" xfId="1" applyNumberFormat="1" applyFont="1" applyBorder="1" applyAlignment="1">
      <alignment horizontal="center" vertical="center"/>
    </xf>
    <xf numFmtId="10" fontId="46" fillId="0" borderId="44" xfId="0" applyNumberFormat="1" applyFont="1" applyBorder="1" applyAlignment="1">
      <alignment horizontal="center" vertical="center"/>
    </xf>
    <xf numFmtId="10" fontId="72" fillId="0" borderId="0" xfId="0" applyNumberFormat="1" applyFont="1" applyAlignment="1">
      <alignment horizontal="center" vertical="center"/>
    </xf>
    <xf numFmtId="0" fontId="38" fillId="19" borderId="34" xfId="0" applyFont="1" applyFill="1" applyBorder="1" applyAlignment="1">
      <alignment horizontal="center" vertical="center"/>
    </xf>
    <xf numFmtId="5" fontId="43" fillId="0" borderId="0" xfId="6" applyNumberFormat="1" applyFont="1" applyAlignment="1">
      <alignment vertical="center"/>
    </xf>
    <xf numFmtId="0" fontId="93" fillId="5" borderId="2" xfId="6" applyFont="1" applyFill="1" applyBorder="1" applyAlignment="1">
      <alignment horizontal="left" vertical="center"/>
    </xf>
    <xf numFmtId="0" fontId="89" fillId="0" borderId="18" xfId="6" applyFont="1" applyBorder="1" applyAlignment="1">
      <alignment horizontal="left" vertical="center" indent="1"/>
    </xf>
    <xf numFmtId="5" fontId="93" fillId="5" borderId="10" xfId="12" applyNumberFormat="1" applyFont="1" applyFill="1" applyBorder="1" applyAlignment="1">
      <alignment horizontal="right" vertical="center"/>
    </xf>
    <xf numFmtId="5" fontId="93" fillId="5" borderId="9" xfId="12" applyNumberFormat="1" applyFont="1" applyFill="1" applyBorder="1" applyAlignment="1">
      <alignment horizontal="right" vertical="center"/>
    </xf>
    <xf numFmtId="0" fontId="93" fillId="5" borderId="0" xfId="6" applyFont="1" applyFill="1"/>
    <xf numFmtId="0" fontId="95" fillId="3" borderId="0" xfId="6" applyFont="1" applyFill="1"/>
    <xf numFmtId="0" fontId="95" fillId="0" borderId="0" xfId="6" applyFont="1"/>
    <xf numFmtId="0" fontId="115" fillId="0" borderId="0" xfId="6" applyFont="1"/>
    <xf numFmtId="10" fontId="89" fillId="0" borderId="20" xfId="10" applyNumberFormat="1" applyFont="1" applyFill="1" applyBorder="1" applyAlignment="1" applyProtection="1">
      <alignment horizontal="right" vertical="center"/>
    </xf>
    <xf numFmtId="44" fontId="89" fillId="0" borderId="21" xfId="6" applyNumberFormat="1" applyFont="1" applyBorder="1" applyAlignment="1">
      <alignment horizontal="right" vertical="center"/>
    </xf>
    <xf numFmtId="44" fontId="89" fillId="0" borderId="18" xfId="6" applyNumberFormat="1" applyFont="1" applyBorder="1" applyAlignment="1">
      <alignment horizontal="right" vertical="center"/>
    </xf>
    <xf numFmtId="10" fontId="89" fillId="0" borderId="5" xfId="10" applyNumberFormat="1" applyFont="1" applyFill="1" applyBorder="1" applyAlignment="1" applyProtection="1">
      <alignment horizontal="right" vertical="center"/>
    </xf>
    <xf numFmtId="44" fontId="89" fillId="0" borderId="0" xfId="6" applyNumberFormat="1" applyFont="1" applyAlignment="1">
      <alignment horizontal="right" vertical="center"/>
    </xf>
    <xf numFmtId="164" fontId="93" fillId="0" borderId="5" xfId="12" applyNumberFormat="1" applyFont="1" applyFill="1" applyBorder="1" applyAlignment="1" applyProtection="1">
      <alignment horizontal="right" vertical="center"/>
    </xf>
    <xf numFmtId="5" fontId="93" fillId="0" borderId="6" xfId="12" applyNumberFormat="1" applyFont="1" applyFill="1" applyBorder="1" applyAlignment="1" applyProtection="1">
      <alignment horizontal="right" vertical="center"/>
    </xf>
    <xf numFmtId="5" fontId="93" fillId="0" borderId="0" xfId="12" applyNumberFormat="1" applyFont="1" applyFill="1" applyBorder="1" applyAlignment="1" applyProtection="1">
      <alignment horizontal="right" vertical="center"/>
    </xf>
    <xf numFmtId="44" fontId="93" fillId="0" borderId="0" xfId="4" applyFont="1" applyFill="1" applyBorder="1" applyAlignment="1" applyProtection="1">
      <alignment horizontal="right" vertical="center"/>
    </xf>
    <xf numFmtId="9" fontId="93" fillId="0" borderId="0" xfId="5" applyFont="1" applyFill="1" applyBorder="1" applyAlignment="1" applyProtection="1">
      <alignment horizontal="right" vertical="center"/>
    </xf>
    <xf numFmtId="164" fontId="93" fillId="0" borderId="10" xfId="12" applyNumberFormat="1" applyFont="1" applyFill="1" applyBorder="1" applyAlignment="1" applyProtection="1">
      <alignment horizontal="right" vertical="center"/>
    </xf>
    <xf numFmtId="168" fontId="93" fillId="0" borderId="9" xfId="12" applyNumberFormat="1" applyFont="1" applyFill="1" applyBorder="1" applyAlignment="1" applyProtection="1">
      <alignment horizontal="right" vertical="center"/>
    </xf>
    <xf numFmtId="5" fontId="93" fillId="0" borderId="2" xfId="12" applyNumberFormat="1" applyFont="1" applyFill="1" applyBorder="1" applyAlignment="1" applyProtection="1">
      <alignment horizontal="right" vertical="center"/>
    </xf>
    <xf numFmtId="6" fontId="93" fillId="0" borderId="9" xfId="12" applyNumberFormat="1" applyFont="1" applyFill="1" applyBorder="1" applyAlignment="1" applyProtection="1">
      <alignment horizontal="right" vertical="center"/>
    </xf>
    <xf numFmtId="9" fontId="93" fillId="0" borderId="6" xfId="12" applyNumberFormat="1" applyFont="1" applyFill="1" applyBorder="1" applyAlignment="1" applyProtection="1">
      <alignment horizontal="right" vertical="center"/>
    </xf>
    <xf numFmtId="5" fontId="93" fillId="0" borderId="9" xfId="12" applyNumberFormat="1" applyFont="1" applyFill="1" applyBorder="1" applyAlignment="1" applyProtection="1">
      <alignment horizontal="right" vertical="center"/>
    </xf>
    <xf numFmtId="0" fontId="89" fillId="0" borderId="0" xfId="6" applyFont="1" applyAlignment="1">
      <alignment horizontal="left" indent="1"/>
    </xf>
    <xf numFmtId="0" fontId="89" fillId="0" borderId="0" xfId="6" applyFont="1" applyAlignment="1">
      <alignment horizontal="left" indent="1" shrinkToFit="1"/>
    </xf>
    <xf numFmtId="5" fontId="89" fillId="0" borderId="5" xfId="6" applyNumberFormat="1" applyFont="1" applyBorder="1" applyAlignment="1">
      <alignment vertical="center"/>
    </xf>
    <xf numFmtId="7" fontId="89" fillId="0" borderId="6" xfId="6" applyNumberFormat="1" applyFont="1" applyBorder="1" applyAlignment="1">
      <alignment vertical="center"/>
    </xf>
    <xf numFmtId="175" fontId="89" fillId="0" borderId="5" xfId="6" applyNumberFormat="1" applyFont="1" applyBorder="1" applyAlignment="1">
      <alignment horizontal="right" vertical="center"/>
    </xf>
    <xf numFmtId="0" fontId="96" fillId="0" borderId="6" xfId="6" applyFont="1" applyBorder="1" applyAlignment="1">
      <alignment vertical="center"/>
    </xf>
    <xf numFmtId="174" fontId="89" fillId="0" borderId="5" xfId="9" applyNumberFormat="1" applyFont="1" applyFill="1" applyBorder="1" applyAlignment="1" applyProtection="1">
      <alignment horizontal="right" vertical="center"/>
    </xf>
    <xf numFmtId="44" fontId="89" fillId="0" borderId="5" xfId="6" applyNumberFormat="1" applyFont="1" applyBorder="1" applyAlignment="1">
      <alignment horizontal="right" vertical="center"/>
    </xf>
    <xf numFmtId="164" fontId="89" fillId="0" borderId="5" xfId="14" applyNumberFormat="1" applyFont="1" applyFill="1" applyBorder="1" applyAlignment="1" applyProtection="1">
      <alignment horizontal="right" vertical="center"/>
    </xf>
    <xf numFmtId="5" fontId="89" fillId="0" borderId="6" xfId="12" applyNumberFormat="1" applyFont="1" applyFill="1" applyBorder="1" applyAlignment="1" applyProtection="1">
      <alignment horizontal="right" vertical="center"/>
    </xf>
    <xf numFmtId="5" fontId="89" fillId="0" borderId="5" xfId="14" applyNumberFormat="1" applyFont="1" applyFill="1" applyBorder="1" applyAlignment="1" applyProtection="1">
      <alignment horizontal="right" vertical="center"/>
    </xf>
    <xf numFmtId="9" fontId="89" fillId="0" borderId="5" xfId="6" applyNumberFormat="1" applyFont="1" applyBorder="1"/>
    <xf numFmtId="10" fontId="89" fillId="0" borderId="5" xfId="14" applyNumberFormat="1" applyFont="1" applyFill="1" applyBorder="1" applyAlignment="1" applyProtection="1">
      <alignment horizontal="right" vertical="center"/>
    </xf>
    <xf numFmtId="10" fontId="89" fillId="0" borderId="5" xfId="6" applyNumberFormat="1" applyFont="1" applyBorder="1"/>
    <xf numFmtId="10" fontId="89" fillId="0" borderId="5" xfId="14" applyNumberFormat="1" applyFont="1" applyFill="1" applyBorder="1"/>
    <xf numFmtId="0" fontId="89" fillId="0" borderId="6" xfId="6" applyFont="1" applyBorder="1" applyAlignment="1">
      <alignment horizontal="left" vertical="center" indent="2" shrinkToFit="1"/>
    </xf>
    <xf numFmtId="168" fontId="89" fillId="0" borderId="5" xfId="9" applyNumberFormat="1" applyFont="1" applyFill="1" applyBorder="1" applyAlignment="1" applyProtection="1">
      <alignment horizontal="right" vertical="center"/>
    </xf>
    <xf numFmtId="43" fontId="89" fillId="0" borderId="5" xfId="9" applyFont="1" applyFill="1" applyBorder="1" applyAlignment="1" applyProtection="1">
      <alignment horizontal="right" vertical="center"/>
    </xf>
    <xf numFmtId="191" fontId="89" fillId="0" borderId="5" xfId="9" applyNumberFormat="1" applyFont="1" applyFill="1" applyBorder="1" applyAlignment="1" applyProtection="1">
      <alignment horizontal="right" vertical="center"/>
    </xf>
    <xf numFmtId="0" fontId="53" fillId="0" borderId="0" xfId="25" applyFont="1"/>
    <xf numFmtId="0" fontId="53" fillId="0" borderId="0" xfId="25" applyFont="1" applyAlignment="1">
      <alignment horizontal="center" vertical="center"/>
    </xf>
    <xf numFmtId="0" fontId="65" fillId="0" borderId="0" xfId="24" applyFont="1"/>
    <xf numFmtId="0" fontId="58" fillId="0" borderId="0" xfId="25" applyFont="1" applyAlignment="1">
      <alignment horizontal="center"/>
    </xf>
    <xf numFmtId="0" fontId="65" fillId="0" borderId="0" xfId="25" applyFont="1"/>
    <xf numFmtId="0" fontId="58" fillId="0" borderId="16" xfId="25" applyFont="1" applyBorder="1" applyAlignment="1">
      <alignment horizontal="center"/>
    </xf>
    <xf numFmtId="0" fontId="58" fillId="0" borderId="0" xfId="25" applyFont="1"/>
    <xf numFmtId="6" fontId="58" fillId="0" borderId="0" xfId="25" applyNumberFormat="1" applyFont="1" applyAlignment="1">
      <alignment horizontal="center"/>
    </xf>
    <xf numFmtId="168" fontId="53" fillId="0" borderId="0" xfId="26" applyNumberFormat="1" applyFont="1" applyBorder="1" applyAlignment="1">
      <alignment horizontal="center" vertical="center"/>
    </xf>
    <xf numFmtId="9" fontId="58" fillId="0" borderId="0" xfId="25" applyNumberFormat="1" applyFont="1" applyAlignment="1">
      <alignment horizontal="center"/>
    </xf>
    <xf numFmtId="177" fontId="58" fillId="0" borderId="0" xfId="25" applyNumberFormat="1" applyFont="1" applyAlignment="1">
      <alignment horizontal="center"/>
    </xf>
    <xf numFmtId="10" fontId="58" fillId="0" borderId="0" xfId="25" applyNumberFormat="1" applyFont="1" applyAlignment="1">
      <alignment horizontal="center"/>
    </xf>
    <xf numFmtId="49" fontId="58" fillId="0" borderId="0" xfId="25" applyNumberFormat="1" applyFont="1" applyAlignment="1">
      <alignment horizontal="center"/>
    </xf>
    <xf numFmtId="0" fontId="58" fillId="18" borderId="0" xfId="25" applyFont="1" applyFill="1" applyAlignment="1">
      <alignment horizontal="center"/>
    </xf>
    <xf numFmtId="10" fontId="53" fillId="0" borderId="0" xfId="27" applyNumberFormat="1" applyFont="1" applyAlignment="1">
      <alignment horizontal="center" vertical="center"/>
    </xf>
    <xf numFmtId="0" fontId="65" fillId="3" borderId="0" xfId="25" applyFont="1" applyFill="1" applyAlignment="1">
      <alignment horizontal="left"/>
    </xf>
    <xf numFmtId="0" fontId="117" fillId="3" borderId="0" xfId="25" applyFont="1" applyFill="1" applyAlignment="1">
      <alignment horizontal="left"/>
    </xf>
    <xf numFmtId="168" fontId="53" fillId="0" borderId="0" xfId="26" applyNumberFormat="1" applyFont="1" applyAlignment="1">
      <alignment horizontal="center" vertical="center"/>
    </xf>
    <xf numFmtId="5" fontId="65" fillId="0" borderId="0" xfId="25" applyNumberFormat="1" applyFont="1"/>
    <xf numFmtId="5" fontId="65" fillId="0" borderId="0" xfId="25" applyNumberFormat="1" applyFont="1" applyAlignment="1">
      <alignment horizontal="center"/>
    </xf>
    <xf numFmtId="0" fontId="65" fillId="0" borderId="0" xfId="25" applyFont="1" applyAlignment="1">
      <alignment horizontal="left"/>
    </xf>
    <xf numFmtId="44" fontId="53" fillId="0" borderId="0" xfId="29" applyFont="1" applyAlignment="1">
      <alignment horizontal="center" vertical="center"/>
    </xf>
    <xf numFmtId="0" fontId="106" fillId="0" borderId="0" xfId="25" applyFont="1"/>
    <xf numFmtId="5" fontId="65" fillId="0" borderId="0" xfId="25" applyNumberFormat="1" applyFont="1" applyAlignment="1">
      <alignment horizontal="left"/>
    </xf>
    <xf numFmtId="37" fontId="65" fillId="0" borderId="0" xfId="25" applyNumberFormat="1" applyFont="1"/>
    <xf numFmtId="0" fontId="65" fillId="0" borderId="0" xfId="25" applyFont="1" applyAlignment="1">
      <alignment horizontal="center"/>
    </xf>
    <xf numFmtId="37" fontId="65" fillId="0" borderId="0" xfId="25" applyNumberFormat="1" applyFont="1" applyAlignment="1">
      <alignment horizontal="center"/>
    </xf>
    <xf numFmtId="0" fontId="37" fillId="0" borderId="0" xfId="25" applyFont="1" applyAlignment="1">
      <alignment horizontal="center"/>
    </xf>
    <xf numFmtId="0" fontId="77" fillId="0" borderId="0" xfId="25" applyFont="1" applyAlignment="1">
      <alignment horizontal="center"/>
    </xf>
    <xf numFmtId="0" fontId="118" fillId="0" borderId="0" xfId="25" applyFont="1"/>
    <xf numFmtId="0" fontId="119" fillId="0" borderId="0" xfId="25" applyFont="1"/>
    <xf numFmtId="0" fontId="120" fillId="0" borderId="0" xfId="25" applyFont="1"/>
    <xf numFmtId="0" fontId="119" fillId="0" borderId="0" xfId="25" applyFont="1" applyAlignment="1">
      <alignment horizontal="center" vertical="center"/>
    </xf>
    <xf numFmtId="0" fontId="121" fillId="0" borderId="16" xfId="25" applyFont="1" applyBorder="1"/>
    <xf numFmtId="0" fontId="96" fillId="0" borderId="0" xfId="25" applyFont="1"/>
    <xf numFmtId="0" fontId="96" fillId="0" borderId="0" xfId="25" applyFont="1" applyAlignment="1">
      <alignment horizontal="center" vertical="center"/>
    </xf>
    <xf numFmtId="0" fontId="96" fillId="0" borderId="0" xfId="24" applyFont="1"/>
    <xf numFmtId="5" fontId="96" fillId="0" borderId="0" xfId="25" applyNumberFormat="1" applyFont="1"/>
    <xf numFmtId="10" fontId="96" fillId="0" borderId="0" xfId="25" applyNumberFormat="1" applyFont="1"/>
    <xf numFmtId="165" fontId="96" fillId="0" borderId="0" xfId="25" applyNumberFormat="1" applyFont="1" applyAlignment="1">
      <alignment horizontal="center" vertical="center"/>
    </xf>
    <xf numFmtId="0" fontId="122" fillId="0" borderId="19" xfId="25" applyFont="1" applyBorder="1"/>
    <xf numFmtId="0" fontId="96" fillId="0" borderId="19" xfId="25" applyFont="1" applyBorder="1"/>
    <xf numFmtId="37" fontId="96" fillId="0" borderId="19" xfId="25" applyNumberFormat="1" applyFont="1" applyBorder="1" applyAlignment="1">
      <alignment horizontal="center"/>
    </xf>
    <xf numFmtId="37" fontId="96" fillId="0" borderId="19" xfId="25" applyNumberFormat="1" applyFont="1" applyBorder="1"/>
    <xf numFmtId="0" fontId="96" fillId="0" borderId="19" xfId="25" applyFont="1" applyBorder="1" applyAlignment="1">
      <alignment horizontal="left"/>
    </xf>
    <xf numFmtId="5" fontId="96" fillId="0" borderId="0" xfId="25" applyNumberFormat="1" applyFont="1" applyAlignment="1">
      <alignment horizontal="center"/>
    </xf>
    <xf numFmtId="10" fontId="96" fillId="0" borderId="0" xfId="27" applyNumberFormat="1" applyFont="1" applyBorder="1" applyAlignment="1">
      <alignment horizontal="center"/>
    </xf>
    <xf numFmtId="37" fontId="96" fillId="0" borderId="0" xfId="25" applyNumberFormat="1" applyFont="1"/>
    <xf numFmtId="10" fontId="96" fillId="0" borderId="0" xfId="27" applyNumberFormat="1" applyFont="1" applyBorder="1"/>
    <xf numFmtId="0" fontId="96" fillId="0" borderId="0" xfId="25" applyFont="1" applyAlignment="1">
      <alignment horizontal="left"/>
    </xf>
    <xf numFmtId="5" fontId="96" fillId="0" borderId="0" xfId="25" applyNumberFormat="1" applyFont="1" applyAlignment="1">
      <alignment horizontal="center" vertical="center"/>
    </xf>
    <xf numFmtId="164" fontId="96" fillId="0" borderId="0" xfId="25" applyNumberFormat="1" applyFont="1" applyAlignment="1">
      <alignment horizontal="center"/>
    </xf>
    <xf numFmtId="7" fontId="96" fillId="0" borderId="0" xfId="25" applyNumberFormat="1" applyFont="1" applyAlignment="1">
      <alignment horizontal="center" vertical="center"/>
    </xf>
    <xf numFmtId="44" fontId="96" fillId="0" borderId="0" xfId="29" applyFont="1" applyAlignment="1">
      <alignment horizontal="center" vertical="center"/>
    </xf>
    <xf numFmtId="0" fontId="122" fillId="0" borderId="0" xfId="25" applyFont="1"/>
    <xf numFmtId="183" fontId="96" fillId="0" borderId="0" xfId="25" applyNumberFormat="1" applyFont="1" applyAlignment="1">
      <alignment horizontal="left"/>
    </xf>
    <xf numFmtId="5" fontId="96" fillId="0" borderId="19" xfId="25" applyNumberFormat="1" applyFont="1" applyBorder="1" applyAlignment="1">
      <alignment horizontal="center"/>
    </xf>
    <xf numFmtId="5" fontId="96" fillId="0" borderId="19" xfId="25" applyNumberFormat="1" applyFont="1" applyBorder="1"/>
    <xf numFmtId="0" fontId="96" fillId="0" borderId="0" xfId="25" applyFont="1" applyAlignment="1">
      <alignment horizontal="center"/>
    </xf>
    <xf numFmtId="164" fontId="96" fillId="0" borderId="0" xfId="25" applyNumberFormat="1" applyFont="1"/>
    <xf numFmtId="164" fontId="96" fillId="0" borderId="0" xfId="25" applyNumberFormat="1" applyFont="1" applyAlignment="1">
      <alignment horizontal="center" vertical="center"/>
    </xf>
    <xf numFmtId="37" fontId="96" fillId="0" borderId="0" xfId="25" applyNumberFormat="1" applyFont="1" applyAlignment="1">
      <alignment horizontal="center"/>
    </xf>
    <xf numFmtId="0" fontId="122" fillId="0" borderId="18" xfId="25" applyFont="1" applyBorder="1"/>
    <xf numFmtId="0" fontId="96" fillId="0" borderId="18" xfId="25" applyFont="1" applyBorder="1"/>
    <xf numFmtId="37" fontId="96" fillId="0" borderId="18" xfId="25" applyNumberFormat="1" applyFont="1" applyBorder="1" applyAlignment="1">
      <alignment horizontal="center"/>
    </xf>
    <xf numFmtId="37" fontId="96" fillId="0" borderId="18" xfId="25" applyNumberFormat="1" applyFont="1" applyBorder="1"/>
    <xf numFmtId="0" fontId="96" fillId="0" borderId="18" xfId="25" applyFont="1" applyBorder="1" applyAlignment="1">
      <alignment horizontal="left"/>
    </xf>
    <xf numFmtId="6" fontId="96" fillId="0" borderId="0" xfId="25" applyNumberFormat="1" applyFont="1"/>
    <xf numFmtId="172" fontId="96" fillId="0" borderId="0" xfId="27" applyNumberFormat="1" applyFont="1" applyBorder="1" applyAlignment="1">
      <alignment horizontal="center"/>
    </xf>
    <xf numFmtId="6" fontId="96" fillId="0" borderId="0" xfId="25" applyNumberFormat="1" applyFont="1" applyAlignment="1">
      <alignment horizontal="center" vertical="center"/>
    </xf>
    <xf numFmtId="5" fontId="96" fillId="0" borderId="18" xfId="25" applyNumberFormat="1" applyFont="1" applyBorder="1" applyAlignment="1">
      <alignment horizontal="center"/>
    </xf>
    <xf numFmtId="5" fontId="96" fillId="0" borderId="18" xfId="25" applyNumberFormat="1" applyFont="1" applyBorder="1"/>
    <xf numFmtId="5" fontId="96" fillId="0" borderId="18" xfId="25" applyNumberFormat="1" applyFont="1" applyBorder="1" applyAlignment="1">
      <alignment horizontal="left"/>
    </xf>
    <xf numFmtId="0" fontId="123" fillId="0" borderId="16" xfId="25" applyFont="1" applyBorder="1"/>
    <xf numFmtId="0" fontId="119" fillId="0" borderId="16" xfId="25" applyFont="1" applyBorder="1"/>
    <xf numFmtId="0" fontId="121" fillId="0" borderId="0" xfId="25" applyFont="1"/>
    <xf numFmtId="0" fontId="123" fillId="0" borderId="0" xfId="25" applyFont="1"/>
    <xf numFmtId="49" fontId="124" fillId="0" borderId="0" xfId="25" applyNumberFormat="1" applyFont="1" applyAlignment="1">
      <alignment horizontal="center"/>
    </xf>
    <xf numFmtId="0" fontId="124" fillId="0" borderId="0" xfId="25" applyFont="1" applyAlignment="1">
      <alignment horizontal="center"/>
    </xf>
    <xf numFmtId="0" fontId="125" fillId="0" borderId="0" xfId="25" applyFont="1"/>
    <xf numFmtId="0" fontId="125" fillId="0" borderId="2" xfId="25" applyFont="1" applyBorder="1"/>
    <xf numFmtId="0" fontId="119" fillId="0" borderId="2" xfId="25" applyFont="1" applyBorder="1"/>
    <xf numFmtId="0" fontId="124" fillId="0" borderId="2" xfId="25" applyFont="1" applyBorder="1" applyAlignment="1">
      <alignment horizontal="center"/>
    </xf>
    <xf numFmtId="0" fontId="126" fillId="0" borderId="0" xfId="25" applyFont="1" applyAlignment="1">
      <alignment horizontal="right"/>
    </xf>
    <xf numFmtId="0" fontId="126" fillId="0" borderId="18" xfId="25" applyFont="1" applyBorder="1" applyAlignment="1">
      <alignment horizontal="right"/>
    </xf>
    <xf numFmtId="0" fontId="126" fillId="0" borderId="0" xfId="25" applyFont="1" applyAlignment="1">
      <alignment horizontal="right" vertical="center"/>
    </xf>
    <xf numFmtId="0" fontId="127" fillId="0" borderId="18" xfId="25" applyFont="1" applyBorder="1" applyAlignment="1">
      <alignment horizontal="left"/>
    </xf>
    <xf numFmtId="5" fontId="96" fillId="0" borderId="0" xfId="25" applyNumberFormat="1" applyFont="1" applyAlignment="1">
      <alignment horizontal="right"/>
    </xf>
    <xf numFmtId="0" fontId="96" fillId="0" borderId="0" xfId="25" applyFont="1" applyAlignment="1">
      <alignment horizontal="right"/>
    </xf>
    <xf numFmtId="172" fontId="96" fillId="0" borderId="0" xfId="27" applyNumberFormat="1" applyFont="1" applyBorder="1" applyAlignment="1">
      <alignment horizontal="right"/>
    </xf>
    <xf numFmtId="0" fontId="96" fillId="0" borderId="0" xfId="27" applyNumberFormat="1" applyFont="1" applyBorder="1" applyAlignment="1">
      <alignment horizontal="right"/>
    </xf>
    <xf numFmtId="5" fontId="122" fillId="0" borderId="18" xfId="25" applyNumberFormat="1" applyFont="1" applyBorder="1" applyAlignment="1">
      <alignment horizontal="right"/>
    </xf>
    <xf numFmtId="5" fontId="96" fillId="0" borderId="18" xfId="25" applyNumberFormat="1" applyFont="1" applyBorder="1" applyAlignment="1">
      <alignment horizontal="right"/>
    </xf>
    <xf numFmtId="0" fontId="96" fillId="0" borderId="18" xfId="25" applyFont="1" applyBorder="1" applyAlignment="1">
      <alignment horizontal="right"/>
    </xf>
    <xf numFmtId="5" fontId="106" fillId="0" borderId="0" xfId="25" applyNumberFormat="1" applyFont="1" applyAlignment="1">
      <alignment horizontal="right"/>
    </xf>
    <xf numFmtId="5" fontId="65" fillId="0" borderId="0" xfId="25" applyNumberFormat="1" applyFont="1" applyAlignment="1">
      <alignment horizontal="right"/>
    </xf>
    <xf numFmtId="0" fontId="65" fillId="0" borderId="0" xfId="25" applyFont="1" applyAlignment="1">
      <alignment horizontal="right"/>
    </xf>
    <xf numFmtId="10" fontId="96" fillId="0" borderId="0" xfId="27" applyNumberFormat="1" applyFont="1" applyBorder="1" applyAlignment="1">
      <alignment horizontal="right"/>
    </xf>
    <xf numFmtId="37" fontId="96" fillId="0" borderId="0" xfId="25" applyNumberFormat="1" applyFont="1" applyAlignment="1">
      <alignment horizontal="right"/>
    </xf>
    <xf numFmtId="164" fontId="96" fillId="0" borderId="0" xfId="25" applyNumberFormat="1" applyFont="1" applyAlignment="1">
      <alignment horizontal="right"/>
    </xf>
    <xf numFmtId="5" fontId="122" fillId="0" borderId="0" xfId="25" applyNumberFormat="1" applyFont="1" applyAlignment="1">
      <alignment horizontal="right"/>
    </xf>
    <xf numFmtId="5" fontId="122" fillId="0" borderId="19" xfId="25" applyNumberFormat="1" applyFont="1" applyBorder="1" applyAlignment="1">
      <alignment horizontal="right"/>
    </xf>
    <xf numFmtId="5" fontId="96" fillId="0" borderId="19" xfId="25" applyNumberFormat="1" applyFont="1" applyBorder="1" applyAlignment="1">
      <alignment horizontal="right"/>
    </xf>
    <xf numFmtId="164" fontId="96" fillId="0" borderId="19" xfId="25" applyNumberFormat="1" applyFont="1" applyBorder="1" applyAlignment="1">
      <alignment horizontal="right"/>
    </xf>
    <xf numFmtId="0" fontId="96" fillId="0" borderId="19" xfId="25" applyFont="1" applyBorder="1" applyAlignment="1">
      <alignment horizontal="right"/>
    </xf>
    <xf numFmtId="7" fontId="96" fillId="0" borderId="0" xfId="25" applyNumberFormat="1" applyFont="1" applyAlignment="1">
      <alignment horizontal="right"/>
    </xf>
    <xf numFmtId="164" fontId="122" fillId="0" borderId="0" xfId="25" applyNumberFormat="1" applyFont="1" applyAlignment="1">
      <alignment horizontal="right"/>
    </xf>
    <xf numFmtId="37" fontId="122" fillId="0" borderId="0" xfId="25" applyNumberFormat="1" applyFont="1" applyAlignment="1">
      <alignment horizontal="right"/>
    </xf>
    <xf numFmtId="37" fontId="122" fillId="0" borderId="18" xfId="25" applyNumberFormat="1" applyFont="1" applyBorder="1" applyAlignment="1">
      <alignment horizontal="right"/>
    </xf>
    <xf numFmtId="164" fontId="122" fillId="0" borderId="18" xfId="25" applyNumberFormat="1" applyFont="1" applyBorder="1" applyAlignment="1">
      <alignment horizontal="right"/>
    </xf>
    <xf numFmtId="37" fontId="96" fillId="0" borderId="18" xfId="25" applyNumberFormat="1" applyFont="1" applyBorder="1" applyAlignment="1">
      <alignment horizontal="right"/>
    </xf>
    <xf numFmtId="37" fontId="122" fillId="0" borderId="19" xfId="25" applyNumberFormat="1" applyFont="1" applyBorder="1" applyAlignment="1">
      <alignment horizontal="right"/>
    </xf>
    <xf numFmtId="164" fontId="122" fillId="0" borderId="19" xfId="25" applyNumberFormat="1" applyFont="1" applyBorder="1" applyAlignment="1">
      <alignment horizontal="right"/>
    </xf>
    <xf numFmtId="37" fontId="96" fillId="0" borderId="19" xfId="25" applyNumberFormat="1" applyFont="1" applyBorder="1" applyAlignment="1">
      <alignment horizontal="right"/>
    </xf>
    <xf numFmtId="0" fontId="127" fillId="0" borderId="0" xfId="25" applyFont="1"/>
    <xf numFmtId="5" fontId="127" fillId="0" borderId="0" xfId="25" applyNumberFormat="1" applyFont="1" applyAlignment="1">
      <alignment horizontal="right"/>
    </xf>
    <xf numFmtId="37" fontId="127" fillId="0" borderId="0" xfId="25" applyNumberFormat="1" applyFont="1" applyAlignment="1">
      <alignment horizontal="right"/>
    </xf>
    <xf numFmtId="0" fontId="127" fillId="0" borderId="0" xfId="25" applyFont="1" applyAlignment="1">
      <alignment horizontal="right"/>
    </xf>
    <xf numFmtId="37" fontId="127" fillId="0" borderId="0" xfId="25" applyNumberFormat="1" applyFont="1" applyAlignment="1">
      <alignment horizontal="center"/>
    </xf>
    <xf numFmtId="37" fontId="127" fillId="0" borderId="0" xfId="25" applyNumberFormat="1" applyFont="1"/>
    <xf numFmtId="0" fontId="127" fillId="0" borderId="0" xfId="25" applyFont="1" applyAlignment="1">
      <alignment horizontal="left"/>
    </xf>
    <xf numFmtId="0" fontId="127" fillId="0" borderId="0" xfId="25" applyFont="1" applyAlignment="1">
      <alignment horizontal="center" vertical="center"/>
    </xf>
    <xf numFmtId="14" fontId="123" fillId="0" borderId="16" xfId="25" applyNumberFormat="1" applyFont="1" applyBorder="1"/>
    <xf numFmtId="0" fontId="123" fillId="0" borderId="16" xfId="25" applyFont="1" applyBorder="1" applyAlignment="1">
      <alignment horizontal="center"/>
    </xf>
    <xf numFmtId="14" fontId="123" fillId="0" borderId="0" xfId="25" applyNumberFormat="1" applyFont="1"/>
    <xf numFmtId="6" fontId="123" fillId="0" borderId="0" xfId="25" applyNumberFormat="1" applyFont="1" applyAlignment="1">
      <alignment horizontal="center"/>
    </xf>
    <xf numFmtId="0" fontId="123" fillId="6" borderId="0" xfId="25" applyFont="1" applyFill="1"/>
    <xf numFmtId="0" fontId="124" fillId="0" borderId="0" xfId="25" applyFont="1"/>
    <xf numFmtId="0" fontId="123" fillId="0" borderId="0" xfId="25" applyFont="1" applyAlignment="1">
      <alignment horizontal="center"/>
    </xf>
    <xf numFmtId="2" fontId="38" fillId="19" borderId="0" xfId="0" applyNumberFormat="1" applyFont="1" applyFill="1" applyAlignment="1">
      <alignment horizontal="center" vertical="center"/>
    </xf>
    <xf numFmtId="5" fontId="37" fillId="10" borderId="20" xfId="6" applyNumberFormat="1" applyFont="1" applyFill="1" applyBorder="1" applyAlignment="1">
      <alignment vertical="center"/>
    </xf>
    <xf numFmtId="6" fontId="36" fillId="13" borderId="0" xfId="0" applyNumberFormat="1" applyFont="1" applyFill="1" applyAlignment="1">
      <alignment horizontal="center" vertical="center"/>
    </xf>
    <xf numFmtId="6" fontId="36" fillId="22" borderId="0" xfId="0" applyNumberFormat="1" applyFont="1" applyFill="1" applyAlignment="1">
      <alignment horizontal="center" vertical="center"/>
    </xf>
    <xf numFmtId="0" fontId="53" fillId="17" borderId="0" xfId="6" applyFont="1" applyFill="1"/>
    <xf numFmtId="177" fontId="57" fillId="17" borderId="27" xfId="12" applyNumberFormat="1" applyFont="1" applyFill="1" applyBorder="1" applyAlignment="1" applyProtection="1">
      <alignment horizontal="center" vertical="center"/>
    </xf>
    <xf numFmtId="6" fontId="128" fillId="17" borderId="0" xfId="6" applyNumberFormat="1" applyFont="1" applyFill="1" applyAlignment="1">
      <alignment horizontal="center"/>
    </xf>
    <xf numFmtId="0" fontId="15" fillId="0" borderId="0" xfId="0" applyFont="1"/>
    <xf numFmtId="6" fontId="129" fillId="0" borderId="0" xfId="0" applyNumberFormat="1" applyFont="1" applyAlignment="1">
      <alignment horizontal="center" vertical="center"/>
    </xf>
    <xf numFmtId="6" fontId="77" fillId="0" borderId="0" xfId="0" applyNumberFormat="1" applyFont="1" applyAlignment="1">
      <alignment horizontal="center" vertical="center"/>
    </xf>
    <xf numFmtId="0" fontId="94" fillId="20" borderId="0" xfId="0" applyFont="1" applyFill="1" applyAlignment="1">
      <alignment horizontal="left" vertical="center" wrapText="1" indent="2" readingOrder="1"/>
    </xf>
    <xf numFmtId="6" fontId="94" fillId="20" borderId="0" xfId="0" applyNumberFormat="1" applyFont="1" applyFill="1" applyAlignment="1">
      <alignment horizontal="right" vertical="center" wrapText="1" indent="1" readingOrder="1"/>
    </xf>
    <xf numFmtId="0" fontId="94" fillId="0" borderId="0" xfId="0" applyFont="1" applyAlignment="1">
      <alignment horizontal="left" vertical="center" wrapText="1" indent="2" readingOrder="1"/>
    </xf>
    <xf numFmtId="6" fontId="94" fillId="0" borderId="0" xfId="0" applyNumberFormat="1" applyFont="1" applyAlignment="1">
      <alignment horizontal="right" vertical="center" wrapText="1" indent="1" readingOrder="1"/>
    </xf>
    <xf numFmtId="0" fontId="93" fillId="0" borderId="9" xfId="6" applyFont="1" applyBorder="1" applyAlignment="1">
      <alignment horizontal="right" vertical="center"/>
    </xf>
    <xf numFmtId="0" fontId="130" fillId="0" borderId="10" xfId="6" applyFont="1" applyBorder="1" applyAlignment="1">
      <alignment horizontal="right" vertical="center"/>
    </xf>
    <xf numFmtId="0" fontId="130" fillId="0" borderId="9" xfId="6" applyFont="1" applyBorder="1" applyAlignment="1">
      <alignment horizontal="right" vertical="center"/>
    </xf>
    <xf numFmtId="0" fontId="58" fillId="0" borderId="10" xfId="6" applyFont="1" applyBorder="1" applyAlignment="1">
      <alignment horizontal="right"/>
    </xf>
    <xf numFmtId="0" fontId="59" fillId="3" borderId="0" xfId="6" applyFont="1" applyFill="1" applyAlignment="1">
      <alignment horizontal="right"/>
    </xf>
    <xf numFmtId="43" fontId="59" fillId="3" borderId="0" xfId="7" applyFont="1" applyFill="1" applyBorder="1" applyAlignment="1">
      <alignment horizontal="right"/>
    </xf>
    <xf numFmtId="0" fontId="59" fillId="0" borderId="0" xfId="6" applyFont="1" applyAlignment="1">
      <alignment horizontal="right"/>
    </xf>
    <xf numFmtId="0" fontId="13" fillId="0" borderId="0" xfId="6" applyFont="1" applyAlignment="1">
      <alignment horizontal="right"/>
    </xf>
    <xf numFmtId="5" fontId="130" fillId="0" borderId="5" xfId="12" applyNumberFormat="1" applyFont="1" applyFill="1" applyBorder="1" applyAlignment="1" applyProtection="1">
      <alignment horizontal="right" vertical="center"/>
    </xf>
    <xf numFmtId="168" fontId="130" fillId="0" borderId="6" xfId="12" applyNumberFormat="1" applyFont="1" applyFill="1" applyBorder="1" applyAlignment="1" applyProtection="1">
      <alignment horizontal="right" vertical="center"/>
    </xf>
    <xf numFmtId="5" fontId="67" fillId="0" borderId="5" xfId="12" applyNumberFormat="1" applyFont="1" applyFill="1" applyBorder="1" applyAlignment="1" applyProtection="1">
      <alignment horizontal="right" vertical="center"/>
    </xf>
    <xf numFmtId="0" fontId="126" fillId="0" borderId="0" xfId="25" applyFont="1"/>
    <xf numFmtId="37" fontId="126" fillId="0" borderId="0" xfId="25" applyNumberFormat="1" applyFont="1" applyAlignment="1">
      <alignment horizontal="right"/>
    </xf>
    <xf numFmtId="10" fontId="126" fillId="0" borderId="0" xfId="27" applyNumberFormat="1" applyFont="1" applyBorder="1" applyAlignment="1">
      <alignment horizontal="right"/>
    </xf>
    <xf numFmtId="10" fontId="126" fillId="0" borderId="0" xfId="27" applyNumberFormat="1" applyFont="1" applyBorder="1" applyAlignment="1">
      <alignment horizontal="center"/>
    </xf>
    <xf numFmtId="10" fontId="126" fillId="0" borderId="0" xfId="27" applyNumberFormat="1" applyFont="1" applyBorder="1"/>
    <xf numFmtId="0" fontId="126" fillId="0" borderId="0" xfId="25" applyFont="1" applyAlignment="1">
      <alignment horizontal="left"/>
    </xf>
    <xf numFmtId="5" fontId="126" fillId="0" borderId="0" xfId="25" applyNumberFormat="1" applyFont="1" applyAlignment="1">
      <alignment horizontal="center" vertical="center"/>
    </xf>
    <xf numFmtId="0" fontId="126" fillId="0" borderId="0" xfId="25" applyFont="1" applyAlignment="1">
      <alignment horizontal="center" vertical="center"/>
    </xf>
    <xf numFmtId="172" fontId="96" fillId="0" borderId="0" xfId="25" applyNumberFormat="1" applyFont="1" applyAlignment="1">
      <alignment horizontal="right"/>
    </xf>
    <xf numFmtId="172" fontId="126" fillId="0" borderId="0" xfId="25" applyNumberFormat="1" applyFont="1" applyAlignment="1">
      <alignment horizontal="right"/>
    </xf>
    <xf numFmtId="0" fontId="125" fillId="0" borderId="0" xfId="25" applyFont="1" applyAlignment="1">
      <alignment horizontal="right"/>
    </xf>
    <xf numFmtId="0" fontId="125" fillId="0" borderId="0" xfId="25" applyFont="1" applyAlignment="1">
      <alignment horizontal="left"/>
    </xf>
    <xf numFmtId="0" fontId="65" fillId="6" borderId="0" xfId="25" applyFont="1" applyFill="1"/>
    <xf numFmtId="10" fontId="58" fillId="6" borderId="0" xfId="25" applyNumberFormat="1" applyFont="1" applyFill="1" applyAlignment="1">
      <alignment horizontal="left"/>
    </xf>
    <xf numFmtId="10" fontId="58" fillId="6" borderId="0" xfId="25" applyNumberFormat="1" applyFont="1" applyFill="1"/>
    <xf numFmtId="10" fontId="58" fillId="6" borderId="0" xfId="25" applyNumberFormat="1" applyFont="1" applyFill="1" applyAlignment="1">
      <alignment horizontal="center"/>
    </xf>
    <xf numFmtId="168" fontId="53" fillId="6" borderId="0" xfId="26" applyNumberFormat="1" applyFont="1" applyFill="1" applyBorder="1" applyAlignment="1">
      <alignment horizontal="center" vertical="center"/>
    </xf>
    <xf numFmtId="0" fontId="65" fillId="6" borderId="0" xfId="24" applyFont="1" applyFill="1"/>
    <xf numFmtId="0" fontId="53" fillId="6" borderId="0" xfId="25" applyFont="1" applyFill="1"/>
    <xf numFmtId="6" fontId="58" fillId="0" borderId="22" xfId="0" applyNumberFormat="1" applyFont="1" applyBorder="1" applyAlignment="1">
      <alignment vertical="center"/>
    </xf>
    <xf numFmtId="196" fontId="48" fillId="0" borderId="22" xfId="0" applyNumberFormat="1" applyFont="1" applyBorder="1" applyAlignment="1">
      <alignment vertical="center"/>
    </xf>
    <xf numFmtId="0" fontId="44" fillId="0" borderId="22" xfId="0" applyFont="1" applyBorder="1" applyAlignment="1">
      <alignment horizontal="left" vertical="center" indent="1"/>
    </xf>
    <xf numFmtId="5" fontId="45" fillId="0" borderId="5" xfId="9" applyNumberFormat="1" applyFont="1" applyFill="1" applyBorder="1" applyAlignment="1" applyProtection="1">
      <alignment horizontal="right" vertical="center"/>
    </xf>
    <xf numFmtId="8" fontId="77" fillId="0" borderId="0" xfId="0" applyNumberFormat="1" applyFont="1" applyAlignment="1">
      <alignment horizontal="center" vertical="center"/>
    </xf>
    <xf numFmtId="0" fontId="59" fillId="0" borderId="5" xfId="0" applyFont="1" applyBorder="1" applyAlignment="1">
      <alignment horizontal="center" vertical="center"/>
    </xf>
    <xf numFmtId="0" fontId="38" fillId="0" borderId="5" xfId="0" applyFont="1" applyBorder="1" applyAlignment="1">
      <alignment horizontal="center" vertical="center"/>
    </xf>
    <xf numFmtId="6" fontId="36" fillId="0" borderId="5" xfId="0" applyNumberFormat="1" applyFont="1" applyBorder="1" applyAlignment="1">
      <alignment horizontal="right" vertical="center"/>
    </xf>
    <xf numFmtId="0" fontId="65" fillId="13" borderId="0" xfId="6" applyFont="1" applyFill="1"/>
    <xf numFmtId="9" fontId="114" fillId="13" borderId="0" xfId="22" applyNumberFormat="1" applyFont="1" applyFill="1"/>
    <xf numFmtId="9" fontId="114" fillId="13" borderId="0" xfId="22" quotePrefix="1" applyNumberFormat="1" applyFont="1" applyFill="1"/>
    <xf numFmtId="0" fontId="65" fillId="13" borderId="16" xfId="6" applyFont="1" applyFill="1" applyBorder="1"/>
    <xf numFmtId="164" fontId="114" fillId="13" borderId="16" xfId="22" applyNumberFormat="1" applyFont="1" applyFill="1" applyBorder="1"/>
    <xf numFmtId="164" fontId="64" fillId="13" borderId="16" xfId="22" applyNumberFormat="1" applyFont="1" applyFill="1" applyBorder="1"/>
    <xf numFmtId="164" fontId="114" fillId="13" borderId="0" xfId="22" applyNumberFormat="1" applyFont="1" applyFill="1"/>
    <xf numFmtId="164" fontId="64" fillId="13" borderId="0" xfId="22" applyNumberFormat="1" applyFont="1" applyFill="1"/>
    <xf numFmtId="197" fontId="48" fillId="0" borderId="22" xfId="0" applyNumberFormat="1" applyFont="1" applyBorder="1" applyAlignment="1">
      <alignment vertical="center"/>
    </xf>
    <xf numFmtId="6" fontId="100" fillId="0" borderId="29" xfId="0" applyNumberFormat="1" applyFont="1" applyBorder="1"/>
    <xf numFmtId="6" fontId="100" fillId="0" borderId="27" xfId="0" applyNumberFormat="1" applyFont="1" applyBorder="1"/>
    <xf numFmtId="6" fontId="100" fillId="0" borderId="28" xfId="0" applyNumberFormat="1" applyFont="1" applyBorder="1"/>
    <xf numFmtId="6" fontId="59" fillId="0" borderId="28" xfId="0" applyNumberFormat="1" applyFont="1" applyBorder="1"/>
    <xf numFmtId="171" fontId="100" fillId="0" borderId="27" xfId="0" applyNumberFormat="1" applyFont="1" applyBorder="1"/>
    <xf numFmtId="10" fontId="93" fillId="0" borderId="21" xfId="9" applyNumberFormat="1" applyFont="1" applyFill="1" applyBorder="1" applyAlignment="1" applyProtection="1">
      <alignment horizontal="right" vertical="center"/>
    </xf>
    <xf numFmtId="10" fontId="46" fillId="0" borderId="0" xfId="5" applyNumberFormat="1" applyFont="1" applyFill="1" applyBorder="1" applyAlignment="1" applyProtection="1">
      <alignment horizontal="center" vertical="center"/>
    </xf>
    <xf numFmtId="0" fontId="52" fillId="0" borderId="0" xfId="6" applyFont="1" applyAlignment="1">
      <alignment horizontal="center" vertical="center"/>
    </xf>
    <xf numFmtId="0" fontId="58" fillId="0" borderId="0" xfId="6" applyFont="1" applyAlignment="1">
      <alignment horizontal="center"/>
    </xf>
    <xf numFmtId="5" fontId="58" fillId="0" borderId="0" xfId="9" applyNumberFormat="1" applyFont="1" applyFill="1" applyBorder="1" applyAlignment="1" applyProtection="1">
      <alignment horizontal="center" vertical="center"/>
    </xf>
    <xf numFmtId="5" fontId="46" fillId="0" borderId="0" xfId="9" applyNumberFormat="1" applyFont="1" applyFill="1" applyBorder="1" applyAlignment="1" applyProtection="1">
      <alignment horizontal="center" vertical="center"/>
    </xf>
    <xf numFmtId="10" fontId="42" fillId="0" borderId="0" xfId="9" applyNumberFormat="1" applyFont="1" applyFill="1" applyBorder="1" applyAlignment="1" applyProtection="1">
      <alignment horizontal="center" vertical="center"/>
    </xf>
    <xf numFmtId="200" fontId="42" fillId="0" borderId="0" xfId="5" applyNumberFormat="1" applyFont="1" applyFill="1" applyBorder="1" applyAlignment="1" applyProtection="1">
      <alignment horizontal="center" vertical="center"/>
    </xf>
    <xf numFmtId="164" fontId="57" fillId="0" borderId="0" xfId="7" applyNumberFormat="1" applyFont="1" applyFill="1" applyBorder="1" applyAlignment="1" applyProtection="1">
      <alignment horizontal="center" vertical="center"/>
    </xf>
    <xf numFmtId="168" fontId="46" fillId="0" borderId="0" xfId="9" applyNumberFormat="1" applyFont="1" applyFill="1" applyBorder="1" applyAlignment="1" applyProtection="1">
      <alignment horizontal="center" vertical="center"/>
    </xf>
    <xf numFmtId="6" fontId="42" fillId="0" borderId="0" xfId="9" applyNumberFormat="1" applyFont="1" applyFill="1" applyBorder="1" applyAlignment="1" applyProtection="1">
      <alignment horizontal="center" vertical="center"/>
    </xf>
    <xf numFmtId="168" fontId="46" fillId="0" borderId="0" xfId="12" applyNumberFormat="1" applyFont="1" applyFill="1" applyBorder="1" applyAlignment="1" applyProtection="1">
      <alignment horizontal="center" vertical="center"/>
    </xf>
    <xf numFmtId="0" fontId="0" fillId="0" borderId="0" xfId="0" applyAlignment="1">
      <alignment horizontal="center"/>
    </xf>
    <xf numFmtId="198" fontId="46" fillId="0" borderId="0" xfId="9" applyNumberFormat="1" applyFont="1" applyFill="1" applyBorder="1" applyAlignment="1" applyProtection="1">
      <alignment horizontal="center" vertical="center"/>
    </xf>
    <xf numFmtId="0" fontId="77" fillId="0" borderId="5" xfId="0" applyFont="1" applyBorder="1" applyAlignment="1">
      <alignment horizontal="center" vertical="center"/>
    </xf>
    <xf numFmtId="0" fontId="77" fillId="0" borderId="0" xfId="0" applyFont="1" applyAlignment="1">
      <alignment horizontal="center" vertical="center"/>
    </xf>
    <xf numFmtId="198" fontId="38" fillId="19" borderId="0" xfId="9" applyNumberFormat="1" applyFont="1" applyFill="1" applyBorder="1" applyAlignment="1" applyProtection="1">
      <alignment horizontal="center" vertical="center"/>
    </xf>
    <xf numFmtId="5" fontId="38" fillId="19" borderId="0" xfId="9" applyNumberFormat="1" applyFont="1" applyFill="1" applyBorder="1" applyAlignment="1" applyProtection="1">
      <alignment horizontal="center" vertical="center"/>
    </xf>
    <xf numFmtId="199" fontId="38" fillId="19" borderId="0" xfId="9" applyNumberFormat="1" applyFont="1" applyFill="1" applyBorder="1" applyAlignment="1" applyProtection="1">
      <alignment horizontal="center" vertical="center"/>
    </xf>
    <xf numFmtId="168" fontId="38" fillId="19" borderId="0" xfId="9" applyNumberFormat="1" applyFont="1" applyFill="1" applyBorder="1" applyAlignment="1" applyProtection="1">
      <alignment horizontal="center" vertical="center"/>
    </xf>
    <xf numFmtId="10" fontId="42" fillId="0" borderId="5" xfId="9" applyNumberFormat="1" applyFont="1" applyFill="1" applyBorder="1" applyAlignment="1" applyProtection="1">
      <alignment horizontal="center" vertical="center"/>
    </xf>
    <xf numFmtId="10" fontId="42" fillId="0" borderId="6" xfId="9" applyNumberFormat="1" applyFont="1" applyFill="1" applyBorder="1" applyAlignment="1" applyProtection="1">
      <alignment horizontal="center" vertical="center"/>
    </xf>
    <xf numFmtId="200" fontId="42" fillId="0" borderId="5" xfId="5" applyNumberFormat="1" applyFont="1" applyFill="1" applyBorder="1" applyAlignment="1" applyProtection="1">
      <alignment horizontal="center" vertical="center"/>
    </xf>
    <xf numFmtId="200" fontId="42" fillId="0" borderId="6" xfId="5" applyNumberFormat="1" applyFont="1" applyFill="1" applyBorder="1" applyAlignment="1" applyProtection="1">
      <alignment horizontal="center" vertical="center"/>
    </xf>
    <xf numFmtId="10" fontId="42" fillId="0" borderId="10" xfId="9" applyNumberFormat="1" applyFont="1" applyFill="1" applyBorder="1" applyAlignment="1" applyProtection="1">
      <alignment horizontal="center" vertical="center"/>
    </xf>
    <xf numFmtId="10" fontId="42" fillId="0" borderId="2" xfId="9" applyNumberFormat="1" applyFont="1" applyFill="1" applyBorder="1" applyAlignment="1" applyProtection="1">
      <alignment horizontal="center" vertical="center"/>
    </xf>
    <xf numFmtId="10" fontId="42" fillId="0" borderId="9" xfId="9" applyNumberFormat="1" applyFont="1" applyFill="1" applyBorder="1" applyAlignment="1" applyProtection="1">
      <alignment horizontal="center" vertical="center"/>
    </xf>
    <xf numFmtId="10" fontId="46" fillId="0" borderId="18" xfId="5" applyNumberFormat="1" applyFont="1" applyFill="1" applyBorder="1" applyAlignment="1" applyProtection="1">
      <alignment horizontal="right" vertical="center"/>
    </xf>
    <xf numFmtId="1" fontId="57" fillId="0" borderId="18" xfId="5" applyNumberFormat="1" applyFont="1" applyFill="1" applyBorder="1" applyAlignment="1" applyProtection="1">
      <alignment horizontal="center" vertical="center"/>
    </xf>
    <xf numFmtId="1" fontId="57" fillId="0" borderId="21" xfId="5" applyNumberFormat="1" applyFont="1" applyFill="1" applyBorder="1" applyAlignment="1" applyProtection="1">
      <alignment horizontal="center" vertical="center"/>
    </xf>
    <xf numFmtId="10" fontId="42" fillId="0" borderId="27" xfId="9" applyNumberFormat="1" applyFont="1" applyFill="1" applyBorder="1" applyAlignment="1" applyProtection="1">
      <alignment horizontal="center" vertical="center"/>
    </xf>
    <xf numFmtId="10" fontId="42" fillId="0" borderId="28" xfId="9" applyNumberFormat="1" applyFont="1" applyFill="1" applyBorder="1" applyAlignment="1" applyProtection="1">
      <alignment horizontal="center" vertical="center"/>
    </xf>
    <xf numFmtId="10" fontId="42" fillId="0" borderId="30" xfId="9" applyNumberFormat="1" applyFont="1" applyFill="1" applyBorder="1" applyAlignment="1" applyProtection="1">
      <alignment horizontal="center" vertical="center"/>
    </xf>
    <xf numFmtId="0" fontId="37" fillId="10" borderId="21" xfId="0" applyFont="1" applyFill="1" applyBorder="1" applyAlignment="1">
      <alignment vertical="center"/>
    </xf>
    <xf numFmtId="10" fontId="59" fillId="3" borderId="27" xfId="9" applyNumberFormat="1" applyFont="1" applyFill="1" applyBorder="1"/>
    <xf numFmtId="10" fontId="57" fillId="0" borderId="5" xfId="10" applyNumberFormat="1" applyFont="1" applyFill="1" applyBorder="1" applyAlignment="1" applyProtection="1">
      <alignment horizontal="center" vertical="center"/>
    </xf>
    <xf numFmtId="10" fontId="46" fillId="0" borderId="5" xfId="5" applyNumberFormat="1" applyFont="1" applyFill="1" applyBorder="1" applyAlignment="1" applyProtection="1">
      <alignment horizontal="center" vertical="center"/>
    </xf>
    <xf numFmtId="6" fontId="39" fillId="3" borderId="27" xfId="9" quotePrefix="1" applyNumberFormat="1" applyFont="1" applyFill="1" applyBorder="1" applyAlignment="1">
      <alignment horizontal="right" vertical="center"/>
    </xf>
    <xf numFmtId="10" fontId="73" fillId="3" borderId="27" xfId="6" applyNumberFormat="1" applyFont="1" applyFill="1" applyBorder="1" applyAlignment="1">
      <alignment horizontal="right" vertical="center"/>
    </xf>
    <xf numFmtId="0" fontId="0" fillId="0" borderId="5" xfId="0" applyBorder="1" applyAlignment="1">
      <alignment horizontal="center"/>
    </xf>
    <xf numFmtId="0" fontId="0" fillId="0" borderId="1" xfId="0" applyBorder="1" applyAlignment="1">
      <alignment horizontal="center"/>
    </xf>
    <xf numFmtId="10" fontId="58" fillId="0" borderId="27" xfId="7" applyNumberFormat="1" applyFont="1" applyFill="1" applyBorder="1" applyAlignment="1" applyProtection="1">
      <alignment horizontal="right" vertical="center"/>
    </xf>
    <xf numFmtId="6" fontId="39" fillId="0" borderId="27" xfId="9" quotePrefix="1" applyNumberFormat="1" applyFont="1" applyFill="1" applyBorder="1" applyAlignment="1">
      <alignment horizontal="right" vertical="center"/>
    </xf>
    <xf numFmtId="6" fontId="39" fillId="0" borderId="5" xfId="9" applyNumberFormat="1" applyFont="1" applyFill="1" applyBorder="1" applyAlignment="1">
      <alignment horizontal="right" vertical="center"/>
    </xf>
    <xf numFmtId="6" fontId="58" fillId="10" borderId="6" xfId="7" applyNumberFormat="1" applyFont="1" applyFill="1" applyBorder="1" applyAlignment="1" applyProtection="1">
      <alignment horizontal="center" vertical="center"/>
    </xf>
    <xf numFmtId="6" fontId="39" fillId="0" borderId="27" xfId="9" applyNumberFormat="1" applyFont="1" applyFill="1" applyBorder="1" applyAlignment="1">
      <alignment horizontal="right" vertical="center"/>
    </xf>
    <xf numFmtId="168" fontId="38" fillId="19" borderId="5" xfId="9" applyNumberFormat="1" applyFont="1" applyFill="1" applyBorder="1" applyAlignment="1" applyProtection="1">
      <alignment horizontal="center" vertical="center"/>
    </xf>
    <xf numFmtId="5" fontId="58" fillId="0" borderId="1" xfId="9" applyNumberFormat="1" applyFont="1" applyFill="1" applyBorder="1" applyAlignment="1" applyProtection="1">
      <alignment horizontal="center" vertical="center"/>
    </xf>
    <xf numFmtId="5" fontId="46" fillId="0" borderId="5" xfId="9" applyNumberFormat="1" applyFont="1" applyFill="1" applyBorder="1" applyAlignment="1" applyProtection="1">
      <alignment horizontal="center" vertical="center"/>
    </xf>
    <xf numFmtId="0" fontId="0" fillId="0" borderId="3" xfId="0" applyBorder="1" applyAlignment="1">
      <alignment horizontal="center"/>
    </xf>
    <xf numFmtId="5" fontId="58" fillId="0" borderId="3" xfId="9" applyNumberFormat="1" applyFont="1" applyFill="1" applyBorder="1" applyAlignment="1" applyProtection="1">
      <alignment horizontal="center" vertical="center"/>
    </xf>
    <xf numFmtId="5" fontId="42" fillId="15" borderId="29" xfId="9" applyNumberFormat="1" applyFont="1" applyFill="1" applyBorder="1" applyAlignment="1" applyProtection="1">
      <alignment horizontal="center" vertical="center"/>
    </xf>
    <xf numFmtId="5" fontId="42" fillId="15" borderId="27" xfId="9" applyNumberFormat="1" applyFont="1" applyFill="1" applyBorder="1" applyAlignment="1" applyProtection="1">
      <alignment horizontal="center" vertical="center"/>
    </xf>
    <xf numFmtId="5" fontId="42" fillId="15" borderId="30" xfId="9" applyNumberFormat="1" applyFont="1" applyFill="1" applyBorder="1" applyAlignment="1" applyProtection="1">
      <alignment horizontal="center" vertical="center"/>
    </xf>
    <xf numFmtId="0" fontId="58" fillId="0" borderId="3" xfId="6" applyFont="1" applyBorder="1" applyAlignment="1">
      <alignment horizontal="center"/>
    </xf>
    <xf numFmtId="0" fontId="58" fillId="0" borderId="1" xfId="6" applyFont="1" applyBorder="1" applyAlignment="1">
      <alignment horizontal="center"/>
    </xf>
    <xf numFmtId="10" fontId="58" fillId="0" borderId="4" xfId="9" applyNumberFormat="1" applyFont="1" applyFill="1" applyBorder="1" applyAlignment="1" applyProtection="1">
      <alignment horizontal="right" vertical="center"/>
    </xf>
    <xf numFmtId="10" fontId="89" fillId="0" borderId="6" xfId="10" applyNumberFormat="1" applyFont="1" applyFill="1" applyBorder="1" applyAlignment="1" applyProtection="1">
      <alignment horizontal="right" vertical="center"/>
    </xf>
    <xf numFmtId="0" fontId="72" fillId="0" borderId="0" xfId="0" applyFont="1" applyAlignment="1">
      <alignment vertical="center"/>
    </xf>
    <xf numFmtId="8" fontId="77" fillId="0" borderId="2" xfId="0" applyNumberFormat="1" applyFont="1" applyBorder="1" applyAlignment="1">
      <alignment horizontal="center" vertical="center"/>
    </xf>
    <xf numFmtId="9" fontId="45" fillId="0" borderId="0" xfId="6" applyNumberFormat="1" applyFont="1" applyAlignment="1">
      <alignment horizontal="center"/>
    </xf>
    <xf numFmtId="0" fontId="89" fillId="0" borderId="33" xfId="0" applyFont="1" applyBorder="1" applyAlignment="1">
      <alignment horizontal="left" vertical="center" indent="1"/>
    </xf>
    <xf numFmtId="9" fontId="42" fillId="10" borderId="33" xfId="0" applyNumberFormat="1" applyFont="1" applyFill="1" applyBorder="1" applyAlignment="1">
      <alignment horizontal="center" vertical="center"/>
    </xf>
    <xf numFmtId="0" fontId="100" fillId="0" borderId="0" xfId="0" applyFont="1" applyAlignment="1">
      <alignment horizontal="left" vertical="center"/>
    </xf>
    <xf numFmtId="0" fontId="72" fillId="0" borderId="1" xfId="0" applyFont="1" applyBorder="1" applyAlignment="1">
      <alignment vertical="center"/>
    </xf>
    <xf numFmtId="0" fontId="56" fillId="19" borderId="0" xfId="0" applyFont="1" applyFill="1" applyAlignment="1">
      <alignment horizontal="center" vertical="center"/>
    </xf>
    <xf numFmtId="3" fontId="59" fillId="0" borderId="1" xfId="0" applyNumberFormat="1" applyFont="1" applyBorder="1" applyAlignment="1">
      <alignment horizontal="center" vertical="center"/>
    </xf>
    <xf numFmtId="0" fontId="36" fillId="0" borderId="3" xfId="0" applyFont="1" applyBorder="1" applyAlignment="1">
      <alignment vertical="center"/>
    </xf>
    <xf numFmtId="0" fontId="36" fillId="0" borderId="1" xfId="0" applyFont="1" applyBorder="1" applyAlignment="1">
      <alignment horizontal="center" vertical="center"/>
    </xf>
    <xf numFmtId="9" fontId="36" fillId="0" borderId="1" xfId="0" applyNumberFormat="1" applyFont="1" applyBorder="1" applyAlignment="1">
      <alignment horizontal="center" vertical="center"/>
    </xf>
    <xf numFmtId="3" fontId="36" fillId="0" borderId="1" xfId="0" applyNumberFormat="1" applyFont="1" applyBorder="1" applyAlignment="1">
      <alignment horizontal="center" vertical="center"/>
    </xf>
    <xf numFmtId="6" fontId="36" fillId="0" borderId="1" xfId="0" applyNumberFormat="1" applyFont="1" applyBorder="1" applyAlignment="1">
      <alignment horizontal="center" vertical="center"/>
    </xf>
    <xf numFmtId="8" fontId="36" fillId="0" borderId="4" xfId="0" applyNumberFormat="1" applyFont="1" applyBorder="1" applyAlignment="1">
      <alignment horizontal="center" vertical="center"/>
    </xf>
    <xf numFmtId="6" fontId="36" fillId="0" borderId="0" xfId="0" applyNumberFormat="1" applyFont="1" applyAlignment="1">
      <alignment horizontal="center" vertical="center"/>
    </xf>
    <xf numFmtId="8" fontId="36" fillId="0" borderId="6" xfId="0" applyNumberFormat="1" applyFont="1" applyBorder="1" applyAlignment="1">
      <alignment horizontal="center" vertical="center"/>
    </xf>
    <xf numFmtId="0" fontId="59" fillId="0" borderId="20" xfId="0" applyFont="1" applyBorder="1" applyAlignment="1">
      <alignment vertical="center"/>
    </xf>
    <xf numFmtId="0" fontId="59" fillId="0" borderId="18" xfId="0" applyFont="1" applyBorder="1" applyAlignment="1">
      <alignment horizontal="center" vertical="center"/>
    </xf>
    <xf numFmtId="9" fontId="59" fillId="0" borderId="18" xfId="0" applyNumberFormat="1" applyFont="1" applyBorder="1" applyAlignment="1">
      <alignment horizontal="center" vertical="center"/>
    </xf>
    <xf numFmtId="3" fontId="59" fillId="0" borderId="18" xfId="0" applyNumberFormat="1" applyFont="1" applyBorder="1" applyAlignment="1">
      <alignment horizontal="center" vertical="center"/>
    </xf>
    <xf numFmtId="8" fontId="59" fillId="0" borderId="21" xfId="0" applyNumberFormat="1" applyFont="1" applyBorder="1" applyAlignment="1">
      <alignment horizontal="center" vertical="center"/>
    </xf>
    <xf numFmtId="0" fontId="37" fillId="10" borderId="10" xfId="0" applyFont="1" applyFill="1" applyBorder="1" applyAlignment="1">
      <alignment vertical="center"/>
    </xf>
    <xf numFmtId="9" fontId="100" fillId="0" borderId="53" xfId="0" applyNumberFormat="1" applyFont="1" applyBorder="1" applyAlignment="1">
      <alignment horizontal="center" vertical="center"/>
    </xf>
    <xf numFmtId="0" fontId="56" fillId="19" borderId="52" xfId="0" applyFont="1" applyFill="1" applyBorder="1" applyAlignment="1">
      <alignment horizontal="center" vertical="center"/>
    </xf>
    <xf numFmtId="0" fontId="53" fillId="19" borderId="0" xfId="25" applyFont="1" applyFill="1"/>
    <xf numFmtId="0" fontId="131" fillId="19" borderId="0" xfId="25" applyFont="1" applyFill="1"/>
    <xf numFmtId="0" fontId="72" fillId="19" borderId="0" xfId="25" applyFont="1" applyFill="1"/>
    <xf numFmtId="0" fontId="72" fillId="19" borderId="0" xfId="25" applyFont="1" applyFill="1" applyAlignment="1">
      <alignment horizontal="left"/>
    </xf>
    <xf numFmtId="0" fontId="56" fillId="19" borderId="4" xfId="0" applyFont="1" applyFill="1" applyBorder="1" applyAlignment="1">
      <alignment horizontal="center" vertical="center"/>
    </xf>
    <xf numFmtId="0" fontId="59" fillId="0" borderId="21" xfId="0" applyFont="1" applyBorder="1" applyAlignment="1">
      <alignment horizontal="center" vertical="center"/>
    </xf>
    <xf numFmtId="0" fontId="56" fillId="19" borderId="29" xfId="0" applyFont="1" applyFill="1" applyBorder="1" applyAlignment="1">
      <alignment horizontal="center" vertical="center"/>
    </xf>
    <xf numFmtId="6" fontId="36" fillId="0" borderId="27" xfId="0" applyNumberFormat="1" applyFont="1" applyBorder="1" applyAlignment="1">
      <alignment horizontal="center" vertical="center"/>
    </xf>
    <xf numFmtId="2" fontId="68" fillId="19" borderId="0" xfId="0" applyNumberFormat="1" applyFont="1" applyFill="1" applyAlignment="1">
      <alignment horizontal="center" vertical="center"/>
    </xf>
    <xf numFmtId="6" fontId="59" fillId="0" borderId="30" xfId="0" applyNumberFormat="1" applyFont="1" applyBorder="1" applyAlignment="1">
      <alignment horizontal="center" vertical="center"/>
    </xf>
    <xf numFmtId="0" fontId="89" fillId="0" borderId="54" xfId="0" applyFont="1" applyBorder="1" applyAlignment="1">
      <alignment horizontal="left" vertical="center" indent="1"/>
    </xf>
    <xf numFmtId="188" fontId="41" fillId="0" borderId="54" xfId="0" applyNumberFormat="1" applyFont="1" applyBorder="1" applyAlignment="1">
      <alignment horizontal="right" vertical="center" indent="1"/>
    </xf>
    <xf numFmtId="6" fontId="89" fillId="0" borderId="54" xfId="0" applyNumberFormat="1" applyFont="1" applyBorder="1" applyAlignment="1">
      <alignment vertical="center"/>
    </xf>
    <xf numFmtId="5" fontId="41" fillId="0" borderId="22" xfId="0" applyNumberFormat="1" applyFont="1" applyBorder="1" applyAlignment="1">
      <alignment horizontal="right" vertical="center" indent="1"/>
    </xf>
    <xf numFmtId="6" fontId="112" fillId="0" borderId="1" xfId="0" applyNumberFormat="1" applyFont="1" applyBorder="1" applyAlignment="1">
      <alignment horizontal="center" vertical="center"/>
    </xf>
    <xf numFmtId="0" fontId="116" fillId="0" borderId="0" xfId="25" applyFont="1"/>
    <xf numFmtId="0" fontId="123" fillId="18" borderId="0" xfId="25" applyFont="1" applyFill="1" applyAlignment="1">
      <alignment horizontal="center"/>
    </xf>
    <xf numFmtId="0" fontId="56" fillId="0" borderId="0" xfId="25" applyFont="1"/>
    <xf numFmtId="9" fontId="123" fillId="0" borderId="0" xfId="25" applyNumberFormat="1" applyFont="1"/>
    <xf numFmtId="6" fontId="123" fillId="0" borderId="0" xfId="25" applyNumberFormat="1" applyFont="1"/>
    <xf numFmtId="9" fontId="123" fillId="0" borderId="0" xfId="25" applyNumberFormat="1" applyFont="1" applyAlignment="1">
      <alignment horizontal="left"/>
    </xf>
    <xf numFmtId="10" fontId="123" fillId="0" borderId="1" xfId="25" applyNumberFormat="1" applyFont="1" applyBorder="1"/>
    <xf numFmtId="10" fontId="123" fillId="0" borderId="1" xfId="25" applyNumberFormat="1" applyFont="1" applyBorder="1" applyAlignment="1">
      <alignment horizontal="center"/>
    </xf>
    <xf numFmtId="10" fontId="123" fillId="0" borderId="1" xfId="25" applyNumberFormat="1" applyFont="1" applyBorder="1" applyAlignment="1">
      <alignment horizontal="left"/>
    </xf>
    <xf numFmtId="10" fontId="123" fillId="0" borderId="0" xfId="25" applyNumberFormat="1" applyFont="1" applyAlignment="1">
      <alignment horizontal="left"/>
    </xf>
    <xf numFmtId="10" fontId="58" fillId="0" borderId="0" xfId="25" applyNumberFormat="1" applyFont="1" applyAlignment="1">
      <alignment horizontal="left"/>
    </xf>
    <xf numFmtId="49" fontId="123" fillId="18" borderId="0" xfId="25" applyNumberFormat="1" applyFont="1" applyFill="1" applyAlignment="1">
      <alignment horizontal="center"/>
    </xf>
    <xf numFmtId="49" fontId="58" fillId="18" borderId="0" xfId="25" applyNumberFormat="1" applyFont="1" applyFill="1" applyAlignment="1">
      <alignment horizontal="center"/>
    </xf>
    <xf numFmtId="9" fontId="123" fillId="0" borderId="0" xfId="25" applyNumberFormat="1" applyFont="1" applyAlignment="1">
      <alignment horizontal="center"/>
    </xf>
    <xf numFmtId="0" fontId="116" fillId="6" borderId="0" xfId="25" applyFont="1" applyFill="1"/>
    <xf numFmtId="10" fontId="42" fillId="0" borderId="23" xfId="0" applyNumberFormat="1" applyFont="1" applyBorder="1" applyAlignment="1">
      <alignment horizontal="right" vertical="center" indent="1"/>
    </xf>
    <xf numFmtId="6" fontId="41" fillId="0" borderId="33" xfId="1" applyNumberFormat="1" applyFont="1" applyBorder="1" applyAlignment="1">
      <alignment vertical="center"/>
    </xf>
    <xf numFmtId="177" fontId="123" fillId="18" borderId="0" xfId="25" applyNumberFormat="1" applyFont="1" applyFill="1" applyAlignment="1">
      <alignment horizontal="center"/>
    </xf>
    <xf numFmtId="177" fontId="58" fillId="18" borderId="0" xfId="25" applyNumberFormat="1" applyFont="1" applyFill="1" applyAlignment="1">
      <alignment horizontal="center"/>
    </xf>
    <xf numFmtId="0" fontId="42" fillId="0" borderId="0" xfId="25" applyFont="1"/>
    <xf numFmtId="0" fontId="65" fillId="6" borderId="0" xfId="25" applyFont="1" applyFill="1" applyAlignment="1">
      <alignment horizontal="left"/>
    </xf>
    <xf numFmtId="0" fontId="117" fillId="6" borderId="0" xfId="25" applyFont="1" applyFill="1" applyAlignment="1">
      <alignment horizontal="left"/>
    </xf>
    <xf numFmtId="168" fontId="53" fillId="6" borderId="0" xfId="26" applyNumberFormat="1" applyFont="1" applyFill="1" applyAlignment="1">
      <alignment horizontal="center" vertical="center"/>
    </xf>
    <xf numFmtId="10" fontId="53" fillId="6" borderId="0" xfId="27" applyNumberFormat="1" applyFont="1" applyFill="1" applyAlignment="1">
      <alignment horizontal="center" vertical="center"/>
    </xf>
    <xf numFmtId="10" fontId="123" fillId="6" borderId="0" xfId="25" applyNumberFormat="1" applyFont="1" applyFill="1" applyAlignment="1">
      <alignment horizontal="center"/>
    </xf>
    <xf numFmtId="10" fontId="42" fillId="6" borderId="0" xfId="25" applyNumberFormat="1" applyFont="1" applyFill="1"/>
    <xf numFmtId="10" fontId="42" fillId="6" borderId="0" xfId="25" applyNumberFormat="1" applyFont="1" applyFill="1" applyAlignment="1">
      <alignment horizontal="left"/>
    </xf>
    <xf numFmtId="10" fontId="123" fillId="6" borderId="0" xfId="25" applyNumberFormat="1" applyFont="1" applyFill="1" applyAlignment="1">
      <alignment horizontal="left"/>
    </xf>
    <xf numFmtId="0" fontId="70" fillId="3" borderId="0" xfId="6" applyFont="1" applyFill="1" applyAlignment="1">
      <alignment horizontal="center" vertical="center"/>
    </xf>
    <xf numFmtId="6" fontId="62" fillId="3" borderId="6" xfId="6" applyNumberFormat="1" applyFont="1" applyFill="1" applyBorder="1" applyAlignment="1">
      <alignment horizontal="center" vertical="center"/>
    </xf>
    <xf numFmtId="0" fontId="70" fillId="3" borderId="2" xfId="6" applyFont="1" applyFill="1" applyBorder="1" applyAlignment="1">
      <alignment horizontal="center" vertical="center"/>
    </xf>
    <xf numFmtId="6" fontId="62" fillId="3" borderId="9" xfId="6" applyNumberFormat="1" applyFont="1" applyFill="1" applyBorder="1" applyAlignment="1">
      <alignment horizontal="center" vertical="center"/>
    </xf>
    <xf numFmtId="38" fontId="36" fillId="3" borderId="27" xfId="6" applyNumberFormat="1" applyFont="1" applyFill="1" applyBorder="1" applyAlignment="1">
      <alignment vertical="center"/>
    </xf>
    <xf numFmtId="193" fontId="38" fillId="19" borderId="5" xfId="0" applyNumberFormat="1" applyFont="1" applyFill="1" applyBorder="1" applyAlignment="1">
      <alignment horizontal="center" vertical="center"/>
    </xf>
    <xf numFmtId="1" fontId="77" fillId="3" borderId="5" xfId="0" applyNumberFormat="1" applyFont="1" applyFill="1" applyBorder="1" applyAlignment="1">
      <alignment horizontal="center" vertical="center"/>
    </xf>
    <xf numFmtId="10" fontId="99" fillId="18" borderId="0" xfId="0" applyNumberFormat="1" applyFont="1" applyFill="1" applyAlignment="1">
      <alignment horizontal="center" vertical="center"/>
    </xf>
    <xf numFmtId="1" fontId="77" fillId="3" borderId="10" xfId="0" applyNumberFormat="1" applyFont="1" applyFill="1" applyBorder="1" applyAlignment="1">
      <alignment horizontal="center" vertical="center"/>
    </xf>
    <xf numFmtId="10" fontId="99" fillId="18" borderId="2" xfId="0" applyNumberFormat="1" applyFont="1" applyFill="1" applyBorder="1" applyAlignment="1">
      <alignment horizontal="center" vertical="center"/>
    </xf>
    <xf numFmtId="164" fontId="77" fillId="5" borderId="2" xfId="0" applyNumberFormat="1" applyFont="1" applyFill="1" applyBorder="1" applyAlignment="1">
      <alignment horizontal="center" vertical="center"/>
    </xf>
    <xf numFmtId="6" fontId="111" fillId="5" borderId="2" xfId="0" applyNumberFormat="1" applyFont="1" applyFill="1" applyBorder="1" applyAlignment="1">
      <alignment horizontal="center" vertical="center"/>
    </xf>
    <xf numFmtId="6" fontId="99" fillId="18" borderId="9" xfId="0" applyNumberFormat="1" applyFont="1" applyFill="1" applyBorder="1" applyAlignment="1">
      <alignment horizontal="center" vertical="center"/>
    </xf>
    <xf numFmtId="186" fontId="68" fillId="19" borderId="6" xfId="0" applyNumberFormat="1" applyFont="1" applyFill="1" applyBorder="1" applyAlignment="1">
      <alignment horizontal="center" vertical="center"/>
    </xf>
    <xf numFmtId="164" fontId="77" fillId="5" borderId="0" xfId="0" applyNumberFormat="1" applyFont="1" applyFill="1" applyAlignment="1">
      <alignment horizontal="center" vertical="center"/>
    </xf>
    <xf numFmtId="6" fontId="111" fillId="5" borderId="0" xfId="0" applyNumberFormat="1" applyFont="1" applyFill="1" applyAlignment="1">
      <alignment horizontal="center" vertical="center"/>
    </xf>
    <xf numFmtId="6" fontId="99" fillId="18" borderId="6" xfId="0" applyNumberFormat="1" applyFont="1" applyFill="1" applyBorder="1" applyAlignment="1">
      <alignment horizontal="center" vertical="center"/>
    </xf>
    <xf numFmtId="164" fontId="0" fillId="0" borderId="0" xfId="0" applyNumberFormat="1"/>
    <xf numFmtId="3" fontId="0" fillId="0" borderId="0" xfId="0" applyNumberFormat="1"/>
    <xf numFmtId="0" fontId="38" fillId="3" borderId="0" xfId="0" applyFont="1" applyFill="1" applyAlignment="1">
      <alignment horizontal="left" vertical="center" indent="1"/>
    </xf>
    <xf numFmtId="0" fontId="41" fillId="3" borderId="0" xfId="0" applyFont="1" applyFill="1" applyAlignment="1">
      <alignment horizontal="left" vertical="center" indent="1"/>
    </xf>
    <xf numFmtId="0" fontId="41" fillId="3" borderId="0" xfId="0" applyFont="1" applyFill="1" applyAlignment="1">
      <alignment horizontal="left" vertical="center"/>
    </xf>
    <xf numFmtId="0" fontId="44" fillId="3" borderId="0" xfId="0" applyFont="1" applyFill="1" applyAlignment="1">
      <alignment horizontal="right" vertical="center" indent="1"/>
    </xf>
    <xf numFmtId="10" fontId="44" fillId="3" borderId="0" xfId="0" applyNumberFormat="1" applyFont="1" applyFill="1" applyAlignment="1">
      <alignment horizontal="right" vertical="center" indent="1"/>
    </xf>
    <xf numFmtId="177" fontId="44" fillId="3" borderId="0" xfId="0" applyNumberFormat="1" applyFont="1" applyFill="1" applyAlignment="1">
      <alignment horizontal="right" vertical="center" indent="1"/>
    </xf>
    <xf numFmtId="37" fontId="62" fillId="3" borderId="6" xfId="41" applyNumberFormat="1" applyFont="1" applyFill="1" applyBorder="1" applyAlignment="1">
      <alignment horizontal="center" vertical="center"/>
    </xf>
    <xf numFmtId="10" fontId="82" fillId="0" borderId="0" xfId="34" applyNumberFormat="1" applyFont="1" applyFill="1" applyBorder="1" applyAlignment="1">
      <alignment horizontal="center" vertical="center" wrapText="1"/>
    </xf>
    <xf numFmtId="10" fontId="64" fillId="3" borderId="0" xfId="14" applyNumberFormat="1" applyFont="1" applyFill="1" applyBorder="1" applyAlignment="1">
      <alignment vertical="center" textRotation="90"/>
    </xf>
    <xf numFmtId="0" fontId="11" fillId="5" borderId="3" xfId="6" applyFont="1" applyFill="1" applyBorder="1"/>
    <xf numFmtId="10" fontId="77" fillId="5" borderId="1" xfId="14" applyNumberFormat="1" applyFont="1" applyFill="1" applyBorder="1"/>
    <xf numFmtId="10" fontId="37" fillId="5" borderId="10" xfId="14" applyNumberFormat="1" applyFont="1" applyFill="1" applyBorder="1" applyAlignment="1">
      <alignment vertical="center" textRotation="90"/>
    </xf>
    <xf numFmtId="10" fontId="100" fillId="3" borderId="30" xfId="34" applyNumberFormat="1" applyFont="1" applyFill="1" applyBorder="1"/>
    <xf numFmtId="164" fontId="100" fillId="3" borderId="30" xfId="6" applyNumberFormat="1" applyFont="1" applyFill="1" applyBorder="1"/>
    <xf numFmtId="0" fontId="58" fillId="0" borderId="2" xfId="6" applyFont="1" applyBorder="1" applyAlignment="1">
      <alignment vertical="center"/>
    </xf>
    <xf numFmtId="0" fontId="58" fillId="0" borderId="2" xfId="6" applyFont="1" applyBorder="1" applyAlignment="1">
      <alignment horizontal="center" vertical="center" wrapText="1"/>
    </xf>
    <xf numFmtId="0" fontId="58" fillId="0" borderId="9" xfId="6" applyFont="1" applyBorder="1" applyAlignment="1">
      <alignment horizontal="center" vertical="center" wrapText="1"/>
    </xf>
    <xf numFmtId="8" fontId="58" fillId="0" borderId="28" xfId="6" applyNumberFormat="1" applyFont="1" applyBorder="1" applyAlignment="1">
      <alignment horizontal="center" vertical="center" wrapText="1"/>
    </xf>
    <xf numFmtId="10" fontId="58" fillId="0" borderId="28" xfId="6" applyNumberFormat="1" applyFont="1" applyBorder="1" applyAlignment="1">
      <alignment horizontal="center" vertical="center" wrapText="1"/>
    </xf>
    <xf numFmtId="0" fontId="58" fillId="0" borderId="28" xfId="6" applyFont="1" applyBorder="1" applyAlignment="1">
      <alignment horizontal="center" vertical="center" wrapText="1"/>
    </xf>
    <xf numFmtId="0" fontId="57" fillId="0" borderId="6" xfId="6" applyFont="1" applyBorder="1" applyAlignment="1">
      <alignment horizontal="center" vertical="center"/>
    </xf>
    <xf numFmtId="0" fontId="58" fillId="0" borderId="5" xfId="6" applyFont="1" applyBorder="1" applyAlignment="1">
      <alignment horizontal="center" vertical="center"/>
    </xf>
    <xf numFmtId="6" fontId="36" fillId="3" borderId="27" xfId="6" applyNumberFormat="1" applyFont="1" applyFill="1" applyBorder="1"/>
    <xf numFmtId="6" fontId="62" fillId="10" borderId="5" xfId="6" applyNumberFormat="1" applyFont="1" applyFill="1" applyBorder="1" applyAlignment="1">
      <alignment horizontal="center" vertical="center"/>
    </xf>
    <xf numFmtId="0" fontId="58" fillId="0" borderId="18" xfId="6" applyFont="1" applyBorder="1" applyAlignment="1">
      <alignment horizontal="center" vertical="center" wrapText="1"/>
    </xf>
    <xf numFmtId="6" fontId="46" fillId="0" borderId="27" xfId="6" applyNumberFormat="1" applyFont="1" applyBorder="1" applyAlignment="1">
      <alignment horizontal="right" vertical="center" wrapText="1"/>
    </xf>
    <xf numFmtId="6" fontId="58" fillId="0" borderId="30" xfId="6" applyNumberFormat="1" applyFont="1" applyBorder="1" applyAlignment="1">
      <alignment horizontal="center" vertical="center"/>
    </xf>
    <xf numFmtId="6" fontId="58" fillId="0" borderId="30" xfId="6" applyNumberFormat="1" applyFont="1" applyBorder="1" applyAlignment="1">
      <alignment horizontal="right" vertical="center"/>
    </xf>
    <xf numFmtId="201" fontId="41" fillId="0" borderId="22" xfId="0" applyNumberFormat="1" applyFont="1" applyBorder="1" applyAlignment="1">
      <alignment horizontal="right" vertical="center" indent="1"/>
    </xf>
    <xf numFmtId="7" fontId="36" fillId="0" borderId="0" xfId="0" applyNumberFormat="1" applyFont="1"/>
    <xf numFmtId="3" fontId="36" fillId="0" borderId="0" xfId="41" applyNumberFormat="1" applyFont="1"/>
    <xf numFmtId="3" fontId="36" fillId="0" borderId="0" xfId="0" applyNumberFormat="1" applyFont="1"/>
    <xf numFmtId="5" fontId="36" fillId="0" borderId="0" xfId="0" applyNumberFormat="1" applyFont="1"/>
    <xf numFmtId="10" fontId="134" fillId="3" borderId="31" xfId="14" applyNumberFormat="1" applyFont="1" applyFill="1" applyBorder="1"/>
    <xf numFmtId="5" fontId="95" fillId="3" borderId="57" xfId="6" applyNumberFormat="1" applyFont="1" applyFill="1" applyBorder="1"/>
    <xf numFmtId="5" fontId="95" fillId="3" borderId="55" xfId="6" applyNumberFormat="1" applyFont="1" applyFill="1" applyBorder="1"/>
    <xf numFmtId="5" fontId="95" fillId="3" borderId="56" xfId="6" applyNumberFormat="1" applyFont="1" applyFill="1" applyBorder="1"/>
    <xf numFmtId="10" fontId="95" fillId="3" borderId="58" xfId="34" applyNumberFormat="1" applyFont="1" applyFill="1" applyBorder="1" applyAlignment="1"/>
    <xf numFmtId="6" fontId="95" fillId="3" borderId="9" xfId="7" applyNumberFormat="1" applyFont="1" applyFill="1" applyBorder="1"/>
    <xf numFmtId="6" fontId="95" fillId="3" borderId="28" xfId="7" applyNumberFormat="1" applyFont="1" applyFill="1" applyBorder="1"/>
    <xf numFmtId="10" fontId="95" fillId="3" borderId="59" xfId="34" applyNumberFormat="1" applyFont="1" applyFill="1" applyBorder="1" applyAlignment="1"/>
    <xf numFmtId="6" fontId="95" fillId="3" borderId="21" xfId="7" applyNumberFormat="1" applyFont="1" applyFill="1" applyBorder="1"/>
    <xf numFmtId="6" fontId="95" fillId="3" borderId="30" xfId="7" applyNumberFormat="1" applyFont="1" applyFill="1" applyBorder="1"/>
    <xf numFmtId="10" fontId="95" fillId="3" borderId="59" xfId="34" applyNumberFormat="1" applyFont="1" applyFill="1" applyBorder="1" applyAlignment="1">
      <alignment horizontal="right"/>
    </xf>
    <xf numFmtId="10" fontId="95" fillId="3" borderId="60" xfId="34" applyNumberFormat="1" applyFont="1" applyFill="1" applyBorder="1" applyAlignment="1">
      <alignment horizontal="right"/>
    </xf>
    <xf numFmtId="0" fontId="95" fillId="3" borderId="30" xfId="6" applyFont="1" applyFill="1" applyBorder="1"/>
    <xf numFmtId="0" fontId="115" fillId="0" borderId="30" xfId="6" applyFont="1" applyBorder="1"/>
    <xf numFmtId="0" fontId="59" fillId="5" borderId="31" xfId="0" applyFont="1" applyFill="1" applyBorder="1" applyAlignment="1">
      <alignment vertical="center"/>
    </xf>
    <xf numFmtId="0" fontId="100" fillId="3" borderId="31" xfId="0" applyFont="1" applyFill="1" applyBorder="1" applyAlignment="1">
      <alignment vertical="center"/>
    </xf>
    <xf numFmtId="9" fontId="93" fillId="0" borderId="21" xfId="9" applyNumberFormat="1" applyFont="1" applyFill="1" applyBorder="1" applyAlignment="1" applyProtection="1">
      <alignment horizontal="right" vertical="center"/>
    </xf>
    <xf numFmtId="0" fontId="59" fillId="0" borderId="0" xfId="0" applyFont="1"/>
    <xf numFmtId="0" fontId="56" fillId="23" borderId="64" xfId="0" applyFont="1" applyFill="1" applyBorder="1"/>
    <xf numFmtId="0" fontId="56" fillId="23" borderId="65" xfId="0" applyFont="1" applyFill="1" applyBorder="1" applyAlignment="1">
      <alignment horizontal="center"/>
    </xf>
    <xf numFmtId="0" fontId="56" fillId="23" borderId="66" xfId="0" applyFont="1" applyFill="1" applyBorder="1" applyAlignment="1">
      <alignment horizontal="center"/>
    </xf>
    <xf numFmtId="0" fontId="136" fillId="0" borderId="69" xfId="0" applyFont="1" applyBorder="1"/>
    <xf numFmtId="0" fontId="136" fillId="0" borderId="70" xfId="0" applyFont="1" applyBorder="1"/>
    <xf numFmtId="5" fontId="135" fillId="0" borderId="71" xfId="0" applyNumberFormat="1" applyFont="1" applyBorder="1" applyAlignment="1">
      <alignment horizontal="center"/>
    </xf>
    <xf numFmtId="5" fontId="135" fillId="0" borderId="72" xfId="0" applyNumberFormat="1" applyFont="1" applyBorder="1" applyAlignment="1">
      <alignment horizontal="center"/>
    </xf>
    <xf numFmtId="0" fontId="136" fillId="0" borderId="73" xfId="0" applyFont="1" applyBorder="1"/>
    <xf numFmtId="0" fontId="135" fillId="0" borderId="74" xfId="0" applyFont="1" applyBorder="1" applyAlignment="1">
      <alignment horizontal="center"/>
    </xf>
    <xf numFmtId="0" fontId="135" fillId="0" borderId="75" xfId="0" applyFont="1" applyBorder="1" applyAlignment="1">
      <alignment horizontal="center"/>
    </xf>
    <xf numFmtId="10" fontId="135" fillId="0" borderId="74" xfId="0" applyNumberFormat="1" applyFont="1" applyBorder="1" applyAlignment="1">
      <alignment horizontal="center"/>
    </xf>
    <xf numFmtId="10" fontId="135" fillId="0" borderId="75" xfId="0" applyNumberFormat="1" applyFont="1" applyBorder="1" applyAlignment="1">
      <alignment horizontal="center"/>
    </xf>
    <xf numFmtId="0" fontId="136" fillId="0" borderId="76" xfId="0" applyFont="1" applyBorder="1"/>
    <xf numFmtId="10" fontId="135" fillId="0" borderId="77" xfId="0" applyNumberFormat="1" applyFont="1" applyBorder="1" applyAlignment="1">
      <alignment horizontal="center"/>
    </xf>
    <xf numFmtId="10" fontId="135" fillId="0" borderId="78" xfId="0" applyNumberFormat="1" applyFont="1" applyBorder="1" applyAlignment="1">
      <alignment horizontal="center"/>
    </xf>
    <xf numFmtId="10" fontId="137" fillId="0" borderId="67" xfId="0" applyNumberFormat="1" applyFont="1" applyBorder="1" applyAlignment="1">
      <alignment horizontal="center"/>
    </xf>
    <xf numFmtId="10" fontId="137" fillId="0" borderId="68" xfId="0" applyNumberFormat="1" applyFont="1" applyBorder="1" applyAlignment="1">
      <alignment horizontal="center"/>
    </xf>
    <xf numFmtId="0" fontId="118" fillId="0" borderId="0" xfId="0" applyFont="1" applyAlignment="1">
      <alignment horizontal="center"/>
    </xf>
    <xf numFmtId="10" fontId="41" fillId="0" borderId="6" xfId="9" applyNumberFormat="1" applyFont="1" applyFill="1" applyBorder="1" applyAlignment="1" applyProtection="1">
      <alignment horizontal="right" vertical="center"/>
    </xf>
    <xf numFmtId="5" fontId="41" fillId="0" borderId="6" xfId="9" applyNumberFormat="1" applyFont="1" applyFill="1" applyBorder="1" applyAlignment="1" applyProtection="1">
      <alignment horizontal="right" vertical="center"/>
    </xf>
    <xf numFmtId="171" fontId="138" fillId="0" borderId="6" xfId="5" applyNumberFormat="1" applyFont="1" applyFill="1" applyBorder="1" applyAlignment="1" applyProtection="1">
      <alignment horizontal="right" vertical="center"/>
    </xf>
    <xf numFmtId="10" fontId="89" fillId="0" borderId="6" xfId="6" applyNumberFormat="1" applyFont="1" applyBorder="1"/>
    <xf numFmtId="168" fontId="47" fillId="0" borderId="6" xfId="9" applyNumberFormat="1" applyFont="1" applyFill="1" applyBorder="1" applyAlignment="1" applyProtection="1">
      <alignment horizontal="right" vertical="center"/>
    </xf>
    <xf numFmtId="10" fontId="47" fillId="0" borderId="6" xfId="9" applyNumberFormat="1" applyFont="1" applyFill="1" applyBorder="1" applyAlignment="1" applyProtection="1">
      <alignment horizontal="right" vertical="center"/>
    </xf>
    <xf numFmtId="10" fontId="47" fillId="0" borderId="6" xfId="9" quotePrefix="1" applyNumberFormat="1" applyFont="1" applyFill="1" applyBorder="1" applyAlignment="1" applyProtection="1">
      <alignment horizontal="right" vertical="center"/>
    </xf>
    <xf numFmtId="10" fontId="89" fillId="0" borderId="6" xfId="14" applyNumberFormat="1" applyFont="1" applyFill="1" applyBorder="1"/>
    <xf numFmtId="191" fontId="89" fillId="0" borderId="6" xfId="9" applyNumberFormat="1" applyFont="1" applyFill="1" applyBorder="1" applyAlignment="1" applyProtection="1">
      <alignment horizontal="right" vertical="center"/>
    </xf>
    <xf numFmtId="10" fontId="89" fillId="0" borderId="6" xfId="14" applyNumberFormat="1" applyFont="1" applyFill="1" applyBorder="1" applyAlignment="1" applyProtection="1">
      <alignment horizontal="right" vertical="center"/>
    </xf>
    <xf numFmtId="0" fontId="11" fillId="0" borderId="6" xfId="6" applyFont="1" applyBorder="1"/>
    <xf numFmtId="5" fontId="41" fillId="0" borderId="6" xfId="6" applyNumberFormat="1" applyFont="1" applyBorder="1"/>
    <xf numFmtId="202" fontId="46" fillId="0" borderId="0" xfId="6" applyNumberFormat="1" applyFont="1" applyAlignment="1">
      <alignment horizontal="left" indent="1"/>
    </xf>
    <xf numFmtId="203" fontId="46" fillId="0" borderId="0" xfId="6" applyNumberFormat="1" applyFont="1" applyAlignment="1">
      <alignment horizontal="left" indent="1"/>
    </xf>
    <xf numFmtId="10" fontId="89" fillId="0" borderId="9" xfId="14" applyNumberFormat="1" applyFont="1" applyFill="1" applyBorder="1"/>
    <xf numFmtId="1" fontId="123" fillId="0" borderId="0" xfId="25" applyNumberFormat="1" applyFont="1" applyAlignment="1">
      <alignment horizontal="center"/>
    </xf>
    <xf numFmtId="5" fontId="42" fillId="15" borderId="0" xfId="9" applyNumberFormat="1" applyFont="1" applyFill="1" applyBorder="1" applyAlignment="1" applyProtection="1">
      <alignment horizontal="center" vertical="center"/>
    </xf>
    <xf numFmtId="10" fontId="42" fillId="15" borderId="2" xfId="10" applyNumberFormat="1" applyFont="1" applyFill="1" applyBorder="1" applyAlignment="1" applyProtection="1">
      <alignment horizontal="center" vertical="center"/>
    </xf>
    <xf numFmtId="10" fontId="46" fillId="0" borderId="18" xfId="5" applyNumberFormat="1" applyFont="1" applyFill="1" applyBorder="1" applyAlignment="1" applyProtection="1">
      <alignment vertical="center"/>
    </xf>
    <xf numFmtId="168" fontId="139" fillId="0" borderId="0" xfId="26" applyNumberFormat="1" applyFont="1" applyBorder="1" applyAlignment="1">
      <alignment horizontal="right" vertical="center"/>
    </xf>
    <xf numFmtId="0" fontId="39" fillId="19" borderId="0" xfId="6" applyFont="1" applyFill="1" applyAlignment="1">
      <alignment horizontal="center" vertical="center"/>
    </xf>
    <xf numFmtId="5" fontId="93" fillId="5" borderId="2" xfId="12" applyNumberFormat="1" applyFont="1" applyFill="1" applyBorder="1" applyAlignment="1">
      <alignment horizontal="right" vertical="center"/>
    </xf>
    <xf numFmtId="0" fontId="46" fillId="19" borderId="0" xfId="6" applyFont="1" applyFill="1" applyAlignment="1">
      <alignment horizontal="center" vertical="center"/>
    </xf>
    <xf numFmtId="6" fontId="93" fillId="0" borderId="2" xfId="12" applyNumberFormat="1" applyFont="1" applyFill="1" applyBorder="1" applyAlignment="1" applyProtection="1">
      <alignment horizontal="right" vertical="center"/>
    </xf>
    <xf numFmtId="5" fontId="89" fillId="0" borderId="0" xfId="12" applyNumberFormat="1" applyFont="1" applyFill="1" applyBorder="1" applyAlignment="1" applyProtection="1">
      <alignment horizontal="right" vertical="center"/>
    </xf>
    <xf numFmtId="0" fontId="13" fillId="0" borderId="5" xfId="6" applyFont="1" applyBorder="1"/>
    <xf numFmtId="180" fontId="89" fillId="0" borderId="0" xfId="6" applyNumberFormat="1" applyFont="1" applyAlignment="1">
      <alignment horizontal="left" vertical="center" indent="1"/>
    </xf>
    <xf numFmtId="0" fontId="39" fillId="19" borderId="5" xfId="6" applyFont="1" applyFill="1" applyBorder="1" applyAlignment="1">
      <alignment vertical="center"/>
    </xf>
    <xf numFmtId="0" fontId="93" fillId="5" borderId="5" xfId="6" applyFont="1" applyFill="1" applyBorder="1"/>
    <xf numFmtId="0" fontId="46" fillId="0" borderId="5" xfId="6" applyFont="1" applyBorder="1"/>
    <xf numFmtId="0" fontId="58" fillId="0" borderId="5" xfId="6" applyFont="1" applyBorder="1" applyAlignment="1">
      <alignment horizontal="left" indent="1"/>
    </xf>
    <xf numFmtId="5" fontId="46" fillId="0" borderId="5" xfId="6" applyNumberFormat="1" applyFont="1" applyBorder="1" applyAlignment="1">
      <alignment horizontal="left" indent="1"/>
    </xf>
    <xf numFmtId="7" fontId="94" fillId="0" borderId="18" xfId="6" applyNumberFormat="1" applyFont="1" applyBorder="1" applyAlignment="1">
      <alignment horizontal="left" vertical="center" indent="1"/>
    </xf>
    <xf numFmtId="0" fontId="58" fillId="0" borderId="2" xfId="6" applyFont="1" applyBorder="1" applyAlignment="1">
      <alignment horizontal="right"/>
    </xf>
    <xf numFmtId="0" fontId="135" fillId="3" borderId="0" xfId="6" applyFont="1" applyFill="1"/>
    <xf numFmtId="5" fontId="94" fillId="0" borderId="0" xfId="6" applyNumberFormat="1" applyFont="1" applyAlignment="1">
      <alignment horizontal="left" vertical="center" indent="1"/>
    </xf>
    <xf numFmtId="0" fontId="38" fillId="19" borderId="10" xfId="6" applyFont="1" applyFill="1" applyBorder="1" applyAlignment="1">
      <alignment horizontal="center" vertical="center"/>
    </xf>
    <xf numFmtId="0" fontId="89" fillId="0" borderId="5" xfId="6" applyFont="1" applyBorder="1" applyAlignment="1">
      <alignment horizontal="left" indent="1"/>
    </xf>
    <xf numFmtId="0" fontId="89" fillId="0" borderId="6" xfId="12" applyNumberFormat="1" applyFont="1" applyFill="1" applyBorder="1" applyAlignment="1" applyProtection="1">
      <alignment horizontal="right" vertical="center"/>
    </xf>
    <xf numFmtId="0" fontId="63" fillId="3" borderId="5" xfId="6" applyFont="1" applyFill="1" applyBorder="1"/>
    <xf numFmtId="0" fontId="38" fillId="0" borderId="5" xfId="6" applyFont="1" applyBorder="1" applyAlignment="1">
      <alignment horizontal="center" vertical="center"/>
    </xf>
    <xf numFmtId="0" fontId="38" fillId="0" borderId="0" xfId="6" applyFont="1" applyAlignment="1">
      <alignment horizontal="center" vertical="center"/>
    </xf>
    <xf numFmtId="8" fontId="39" fillId="0" borderId="6" xfId="6" applyNumberFormat="1" applyFont="1" applyBorder="1" applyAlignment="1">
      <alignment horizontal="right" vertical="center"/>
    </xf>
    <xf numFmtId="43" fontId="89" fillId="0" borderId="5" xfId="6" applyNumberFormat="1" applyFont="1" applyBorder="1" applyAlignment="1">
      <alignment horizontal="right" vertical="center"/>
    </xf>
    <xf numFmtId="201" fontId="89" fillId="0" borderId="5" xfId="9" applyNumberFormat="1" applyFont="1" applyFill="1" applyBorder="1" applyAlignment="1" applyProtection="1">
      <alignment horizontal="right" vertical="center"/>
    </xf>
    <xf numFmtId="168" fontId="89" fillId="0" borderId="5" xfId="41" applyNumberFormat="1" applyFont="1" applyBorder="1" applyAlignment="1">
      <alignment horizontal="right" vertical="center"/>
    </xf>
    <xf numFmtId="0" fontId="108" fillId="0" borderId="20" xfId="6" applyFont="1" applyBorder="1"/>
    <xf numFmtId="0" fontId="109" fillId="0" borderId="21" xfId="6" applyFont="1" applyBorder="1" applyAlignment="1">
      <alignment horizontal="right"/>
    </xf>
    <xf numFmtId="3" fontId="36" fillId="0" borderId="0" xfId="41" applyNumberFormat="1" applyFont="1" applyBorder="1"/>
    <xf numFmtId="0" fontId="139" fillId="0" borderId="0" xfId="25" applyFont="1" applyAlignment="1">
      <alignment horizontal="right" vertical="center"/>
    </xf>
    <xf numFmtId="0" fontId="106" fillId="0" borderId="0" xfId="24" applyFont="1" applyAlignment="1">
      <alignment horizontal="center"/>
    </xf>
    <xf numFmtId="0" fontId="139" fillId="0" borderId="0" xfId="25" applyFont="1" applyAlignment="1">
      <alignment horizontal="right"/>
    </xf>
    <xf numFmtId="9" fontId="106" fillId="0" borderId="0" xfId="34" applyFont="1" applyBorder="1" applyAlignment="1">
      <alignment horizontal="center"/>
    </xf>
    <xf numFmtId="6" fontId="139" fillId="0" borderId="0" xfId="25" applyNumberFormat="1" applyFont="1"/>
    <xf numFmtId="172" fontId="139" fillId="0" borderId="0" xfId="34" applyNumberFormat="1" applyFont="1" applyBorder="1" applyAlignment="1">
      <alignment horizontal="center" vertical="center"/>
    </xf>
    <xf numFmtId="164" fontId="53" fillId="0" borderId="0" xfId="22" applyNumberFormat="1" applyFont="1"/>
    <xf numFmtId="167" fontId="124" fillId="0" borderId="0" xfId="25" applyNumberFormat="1" applyFont="1" applyAlignment="1">
      <alignment horizontal="center"/>
    </xf>
    <xf numFmtId="0" fontId="53" fillId="19" borderId="0" xfId="25" applyFont="1" applyFill="1" applyAlignment="1">
      <alignment horizontal="center" vertical="center"/>
    </xf>
    <xf numFmtId="9" fontId="53" fillId="0" borderId="0" xfId="25" applyNumberFormat="1" applyFont="1"/>
    <xf numFmtId="10" fontId="53" fillId="0" borderId="0" xfId="25" applyNumberFormat="1" applyFont="1"/>
    <xf numFmtId="0" fontId="141" fillId="0" borderId="0" xfId="25" applyFont="1"/>
    <xf numFmtId="0" fontId="53" fillId="0" borderId="2" xfId="25" applyFont="1" applyBorder="1"/>
    <xf numFmtId="0" fontId="141" fillId="0" borderId="2" xfId="25" applyFont="1" applyBorder="1"/>
    <xf numFmtId="0" fontId="53" fillId="0" borderId="0" xfId="25" applyFont="1" applyAlignment="1">
      <alignment horizontal="left"/>
    </xf>
    <xf numFmtId="0" fontId="53" fillId="0" borderId="18" xfId="25" applyFont="1" applyBorder="1" applyAlignment="1">
      <alignment horizontal="left"/>
    </xf>
    <xf numFmtId="0" fontId="53" fillId="0" borderId="18" xfId="25" applyFont="1" applyBorder="1"/>
    <xf numFmtId="0" fontId="139" fillId="0" borderId="16" xfId="25" applyFont="1" applyBorder="1" applyAlignment="1">
      <alignment horizontal="right" vertical="center"/>
    </xf>
    <xf numFmtId="6" fontId="123" fillId="24" borderId="0" xfId="25" applyNumberFormat="1" applyFont="1" applyFill="1" applyAlignment="1">
      <alignment horizontal="center"/>
    </xf>
    <xf numFmtId="6" fontId="58" fillId="24" borderId="0" xfId="25" applyNumberFormat="1" applyFont="1" applyFill="1" applyAlignment="1">
      <alignment horizontal="center"/>
    </xf>
    <xf numFmtId="10" fontId="42" fillId="0" borderId="0" xfId="25" applyNumberFormat="1" applyFont="1" applyAlignment="1">
      <alignment horizontal="center"/>
    </xf>
    <xf numFmtId="10" fontId="123" fillId="25" borderId="0" xfId="25" applyNumberFormat="1" applyFont="1" applyFill="1" applyAlignment="1">
      <alignment horizontal="center"/>
    </xf>
    <xf numFmtId="10" fontId="42" fillId="25" borderId="0" xfId="25" applyNumberFormat="1" applyFont="1" applyFill="1" applyAlignment="1">
      <alignment horizontal="left"/>
    </xf>
    <xf numFmtId="10" fontId="123" fillId="25" borderId="0" xfId="25" applyNumberFormat="1" applyFont="1" applyFill="1" applyAlignment="1">
      <alignment horizontal="left"/>
    </xf>
    <xf numFmtId="0" fontId="58" fillId="24" borderId="0" xfId="25" applyFont="1" applyFill="1" applyAlignment="1">
      <alignment horizontal="center"/>
    </xf>
    <xf numFmtId="0" fontId="139" fillId="24" borderId="0" xfId="25" applyFont="1" applyFill="1" applyAlignment="1">
      <alignment horizontal="right" vertical="center"/>
    </xf>
    <xf numFmtId="164" fontId="58" fillId="0" borderId="0" xfId="25" applyNumberFormat="1" applyFont="1" applyAlignment="1">
      <alignment horizontal="center"/>
    </xf>
    <xf numFmtId="9" fontId="58" fillId="24" borderId="0" xfId="25" applyNumberFormat="1" applyFont="1" applyFill="1" applyAlignment="1">
      <alignment horizontal="center"/>
    </xf>
    <xf numFmtId="206" fontId="123" fillId="24" borderId="0" xfId="25" applyNumberFormat="1" applyFont="1" applyFill="1" applyAlignment="1">
      <alignment horizontal="center"/>
    </xf>
    <xf numFmtId="207" fontId="123" fillId="24" borderId="0" xfId="25" applyNumberFormat="1" applyFont="1" applyFill="1" applyAlignment="1">
      <alignment horizontal="center"/>
    </xf>
    <xf numFmtId="49" fontId="58" fillId="24" borderId="0" xfId="25" applyNumberFormat="1" applyFont="1" applyFill="1" applyAlignment="1">
      <alignment horizontal="center"/>
    </xf>
    <xf numFmtId="164" fontId="58" fillId="24" borderId="0" xfId="25" applyNumberFormat="1" applyFont="1" applyFill="1" applyAlignment="1">
      <alignment horizontal="center"/>
    </xf>
    <xf numFmtId="10" fontId="58" fillId="24" borderId="0" xfId="25" applyNumberFormat="1" applyFont="1" applyFill="1" applyAlignment="1">
      <alignment horizontal="left"/>
    </xf>
    <xf numFmtId="10" fontId="65" fillId="0" borderId="0" xfId="25" applyNumberFormat="1" applyFont="1"/>
    <xf numFmtId="0" fontId="117" fillId="0" borderId="0" xfId="25" applyFont="1" applyAlignment="1">
      <alignment horizontal="left"/>
    </xf>
    <xf numFmtId="168" fontId="53" fillId="0" borderId="0" xfId="26" applyNumberFormat="1" applyFont="1" applyFill="1" applyAlignment="1">
      <alignment horizontal="center" vertical="center"/>
    </xf>
    <xf numFmtId="10" fontId="53" fillId="0" borderId="0" xfId="27" applyNumberFormat="1" applyFont="1" applyFill="1" applyAlignment="1">
      <alignment horizontal="center" vertical="center"/>
    </xf>
    <xf numFmtId="0" fontId="119" fillId="0" borderId="16" xfId="25" applyFont="1" applyBorder="1" applyAlignment="1">
      <alignment horizontal="center" vertical="center"/>
    </xf>
    <xf numFmtId="0" fontId="65" fillId="19" borderId="0" xfId="25" applyFont="1" applyFill="1" applyAlignment="1">
      <alignment horizontal="center"/>
    </xf>
    <xf numFmtId="0" fontId="118" fillId="19" borderId="0" xfId="25" applyFont="1" applyFill="1"/>
    <xf numFmtId="10" fontId="123" fillId="6" borderId="0" xfId="25" applyNumberFormat="1" applyFont="1" applyFill="1"/>
    <xf numFmtId="6" fontId="42" fillId="0" borderId="0" xfId="25" applyNumberFormat="1" applyFont="1" applyAlignment="1">
      <alignment horizontal="center"/>
    </xf>
    <xf numFmtId="10" fontId="123" fillId="25" borderId="0" xfId="25" applyNumberFormat="1" applyFont="1" applyFill="1"/>
    <xf numFmtId="1" fontId="0" fillId="0" borderId="0" xfId="0" applyNumberFormat="1"/>
    <xf numFmtId="38" fontId="39" fillId="0" borderId="0" xfId="0" applyNumberFormat="1" applyFont="1" applyAlignment="1">
      <alignment horizontal="center"/>
    </xf>
    <xf numFmtId="0" fontId="39" fillId="0" borderId="0" xfId="0" applyFont="1" applyAlignment="1">
      <alignment horizontal="center"/>
    </xf>
    <xf numFmtId="164" fontId="39" fillId="0" borderId="0" xfId="0" applyNumberFormat="1" applyFont="1" applyAlignment="1">
      <alignment horizontal="center"/>
    </xf>
    <xf numFmtId="0" fontId="73" fillId="26" borderId="0" xfId="0" applyFont="1" applyFill="1"/>
    <xf numFmtId="38" fontId="73" fillId="26" borderId="0" xfId="0" applyNumberFormat="1" applyFont="1" applyFill="1" applyAlignment="1">
      <alignment horizontal="center"/>
    </xf>
    <xf numFmtId="168" fontId="42" fillId="0" borderId="0" xfId="41" applyNumberFormat="1" applyFont="1" applyFill="1"/>
    <xf numFmtId="6" fontId="42" fillId="0" borderId="0" xfId="0" applyNumberFormat="1" applyFont="1"/>
    <xf numFmtId="164" fontId="73" fillId="26" borderId="0" xfId="0" applyNumberFormat="1" applyFont="1" applyFill="1" applyAlignment="1">
      <alignment horizontal="center"/>
    </xf>
    <xf numFmtId="0" fontId="108" fillId="0" borderId="0" xfId="0" applyFont="1" applyAlignment="1">
      <alignment wrapText="1"/>
    </xf>
    <xf numFmtId="0" fontId="108" fillId="0" borderId="0" xfId="0" applyFont="1" applyAlignment="1">
      <alignment horizontal="left"/>
    </xf>
    <xf numFmtId="0" fontId="89" fillId="0" borderId="1" xfId="6" applyFont="1" applyBorder="1" applyAlignment="1">
      <alignment horizontal="left" vertical="center"/>
    </xf>
    <xf numFmtId="5" fontId="89" fillId="0" borderId="1" xfId="6" applyNumberFormat="1" applyFont="1" applyBorder="1" applyAlignment="1">
      <alignment horizontal="right" vertical="center"/>
    </xf>
    <xf numFmtId="44" fontId="89" fillId="0" borderId="1" xfId="6" applyNumberFormat="1" applyFont="1" applyBorder="1" applyAlignment="1">
      <alignment horizontal="right" vertical="center"/>
    </xf>
    <xf numFmtId="10" fontId="89" fillId="0" borderId="1" xfId="6" applyNumberFormat="1" applyFont="1" applyBorder="1" applyAlignment="1">
      <alignment horizontal="right" vertical="center"/>
    </xf>
    <xf numFmtId="0" fontId="46" fillId="0" borderId="1" xfId="6" applyFont="1" applyBorder="1" applyAlignment="1">
      <alignment horizontal="left" vertical="center" indent="1"/>
    </xf>
    <xf numFmtId="9" fontId="46" fillId="0" borderId="0" xfId="6" applyNumberFormat="1" applyFont="1" applyAlignment="1">
      <alignment horizontal="left" vertical="center" indent="2" shrinkToFit="1"/>
    </xf>
    <xf numFmtId="0" fontId="46" fillId="0" borderId="0" xfId="6" applyFont="1" applyAlignment="1">
      <alignment horizontal="left" vertical="center" indent="2" shrinkToFit="1"/>
    </xf>
    <xf numFmtId="168" fontId="57" fillId="0" borderId="0" xfId="9" applyNumberFormat="1" applyFont="1" applyFill="1" applyBorder="1" applyAlignment="1" applyProtection="1">
      <alignment horizontal="right" vertical="center"/>
    </xf>
    <xf numFmtId="173" fontId="46" fillId="0" borderId="0" xfId="14" applyNumberFormat="1" applyFont="1" applyFill="1" applyBorder="1" applyAlignment="1" applyProtection="1">
      <alignment horizontal="left" vertical="center" indent="2" shrinkToFit="1"/>
    </xf>
    <xf numFmtId="44" fontId="46" fillId="0" borderId="0" xfId="6" applyNumberFormat="1" applyFont="1" applyAlignment="1">
      <alignment horizontal="left" vertical="center" indent="2"/>
    </xf>
    <xf numFmtId="0" fontId="39" fillId="0" borderId="0" xfId="6" applyFont="1" applyAlignment="1">
      <alignment horizontal="right" vertical="center"/>
    </xf>
    <xf numFmtId="168" fontId="46" fillId="0" borderId="5" xfId="7" applyNumberFormat="1" applyFont="1" applyFill="1" applyBorder="1" applyAlignment="1"/>
    <xf numFmtId="0" fontId="41" fillId="0" borderId="33" xfId="0" applyFont="1" applyBorder="1" applyAlignment="1">
      <alignment horizontal="right" vertical="center" indent="1"/>
    </xf>
    <xf numFmtId="44" fontId="93" fillId="0" borderId="5" xfId="4" applyFont="1" applyFill="1" applyBorder="1" applyAlignment="1" applyProtection="1">
      <alignment horizontal="right" vertical="center"/>
    </xf>
    <xf numFmtId="5" fontId="93" fillId="0" borderId="10" xfId="12" applyNumberFormat="1" applyFont="1" applyFill="1" applyBorder="1" applyAlignment="1" applyProtection="1">
      <alignment horizontal="right" vertical="center"/>
    </xf>
    <xf numFmtId="5" fontId="58" fillId="0" borderId="10" xfId="12" applyNumberFormat="1" applyFont="1" applyFill="1" applyBorder="1" applyAlignment="1" applyProtection="1">
      <alignment horizontal="right" vertical="center"/>
    </xf>
    <xf numFmtId="204" fontId="58" fillId="0" borderId="0" xfId="25" applyNumberFormat="1" applyFont="1" applyAlignment="1">
      <alignment horizontal="center"/>
    </xf>
    <xf numFmtId="10" fontId="58" fillId="0" borderId="2" xfId="25" applyNumberFormat="1" applyFont="1" applyBorder="1" applyAlignment="1">
      <alignment horizontal="left"/>
    </xf>
    <xf numFmtId="206" fontId="58" fillId="0" borderId="0" xfId="25" applyNumberFormat="1" applyFont="1" applyAlignment="1">
      <alignment horizontal="center"/>
    </xf>
    <xf numFmtId="0" fontId="123" fillId="0" borderId="0" xfId="25" applyFont="1" applyAlignment="1">
      <alignment wrapText="1"/>
    </xf>
    <xf numFmtId="0" fontId="58" fillId="0" borderId="0" xfId="25" applyFont="1" applyAlignment="1">
      <alignment vertical="center"/>
    </xf>
    <xf numFmtId="14" fontId="58" fillId="0" borderId="0" xfId="25" applyNumberFormat="1" applyFont="1" applyAlignment="1">
      <alignment vertical="center"/>
    </xf>
    <xf numFmtId="6" fontId="58" fillId="0" borderId="0" xfId="25" applyNumberFormat="1" applyFont="1" applyAlignment="1">
      <alignment horizontal="center" vertical="center"/>
    </xf>
    <xf numFmtId="10" fontId="58" fillId="0" borderId="0" xfId="25" applyNumberFormat="1" applyFont="1" applyAlignment="1">
      <alignment horizontal="center" vertical="center"/>
    </xf>
    <xf numFmtId="0" fontId="58" fillId="6" borderId="0" xfId="25" applyFont="1" applyFill="1" applyAlignment="1">
      <alignment vertical="center"/>
    </xf>
    <xf numFmtId="10" fontId="58" fillId="6" borderId="0" xfId="25" applyNumberFormat="1" applyFont="1" applyFill="1" applyAlignment="1">
      <alignment vertical="center"/>
    </xf>
    <xf numFmtId="10" fontId="58" fillId="6" borderId="0" xfId="25" applyNumberFormat="1" applyFont="1" applyFill="1" applyAlignment="1">
      <alignment horizontal="center" vertical="center"/>
    </xf>
    <xf numFmtId="10" fontId="58" fillId="6" borderId="0" xfId="25" applyNumberFormat="1" applyFont="1" applyFill="1" applyAlignment="1">
      <alignment horizontal="left" vertical="center"/>
    </xf>
    <xf numFmtId="10" fontId="58" fillId="27" borderId="79" xfId="25" applyNumberFormat="1" applyFont="1" applyFill="1" applyBorder="1" applyAlignment="1">
      <alignment vertical="center"/>
    </xf>
    <xf numFmtId="10" fontId="58" fillId="27" borderId="79" xfId="25" applyNumberFormat="1" applyFont="1" applyFill="1" applyBorder="1" applyAlignment="1">
      <alignment horizontal="center" vertical="center"/>
    </xf>
    <xf numFmtId="10" fontId="58" fillId="27" borderId="79" xfId="25" applyNumberFormat="1" applyFont="1" applyFill="1" applyBorder="1" applyAlignment="1">
      <alignment horizontal="left" vertical="center"/>
    </xf>
    <xf numFmtId="10" fontId="58" fillId="0" borderId="2" xfId="25" applyNumberFormat="1" applyFont="1" applyBorder="1" applyAlignment="1">
      <alignment horizontal="left" vertical="center"/>
    </xf>
    <xf numFmtId="10" fontId="58" fillId="0" borderId="2" xfId="25" applyNumberFormat="1" applyFont="1" applyBorder="1" applyAlignment="1">
      <alignment vertical="center"/>
    </xf>
    <xf numFmtId="10" fontId="58" fillId="0" borderId="2" xfId="25" applyNumberFormat="1" applyFont="1" applyBorder="1" applyAlignment="1">
      <alignment horizontal="center" vertical="center"/>
    </xf>
    <xf numFmtId="10" fontId="58" fillId="27" borderId="2" xfId="25" applyNumberFormat="1" applyFont="1" applyFill="1" applyBorder="1" applyAlignment="1">
      <alignment vertical="center"/>
    </xf>
    <xf numFmtId="10" fontId="58" fillId="27" borderId="2" xfId="25" applyNumberFormat="1" applyFont="1" applyFill="1" applyBorder="1" applyAlignment="1">
      <alignment horizontal="center" vertical="center"/>
    </xf>
    <xf numFmtId="10" fontId="58" fillId="27" borderId="2" xfId="25" applyNumberFormat="1" applyFont="1" applyFill="1" applyBorder="1" applyAlignment="1">
      <alignment horizontal="left" vertical="center"/>
    </xf>
    <xf numFmtId="10" fontId="58" fillId="27" borderId="1" xfId="25" applyNumberFormat="1" applyFont="1" applyFill="1" applyBorder="1" applyAlignment="1">
      <alignment vertical="center"/>
    </xf>
    <xf numFmtId="10" fontId="58" fillId="27" borderId="1" xfId="25" applyNumberFormat="1" applyFont="1" applyFill="1" applyBorder="1" applyAlignment="1">
      <alignment horizontal="center" vertical="center"/>
    </xf>
    <xf numFmtId="10" fontId="58" fillId="27" borderId="1" xfId="25" applyNumberFormat="1" applyFont="1" applyFill="1" applyBorder="1" applyAlignment="1">
      <alignment horizontal="left" vertical="center"/>
    </xf>
    <xf numFmtId="10" fontId="58" fillId="0" borderId="0" xfId="25" applyNumberFormat="1" applyFont="1" applyAlignment="1">
      <alignment horizontal="left" vertical="center"/>
    </xf>
    <xf numFmtId="10" fontId="58" fillId="0" borderId="1" xfId="25" applyNumberFormat="1" applyFont="1" applyBorder="1" applyAlignment="1">
      <alignment vertical="center"/>
    </xf>
    <xf numFmtId="10" fontId="58" fillId="0" borderId="1" xfId="25" applyNumberFormat="1" applyFont="1" applyBorder="1" applyAlignment="1">
      <alignment horizontal="center" vertical="center"/>
    </xf>
    <xf numFmtId="10" fontId="58" fillId="0" borderId="1" xfId="25" applyNumberFormat="1" applyFont="1" applyBorder="1" applyAlignment="1">
      <alignment horizontal="left" vertical="center"/>
    </xf>
    <xf numFmtId="0" fontId="58" fillId="0" borderId="0" xfId="25" applyFont="1" applyAlignment="1">
      <alignment horizontal="center" vertical="center"/>
    </xf>
    <xf numFmtId="164" fontId="58" fillId="0" borderId="1" xfId="25" applyNumberFormat="1" applyFont="1" applyBorder="1" applyAlignment="1">
      <alignment horizontal="center" vertical="center"/>
    </xf>
    <xf numFmtId="205" fontId="58" fillId="0" borderId="0" xfId="25" applyNumberFormat="1" applyFont="1" applyAlignment="1">
      <alignment horizontal="center" vertical="center"/>
    </xf>
    <xf numFmtId="9" fontId="58" fillId="0" borderId="0" xfId="25" applyNumberFormat="1" applyFont="1" applyAlignment="1">
      <alignment horizontal="center" vertical="center"/>
    </xf>
    <xf numFmtId="177" fontId="58" fillId="0" borderId="0" xfId="25" applyNumberFormat="1" applyFont="1" applyAlignment="1">
      <alignment horizontal="center" vertical="center"/>
    </xf>
    <xf numFmtId="208" fontId="58" fillId="0" borderId="0" xfId="25" applyNumberFormat="1" applyFont="1" applyAlignment="1">
      <alignment horizontal="center" vertical="center"/>
    </xf>
    <xf numFmtId="49" fontId="58" fillId="0" borderId="0" xfId="25" applyNumberFormat="1" applyFont="1" applyAlignment="1">
      <alignment horizontal="center" vertical="center"/>
    </xf>
    <xf numFmtId="1" fontId="58" fillId="0" borderId="0" xfId="25" applyNumberFormat="1" applyFont="1" applyAlignment="1">
      <alignment horizontal="center" vertical="center"/>
    </xf>
    <xf numFmtId="164" fontId="58" fillId="0" borderId="0" xfId="25" applyNumberFormat="1" applyFont="1" applyAlignment="1">
      <alignment horizontal="center" vertical="center"/>
    </xf>
    <xf numFmtId="0" fontId="123" fillId="0" borderId="2" xfId="6" applyFont="1" applyBorder="1" applyAlignment="1">
      <alignment horizontal="left"/>
    </xf>
    <xf numFmtId="0" fontId="142" fillId="0" borderId="28" xfId="6" applyFont="1" applyBorder="1" applyAlignment="1">
      <alignment horizontal="right" vertical="center"/>
    </xf>
    <xf numFmtId="164" fontId="142" fillId="0" borderId="10" xfId="12" applyNumberFormat="1" applyFont="1" applyFill="1" applyBorder="1" applyAlignment="1" applyProtection="1">
      <alignment horizontal="right" vertical="center"/>
    </xf>
    <xf numFmtId="0" fontId="143" fillId="0" borderId="9" xfId="6" applyFont="1" applyBorder="1" applyAlignment="1">
      <alignment horizontal="right" vertical="center"/>
    </xf>
    <xf numFmtId="164" fontId="143" fillId="0" borderId="10" xfId="12" applyNumberFormat="1" applyFont="1" applyFill="1" applyBorder="1" applyAlignment="1" applyProtection="1">
      <alignment horizontal="right" vertical="center"/>
    </xf>
    <xf numFmtId="0" fontId="58" fillId="0" borderId="28" xfId="6" applyFont="1" applyBorder="1" applyAlignment="1">
      <alignment horizontal="right" vertical="center"/>
    </xf>
    <xf numFmtId="0" fontId="58" fillId="0" borderId="5" xfId="6" applyFont="1" applyBorder="1" applyAlignment="1">
      <alignment vertical="center"/>
    </xf>
    <xf numFmtId="0" fontId="58" fillId="0" borderId="6" xfId="6" applyFont="1" applyBorder="1" applyAlignment="1">
      <alignment vertical="center"/>
    </xf>
    <xf numFmtId="0" fontId="46" fillId="0" borderId="27" xfId="6" applyFont="1" applyBorder="1" applyAlignment="1">
      <alignment horizontal="left" vertical="center"/>
    </xf>
    <xf numFmtId="0" fontId="46" fillId="0" borderId="5" xfId="6" applyFont="1" applyBorder="1" applyAlignment="1">
      <alignment horizontal="left" vertical="center"/>
    </xf>
    <xf numFmtId="0" fontId="46" fillId="0" borderId="28" xfId="6" applyFont="1" applyBorder="1" applyAlignment="1">
      <alignment horizontal="left" vertical="center"/>
    </xf>
    <xf numFmtId="0" fontId="58" fillId="27" borderId="20" xfId="6" applyFont="1" applyFill="1" applyBorder="1" applyAlignment="1">
      <alignment vertical="center"/>
    </xf>
    <xf numFmtId="5" fontId="58" fillId="27" borderId="20" xfId="9" applyNumberFormat="1" applyFont="1" applyFill="1" applyBorder="1" applyAlignment="1" applyProtection="1">
      <alignment horizontal="right" vertical="center"/>
    </xf>
    <xf numFmtId="10" fontId="58" fillId="27" borderId="21" xfId="9" applyNumberFormat="1" applyFont="1" applyFill="1" applyBorder="1" applyAlignment="1" applyProtection="1">
      <alignment horizontal="right" vertical="center"/>
    </xf>
    <xf numFmtId="0" fontId="57" fillId="0" borderId="5" xfId="6" applyFont="1" applyBorder="1" applyAlignment="1">
      <alignment horizontal="left" vertical="center"/>
    </xf>
    <xf numFmtId="5" fontId="57" fillId="0" borderId="5" xfId="7" applyNumberFormat="1" applyFont="1" applyFill="1" applyBorder="1" applyAlignment="1" applyProtection="1">
      <alignment horizontal="left" vertical="center"/>
    </xf>
    <xf numFmtId="5" fontId="58" fillId="0" borderId="9" xfId="9" applyNumberFormat="1" applyFont="1" applyFill="1" applyBorder="1" applyAlignment="1" applyProtection="1">
      <alignment horizontal="right" vertical="center"/>
    </xf>
    <xf numFmtId="0" fontId="58" fillId="27" borderId="20" xfId="6" applyFont="1" applyFill="1" applyBorder="1" applyAlignment="1">
      <alignment horizontal="left" vertical="center"/>
    </xf>
    <xf numFmtId="5" fontId="58" fillId="27" borderId="21" xfId="9" applyNumberFormat="1" applyFont="1" applyFill="1" applyBorder="1" applyAlignment="1" applyProtection="1">
      <alignment horizontal="right" vertical="center"/>
    </xf>
    <xf numFmtId="0" fontId="46" fillId="0" borderId="5" xfId="6" applyFont="1" applyBorder="1" applyAlignment="1">
      <alignment vertical="center"/>
    </xf>
    <xf numFmtId="0" fontId="46" fillId="0" borderId="20" xfId="6" applyFont="1" applyBorder="1" applyAlignment="1">
      <alignment vertical="center"/>
    </xf>
    <xf numFmtId="164" fontId="142" fillId="0" borderId="20" xfId="12" applyNumberFormat="1" applyFont="1" applyFill="1" applyBorder="1" applyAlignment="1" applyProtection="1">
      <alignment horizontal="right" vertical="center"/>
    </xf>
    <xf numFmtId="0" fontId="143" fillId="0" borderId="21" xfId="6" applyFont="1" applyBorder="1" applyAlignment="1">
      <alignment horizontal="right" vertical="center"/>
    </xf>
    <xf numFmtId="164" fontId="143" fillId="0" borderId="20" xfId="12" applyNumberFormat="1" applyFont="1" applyFill="1" applyBorder="1" applyAlignment="1" applyProtection="1">
      <alignment horizontal="right" vertical="center"/>
    </xf>
    <xf numFmtId="168" fontId="67" fillId="0" borderId="6" xfId="12" applyNumberFormat="1" applyFont="1" applyFill="1" applyBorder="1" applyAlignment="1" applyProtection="1">
      <alignment horizontal="right" vertical="center"/>
    </xf>
    <xf numFmtId="0" fontId="58" fillId="0" borderId="5" xfId="6" applyFont="1" applyBorder="1" applyAlignment="1">
      <alignment horizontal="left" vertical="center"/>
    </xf>
    <xf numFmtId="171" fontId="57" fillId="0" borderId="6" xfId="5" applyNumberFormat="1" applyFont="1" applyFill="1" applyBorder="1" applyAlignment="1" applyProtection="1">
      <alignment horizontal="right" vertical="center"/>
    </xf>
    <xf numFmtId="0" fontId="58" fillId="0" borderId="10" xfId="6" applyFont="1" applyBorder="1" applyAlignment="1">
      <alignment horizontal="left" vertical="center"/>
    </xf>
    <xf numFmtId="0" fontId="58" fillId="27" borderId="30" xfId="6" applyFont="1" applyFill="1" applyBorder="1" applyAlignment="1">
      <alignment horizontal="left" vertical="center"/>
    </xf>
    <xf numFmtId="5" fontId="58" fillId="27" borderId="20" xfId="12" applyNumberFormat="1" applyFont="1" applyFill="1" applyBorder="1" applyAlignment="1" applyProtection="1">
      <alignment horizontal="right" vertical="center"/>
    </xf>
    <xf numFmtId="5" fontId="58" fillId="0" borderId="5" xfId="6" applyNumberFormat="1" applyFont="1" applyBorder="1" applyAlignment="1">
      <alignment vertical="center"/>
    </xf>
    <xf numFmtId="0" fontId="38" fillId="28" borderId="30" xfId="6" applyFont="1" applyFill="1" applyBorder="1" applyAlignment="1">
      <alignment horizontal="left" vertical="center"/>
    </xf>
    <xf numFmtId="5" fontId="38" fillId="28" borderId="20" xfId="12" applyNumberFormat="1" applyFont="1" applyFill="1" applyBorder="1" applyAlignment="1" applyProtection="1">
      <alignment horizontal="right" vertical="center"/>
    </xf>
    <xf numFmtId="5" fontId="38" fillId="28" borderId="21" xfId="9" applyNumberFormat="1" applyFont="1" applyFill="1" applyBorder="1" applyAlignment="1" applyProtection="1">
      <alignment horizontal="right" vertical="center"/>
    </xf>
    <xf numFmtId="5" fontId="58" fillId="0" borderId="28" xfId="6" applyNumberFormat="1" applyFont="1" applyBorder="1" applyAlignment="1">
      <alignment horizontal="left" vertical="center"/>
    </xf>
    <xf numFmtId="5" fontId="131" fillId="19" borderId="0" xfId="6" applyNumberFormat="1" applyFont="1" applyFill="1" applyAlignment="1">
      <alignment horizontal="left" vertical="center" indent="1"/>
    </xf>
    <xf numFmtId="0" fontId="52" fillId="19" borderId="0" xfId="6" applyFont="1" applyFill="1" applyAlignment="1">
      <alignment vertical="center"/>
    </xf>
    <xf numFmtId="7" fontId="52" fillId="19" borderId="0" xfId="6" applyNumberFormat="1" applyFont="1" applyFill="1" applyAlignment="1">
      <alignment vertical="center"/>
    </xf>
    <xf numFmtId="0" fontId="0" fillId="19" borderId="0" xfId="0" applyFill="1"/>
    <xf numFmtId="0" fontId="5" fillId="19" borderId="0" xfId="6" applyFont="1" applyFill="1"/>
    <xf numFmtId="0" fontId="13" fillId="0" borderId="0" xfId="6" applyFont="1" applyAlignment="1">
      <alignment horizontal="right" vertical="center"/>
    </xf>
    <xf numFmtId="0" fontId="59" fillId="3" borderId="0" xfId="6" applyFont="1" applyFill="1" applyAlignment="1">
      <alignment horizontal="right" vertical="center"/>
    </xf>
    <xf numFmtId="0" fontId="59" fillId="3" borderId="0" xfId="6" applyFont="1" applyFill="1" applyAlignment="1">
      <alignment vertical="center"/>
    </xf>
    <xf numFmtId="0" fontId="36" fillId="3" borderId="0" xfId="6" applyFont="1" applyFill="1" applyAlignment="1">
      <alignment vertical="center"/>
    </xf>
    <xf numFmtId="43" fontId="11" fillId="3" borderId="0" xfId="7" applyFont="1" applyFill="1" applyBorder="1" applyAlignment="1">
      <alignment vertical="center"/>
    </xf>
    <xf numFmtId="5" fontId="36" fillId="3" borderId="0" xfId="6" applyNumberFormat="1" applyFont="1" applyFill="1" applyAlignment="1">
      <alignment vertical="center"/>
    </xf>
    <xf numFmtId="44" fontId="36" fillId="3" borderId="0" xfId="4" applyFont="1" applyFill="1" applyBorder="1" applyAlignment="1">
      <alignment vertical="center"/>
    </xf>
    <xf numFmtId="10" fontId="36" fillId="3" borderId="0" xfId="6" applyNumberFormat="1" applyFont="1" applyFill="1" applyAlignment="1">
      <alignment vertical="center"/>
    </xf>
    <xf numFmtId="0" fontId="135" fillId="3" borderId="0" xfId="6" applyFont="1" applyFill="1" applyAlignment="1">
      <alignment vertical="center"/>
    </xf>
    <xf numFmtId="166" fontId="36" fillId="3" borderId="0" xfId="4" applyNumberFormat="1" applyFont="1" applyFill="1" applyBorder="1" applyAlignment="1">
      <alignment vertical="center"/>
    </xf>
    <xf numFmtId="168" fontId="59" fillId="3" borderId="0" xfId="6" applyNumberFormat="1" applyFont="1" applyFill="1" applyAlignment="1">
      <alignment vertical="center"/>
    </xf>
    <xf numFmtId="5" fontId="59" fillId="3" borderId="0" xfId="6" applyNumberFormat="1" applyFont="1" applyFill="1" applyAlignment="1">
      <alignment vertical="center"/>
    </xf>
    <xf numFmtId="188" fontId="138" fillId="0" borderId="22" xfId="0" applyNumberFormat="1" applyFont="1" applyBorder="1" applyAlignment="1">
      <alignment horizontal="right" vertical="center" indent="1"/>
    </xf>
    <xf numFmtId="164" fontId="151" fillId="0" borderId="0" xfId="6" applyNumberFormat="1" applyFont="1" applyAlignment="1">
      <alignment horizontal="left"/>
    </xf>
    <xf numFmtId="164" fontId="59" fillId="0" borderId="0" xfId="0" applyNumberFormat="1" applyFont="1" applyAlignment="1">
      <alignment horizontal="center" vertical="center"/>
    </xf>
    <xf numFmtId="10" fontId="155" fillId="0" borderId="82" xfId="0" applyNumberFormat="1" applyFont="1" applyBorder="1" applyAlignment="1">
      <alignment horizontal="right"/>
    </xf>
    <xf numFmtId="10" fontId="155" fillId="33" borderId="82" xfId="0" applyNumberFormat="1" applyFont="1" applyFill="1" applyBorder="1" applyAlignment="1">
      <alignment horizontal="right"/>
    </xf>
    <xf numFmtId="14" fontId="155" fillId="0" borderId="82" xfId="0" applyNumberFormat="1" applyFont="1" applyBorder="1" applyAlignment="1">
      <alignment horizontal="right"/>
    </xf>
    <xf numFmtId="14" fontId="155" fillId="33" borderId="82" xfId="0" applyNumberFormat="1" applyFont="1" applyFill="1" applyBorder="1" applyAlignment="1">
      <alignment horizontal="right"/>
    </xf>
    <xf numFmtId="225" fontId="48" fillId="0" borderId="0" xfId="6" applyNumberFormat="1" applyFont="1" applyAlignment="1">
      <alignment horizontal="left"/>
    </xf>
    <xf numFmtId="224" fontId="48" fillId="0" borderId="0" xfId="6" applyNumberFormat="1" applyFont="1" applyAlignment="1">
      <alignment horizontal="left"/>
    </xf>
    <xf numFmtId="9" fontId="156" fillId="10" borderId="0" xfId="5" applyFont="1" applyFill="1" applyAlignment="1">
      <alignment horizontal="right"/>
    </xf>
    <xf numFmtId="9" fontId="46" fillId="0" borderId="5" xfId="34" applyFont="1" applyFill="1" applyBorder="1" applyAlignment="1" applyProtection="1">
      <alignment horizontal="right" vertical="center"/>
    </xf>
    <xf numFmtId="10" fontId="46" fillId="0" borderId="0" xfId="6" applyNumberFormat="1" applyFont="1" applyAlignment="1">
      <alignment horizontal="left" vertical="center" indent="2" shrinkToFit="1"/>
    </xf>
    <xf numFmtId="226" fontId="36" fillId="0" borderId="0" xfId="0" applyNumberFormat="1" applyFont="1"/>
    <xf numFmtId="44" fontId="63" fillId="3" borderId="0" xfId="6" applyNumberFormat="1" applyFont="1" applyFill="1"/>
    <xf numFmtId="10" fontId="36" fillId="3" borderId="0" xfId="34" applyNumberFormat="1" applyFont="1" applyFill="1"/>
    <xf numFmtId="202" fontId="58" fillId="0" borderId="0" xfId="6" applyNumberFormat="1" applyFont="1" applyAlignment="1">
      <alignment horizontal="left" indent="1"/>
    </xf>
    <xf numFmtId="9" fontId="46" fillId="0" borderId="0" xfId="7" applyNumberFormat="1" applyFont="1" applyFill="1" applyBorder="1" applyAlignment="1"/>
    <xf numFmtId="0" fontId="46" fillId="0" borderId="27" xfId="6" applyFont="1" applyBorder="1" applyAlignment="1">
      <alignment horizontal="left" vertical="center" indent="1"/>
    </xf>
    <xf numFmtId="0" fontId="46" fillId="3" borderId="27" xfId="6" applyFont="1" applyFill="1" applyBorder="1" applyAlignment="1">
      <alignment horizontal="left" vertical="center" indent="1"/>
    </xf>
    <xf numFmtId="7" fontId="57" fillId="0" borderId="27" xfId="6" applyNumberFormat="1" applyFont="1" applyBorder="1" applyAlignment="1">
      <alignment horizontal="left" vertical="center" indent="1"/>
    </xf>
    <xf numFmtId="5" fontId="57" fillId="0" borderId="27" xfId="6" applyNumberFormat="1" applyFont="1" applyBorder="1" applyAlignment="1">
      <alignment horizontal="left" vertical="center" indent="1"/>
    </xf>
    <xf numFmtId="7" fontId="46" fillId="0" borderId="27" xfId="6" applyNumberFormat="1" applyFont="1" applyBorder="1" applyAlignment="1">
      <alignment horizontal="left" vertical="center" indent="1"/>
    </xf>
    <xf numFmtId="168" fontId="46" fillId="0" borderId="27" xfId="9" applyNumberFormat="1" applyFont="1" applyFill="1" applyBorder="1" applyAlignment="1" applyProtection="1">
      <alignment horizontal="left" vertical="center" indent="1"/>
    </xf>
    <xf numFmtId="185" fontId="46" fillId="3" borderId="27" xfId="6" applyNumberFormat="1" applyFont="1" applyFill="1" applyBorder="1" applyAlignment="1">
      <alignment horizontal="left" vertical="center" indent="1"/>
    </xf>
    <xf numFmtId="179" fontId="46" fillId="3" borderId="27" xfId="6" applyNumberFormat="1" applyFont="1" applyFill="1" applyBorder="1" applyAlignment="1">
      <alignment horizontal="left" vertical="center" indent="1"/>
    </xf>
    <xf numFmtId="180" fontId="46" fillId="0" borderId="27" xfId="6" applyNumberFormat="1" applyFont="1" applyBorder="1" applyAlignment="1">
      <alignment horizontal="left" vertical="center" indent="1"/>
    </xf>
    <xf numFmtId="168" fontId="46" fillId="0" borderId="27" xfId="12" applyNumberFormat="1" applyFont="1" applyFill="1" applyBorder="1" applyAlignment="1">
      <alignment horizontal="left" vertical="center" indent="1"/>
    </xf>
    <xf numFmtId="6" fontId="41" fillId="0" borderId="0" xfId="9" applyNumberFormat="1" applyFont="1" applyFill="1" applyBorder="1" applyAlignment="1" applyProtection="1">
      <alignment horizontal="center" vertical="center"/>
    </xf>
    <xf numFmtId="6" fontId="41" fillId="0" borderId="18" xfId="9" applyNumberFormat="1" applyFont="1" applyFill="1" applyBorder="1" applyAlignment="1" applyProtection="1">
      <alignment horizontal="center" vertical="center"/>
    </xf>
    <xf numFmtId="6" fontId="42" fillId="0" borderId="18" xfId="9" applyNumberFormat="1" applyFont="1" applyFill="1" applyBorder="1" applyAlignment="1" applyProtection="1">
      <alignment horizontal="center" vertical="center"/>
    </xf>
    <xf numFmtId="9" fontId="94" fillId="0" borderId="0" xfId="6" applyNumberFormat="1" applyFont="1" applyAlignment="1">
      <alignment horizontal="right" vertical="center"/>
    </xf>
    <xf numFmtId="10" fontId="53" fillId="14" borderId="0" xfId="6" applyNumberFormat="1" applyFont="1" applyFill="1" applyAlignment="1">
      <alignment horizontal="right" vertical="center"/>
    </xf>
    <xf numFmtId="177" fontId="53" fillId="14" borderId="0" xfId="6" applyNumberFormat="1" applyFont="1" applyFill="1" applyAlignment="1">
      <alignment horizontal="right" vertical="center"/>
    </xf>
    <xf numFmtId="10" fontId="53" fillId="14" borderId="0" xfId="6" applyNumberFormat="1" applyFont="1" applyFill="1" applyAlignment="1">
      <alignment vertical="center"/>
    </xf>
    <xf numFmtId="0" fontId="36" fillId="34" borderId="0" xfId="0" applyFont="1" applyFill="1" applyAlignment="1">
      <alignment horizontal="left" vertical="center"/>
    </xf>
    <xf numFmtId="0" fontId="152" fillId="0" borderId="0" xfId="0" applyFont="1"/>
    <xf numFmtId="223" fontId="152" fillId="0" borderId="0" xfId="0" applyNumberFormat="1" applyFont="1" applyAlignment="1">
      <alignment horizontal="center"/>
    </xf>
    <xf numFmtId="0" fontId="144" fillId="0" borderId="0" xfId="0" applyFont="1"/>
    <xf numFmtId="223" fontId="144" fillId="0" borderId="0" xfId="0" applyNumberFormat="1" applyFont="1" applyAlignment="1">
      <alignment horizontal="center"/>
    </xf>
    <xf numFmtId="0" fontId="145" fillId="0" borderId="0" xfId="0" applyFont="1" applyProtection="1">
      <protection locked="0"/>
    </xf>
    <xf numFmtId="0" fontId="145" fillId="0" borderId="0" xfId="0" applyFont="1" applyAlignment="1" applyProtection="1">
      <alignment horizontal="center"/>
      <protection locked="0"/>
    </xf>
    <xf numFmtId="0" fontId="144" fillId="0" borderId="0" xfId="0" applyFont="1" applyProtection="1">
      <protection locked="0"/>
    </xf>
    <xf numFmtId="0" fontId="154" fillId="0" borderId="0" xfId="0" applyFont="1" applyAlignment="1" applyProtection="1">
      <alignment horizontal="center"/>
      <protection locked="0"/>
    </xf>
    <xf numFmtId="165" fontId="154" fillId="0" borderId="0" xfId="0" applyNumberFormat="1" applyFont="1" applyAlignment="1" applyProtection="1">
      <alignment horizontal="center"/>
      <protection locked="0"/>
    </xf>
    <xf numFmtId="3" fontId="154" fillId="0" borderId="0" xfId="0" applyNumberFormat="1" applyFont="1" applyAlignment="1" applyProtection="1">
      <alignment horizontal="center"/>
      <protection locked="0"/>
    </xf>
    <xf numFmtId="164" fontId="144" fillId="0" borderId="0" xfId="0" applyNumberFormat="1" applyFont="1" applyAlignment="1" applyProtection="1">
      <alignment horizontal="center"/>
      <protection locked="0"/>
    </xf>
    <xf numFmtId="0" fontId="152" fillId="0" borderId="0" xfId="0" applyFont="1" applyProtection="1">
      <protection locked="0"/>
    </xf>
    <xf numFmtId="0" fontId="152" fillId="0" borderId="0" xfId="0" applyFont="1" applyAlignment="1" applyProtection="1">
      <alignment horizontal="center"/>
      <protection locked="0"/>
    </xf>
    <xf numFmtId="165" fontId="152" fillId="0" borderId="0" xfId="0" applyNumberFormat="1" applyFont="1" applyProtection="1">
      <protection locked="0"/>
    </xf>
    <xf numFmtId="164" fontId="152" fillId="0" borderId="0" xfId="0" applyNumberFormat="1" applyFont="1" applyAlignment="1" applyProtection="1">
      <alignment horizontal="center"/>
      <protection locked="0"/>
    </xf>
    <xf numFmtId="0" fontId="144" fillId="0" borderId="0" xfId="0" applyFont="1" applyAlignment="1" applyProtection="1">
      <alignment horizontal="center"/>
      <protection locked="0"/>
    </xf>
    <xf numFmtId="10" fontId="154" fillId="0" borderId="0" xfId="0" applyNumberFormat="1" applyFont="1" applyAlignment="1" applyProtection="1">
      <alignment horizontal="center"/>
      <protection locked="0"/>
    </xf>
    <xf numFmtId="10" fontId="144" fillId="0" borderId="0" xfId="0" applyNumberFormat="1" applyFont="1" applyProtection="1">
      <protection locked="0"/>
    </xf>
    <xf numFmtId="0" fontId="146" fillId="0" borderId="0" xfId="0" applyFont="1" applyProtection="1">
      <protection locked="0"/>
    </xf>
    <xf numFmtId="165" fontId="146" fillId="0" borderId="0" xfId="0" applyNumberFormat="1" applyFont="1" applyProtection="1">
      <protection locked="0"/>
    </xf>
    <xf numFmtId="164" fontId="146" fillId="0" borderId="0" xfId="0" applyNumberFormat="1" applyFont="1" applyAlignment="1" applyProtection="1">
      <alignment horizontal="center"/>
      <protection locked="0"/>
    </xf>
    <xf numFmtId="0" fontId="153" fillId="0" borderId="0" xfId="0" applyFont="1" applyProtection="1">
      <protection locked="0"/>
    </xf>
    <xf numFmtId="0" fontId="153" fillId="0" borderId="0" xfId="0" applyFont="1" applyAlignment="1" applyProtection="1">
      <alignment horizontal="right"/>
      <protection locked="0"/>
    </xf>
    <xf numFmtId="0" fontId="157" fillId="0" borderId="0" xfId="6" applyFont="1" applyAlignment="1">
      <alignment horizontal="center"/>
    </xf>
    <xf numFmtId="0" fontId="158" fillId="0" borderId="0" xfId="0" applyFont="1" applyProtection="1">
      <protection locked="0"/>
    </xf>
    <xf numFmtId="0" fontId="158" fillId="0" borderId="0" xfId="0" applyFont="1" applyAlignment="1" applyProtection="1">
      <alignment horizontal="center"/>
      <protection locked="0"/>
    </xf>
    <xf numFmtId="0" fontId="159" fillId="0" borderId="0" xfId="0" applyFont="1"/>
    <xf numFmtId="0" fontId="160" fillId="0" borderId="0" xfId="0" applyFont="1" applyAlignment="1">
      <alignment horizontal="centerContinuous"/>
    </xf>
    <xf numFmtId="0" fontId="161" fillId="0" borderId="0" xfId="0" applyFont="1" applyAlignment="1">
      <alignment horizontal="centerContinuous"/>
    </xf>
    <xf numFmtId="0" fontId="161" fillId="35" borderId="0" xfId="0" applyFont="1" applyFill="1" applyAlignment="1">
      <alignment horizontal="centerContinuous"/>
    </xf>
    <xf numFmtId="0" fontId="159" fillId="35" borderId="0" xfId="0" applyFont="1" applyFill="1"/>
    <xf numFmtId="0" fontId="159" fillId="0" borderId="0" xfId="0" applyFont="1" applyAlignment="1">
      <alignment horizontal="left"/>
    </xf>
    <xf numFmtId="38" fontId="159" fillId="0" borderId="0" xfId="0" applyNumberFormat="1" applyFont="1" applyAlignment="1">
      <alignment horizontal="left"/>
    </xf>
    <xf numFmtId="0" fontId="162" fillId="0" borderId="83" xfId="0" applyFont="1" applyBorder="1" applyAlignment="1">
      <alignment horizontal="centerContinuous"/>
    </xf>
    <xf numFmtId="0" fontId="162" fillId="0" borderId="17" xfId="0" applyFont="1" applyBorder="1" applyAlignment="1">
      <alignment horizontal="centerContinuous"/>
    </xf>
    <xf numFmtId="0" fontId="162" fillId="0" borderId="83" xfId="0" applyFont="1" applyBorder="1"/>
    <xf numFmtId="0" fontId="162" fillId="0" borderId="17" xfId="0" applyFont="1" applyBorder="1"/>
    <xf numFmtId="3" fontId="162" fillId="0" borderId="83" xfId="0" applyNumberFormat="1" applyFont="1" applyBorder="1" applyAlignment="1">
      <alignment horizontal="centerContinuous"/>
    </xf>
    <xf numFmtId="0" fontId="162" fillId="35" borderId="83" xfId="0" applyFont="1" applyFill="1" applyBorder="1" applyAlignment="1">
      <alignment horizontal="centerContinuous"/>
    </xf>
    <xf numFmtId="0" fontId="162" fillId="35" borderId="17" xfId="0" applyFont="1" applyFill="1" applyBorder="1" applyAlignment="1">
      <alignment horizontal="centerContinuous"/>
    </xf>
    <xf numFmtId="0" fontId="159" fillId="0" borderId="84" xfId="0" applyFont="1" applyBorder="1"/>
    <xf numFmtId="167" fontId="159" fillId="0" borderId="85" xfId="0" applyNumberFormat="1" applyFont="1" applyBorder="1"/>
    <xf numFmtId="0" fontId="159" fillId="35" borderId="84" xfId="0" applyFont="1" applyFill="1" applyBorder="1"/>
    <xf numFmtId="167" fontId="159" fillId="35" borderId="85" xfId="0" applyNumberFormat="1" applyFont="1" applyFill="1" applyBorder="1"/>
    <xf numFmtId="0" fontId="159" fillId="0" borderId="83" xfId="0" applyFont="1" applyBorder="1"/>
    <xf numFmtId="0" fontId="159" fillId="0" borderId="17" xfId="0" applyFont="1" applyBorder="1"/>
    <xf numFmtId="0" fontId="159" fillId="35" borderId="83" xfId="0" applyFont="1" applyFill="1" applyBorder="1"/>
    <xf numFmtId="0" fontId="159" fillId="35" borderId="17" xfId="0" applyFont="1" applyFill="1" applyBorder="1"/>
    <xf numFmtId="0" fontId="163" fillId="0" borderId="0" xfId="0" applyFont="1"/>
    <xf numFmtId="6" fontId="159" fillId="0" borderId="83" xfId="0" applyNumberFormat="1" applyFont="1" applyBorder="1"/>
    <xf numFmtId="6" fontId="159" fillId="0" borderId="86" xfId="0" applyNumberFormat="1" applyFont="1" applyBorder="1"/>
    <xf numFmtId="6" fontId="159" fillId="0" borderId="87" xfId="0" applyNumberFormat="1" applyFont="1" applyBorder="1"/>
    <xf numFmtId="6" fontId="159" fillId="0" borderId="0" xfId="0" applyNumberFormat="1" applyFont="1"/>
    <xf numFmtId="6" fontId="163" fillId="0" borderId="87" xfId="0" applyNumberFormat="1" applyFont="1" applyBorder="1"/>
    <xf numFmtId="38" fontId="159" fillId="0" borderId="88" xfId="0" applyNumberFormat="1" applyFont="1" applyBorder="1"/>
    <xf numFmtId="6" fontId="159" fillId="35" borderId="0" xfId="0" applyNumberFormat="1" applyFont="1" applyFill="1"/>
    <xf numFmtId="6" fontId="163" fillId="35" borderId="87" xfId="0" applyNumberFormat="1" applyFont="1" applyFill="1" applyBorder="1"/>
    <xf numFmtId="6" fontId="159" fillId="35" borderId="86" xfId="0" applyNumberFormat="1" applyFont="1" applyFill="1" applyBorder="1"/>
    <xf numFmtId="6" fontId="159" fillId="35" borderId="88" xfId="0" applyNumberFormat="1" applyFont="1" applyFill="1" applyBorder="1"/>
    <xf numFmtId="38" fontId="159" fillId="0" borderId="89" xfId="0" applyNumberFormat="1" applyFont="1" applyBorder="1"/>
    <xf numFmtId="38" fontId="159" fillId="0" borderId="90" xfId="0" applyNumberFormat="1" applyFont="1" applyBorder="1"/>
    <xf numFmtId="38" fontId="159" fillId="0" borderId="0" xfId="0" applyNumberFormat="1" applyFont="1"/>
    <xf numFmtId="38" fontId="159" fillId="35" borderId="0" xfId="0" applyNumberFormat="1" applyFont="1" applyFill="1"/>
    <xf numFmtId="38" fontId="159" fillId="35" borderId="89" xfId="0" applyNumberFormat="1" applyFont="1" applyFill="1" applyBorder="1"/>
    <xf numFmtId="38" fontId="159" fillId="35" borderId="90" xfId="0" applyNumberFormat="1" applyFont="1" applyFill="1" applyBorder="1"/>
    <xf numFmtId="38" fontId="163" fillId="35" borderId="89" xfId="0" applyNumberFormat="1" applyFont="1" applyFill="1" applyBorder="1"/>
    <xf numFmtId="38" fontId="159" fillId="35" borderId="88" xfId="0" applyNumberFormat="1" applyFont="1" applyFill="1" applyBorder="1"/>
    <xf numFmtId="38" fontId="161" fillId="0" borderId="89" xfId="0" applyNumberFormat="1" applyFont="1" applyBorder="1"/>
    <xf numFmtId="38" fontId="164" fillId="0" borderId="89" xfId="0" applyNumberFormat="1" applyFont="1" applyBorder="1"/>
    <xf numFmtId="38" fontId="164" fillId="35" borderId="89" xfId="0" applyNumberFormat="1" applyFont="1" applyFill="1" applyBorder="1"/>
    <xf numFmtId="0" fontId="159" fillId="0" borderId="0" xfId="0" applyFont="1" applyAlignment="1">
      <alignment horizontal="left" indent="1"/>
    </xf>
    <xf numFmtId="6" fontId="163" fillId="35" borderId="0" xfId="0" applyNumberFormat="1" applyFont="1" applyFill="1"/>
    <xf numFmtId="38" fontId="163" fillId="0" borderId="89" xfId="0" applyNumberFormat="1" applyFont="1" applyBorder="1"/>
    <xf numFmtId="9" fontId="163" fillId="35" borderId="0" xfId="0" applyNumberFormat="1" applyFont="1" applyFill="1"/>
    <xf numFmtId="6" fontId="159" fillId="0" borderId="0" xfId="0" applyNumberFormat="1" applyFont="1" applyAlignment="1">
      <alignment horizontal="left"/>
    </xf>
    <xf numFmtId="38" fontId="161" fillId="0" borderId="90" xfId="0" applyNumberFormat="1" applyFont="1" applyBorder="1"/>
    <xf numFmtId="6" fontId="161" fillId="0" borderId="86" xfId="0" applyNumberFormat="1" applyFont="1" applyBorder="1"/>
    <xf numFmtId="6" fontId="164" fillId="0" borderId="87" xfId="0" applyNumberFormat="1" applyFont="1" applyBorder="1"/>
    <xf numFmtId="38" fontId="161" fillId="35" borderId="90" xfId="0" applyNumberFormat="1" applyFont="1" applyFill="1" applyBorder="1"/>
    <xf numFmtId="6" fontId="163" fillId="6" borderId="87" xfId="0" applyNumberFormat="1" applyFont="1" applyFill="1" applyBorder="1"/>
    <xf numFmtId="0" fontId="163" fillId="0" borderId="0" xfId="0" applyFont="1" applyAlignment="1">
      <alignment horizontal="left"/>
    </xf>
    <xf numFmtId="6" fontId="162" fillId="0" borderId="0" xfId="0" applyNumberFormat="1" applyFont="1" applyAlignment="1">
      <alignment horizontal="left" indent="1"/>
    </xf>
    <xf numFmtId="6" fontId="159" fillId="0" borderId="49" xfId="0" applyNumberFormat="1" applyFont="1" applyBorder="1"/>
    <xf numFmtId="6" fontId="159" fillId="0" borderId="51" xfId="0" applyNumberFormat="1" applyFont="1" applyBorder="1"/>
    <xf numFmtId="6" fontId="159" fillId="35" borderId="49" xfId="0" applyNumberFormat="1" applyFont="1" applyFill="1" applyBorder="1"/>
    <xf numFmtId="6" fontId="159" fillId="35" borderId="51" xfId="0" applyNumberFormat="1" applyFont="1" applyFill="1" applyBorder="1"/>
    <xf numFmtId="6" fontId="123" fillId="18" borderId="91" xfId="25" applyNumberFormat="1" applyFont="1" applyFill="1" applyBorder="1" applyAlignment="1">
      <alignment horizontal="center"/>
    </xf>
    <xf numFmtId="6" fontId="58" fillId="18" borderId="91" xfId="25" applyNumberFormat="1" applyFont="1" applyFill="1" applyBorder="1" applyAlignment="1">
      <alignment horizontal="center"/>
    </xf>
    <xf numFmtId="213" fontId="0" fillId="36" borderId="92" xfId="71" applyFont="1" applyFill="1" applyBorder="1"/>
    <xf numFmtId="213" fontId="0" fillId="37" borderId="92" xfId="71" applyFont="1" applyFill="1" applyBorder="1"/>
    <xf numFmtId="213" fontId="0" fillId="36" borderId="93" xfId="71" applyFont="1" applyFill="1" applyBorder="1"/>
    <xf numFmtId="213" fontId="0" fillId="37" borderId="93" xfId="71" applyFont="1" applyFill="1" applyBorder="1"/>
    <xf numFmtId="215" fontId="0" fillId="36" borderId="92" xfId="73" applyFont="1" applyFill="1" applyBorder="1"/>
    <xf numFmtId="215" fontId="0" fillId="37" borderId="92" xfId="73" applyFont="1" applyFill="1" applyBorder="1"/>
    <xf numFmtId="218" fontId="0" fillId="36" borderId="94" xfId="76" applyFont="1" applyFill="1" applyBorder="1"/>
    <xf numFmtId="218" fontId="0" fillId="37" borderId="94" xfId="76" applyFont="1" applyFill="1" applyBorder="1"/>
    <xf numFmtId="221" fontId="0" fillId="36" borderId="92" xfId="79" applyFont="1" applyFill="1" applyBorder="1"/>
    <xf numFmtId="221" fontId="0" fillId="37" borderId="92" xfId="79" applyFont="1" applyFill="1" applyBorder="1"/>
    <xf numFmtId="214" fontId="0" fillId="36" borderId="92" xfId="72" applyFont="1" applyFill="1" applyBorder="1"/>
    <xf numFmtId="214" fontId="0" fillId="37" borderId="92" xfId="72" applyFont="1" applyFill="1" applyBorder="1"/>
    <xf numFmtId="217" fontId="0" fillId="36" borderId="95" xfId="75" applyFont="1" applyFill="1" applyBorder="1"/>
    <xf numFmtId="217" fontId="0" fillId="37" borderId="95" xfId="75" applyFont="1" applyFill="1" applyBorder="1"/>
    <xf numFmtId="217" fontId="0" fillId="36" borderId="94" xfId="75" applyFont="1" applyFill="1" applyBorder="1"/>
    <xf numFmtId="217" fontId="0" fillId="37" borderId="94" xfId="75" applyFont="1" applyFill="1" applyBorder="1"/>
    <xf numFmtId="218" fontId="0" fillId="36" borderId="96" xfId="76" applyFont="1" applyFill="1" applyBorder="1"/>
    <xf numFmtId="218" fontId="0" fillId="37" borderId="96" xfId="76" applyFont="1" applyFill="1" applyBorder="1"/>
    <xf numFmtId="166" fontId="58" fillId="6" borderId="31" xfId="4" applyNumberFormat="1" applyFont="1" applyFill="1" applyBorder="1" applyAlignment="1">
      <alignment horizontal="right"/>
    </xf>
    <xf numFmtId="166" fontId="58" fillId="0" borderId="0" xfId="4" applyNumberFormat="1" applyFont="1" applyFill="1" applyBorder="1" applyAlignment="1">
      <alignment horizontal="left"/>
    </xf>
    <xf numFmtId="164" fontId="44" fillId="6" borderId="5" xfId="14" applyNumberFormat="1" applyFont="1" applyFill="1" applyBorder="1" applyAlignment="1" applyProtection="1">
      <alignment horizontal="right" vertical="center"/>
    </xf>
    <xf numFmtId="10" fontId="42" fillId="0" borderId="33" xfId="0" applyNumberFormat="1" applyFont="1" applyBorder="1" applyAlignment="1">
      <alignment vertical="center"/>
    </xf>
    <xf numFmtId="0" fontId="165" fillId="0" borderId="0" xfId="0" applyFont="1" applyAlignment="1">
      <alignment horizontal="left" vertical="center"/>
    </xf>
    <xf numFmtId="0" fontId="166" fillId="0" borderId="0" xfId="0" applyFont="1" applyAlignment="1">
      <alignment horizontal="left" vertical="center"/>
    </xf>
    <xf numFmtId="4" fontId="166" fillId="0" borderId="0" xfId="0" applyNumberFormat="1" applyFont="1" applyAlignment="1">
      <alignment horizontal="right" vertical="center"/>
    </xf>
    <xf numFmtId="4" fontId="166" fillId="0" borderId="97" xfId="0" applyNumberFormat="1" applyFont="1" applyBorder="1" applyAlignment="1">
      <alignment horizontal="right" vertical="center"/>
    </xf>
    <xf numFmtId="4" fontId="165" fillId="0" borderId="98" xfId="0" applyNumberFormat="1" applyFont="1" applyBorder="1" applyAlignment="1">
      <alignment horizontal="right" vertical="center"/>
    </xf>
    <xf numFmtId="0" fontId="166" fillId="0" borderId="0" xfId="0" applyFont="1" applyAlignment="1">
      <alignment horizontal="center" vertical="center"/>
    </xf>
    <xf numFmtId="0" fontId="166" fillId="0" borderId="97" xfId="0" applyFont="1" applyBorder="1" applyAlignment="1">
      <alignment horizontal="center" vertical="center"/>
    </xf>
    <xf numFmtId="0" fontId="166" fillId="0" borderId="99" xfId="0" applyFont="1" applyBorder="1" applyAlignment="1">
      <alignment horizontal="center" vertical="center"/>
    </xf>
    <xf numFmtId="4" fontId="165" fillId="0" borderId="100" xfId="0" applyNumberFormat="1" applyFont="1" applyBorder="1" applyAlignment="1">
      <alignment horizontal="right" vertical="center"/>
    </xf>
    <xf numFmtId="0" fontId="166" fillId="0" borderId="101" xfId="0" applyFont="1" applyBorder="1" applyAlignment="1">
      <alignment horizontal="center" vertical="center"/>
    </xf>
    <xf numFmtId="0" fontId="166" fillId="0" borderId="0" xfId="0" applyFont="1" applyAlignment="1">
      <alignment horizontal="right" vertical="center"/>
    </xf>
    <xf numFmtId="4" fontId="166" fillId="0" borderId="98" xfId="0" applyNumberFormat="1" applyFont="1" applyBorder="1" applyAlignment="1">
      <alignment horizontal="right" vertical="center"/>
    </xf>
    <xf numFmtId="4" fontId="166" fillId="0" borderId="102" xfId="0" applyNumberFormat="1" applyFont="1" applyBorder="1" applyAlignment="1">
      <alignment horizontal="right" vertical="center"/>
    </xf>
    <xf numFmtId="4" fontId="166" fillId="0" borderId="100" xfId="0" applyNumberFormat="1" applyFont="1" applyBorder="1" applyAlignment="1">
      <alignment horizontal="right" vertical="center"/>
    </xf>
    <xf numFmtId="6" fontId="55" fillId="0" borderId="0" xfId="0" applyNumberFormat="1" applyFont="1"/>
    <xf numFmtId="8" fontId="0" fillId="0" borderId="0" xfId="0" applyNumberFormat="1" applyAlignment="1">
      <alignment horizontal="center"/>
    </xf>
    <xf numFmtId="8" fontId="53" fillId="0" borderId="5" xfId="6" applyNumberFormat="1" applyFont="1" applyBorder="1"/>
    <xf numFmtId="10" fontId="11" fillId="0" borderId="0" xfId="0" applyNumberFormat="1" applyFont="1" applyAlignment="1">
      <alignment horizontal="right" vertical="center"/>
    </xf>
    <xf numFmtId="221" fontId="149" fillId="0" borderId="0" xfId="79"/>
    <xf numFmtId="213" fontId="0" fillId="0" borderId="0" xfId="71" applyFont="1" applyFill="1" applyBorder="1"/>
    <xf numFmtId="218" fontId="0" fillId="0" borderId="0" xfId="76" applyFont="1" applyFill="1" applyBorder="1"/>
    <xf numFmtId="215" fontId="0" fillId="0" borderId="0" xfId="73" applyFont="1" applyFill="1" applyBorder="1"/>
    <xf numFmtId="221" fontId="0" fillId="0" borderId="0" xfId="79" applyFont="1" applyFill="1" applyBorder="1"/>
    <xf numFmtId="214" fontId="0" fillId="0" borderId="0" xfId="72" applyFont="1" applyFill="1" applyBorder="1"/>
    <xf numFmtId="0" fontId="77" fillId="0" borderId="0" xfId="22" applyFont="1"/>
    <xf numFmtId="0" fontId="166" fillId="6" borderId="0" xfId="0" applyFont="1" applyFill="1" applyAlignment="1">
      <alignment horizontal="left" vertical="center"/>
    </xf>
    <xf numFmtId="10" fontId="42" fillId="0" borderId="6" xfId="9" applyNumberFormat="1" applyFont="1" applyFill="1" applyBorder="1" applyAlignment="1" applyProtection="1">
      <alignment horizontal="right" vertical="center"/>
    </xf>
    <xf numFmtId="8" fontId="53" fillId="3" borderId="0" xfId="6" applyNumberFormat="1" applyFont="1" applyFill="1" applyAlignment="1">
      <alignment vertical="center"/>
    </xf>
    <xf numFmtId="9" fontId="36" fillId="0" borderId="0" xfId="34" applyFont="1" applyAlignment="1">
      <alignment vertical="center"/>
    </xf>
    <xf numFmtId="10" fontId="100" fillId="10" borderId="0" xfId="0" applyNumberFormat="1" applyFont="1" applyFill="1" applyAlignment="1">
      <alignment horizontal="center" vertical="center"/>
    </xf>
    <xf numFmtId="8" fontId="53" fillId="3" borderId="27" xfId="6" applyNumberFormat="1" applyFont="1" applyFill="1" applyBorder="1" applyAlignment="1">
      <alignment vertical="center"/>
    </xf>
    <xf numFmtId="193" fontId="38" fillId="38" borderId="0" xfId="0" applyNumberFormat="1" applyFont="1" applyFill="1" applyAlignment="1">
      <alignment horizontal="center" vertical="center"/>
    </xf>
    <xf numFmtId="0" fontId="38" fillId="38" borderId="6" xfId="0" applyFont="1" applyFill="1" applyBorder="1" applyAlignment="1">
      <alignment horizontal="center" vertical="center"/>
    </xf>
    <xf numFmtId="9" fontId="53" fillId="3" borderId="0" xfId="34" applyFont="1" applyFill="1" applyAlignment="1">
      <alignment vertical="center"/>
    </xf>
    <xf numFmtId="6" fontId="59" fillId="39" borderId="1" xfId="0" applyNumberFormat="1" applyFont="1" applyFill="1" applyBorder="1" applyAlignment="1">
      <alignment horizontal="center" vertical="center"/>
    </xf>
    <xf numFmtId="189" fontId="111" fillId="39" borderId="2" xfId="0" applyNumberFormat="1" applyFont="1" applyFill="1" applyBorder="1" applyAlignment="1">
      <alignment vertical="center"/>
    </xf>
    <xf numFmtId="171" fontId="58" fillId="0" borderId="27" xfId="6" applyNumberFormat="1" applyFont="1" applyBorder="1" applyAlignment="1">
      <alignment horizontal="center" vertical="center" wrapText="1"/>
    </xf>
    <xf numFmtId="171" fontId="58" fillId="0" borderId="5" xfId="6" applyNumberFormat="1" applyFont="1" applyBorder="1" applyAlignment="1">
      <alignment horizontal="center" vertical="center" wrapText="1"/>
    </xf>
    <xf numFmtId="0" fontId="36" fillId="6" borderId="0" xfId="0" applyFont="1" applyFill="1" applyAlignment="1">
      <alignment vertical="center"/>
    </xf>
    <xf numFmtId="10" fontId="89" fillId="6" borderId="20" xfId="10" applyNumberFormat="1" applyFont="1" applyFill="1" applyBorder="1" applyAlignment="1" applyProtection="1">
      <alignment horizontal="right" vertical="center"/>
    </xf>
    <xf numFmtId="7" fontId="53" fillId="0" borderId="0" xfId="6" applyNumberFormat="1" applyFont="1"/>
    <xf numFmtId="9" fontId="57" fillId="0" borderId="0" xfId="7" applyNumberFormat="1" applyFont="1" applyFill="1" applyBorder="1" applyAlignment="1" applyProtection="1">
      <alignment horizontal="center" vertical="center"/>
    </xf>
    <xf numFmtId="4" fontId="166" fillId="0" borderId="97" xfId="0" applyNumberFormat="1" applyFont="1" applyBorder="1" applyAlignment="1">
      <alignment horizontal="center" vertical="center"/>
    </xf>
    <xf numFmtId="5" fontId="58" fillId="0" borderId="0" xfId="6" applyNumberFormat="1" applyFont="1" applyAlignment="1">
      <alignment horizontal="center"/>
    </xf>
    <xf numFmtId="10" fontId="100" fillId="0" borderId="27" xfId="0" applyNumberFormat="1" applyFont="1" applyBorder="1"/>
    <xf numFmtId="5" fontId="36" fillId="0" borderId="14" xfId="22" applyNumberFormat="1" applyFont="1" applyBorder="1"/>
    <xf numFmtId="5" fontId="111" fillId="0" borderId="14" xfId="22" applyNumberFormat="1" applyFont="1" applyBorder="1"/>
    <xf numFmtId="9" fontId="36" fillId="0" borderId="14" xfId="22" applyNumberFormat="1" applyFont="1" applyBorder="1"/>
    <xf numFmtId="0" fontId="65" fillId="0" borderId="0" xfId="23" applyFont="1"/>
    <xf numFmtId="165" fontId="53" fillId="3" borderId="0" xfId="34" applyNumberFormat="1" applyFont="1" applyFill="1" applyAlignment="1">
      <alignment vertical="center"/>
    </xf>
    <xf numFmtId="0" fontId="162" fillId="0" borderId="103" xfId="0" applyFont="1" applyBorder="1" applyAlignment="1">
      <alignment horizontal="centerContinuous"/>
    </xf>
    <xf numFmtId="0" fontId="162" fillId="0" borderId="104" xfId="0" applyFont="1" applyBorder="1" applyAlignment="1">
      <alignment horizontal="centerContinuous"/>
    </xf>
    <xf numFmtId="0" fontId="162" fillId="35" borderId="103" xfId="0" applyFont="1" applyFill="1" applyBorder="1" applyAlignment="1">
      <alignment horizontal="centerContinuous"/>
    </xf>
    <xf numFmtId="0" fontId="162" fillId="35" borderId="104" xfId="0" applyFont="1" applyFill="1" applyBorder="1" applyAlignment="1">
      <alignment horizontal="centerContinuous"/>
    </xf>
    <xf numFmtId="0" fontId="106" fillId="2" borderId="105" xfId="23" applyFont="1" applyFill="1" applyBorder="1"/>
    <xf numFmtId="0" fontId="106" fillId="8" borderId="106" xfId="23" applyFont="1" applyFill="1" applyBorder="1"/>
    <xf numFmtId="0" fontId="106" fillId="8" borderId="105" xfId="23" applyFont="1" applyFill="1" applyBorder="1"/>
    <xf numFmtId="0" fontId="90" fillId="19" borderId="0" xfId="0" applyFont="1" applyFill="1" applyAlignment="1">
      <alignment horizontal="left" vertical="center" indent="1"/>
    </xf>
    <xf numFmtId="0" fontId="88" fillId="19" borderId="0" xfId="0" applyFont="1" applyFill="1" applyAlignment="1">
      <alignment horizontal="center" vertical="center"/>
    </xf>
    <xf numFmtId="0" fontId="38" fillId="19" borderId="0" xfId="0" applyFont="1" applyFill="1" applyAlignment="1">
      <alignment horizontal="left" vertical="center" indent="1"/>
    </xf>
    <xf numFmtId="14" fontId="45" fillId="6" borderId="0" xfId="0" applyNumberFormat="1" applyFont="1" applyFill="1" applyAlignment="1">
      <alignment horizontal="center" vertical="center"/>
    </xf>
    <xf numFmtId="0" fontId="59" fillId="0" borderId="4" xfId="0" applyFont="1" applyBorder="1" applyAlignment="1">
      <alignment horizontal="center" vertical="center"/>
    </xf>
    <xf numFmtId="0" fontId="59" fillId="0" borderId="9" xfId="0" applyFont="1" applyBorder="1" applyAlignment="1">
      <alignment horizontal="center" vertical="center"/>
    </xf>
    <xf numFmtId="0" fontId="59" fillId="10" borderId="3" xfId="0" applyFont="1" applyFill="1" applyBorder="1" applyAlignment="1">
      <alignment horizontal="center" vertical="center"/>
    </xf>
    <xf numFmtId="0" fontId="59" fillId="10" borderId="1" xfId="0" applyFont="1" applyFill="1" applyBorder="1" applyAlignment="1">
      <alignment horizontal="center" vertical="center"/>
    </xf>
    <xf numFmtId="0" fontId="59" fillId="10" borderId="4" xfId="0" applyFont="1" applyFill="1" applyBorder="1" applyAlignment="1">
      <alignment horizontal="center" vertical="center"/>
    </xf>
    <xf numFmtId="0" fontId="36" fillId="34" borderId="0" xfId="0" applyFont="1" applyFill="1" applyAlignment="1">
      <alignment horizontal="center" vertical="center"/>
    </xf>
    <xf numFmtId="14" fontId="42" fillId="0" borderId="27" xfId="6" applyNumberFormat="1" applyFont="1" applyBorder="1" applyAlignment="1">
      <alignment horizontal="center" vertical="center"/>
    </xf>
    <xf numFmtId="0" fontId="42" fillId="0" borderId="28" xfId="6" applyFont="1" applyBorder="1" applyAlignment="1">
      <alignment horizontal="center" vertical="center"/>
    </xf>
    <xf numFmtId="0" fontId="38" fillId="19" borderId="5" xfId="6" applyFont="1" applyFill="1" applyBorder="1" applyAlignment="1">
      <alignment horizontal="center" vertical="center" wrapText="1"/>
    </xf>
    <xf numFmtId="0" fontId="38" fillId="19" borderId="6" xfId="6" applyFont="1" applyFill="1" applyBorder="1" applyAlignment="1">
      <alignment horizontal="center" vertical="center" wrapText="1"/>
    </xf>
    <xf numFmtId="182" fontId="38" fillId="19" borderId="5" xfId="6" applyNumberFormat="1" applyFont="1" applyFill="1" applyBorder="1" applyAlignment="1">
      <alignment horizontal="center" vertical="center" wrapText="1"/>
    </xf>
    <xf numFmtId="182" fontId="38" fillId="19" borderId="6" xfId="6" applyNumberFormat="1" applyFont="1" applyFill="1" applyBorder="1" applyAlignment="1">
      <alignment horizontal="center" vertical="center" wrapText="1"/>
    </xf>
    <xf numFmtId="5" fontId="37" fillId="10" borderId="20" xfId="6" applyNumberFormat="1" applyFont="1" applyFill="1" applyBorder="1" applyAlignment="1">
      <alignment horizontal="center" vertical="center"/>
    </xf>
    <xf numFmtId="5" fontId="37" fillId="10" borderId="21" xfId="6" applyNumberFormat="1" applyFont="1" applyFill="1" applyBorder="1" applyAlignment="1">
      <alignment horizontal="center" vertical="center"/>
    </xf>
    <xf numFmtId="5" fontId="37" fillId="10" borderId="18" xfId="6" applyNumberFormat="1" applyFont="1" applyFill="1" applyBorder="1" applyAlignment="1">
      <alignment horizontal="center" vertical="center"/>
    </xf>
    <xf numFmtId="167" fontId="159" fillId="0" borderId="84" xfId="0" applyNumberFormat="1" applyFont="1" applyBorder="1" applyAlignment="1">
      <alignment horizontal="center"/>
    </xf>
    <xf numFmtId="167" fontId="159" fillId="0" borderId="85" xfId="0" applyNumberFormat="1" applyFont="1" applyBorder="1" applyAlignment="1">
      <alignment horizontal="center"/>
    </xf>
    <xf numFmtId="0" fontId="132" fillId="0" borderId="103" xfId="6" applyFont="1" applyBorder="1" applyAlignment="1">
      <alignment horizontal="center" vertical="center"/>
    </xf>
    <xf numFmtId="0" fontId="132" fillId="0" borderId="104" xfId="6" applyFont="1" applyBorder="1" applyAlignment="1">
      <alignment horizontal="center" vertical="center"/>
    </xf>
    <xf numFmtId="0" fontId="38" fillId="19" borderId="0" xfId="6" applyFont="1" applyFill="1" applyAlignment="1">
      <alignment horizontal="center" vertical="center" wrapText="1"/>
    </xf>
    <xf numFmtId="0" fontId="82" fillId="19" borderId="0" xfId="6" applyFont="1" applyFill="1" applyAlignment="1">
      <alignment horizontal="center" vertical="center" wrapText="1"/>
    </xf>
    <xf numFmtId="182" fontId="38" fillId="19" borderId="0" xfId="6" applyNumberFormat="1" applyFont="1" applyFill="1" applyAlignment="1">
      <alignment horizontal="center" vertical="center" wrapText="1"/>
    </xf>
    <xf numFmtId="10" fontId="58" fillId="5" borderId="61" xfId="14" applyNumberFormat="1" applyFont="1" applyFill="1" applyBorder="1" applyAlignment="1">
      <alignment horizontal="center" vertical="center" textRotation="90"/>
    </xf>
    <xf numFmtId="43" fontId="37" fillId="5" borderId="62" xfId="7" applyFont="1" applyFill="1" applyBorder="1" applyAlignment="1">
      <alignment horizontal="center"/>
    </xf>
    <xf numFmtId="43" fontId="37" fillId="5" borderId="63" xfId="7" applyFont="1" applyFill="1" applyBorder="1" applyAlignment="1">
      <alignment horizontal="center"/>
    </xf>
    <xf numFmtId="10" fontId="56" fillId="19" borderId="20" xfId="14" applyNumberFormat="1" applyFont="1" applyFill="1" applyBorder="1" applyAlignment="1">
      <alignment horizontal="center"/>
    </xf>
    <xf numFmtId="10" fontId="56" fillId="19" borderId="18" xfId="14" applyNumberFormat="1" applyFont="1" applyFill="1" applyBorder="1" applyAlignment="1">
      <alignment horizontal="center"/>
    </xf>
    <xf numFmtId="10" fontId="56" fillId="19" borderId="21" xfId="14" applyNumberFormat="1" applyFont="1" applyFill="1" applyBorder="1" applyAlignment="1">
      <alignment horizontal="center"/>
    </xf>
    <xf numFmtId="0" fontId="64" fillId="0" borderId="0" xfId="22" applyFont="1" applyAlignment="1">
      <alignment horizontal="center"/>
    </xf>
    <xf numFmtId="17" fontId="64" fillId="0" borderId="0" xfId="22" applyNumberFormat="1" applyFont="1" applyAlignment="1">
      <alignment horizontal="center"/>
    </xf>
    <xf numFmtId="0" fontId="56" fillId="7" borderId="0" xfId="22" applyFont="1" applyFill="1" applyAlignment="1">
      <alignment horizontal="center"/>
    </xf>
    <xf numFmtId="0" fontId="150" fillId="0" borderId="0" xfId="6" applyFont="1" applyAlignment="1">
      <alignment horizontal="center" wrapText="1"/>
    </xf>
    <xf numFmtId="9" fontId="123" fillId="0" borderId="0" xfId="25" applyNumberFormat="1" applyFont="1" applyAlignment="1">
      <alignment horizontal="center"/>
    </xf>
    <xf numFmtId="9" fontId="123" fillId="0" borderId="17" xfId="25" applyNumberFormat="1" applyFont="1" applyBorder="1" applyAlignment="1">
      <alignment horizontal="center"/>
    </xf>
    <xf numFmtId="0" fontId="116" fillId="0" borderId="0" xfId="25" applyFont="1" applyAlignment="1">
      <alignment horizontal="center"/>
    </xf>
    <xf numFmtId="167" fontId="124" fillId="0" borderId="0" xfId="25" applyNumberFormat="1" applyFont="1" applyAlignment="1">
      <alignment horizontal="center"/>
    </xf>
    <xf numFmtId="8" fontId="123" fillId="0" borderId="0" xfId="25" applyNumberFormat="1" applyFont="1" applyAlignment="1">
      <alignment horizontal="center"/>
    </xf>
    <xf numFmtId="0" fontId="123" fillId="0" borderId="0" xfId="25" applyFont="1" applyAlignment="1">
      <alignment horizontal="center"/>
    </xf>
    <xf numFmtId="0" fontId="123" fillId="0" borderId="16" xfId="25" applyFont="1" applyBorder="1" applyAlignment="1">
      <alignment horizontal="center"/>
    </xf>
    <xf numFmtId="6" fontId="58" fillId="0" borderId="0" xfId="25" applyNumberFormat="1" applyFont="1" applyAlignment="1">
      <alignment horizontal="center"/>
    </xf>
    <xf numFmtId="0" fontId="58" fillId="0" borderId="0" xfId="25" applyFont="1" applyAlignment="1">
      <alignment horizontal="center"/>
    </xf>
    <xf numFmtId="6" fontId="123" fillId="18" borderId="91" xfId="25" applyNumberFormat="1" applyFont="1" applyFill="1" applyBorder="1" applyAlignment="1">
      <alignment horizontal="center"/>
    </xf>
    <xf numFmtId="10" fontId="58" fillId="0" borderId="0" xfId="25" applyNumberFormat="1" applyFont="1" applyAlignment="1">
      <alignment horizontal="center"/>
    </xf>
    <xf numFmtId="177" fontId="123" fillId="18" borderId="0" xfId="25" applyNumberFormat="1" applyFont="1" applyFill="1" applyAlignment="1">
      <alignment horizontal="center"/>
    </xf>
    <xf numFmtId="177" fontId="58" fillId="0" borderId="0" xfId="25" applyNumberFormat="1" applyFont="1" applyAlignment="1">
      <alignment horizontal="center"/>
    </xf>
    <xf numFmtId="9" fontId="58" fillId="0" borderId="0" xfId="25" applyNumberFormat="1" applyFont="1" applyAlignment="1">
      <alignment horizontal="center"/>
    </xf>
    <xf numFmtId="49" fontId="123" fillId="18" borderId="0" xfId="25" applyNumberFormat="1" applyFont="1" applyFill="1" applyAlignment="1">
      <alignment horizontal="center"/>
    </xf>
    <xf numFmtId="1" fontId="123" fillId="0" borderId="17" xfId="25" applyNumberFormat="1" applyFont="1" applyBorder="1" applyAlignment="1">
      <alignment horizontal="center"/>
    </xf>
    <xf numFmtId="1" fontId="123" fillId="0" borderId="0" xfId="25" applyNumberFormat="1" applyFont="1" applyAlignment="1">
      <alignment horizontal="center"/>
    </xf>
    <xf numFmtId="0" fontId="123" fillId="0" borderId="17" xfId="25" applyFont="1" applyBorder="1" applyAlignment="1">
      <alignment horizontal="center"/>
    </xf>
    <xf numFmtId="185" fontId="96" fillId="0" borderId="0" xfId="25" applyNumberFormat="1" applyFont="1" applyAlignment="1">
      <alignment horizontal="left"/>
    </xf>
    <xf numFmtId="181" fontId="96" fillId="0" borderId="0" xfId="25" applyNumberFormat="1" applyFont="1" applyAlignment="1">
      <alignment horizontal="left"/>
    </xf>
    <xf numFmtId="180" fontId="96" fillId="0" borderId="0" xfId="25" applyNumberFormat="1" applyFont="1" applyAlignment="1">
      <alignment horizontal="left"/>
    </xf>
    <xf numFmtId="0" fontId="96" fillId="0" borderId="91" xfId="25" applyFont="1" applyBorder="1" applyAlignment="1">
      <alignment horizontal="left" wrapText="1"/>
    </xf>
    <xf numFmtId="0" fontId="96" fillId="0" borderId="0" xfId="25" applyFont="1" applyAlignment="1">
      <alignment horizontal="left" wrapText="1"/>
    </xf>
    <xf numFmtId="184" fontId="124" fillId="0" borderId="0" xfId="25" quotePrefix="1" applyNumberFormat="1" applyFont="1" applyAlignment="1">
      <alignment horizontal="center"/>
    </xf>
    <xf numFmtId="0" fontId="124" fillId="0" borderId="0" xfId="25" applyFont="1" applyAlignment="1">
      <alignment horizontal="center"/>
    </xf>
    <xf numFmtId="0" fontId="124" fillId="0" borderId="2" xfId="25" applyFont="1" applyBorder="1" applyAlignment="1">
      <alignment horizontal="center"/>
    </xf>
    <xf numFmtId="0" fontId="133" fillId="18" borderId="49" xfId="25" applyFont="1" applyFill="1" applyBorder="1" applyAlignment="1">
      <alignment horizontal="center"/>
    </xf>
    <xf numFmtId="0" fontId="133" fillId="18" borderId="50" xfId="25" applyFont="1" applyFill="1" applyBorder="1" applyAlignment="1">
      <alignment horizontal="center"/>
    </xf>
    <xf numFmtId="0" fontId="133" fillId="18" borderId="51" xfId="25" applyFont="1" applyFill="1" applyBorder="1" applyAlignment="1">
      <alignment horizontal="center"/>
    </xf>
    <xf numFmtId="10" fontId="42" fillId="6" borderId="17" xfId="25" applyNumberFormat="1" applyFont="1" applyFill="1" applyBorder="1" applyAlignment="1">
      <alignment horizontal="center"/>
    </xf>
    <xf numFmtId="10" fontId="42" fillId="6" borderId="0" xfId="25" applyNumberFormat="1" applyFont="1" applyFill="1" applyAlignment="1">
      <alignment horizontal="center"/>
    </xf>
    <xf numFmtId="49" fontId="58" fillId="0" borderId="0" xfId="25" applyNumberFormat="1" applyFont="1" applyAlignment="1">
      <alignment horizontal="center"/>
    </xf>
    <xf numFmtId="0" fontId="123" fillId="18" borderId="17" xfId="25" applyFont="1" applyFill="1" applyBorder="1" applyAlignment="1">
      <alignment horizontal="center"/>
    </xf>
    <xf numFmtId="0" fontId="123" fillId="18" borderId="0" xfId="25" applyFont="1" applyFill="1" applyAlignment="1">
      <alignment horizontal="center"/>
    </xf>
    <xf numFmtId="0" fontId="123" fillId="27" borderId="0" xfId="25" applyFont="1" applyFill="1" applyAlignment="1">
      <alignment horizontal="center" wrapText="1"/>
    </xf>
    <xf numFmtId="0" fontId="123" fillId="27" borderId="16" xfId="25" applyFont="1" applyFill="1" applyBorder="1" applyAlignment="1">
      <alignment horizontal="center" wrapText="1"/>
    </xf>
    <xf numFmtId="0" fontId="123" fillId="0" borderId="0" xfId="25" applyFont="1" applyAlignment="1">
      <alignment horizontal="center" wrapText="1"/>
    </xf>
    <xf numFmtId="0" fontId="123" fillId="0" borderId="16" xfId="25" applyFont="1" applyBorder="1" applyAlignment="1">
      <alignment horizontal="center" wrapText="1"/>
    </xf>
    <xf numFmtId="0" fontId="58" fillId="0" borderId="0" xfId="25" applyFont="1" applyAlignment="1">
      <alignment vertical="center"/>
    </xf>
    <xf numFmtId="10" fontId="58" fillId="27" borderId="0" xfId="25" applyNumberFormat="1" applyFont="1" applyFill="1" applyAlignment="1">
      <alignment horizontal="center" vertical="center"/>
    </xf>
    <xf numFmtId="10" fontId="58" fillId="0" borderId="0" xfId="25" applyNumberFormat="1" applyFont="1" applyAlignment="1">
      <alignment horizontal="center" vertical="center"/>
    </xf>
    <xf numFmtId="0" fontId="58" fillId="27" borderId="17" xfId="25" applyFont="1" applyFill="1" applyBorder="1" applyAlignment="1">
      <alignment horizontal="center" vertical="center"/>
    </xf>
    <xf numFmtId="0" fontId="58" fillId="27" borderId="0" xfId="25" applyFont="1" applyFill="1" applyAlignment="1">
      <alignment horizontal="center" vertical="center"/>
    </xf>
    <xf numFmtId="0" fontId="58" fillId="0" borderId="17" xfId="25" applyFont="1" applyBorder="1" applyAlignment="1">
      <alignment horizontal="center" vertical="center"/>
    </xf>
    <xf numFmtId="0" fontId="58" fillId="0" borderId="0" xfId="25" applyFont="1" applyAlignment="1">
      <alignment horizontal="center" vertical="center"/>
    </xf>
    <xf numFmtId="164" fontId="58" fillId="27" borderId="0" xfId="25" applyNumberFormat="1" applyFont="1" applyFill="1" applyAlignment="1">
      <alignment horizontal="center" vertical="center"/>
    </xf>
    <xf numFmtId="164" fontId="58" fillId="0" borderId="0" xfId="25" applyNumberFormat="1" applyFont="1" applyAlignment="1">
      <alignment horizontal="center" vertical="center"/>
    </xf>
    <xf numFmtId="0" fontId="58" fillId="6" borderId="0" xfId="25" applyFont="1" applyFill="1" applyAlignment="1">
      <alignment vertical="center"/>
    </xf>
    <xf numFmtId="167" fontId="124" fillId="0" borderId="0" xfId="25" applyNumberFormat="1" applyFont="1" applyAlignment="1">
      <alignment horizontal="left"/>
    </xf>
    <xf numFmtId="211" fontId="58" fillId="0" borderId="0" xfId="25" applyNumberFormat="1" applyFont="1" applyAlignment="1">
      <alignment horizontal="left" vertical="center"/>
    </xf>
    <xf numFmtId="0" fontId="123" fillId="0" borderId="91" xfId="25" applyFont="1" applyBorder="1"/>
    <xf numFmtId="0" fontId="123" fillId="0" borderId="0" xfId="25" applyFont="1"/>
    <xf numFmtId="6" fontId="58" fillId="27" borderId="0" xfId="25" applyNumberFormat="1" applyFont="1" applyFill="1" applyAlignment="1">
      <alignment horizontal="center" vertical="center"/>
    </xf>
    <xf numFmtId="6" fontId="58" fillId="0" borderId="0" xfId="25" applyNumberFormat="1" applyFont="1" applyAlignment="1">
      <alignment horizontal="center" vertical="center"/>
    </xf>
    <xf numFmtId="6" fontId="123" fillId="24" borderId="0" xfId="25" applyNumberFormat="1" applyFont="1" applyFill="1" applyAlignment="1">
      <alignment horizontal="center"/>
    </xf>
    <xf numFmtId="164" fontId="123" fillId="24" borderId="0" xfId="25" applyNumberFormat="1" applyFont="1" applyFill="1" applyAlignment="1">
      <alignment horizontal="center"/>
    </xf>
    <xf numFmtId="6" fontId="123" fillId="27" borderId="0" xfId="25" applyNumberFormat="1" applyFont="1" applyFill="1" applyAlignment="1">
      <alignment horizontal="center"/>
    </xf>
    <xf numFmtId="6" fontId="42" fillId="27" borderId="0" xfId="25" applyNumberFormat="1" applyFont="1" applyFill="1" applyAlignment="1">
      <alignment horizontal="center"/>
    </xf>
    <xf numFmtId="6" fontId="42" fillId="0" borderId="0" xfId="25" applyNumberFormat="1" applyFont="1" applyAlignment="1">
      <alignment horizontal="center"/>
    </xf>
    <xf numFmtId="10" fontId="42" fillId="0" borderId="0" xfId="25" applyNumberFormat="1" applyFont="1" applyAlignment="1">
      <alignment horizontal="center"/>
    </xf>
    <xf numFmtId="10" fontId="123" fillId="24" borderId="0" xfId="25" applyNumberFormat="1" applyFont="1" applyFill="1" applyAlignment="1">
      <alignment horizontal="center"/>
    </xf>
    <xf numFmtId="0" fontId="123" fillId="24" borderId="0" xfId="25" applyFont="1" applyFill="1" applyAlignment="1">
      <alignment horizontal="center"/>
    </xf>
    <xf numFmtId="164" fontId="58" fillId="27" borderId="1" xfId="25" applyNumberFormat="1" applyFont="1" applyFill="1" applyBorder="1" applyAlignment="1">
      <alignment horizontal="center" vertical="center"/>
    </xf>
    <xf numFmtId="164" fontId="58" fillId="0" borderId="1" xfId="25" applyNumberFormat="1" applyFont="1" applyBorder="1" applyAlignment="1">
      <alignment horizontal="center" vertical="center"/>
    </xf>
    <xf numFmtId="164" fontId="123" fillId="0" borderId="0" xfId="25" applyNumberFormat="1" applyFont="1" applyAlignment="1">
      <alignment horizontal="center"/>
    </xf>
    <xf numFmtId="207" fontId="123" fillId="24" borderId="17" xfId="25" applyNumberFormat="1" applyFont="1" applyFill="1" applyBorder="1" applyAlignment="1">
      <alignment horizontal="center"/>
    </xf>
    <xf numFmtId="207" fontId="123" fillId="24" borderId="0" xfId="25" applyNumberFormat="1" applyFont="1" applyFill="1" applyAlignment="1">
      <alignment horizontal="center"/>
    </xf>
    <xf numFmtId="206" fontId="123" fillId="24" borderId="17" xfId="25" applyNumberFormat="1" applyFont="1" applyFill="1" applyBorder="1" applyAlignment="1">
      <alignment horizontal="center"/>
    </xf>
    <xf numFmtId="206" fontId="123" fillId="24" borderId="0" xfId="25" applyNumberFormat="1" applyFont="1" applyFill="1" applyAlignment="1">
      <alignment horizontal="center"/>
    </xf>
    <xf numFmtId="205" fontId="58" fillId="27" borderId="0" xfId="25" applyNumberFormat="1" applyFont="1" applyFill="1" applyAlignment="1">
      <alignment horizontal="center" vertical="center"/>
    </xf>
    <xf numFmtId="205" fontId="58" fillId="0" borderId="0" xfId="25" applyNumberFormat="1" applyFont="1" applyAlignment="1">
      <alignment horizontal="center" vertical="center"/>
    </xf>
    <xf numFmtId="205" fontId="58" fillId="27" borderId="17" xfId="25" applyNumberFormat="1" applyFont="1" applyFill="1" applyBorder="1" applyAlignment="1">
      <alignment horizontal="center" vertical="center"/>
    </xf>
    <xf numFmtId="205" fontId="58" fillId="0" borderId="17" xfId="25" applyNumberFormat="1" applyFont="1" applyBorder="1" applyAlignment="1">
      <alignment horizontal="center" vertical="center"/>
    </xf>
    <xf numFmtId="177" fontId="123" fillId="0" borderId="0" xfId="25" applyNumberFormat="1" applyFont="1" applyAlignment="1">
      <alignment horizontal="center"/>
    </xf>
    <xf numFmtId="10" fontId="123" fillId="0" borderId="0" xfId="25" applyNumberFormat="1" applyFont="1" applyAlignment="1">
      <alignment horizontal="center"/>
    </xf>
    <xf numFmtId="177" fontId="58" fillId="27" borderId="0" xfId="25" applyNumberFormat="1" applyFont="1" applyFill="1" applyAlignment="1">
      <alignment horizontal="center" vertical="center"/>
    </xf>
    <xf numFmtId="177" fontId="58" fillId="0" borderId="0" xfId="25" applyNumberFormat="1" applyFont="1" applyAlignment="1">
      <alignment horizontal="center" vertical="center"/>
    </xf>
    <xf numFmtId="49" fontId="58" fillId="27" borderId="0" xfId="25" applyNumberFormat="1" applyFont="1" applyFill="1" applyAlignment="1">
      <alignment horizontal="center" vertical="center"/>
    </xf>
    <xf numFmtId="49" fontId="58" fillId="0" borderId="0" xfId="25" applyNumberFormat="1" applyFont="1" applyAlignment="1">
      <alignment horizontal="center" vertical="center"/>
    </xf>
    <xf numFmtId="49" fontId="123" fillId="24" borderId="0" xfId="25" applyNumberFormat="1" applyFont="1" applyFill="1" applyAlignment="1">
      <alignment horizontal="center"/>
    </xf>
    <xf numFmtId="208" fontId="58" fillId="27" borderId="0" xfId="25" applyNumberFormat="1" applyFont="1" applyFill="1" applyAlignment="1">
      <alignment horizontal="center" vertical="center"/>
    </xf>
    <xf numFmtId="208" fontId="58" fillId="0" borderId="0" xfId="25" applyNumberFormat="1" applyFont="1" applyAlignment="1">
      <alignment horizontal="center" vertical="center"/>
    </xf>
    <xf numFmtId="1" fontId="58" fillId="27" borderId="17" xfId="25" applyNumberFormat="1" applyFont="1" applyFill="1" applyBorder="1" applyAlignment="1">
      <alignment horizontal="center" vertical="center"/>
    </xf>
    <xf numFmtId="1" fontId="58" fillId="27" borderId="0" xfId="25" applyNumberFormat="1" applyFont="1" applyFill="1" applyAlignment="1">
      <alignment horizontal="center" vertical="center"/>
    </xf>
    <xf numFmtId="1" fontId="58" fillId="0" borderId="17" xfId="25" applyNumberFormat="1" applyFont="1" applyBorder="1" applyAlignment="1">
      <alignment horizontal="center" vertical="center"/>
    </xf>
    <xf numFmtId="1" fontId="58" fillId="0" borderId="0" xfId="25" applyNumberFormat="1" applyFont="1" applyAlignment="1">
      <alignment horizontal="center" vertical="center"/>
    </xf>
    <xf numFmtId="6" fontId="123" fillId="24" borderId="91" xfId="25" applyNumberFormat="1" applyFont="1" applyFill="1" applyBorder="1" applyAlignment="1">
      <alignment horizontal="center"/>
    </xf>
    <xf numFmtId="0" fontId="133" fillId="0" borderId="0" xfId="25" applyFont="1" applyAlignment="1">
      <alignment horizontal="center"/>
    </xf>
    <xf numFmtId="209" fontId="116" fillId="0" borderId="0" xfId="25" applyNumberFormat="1" applyFont="1" applyAlignment="1">
      <alignment horizontal="left"/>
    </xf>
    <xf numFmtId="210" fontId="116" fillId="0" borderId="0" xfId="25" applyNumberFormat="1" applyFont="1" applyAlignment="1">
      <alignment horizontal="left"/>
    </xf>
    <xf numFmtId="0" fontId="123" fillId="0" borderId="2" xfId="6" applyFont="1" applyBorder="1" applyAlignment="1">
      <alignment horizontal="center" wrapText="1"/>
    </xf>
    <xf numFmtId="0" fontId="131" fillId="19" borderId="0" xfId="25" applyFont="1" applyFill="1" applyAlignment="1">
      <alignment horizontal="left" indent="1"/>
    </xf>
    <xf numFmtId="0" fontId="54" fillId="19" borderId="0" xfId="25" applyFont="1" applyFill="1" applyAlignment="1">
      <alignment horizontal="left" indent="1"/>
    </xf>
    <xf numFmtId="0" fontId="54" fillId="19" borderId="0" xfId="25" applyFont="1" applyFill="1" applyAlignment="1">
      <alignment horizontal="left" vertical="center" indent="1"/>
    </xf>
    <xf numFmtId="5" fontId="131" fillId="19" borderId="0" xfId="6" applyNumberFormat="1" applyFont="1" applyFill="1" applyAlignment="1">
      <alignment horizontal="left" vertical="center" indent="1"/>
    </xf>
    <xf numFmtId="182" fontId="123" fillId="0" borderId="2" xfId="6" applyNumberFormat="1" applyFont="1" applyBorder="1" applyAlignment="1">
      <alignment horizontal="center" wrapText="1"/>
    </xf>
    <xf numFmtId="186" fontId="38" fillId="19" borderId="5" xfId="6" applyNumberFormat="1" applyFont="1" applyFill="1" applyBorder="1" applyAlignment="1">
      <alignment horizontal="center" vertical="center" wrapText="1"/>
    </xf>
    <xf numFmtId="186" fontId="38" fillId="19" borderId="6" xfId="6" applyNumberFormat="1" applyFont="1" applyFill="1" applyBorder="1" applyAlignment="1">
      <alignment horizontal="center" vertical="center" wrapText="1"/>
    </xf>
    <xf numFmtId="186" fontId="38" fillId="19" borderId="0" xfId="6" applyNumberFormat="1" applyFont="1" applyFill="1" applyAlignment="1">
      <alignment horizontal="center" vertical="center" wrapText="1"/>
    </xf>
    <xf numFmtId="0" fontId="38" fillId="19" borderId="35" xfId="0" applyFont="1" applyFill="1" applyBorder="1" applyAlignment="1">
      <alignment horizontal="center" vertical="center"/>
    </xf>
    <xf numFmtId="0" fontId="38" fillId="19" borderId="36" xfId="0" applyFont="1" applyFill="1" applyBorder="1" applyAlignment="1">
      <alignment horizontal="center" vertical="center"/>
    </xf>
    <xf numFmtId="8" fontId="39" fillId="3" borderId="0" xfId="6" applyNumberFormat="1" applyFont="1" applyFill="1" applyAlignment="1">
      <alignment vertical="center"/>
    </xf>
  </cellXfs>
  <cellStyles count="81">
    <cellStyle name="Accent1 2" xfId="66" xr:uid="{792F7ACB-A90E-4B4C-A676-5FB6F5654777}"/>
    <cellStyle name="Accent4 2" xfId="64" xr:uid="{4F4FBF16-1040-4EC3-8164-843C7C180795}"/>
    <cellStyle name="Accent5 2" xfId="69" xr:uid="{5705E307-C25D-4CE1-BC70-7278474F15C0}"/>
    <cellStyle name="CFS_Input" xfId="58" xr:uid="{953A272D-C267-4033-9A67-F3F43907C5C0}"/>
    <cellStyle name="Comma" xfId="41" builtinId="3"/>
    <cellStyle name="Comma [0] 2" xfId="47" xr:uid="{399FE00B-4BDF-43F1-816D-5D150ABCCAF8}"/>
    <cellStyle name="Comma 2" xfId="3" xr:uid="{00000000-0005-0000-0000-000001000000}"/>
    <cellStyle name="Comma 2 2" xfId="60" xr:uid="{C5B3CA91-6082-4835-A2BB-4BD8917E4B4C}"/>
    <cellStyle name="Comma 2 2 2" xfId="36" xr:uid="{00000000-0005-0000-0000-000002000000}"/>
    <cellStyle name="Comma 2 3" xfId="63" xr:uid="{65A23F7C-065B-4923-9EF9-6E3FB7827F3A}"/>
    <cellStyle name="Comma 2 8" xfId="12" xr:uid="{00000000-0005-0000-0000-000003000000}"/>
    <cellStyle name="Comma 3" xfId="46" xr:uid="{A9A409B6-BC4F-453F-A1FC-CE3A4F079E4C}"/>
    <cellStyle name="Comma 3 2" xfId="9" xr:uid="{00000000-0005-0000-0000-000004000000}"/>
    <cellStyle name="Comma 3 2 2" xfId="18" xr:uid="{00000000-0005-0000-0000-000005000000}"/>
    <cellStyle name="Comma 32 2 2" xfId="26" xr:uid="{00000000-0005-0000-0000-000006000000}"/>
    <cellStyle name="Comma 32 2 2 2" xfId="31" xr:uid="{00000000-0005-0000-0000-000007000000}"/>
    <cellStyle name="Comma 4" xfId="51" xr:uid="{CC43F004-C103-491D-AEDD-1F892F51D731}"/>
    <cellStyle name="Comma 5" xfId="52" xr:uid="{FB73D3CA-FECB-4775-9A9E-12338A280130}"/>
    <cellStyle name="Comma 6" xfId="8" xr:uid="{00000000-0005-0000-0000-000008000000}"/>
    <cellStyle name="Comma 6 4" xfId="17" xr:uid="{00000000-0005-0000-0000-000009000000}"/>
    <cellStyle name="Comma 7" xfId="7" xr:uid="{00000000-0005-0000-0000-00000A000000}"/>
    <cellStyle name="Comma 8" xfId="56" xr:uid="{77DE82A1-2D5F-4F3B-8AA8-4DC1F0764548}"/>
    <cellStyle name="Comma 9" xfId="57" xr:uid="{8C133EDC-919A-471E-B69C-BC45FB24DFD3}"/>
    <cellStyle name="Currency" xfId="1" builtinId="4"/>
    <cellStyle name="Currency [0] 2" xfId="45" xr:uid="{0DF04589-5089-4243-B148-C49813C23C93}"/>
    <cellStyle name="Currency 11 2 2" xfId="29" xr:uid="{00000000-0005-0000-0000-00000C000000}"/>
    <cellStyle name="Currency 11 2 2 2" xfId="33" xr:uid="{00000000-0005-0000-0000-00000D000000}"/>
    <cellStyle name="Currency 2" xfId="44" xr:uid="{A91F606A-E5E8-4B46-9FD5-3B1A105E2F4C}"/>
    <cellStyle name="Currency 2 2" xfId="62" xr:uid="{F0495197-D883-4B75-B003-CE6E02F510DD}"/>
    <cellStyle name="Currency 2 5" xfId="37" xr:uid="{00000000-0005-0000-0000-00000E000000}"/>
    <cellStyle name="Currency 3" xfId="4" xr:uid="{00000000-0005-0000-0000-00000F000000}"/>
    <cellStyle name="Currency 4" xfId="49" xr:uid="{0EC190D2-C239-4FB4-A8EF-1D65BC31F0BB}"/>
    <cellStyle name="Currency 5" xfId="50" xr:uid="{7F050C0A-62AA-421B-B86F-2517D4F98BB5}"/>
    <cellStyle name="Currency 6" xfId="54" xr:uid="{21EF1318-6B6B-4AEC-9165-5151A23DD3B7}"/>
    <cellStyle name="Currency 7" xfId="55" xr:uid="{9F6FDBC0-34B4-4F67-8BD9-5A8B1F2B936B}"/>
    <cellStyle name="Hyperlink" xfId="48" builtinId="8"/>
    <cellStyle name="Hyperlink 3" xfId="16" xr:uid="{00000000-0005-0000-0000-000010000000}"/>
    <cellStyle name="Input 2" xfId="68" xr:uid="{0E85E9A3-04C0-49B5-883C-7C2BDC594868}"/>
    <cellStyle name="Norm ($0)" xfId="76" xr:uid="{B47A1A3B-1907-49D5-9A94-AC779A526050}"/>
    <cellStyle name="Norm ($0.00)" xfId="77" xr:uid="{385432D6-FEA2-4529-9CF6-91D8486C01E3}"/>
    <cellStyle name="Norm (0%)" xfId="74" xr:uid="{08D9B5BA-1841-4127-8A78-7EEDA2350713}"/>
    <cellStyle name="Norm (0)" xfId="70" xr:uid="{CDDC8BCE-0801-4D82-99CC-CE91DECDDF37}"/>
    <cellStyle name="Norm (0.0)" xfId="78" xr:uid="{0AFEB2BD-2E72-4D06-90E7-17E9FAFEFD37}"/>
    <cellStyle name="Norm (MMM-YY)" xfId="79" xr:uid="{CCF3660C-1D16-48D3-9885-EE3B3C32D9FF}"/>
    <cellStyle name="Norm (months)" xfId="80" xr:uid="{BF655FF5-E90D-4687-BC82-AFD46673B535}"/>
    <cellStyle name="Norm (sf)" xfId="73" xr:uid="{3533B7B7-69D0-4ABD-B4A3-4E0192201936}"/>
    <cellStyle name="Norm (Studio)" xfId="72" xr:uid="{817E7F0D-F2A2-42A0-A1A2-A46D2B497C9F}"/>
    <cellStyle name="Norm (text)" xfId="71" xr:uid="{3D9369B4-993F-4657-BD76-4C1A17322F96}"/>
    <cellStyle name="Norm (units)" xfId="75" xr:uid="{55D5D3AF-E643-485F-8F0B-1F6D9F571987}"/>
    <cellStyle name="Normal" xfId="0" builtinId="0"/>
    <cellStyle name="Normal 10 2" xfId="24" xr:uid="{00000000-0005-0000-0000-000012000000}"/>
    <cellStyle name="Normal 16" xfId="11" xr:uid="{00000000-0005-0000-0000-000013000000}"/>
    <cellStyle name="Normal 16 17" xfId="20" xr:uid="{00000000-0005-0000-0000-000014000000}"/>
    <cellStyle name="Normal 2" xfId="42" xr:uid="{0A83ACCA-7684-484A-9D38-08F70D6B28ED}"/>
    <cellStyle name="Normal 2 2" xfId="65" xr:uid="{1C98527C-CA48-4E79-A997-4DD141DB436F}"/>
    <cellStyle name="Normal 2 2 2 2" xfId="6" xr:uid="{00000000-0005-0000-0000-000015000000}"/>
    <cellStyle name="Normal 2 3" xfId="2" xr:uid="{00000000-0005-0000-0000-000016000000}"/>
    <cellStyle name="Normal 3" xfId="53" xr:uid="{889D3D85-9264-4333-8C31-7804E7BAD387}"/>
    <cellStyle name="Normal 3 2 5" xfId="39" xr:uid="{00000000-0005-0000-0000-000017000000}"/>
    <cellStyle name="Normal 4" xfId="59" xr:uid="{096B853D-FAE7-4226-AE27-060F6C0890F8}"/>
    <cellStyle name="Normal 5 17" xfId="28" xr:uid="{00000000-0005-0000-0000-000018000000}"/>
    <cellStyle name="Normal 77" xfId="22" xr:uid="{00000000-0005-0000-0000-000019000000}"/>
    <cellStyle name="Normal 79 2 2" xfId="25" xr:uid="{00000000-0005-0000-0000-00001A000000}"/>
    <cellStyle name="Normal 79 2 2 2" xfId="30" xr:uid="{00000000-0005-0000-0000-00001B000000}"/>
    <cellStyle name="Normal_Amortizaton Table" xfId="35" xr:uid="{00000000-0005-0000-0000-00001C000000}"/>
    <cellStyle name="Normal_Topeka Loan CalcTF" xfId="23" xr:uid="{00000000-0005-0000-0000-00001D000000}"/>
    <cellStyle name="Percent" xfId="34" builtinId="5"/>
    <cellStyle name="Percent 11 2 2" xfId="27" xr:uid="{00000000-0005-0000-0000-00001F000000}"/>
    <cellStyle name="Percent 11 2 2 2" xfId="32" xr:uid="{00000000-0005-0000-0000-000020000000}"/>
    <cellStyle name="Percent 2" xfId="5" xr:uid="{00000000-0005-0000-0000-000021000000}"/>
    <cellStyle name="Percent 2 2" xfId="61" xr:uid="{C2DE9F0B-9873-4479-AB9C-6291FFEBC48E}"/>
    <cellStyle name="Percent 2 2 2" xfId="13" xr:uid="{00000000-0005-0000-0000-000022000000}"/>
    <cellStyle name="Percent 2 4" xfId="14" xr:uid="{00000000-0005-0000-0000-000023000000}"/>
    <cellStyle name="Percent 2 4 2" xfId="21" xr:uid="{00000000-0005-0000-0000-000024000000}"/>
    <cellStyle name="Percent 3" xfId="43" xr:uid="{E8A7A414-EF10-4308-BD30-320F2C9F79B8}"/>
    <cellStyle name="Percent 3 2 3" xfId="40" xr:uid="{00000000-0005-0000-0000-000025000000}"/>
    <cellStyle name="Percent 3 3" xfId="38" xr:uid="{00000000-0005-0000-0000-000026000000}"/>
    <cellStyle name="Percent 5 2" xfId="15" xr:uid="{00000000-0005-0000-0000-000027000000}"/>
    <cellStyle name="Percent 8" xfId="10" xr:uid="{00000000-0005-0000-0000-000028000000}"/>
    <cellStyle name="Percent 8 5" xfId="19" xr:uid="{00000000-0005-0000-0000-000029000000}"/>
    <cellStyle name="ThisSheet" xfId="67" xr:uid="{36986CCC-EB84-46B0-AECD-B4E0ED36675F}"/>
  </cellStyles>
  <dxfs count="11">
    <dxf>
      <font>
        <color rgb="FF00B050"/>
      </font>
    </dxf>
    <dxf>
      <font>
        <color rgb="FFFF0000"/>
      </font>
    </dxf>
    <dxf>
      <font>
        <color rgb="FF00B05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fill>
        <patternFill>
          <bgColor theme="9" tint="0.39994506668294322"/>
        </patternFill>
      </fill>
      <border>
        <left style="thin">
          <color rgb="FFFF0000"/>
        </left>
        <right style="thin">
          <color rgb="FFFF0000"/>
        </right>
        <top style="thin">
          <color rgb="FFFF0000"/>
        </top>
        <bottom style="thin">
          <color rgb="FFFF0000"/>
        </bottom>
        <vertical/>
        <horizontal/>
      </border>
    </dxf>
    <dxf>
      <font>
        <color rgb="FFFF0000"/>
      </font>
      <fill>
        <patternFill>
          <bgColor theme="9" tint="0.39994506668294322"/>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colors>
    <mruColors>
      <color rgb="FF0000FF"/>
      <color rgb="FF003DA6"/>
      <color rgb="FFD4E5F7"/>
      <color rgb="FFD9D9D9"/>
      <color rgb="FFD5EDFF"/>
      <color rgb="FF666666"/>
      <color rgb="FF62B5E5"/>
      <color rgb="FFE7E8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fmlaLink="$C$4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889000</xdr:colOff>
          <xdr:row>42</xdr:row>
          <xdr:rowOff>279400</xdr:rowOff>
        </xdr:from>
        <xdr:to>
          <xdr:col>1</xdr:col>
          <xdr:colOff>1898650</xdr:colOff>
          <xdr:row>43</xdr:row>
          <xdr:rowOff>298450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Equity Fee Breaker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419100</xdr:colOff>
          <xdr:row>31</xdr:row>
          <xdr:rowOff>31750</xdr:rowOff>
        </xdr:from>
        <xdr:to>
          <xdr:col>13</xdr:col>
          <xdr:colOff>603250</xdr:colOff>
          <xdr:row>32</xdr:row>
          <xdr:rowOff>152400</xdr:rowOff>
        </xdr:to>
        <xdr:sp macro="" textlink="">
          <xdr:nvSpPr>
            <xdr:cNvPr id="19473" name="Button 17" hidden="1">
              <a:extLst>
                <a:ext uri="{63B3BB69-23CF-44E3-9099-C40C66FF867C}">
                  <a14:compatExt spid="_x0000_s19473"/>
                </a:ext>
                <a:ext uri="{FF2B5EF4-FFF2-40B4-BE49-F238E27FC236}">
                  <a16:creationId xmlns:a16="http://schemas.microsoft.com/office/drawing/2014/main" id="{00000000-0008-0000-0200-000011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75% LTC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431800</xdr:colOff>
          <xdr:row>32</xdr:row>
          <xdr:rowOff>260350</xdr:rowOff>
        </xdr:from>
        <xdr:to>
          <xdr:col>13</xdr:col>
          <xdr:colOff>609600</xdr:colOff>
          <xdr:row>34</xdr:row>
          <xdr:rowOff>57150</xdr:rowOff>
        </xdr:to>
        <xdr:sp macro="" textlink="">
          <xdr:nvSpPr>
            <xdr:cNvPr id="19474" name="Button 18" hidden="1">
              <a:extLst>
                <a:ext uri="{63B3BB69-23CF-44E3-9099-C40C66FF867C}">
                  <a14:compatExt spid="_x0000_s19474"/>
                </a:ext>
                <a:ext uri="{FF2B5EF4-FFF2-40B4-BE49-F238E27FC236}">
                  <a16:creationId xmlns:a16="http://schemas.microsoft.com/office/drawing/2014/main" id="{00000000-0008-0000-0200-000012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80% LTC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438150</xdr:colOff>
          <xdr:row>34</xdr:row>
          <xdr:rowOff>165100</xdr:rowOff>
        </xdr:from>
        <xdr:to>
          <xdr:col>13</xdr:col>
          <xdr:colOff>603250</xdr:colOff>
          <xdr:row>35</xdr:row>
          <xdr:rowOff>279400</xdr:rowOff>
        </xdr:to>
        <xdr:sp macro="" textlink="">
          <xdr:nvSpPr>
            <xdr:cNvPr id="19476" name="Button 20" hidden="1">
              <a:extLst>
                <a:ext uri="{63B3BB69-23CF-44E3-9099-C40C66FF867C}">
                  <a14:compatExt spid="_x0000_s19476"/>
                </a:ext>
                <a:ext uri="{FF2B5EF4-FFF2-40B4-BE49-F238E27FC236}">
                  <a16:creationId xmlns:a16="http://schemas.microsoft.com/office/drawing/2014/main" id="{00000000-0008-0000-0200-000014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85% LTC</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1181100</xdr:colOff>
          <xdr:row>15</xdr:row>
          <xdr:rowOff>209550</xdr:rowOff>
        </xdr:from>
        <xdr:to>
          <xdr:col>49</xdr:col>
          <xdr:colOff>88900</xdr:colOff>
          <xdr:row>19</xdr:row>
          <xdr:rowOff>19050</xdr:rowOff>
        </xdr:to>
        <xdr:sp macro="" textlink="">
          <xdr:nvSpPr>
            <xdr:cNvPr id="146433" name="Button 1" hidden="1">
              <a:extLst>
                <a:ext uri="{63B3BB69-23CF-44E3-9099-C40C66FF867C}">
                  <a14:compatExt spid="_x0000_s146433"/>
                </a:ext>
                <a:ext uri="{FF2B5EF4-FFF2-40B4-BE49-F238E27FC236}">
                  <a16:creationId xmlns:a16="http://schemas.microsoft.com/office/drawing/2014/main" id="{00000000-0008-0000-0900-0000013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GPR Seek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88900</xdr:colOff>
          <xdr:row>71</xdr:row>
          <xdr:rowOff>88900</xdr:rowOff>
        </xdr:from>
        <xdr:to>
          <xdr:col>15</xdr:col>
          <xdr:colOff>742950</xdr:colOff>
          <xdr:row>72</xdr:row>
          <xdr:rowOff>95250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C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80%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831850</xdr:colOff>
          <xdr:row>71</xdr:row>
          <xdr:rowOff>69850</xdr:rowOff>
        </xdr:from>
        <xdr:to>
          <xdr:col>15</xdr:col>
          <xdr:colOff>1498600</xdr:colOff>
          <xdr:row>72</xdr:row>
          <xdr:rowOff>95250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C00-00000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75%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38100</xdr:colOff>
          <xdr:row>71</xdr:row>
          <xdr:rowOff>50800</xdr:rowOff>
        </xdr:from>
        <xdr:to>
          <xdr:col>16</xdr:col>
          <xdr:colOff>704850</xdr:colOff>
          <xdr:row>72</xdr:row>
          <xdr:rowOff>95250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C00-00000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793750</xdr:colOff>
          <xdr:row>71</xdr:row>
          <xdr:rowOff>57150</xdr:rowOff>
        </xdr:from>
        <xdr:to>
          <xdr:col>16</xdr:col>
          <xdr:colOff>1460500</xdr:colOff>
          <xdr:row>72</xdr:row>
          <xdr:rowOff>95250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C00-00000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65%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72</xdr:row>
          <xdr:rowOff>209550</xdr:rowOff>
        </xdr:from>
        <xdr:to>
          <xdr:col>16</xdr:col>
          <xdr:colOff>723900</xdr:colOff>
          <xdr:row>73</xdr:row>
          <xdr:rowOff>222250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C00-00001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1.25x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793750</xdr:colOff>
          <xdr:row>72</xdr:row>
          <xdr:rowOff>203200</xdr:rowOff>
        </xdr:from>
        <xdr:to>
          <xdr:col>16</xdr:col>
          <xdr:colOff>1460500</xdr:colOff>
          <xdr:row>73</xdr:row>
          <xdr:rowOff>222250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C00-00001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1.30x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71</xdr:row>
          <xdr:rowOff>95250</xdr:rowOff>
        </xdr:from>
        <xdr:to>
          <xdr:col>13</xdr:col>
          <xdr:colOff>704850</xdr:colOff>
          <xdr:row>72</xdr:row>
          <xdr:rowOff>146050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C00-00001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80%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781050</xdr:colOff>
          <xdr:row>71</xdr:row>
          <xdr:rowOff>95250</xdr:rowOff>
        </xdr:from>
        <xdr:to>
          <xdr:col>13</xdr:col>
          <xdr:colOff>1447800</xdr:colOff>
          <xdr:row>72</xdr:row>
          <xdr:rowOff>133350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C00-00001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75%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71</xdr:row>
          <xdr:rowOff>95250</xdr:rowOff>
        </xdr:from>
        <xdr:to>
          <xdr:col>14</xdr:col>
          <xdr:colOff>704850</xdr:colOff>
          <xdr:row>72</xdr:row>
          <xdr:rowOff>127000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C00-00001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781050</xdr:colOff>
          <xdr:row>72</xdr:row>
          <xdr:rowOff>222250</xdr:rowOff>
        </xdr:from>
        <xdr:to>
          <xdr:col>13</xdr:col>
          <xdr:colOff>1447800</xdr:colOff>
          <xdr:row>73</xdr:row>
          <xdr:rowOff>228600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C00-00001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1.00x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31750</xdr:colOff>
          <xdr:row>72</xdr:row>
          <xdr:rowOff>209550</xdr:rowOff>
        </xdr:from>
        <xdr:to>
          <xdr:col>14</xdr:col>
          <xdr:colOff>698500</xdr:colOff>
          <xdr:row>73</xdr:row>
          <xdr:rowOff>241300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C00-00001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1.00x 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527050</xdr:colOff>
          <xdr:row>98</xdr:row>
          <xdr:rowOff>38100</xdr:rowOff>
        </xdr:from>
        <xdr:to>
          <xdr:col>16</xdr:col>
          <xdr:colOff>1193800</xdr:colOff>
          <xdr:row>99</xdr:row>
          <xdr:rowOff>146050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C00-00002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1.05x</a:t>
              </a:r>
            </a:p>
            <a:p>
              <a:pPr algn="ctr" rtl="0">
                <a:defRPr sz="1000"/>
              </a:pPr>
              <a:r>
                <a:rPr lang="en-US" sz="1100" b="0" i="0" u="none" strike="noStrike" baseline="0">
                  <a:solidFill>
                    <a:srgbClr val="000000"/>
                  </a:solidFill>
                  <a:latin typeface="Calibri"/>
                  <a:ea typeface="Calibri"/>
                  <a:cs typeface="Calibri"/>
                </a:rPr>
                <a:t>1.05X</a:t>
              </a:r>
            </a:p>
            <a:p>
              <a:pPr algn="ctr" rtl="0">
                <a:defRPr sz="1000"/>
              </a:pPr>
              <a:r>
                <a:rPr lang="en-US" sz="1100" b="0" i="0" u="none" strike="noStrike" baseline="0">
                  <a:solidFill>
                    <a:srgbClr val="000000"/>
                  </a:solidFill>
                  <a:latin typeface="Calibri"/>
                  <a:ea typeface="Calibri"/>
                  <a:cs typeface="Calibri"/>
                </a:rPr>
                <a:t>1.35x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590550</xdr:colOff>
          <xdr:row>98</xdr:row>
          <xdr:rowOff>31750</xdr:rowOff>
        </xdr:from>
        <xdr:to>
          <xdr:col>14</xdr:col>
          <xdr:colOff>1257300</xdr:colOff>
          <xdr:row>99</xdr:row>
          <xdr:rowOff>146050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C00-00002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1.05x</a:t>
              </a:r>
            </a:p>
            <a:p>
              <a:pPr algn="ctr" rtl="0">
                <a:defRPr sz="1000"/>
              </a:pPr>
              <a:r>
                <a:rPr lang="en-US" sz="1100" b="0" i="0" u="none" strike="noStrike" baseline="0">
                  <a:solidFill>
                    <a:srgbClr val="000000"/>
                  </a:solidFill>
                  <a:latin typeface="Calibri"/>
                  <a:ea typeface="Calibri"/>
                  <a:cs typeface="Calibri"/>
                </a:rPr>
                <a:t>1.35x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831850</xdr:colOff>
          <xdr:row>72</xdr:row>
          <xdr:rowOff>190500</xdr:rowOff>
        </xdr:from>
        <xdr:to>
          <xdr:col>15</xdr:col>
          <xdr:colOff>1498600</xdr:colOff>
          <xdr:row>73</xdr:row>
          <xdr:rowOff>222250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C00-00002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1.20x</a:t>
              </a:r>
            </a:p>
            <a:p>
              <a:pPr algn="ctr" rtl="0">
                <a:defRPr sz="1000"/>
              </a:pPr>
              <a:r>
                <a:rPr lang="en-US" sz="1100" b="0" i="0" u="none" strike="noStrike" baseline="0">
                  <a:solidFill>
                    <a:srgbClr val="000000"/>
                  </a:solidFill>
                  <a:latin typeface="Calibri"/>
                  <a:ea typeface="Calibri"/>
                  <a:cs typeface="Calibri"/>
                </a:rPr>
                <a:t>1.25x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72</xdr:row>
          <xdr:rowOff>190500</xdr:rowOff>
        </xdr:from>
        <xdr:to>
          <xdr:col>15</xdr:col>
          <xdr:colOff>742950</xdr:colOff>
          <xdr:row>73</xdr:row>
          <xdr:rowOff>222250</xdr:rowOff>
        </xdr:to>
        <xdr:sp macro="" textlink="">
          <xdr:nvSpPr>
            <xdr:cNvPr id="3146" name="Button 74" hidden="1">
              <a:extLst>
                <a:ext uri="{63B3BB69-23CF-44E3-9099-C40C66FF867C}">
                  <a14:compatExt spid="_x0000_s3146"/>
                </a:ext>
                <a:ext uri="{FF2B5EF4-FFF2-40B4-BE49-F238E27FC236}">
                  <a16:creationId xmlns:a16="http://schemas.microsoft.com/office/drawing/2014/main" id="{00000000-0008-0000-0C00-00004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1.15x</a:t>
              </a:r>
            </a:p>
            <a:p>
              <a:pPr algn="ctr" rtl="0">
                <a:defRPr sz="1000"/>
              </a:pPr>
              <a:r>
                <a:rPr lang="en-US" sz="1100" b="0" i="0" u="none" strike="noStrike" baseline="0">
                  <a:solidFill>
                    <a:srgbClr val="000000"/>
                  </a:solidFill>
                  <a:latin typeface="Calibri"/>
                  <a:ea typeface="Calibri"/>
                  <a:cs typeface="Calibri"/>
                </a:rPr>
                <a:t>1.25x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793750</xdr:colOff>
          <xdr:row>71</xdr:row>
          <xdr:rowOff>88900</xdr:rowOff>
        </xdr:from>
        <xdr:to>
          <xdr:col>14</xdr:col>
          <xdr:colOff>1460500</xdr:colOff>
          <xdr:row>72</xdr:row>
          <xdr:rowOff>114300</xdr:rowOff>
        </xdr:to>
        <xdr:sp macro="" textlink="">
          <xdr:nvSpPr>
            <xdr:cNvPr id="3147" name="Button 75" hidden="1">
              <a:extLst>
                <a:ext uri="{63B3BB69-23CF-44E3-9099-C40C66FF867C}">
                  <a14:compatExt spid="_x0000_s3147"/>
                </a:ext>
                <a:ext uri="{FF2B5EF4-FFF2-40B4-BE49-F238E27FC236}">
                  <a16:creationId xmlns:a16="http://schemas.microsoft.com/office/drawing/2014/main" id="{00000000-0008-0000-0C00-00004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65%</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495300</xdr:colOff>
          <xdr:row>74</xdr:row>
          <xdr:rowOff>0</xdr:rowOff>
        </xdr:from>
        <xdr:to>
          <xdr:col>43</xdr:col>
          <xdr:colOff>1162050</xdr:colOff>
          <xdr:row>74</xdr:row>
          <xdr:rowOff>19050</xdr:rowOff>
        </xdr:to>
        <xdr:sp macro="" textlink="">
          <xdr:nvSpPr>
            <xdr:cNvPr id="3149" name="Button 77" hidden="1">
              <a:extLst>
                <a:ext uri="{63B3BB69-23CF-44E3-9099-C40C66FF867C}">
                  <a14:compatExt spid="_x0000_s3149"/>
                </a:ext>
                <a:ext uri="{FF2B5EF4-FFF2-40B4-BE49-F238E27FC236}">
                  <a16:creationId xmlns:a16="http://schemas.microsoft.com/office/drawing/2014/main" id="{00000000-0008-0000-0C00-00004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1.00x</a:t>
              </a:r>
            </a:p>
            <a:p>
              <a:pPr algn="ctr" rtl="0">
                <a:defRPr sz="1000"/>
              </a:pPr>
              <a:r>
                <a:rPr lang="en-US" sz="1100" b="0" i="0" u="none" strike="noStrike" baseline="0">
                  <a:solidFill>
                    <a:srgbClr val="000000"/>
                  </a:solidFill>
                  <a:latin typeface="Calibri"/>
                  <a:ea typeface="Calibri"/>
                  <a:cs typeface="Calibri"/>
                </a:rPr>
                <a:t>1.35x</a:t>
              </a:r>
            </a:p>
          </xdr:txBody>
        </xdr:sp>
        <xdr:clientData fPrintsWithSheet="0"/>
      </xdr:twoCellAnchor>
    </mc:Choice>
    <mc:Fallback/>
  </mc:AlternateContent>
  <xdr:twoCellAnchor editAs="oneCell">
    <xdr:from>
      <xdr:col>41</xdr:col>
      <xdr:colOff>95248</xdr:colOff>
      <xdr:row>55</xdr:row>
      <xdr:rowOff>81643</xdr:rowOff>
    </xdr:from>
    <xdr:to>
      <xdr:col>54</xdr:col>
      <xdr:colOff>405135</xdr:colOff>
      <xdr:row>72</xdr:row>
      <xdr:rowOff>134817</xdr:rowOff>
    </xdr:to>
    <xdr:pic>
      <xdr:nvPicPr>
        <xdr:cNvPr id="2" name="Picture 1">
          <a:extLst>
            <a:ext uri="{FF2B5EF4-FFF2-40B4-BE49-F238E27FC236}">
              <a16:creationId xmlns:a16="http://schemas.microsoft.com/office/drawing/2014/main" id="{AE046ED3-66DF-0584-2265-954979601BED}"/>
            </a:ext>
          </a:extLst>
        </xdr:cNvPr>
        <xdr:cNvPicPr>
          <a:picLocks noChangeAspect="1"/>
        </xdr:cNvPicPr>
      </xdr:nvPicPr>
      <xdr:blipFill>
        <a:blip xmlns:r="http://schemas.openxmlformats.org/officeDocument/2006/relationships" r:embed="rId1"/>
        <a:stretch>
          <a:fillRect/>
        </a:stretch>
      </xdr:blipFill>
      <xdr:spPr>
        <a:xfrm>
          <a:off x="24275141" y="13076464"/>
          <a:ext cx="4594867" cy="4020111"/>
        </a:xfrm>
        <a:prstGeom prst="rect">
          <a:avLst/>
        </a:prstGeom>
      </xdr:spPr>
    </xdr:pic>
    <xdr:clientData/>
  </xdr:twoCellAnchor>
  <mc:AlternateContent xmlns:mc="http://schemas.openxmlformats.org/markup-compatibility/2006">
    <mc:Choice xmlns:a14="http://schemas.microsoft.com/office/drawing/2010/main" Requires="a14">
      <xdr:twoCellAnchor>
        <xdr:from>
          <xdr:col>11</xdr:col>
          <xdr:colOff>38100</xdr:colOff>
          <xdr:row>71</xdr:row>
          <xdr:rowOff>95250</xdr:rowOff>
        </xdr:from>
        <xdr:to>
          <xdr:col>11</xdr:col>
          <xdr:colOff>704850</xdr:colOff>
          <xdr:row>72</xdr:row>
          <xdr:rowOff>146050</xdr:rowOff>
        </xdr:to>
        <xdr:sp macro="" textlink="">
          <xdr:nvSpPr>
            <xdr:cNvPr id="3163" name="Button 91" hidden="1">
              <a:extLst>
                <a:ext uri="{63B3BB69-23CF-44E3-9099-C40C66FF867C}">
                  <a14:compatExt spid="_x0000_s3163"/>
                </a:ext>
                <a:ext uri="{FF2B5EF4-FFF2-40B4-BE49-F238E27FC236}">
                  <a16:creationId xmlns:a16="http://schemas.microsoft.com/office/drawing/2014/main" id="{00000000-0008-0000-0C00-00005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80%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781050</xdr:colOff>
          <xdr:row>71</xdr:row>
          <xdr:rowOff>95250</xdr:rowOff>
        </xdr:from>
        <xdr:to>
          <xdr:col>11</xdr:col>
          <xdr:colOff>1447800</xdr:colOff>
          <xdr:row>72</xdr:row>
          <xdr:rowOff>133350</xdr:rowOff>
        </xdr:to>
        <xdr:sp macro="" textlink="">
          <xdr:nvSpPr>
            <xdr:cNvPr id="3164" name="Button 92" hidden="1">
              <a:extLst>
                <a:ext uri="{63B3BB69-23CF-44E3-9099-C40C66FF867C}">
                  <a14:compatExt spid="_x0000_s3164"/>
                </a:ext>
                <a:ext uri="{FF2B5EF4-FFF2-40B4-BE49-F238E27FC236}">
                  <a16:creationId xmlns:a16="http://schemas.microsoft.com/office/drawing/2014/main" id="{00000000-0008-0000-0C00-00005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75%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71</xdr:row>
          <xdr:rowOff>95250</xdr:rowOff>
        </xdr:from>
        <xdr:to>
          <xdr:col>12</xdr:col>
          <xdr:colOff>704850</xdr:colOff>
          <xdr:row>72</xdr:row>
          <xdr:rowOff>127000</xdr:rowOff>
        </xdr:to>
        <xdr:sp macro="" textlink="">
          <xdr:nvSpPr>
            <xdr:cNvPr id="3165" name="Button 93" hidden="1">
              <a:extLst>
                <a:ext uri="{63B3BB69-23CF-44E3-9099-C40C66FF867C}">
                  <a14:compatExt spid="_x0000_s3165"/>
                </a:ext>
                <a:ext uri="{FF2B5EF4-FFF2-40B4-BE49-F238E27FC236}">
                  <a16:creationId xmlns:a16="http://schemas.microsoft.com/office/drawing/2014/main" id="{00000000-0008-0000-0C00-00005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781050</xdr:colOff>
          <xdr:row>72</xdr:row>
          <xdr:rowOff>222250</xdr:rowOff>
        </xdr:from>
        <xdr:to>
          <xdr:col>11</xdr:col>
          <xdr:colOff>1447800</xdr:colOff>
          <xdr:row>73</xdr:row>
          <xdr:rowOff>228600</xdr:rowOff>
        </xdr:to>
        <xdr:sp macro="" textlink="">
          <xdr:nvSpPr>
            <xdr:cNvPr id="3166" name="Button 94" hidden="1">
              <a:extLst>
                <a:ext uri="{63B3BB69-23CF-44E3-9099-C40C66FF867C}">
                  <a14:compatExt spid="_x0000_s3166"/>
                </a:ext>
                <a:ext uri="{FF2B5EF4-FFF2-40B4-BE49-F238E27FC236}">
                  <a16:creationId xmlns:a16="http://schemas.microsoft.com/office/drawing/2014/main" id="{00000000-0008-0000-0C00-00005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1.00x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31750</xdr:colOff>
          <xdr:row>72</xdr:row>
          <xdr:rowOff>209550</xdr:rowOff>
        </xdr:from>
        <xdr:to>
          <xdr:col>12</xdr:col>
          <xdr:colOff>698500</xdr:colOff>
          <xdr:row>73</xdr:row>
          <xdr:rowOff>241300</xdr:rowOff>
        </xdr:to>
        <xdr:sp macro="" textlink="">
          <xdr:nvSpPr>
            <xdr:cNvPr id="3167" name="Button 95" hidden="1">
              <a:extLst>
                <a:ext uri="{63B3BB69-23CF-44E3-9099-C40C66FF867C}">
                  <a14:compatExt spid="_x0000_s3167"/>
                </a:ext>
                <a:ext uri="{FF2B5EF4-FFF2-40B4-BE49-F238E27FC236}">
                  <a16:creationId xmlns:a16="http://schemas.microsoft.com/office/drawing/2014/main" id="{00000000-0008-0000-0C00-00005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1.00x 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590550</xdr:colOff>
          <xdr:row>98</xdr:row>
          <xdr:rowOff>31750</xdr:rowOff>
        </xdr:from>
        <xdr:to>
          <xdr:col>12</xdr:col>
          <xdr:colOff>1257300</xdr:colOff>
          <xdr:row>99</xdr:row>
          <xdr:rowOff>146050</xdr:rowOff>
        </xdr:to>
        <xdr:sp macro="" textlink="">
          <xdr:nvSpPr>
            <xdr:cNvPr id="3168" name="Button 96" hidden="1">
              <a:extLst>
                <a:ext uri="{63B3BB69-23CF-44E3-9099-C40C66FF867C}">
                  <a14:compatExt spid="_x0000_s3168"/>
                </a:ext>
                <a:ext uri="{FF2B5EF4-FFF2-40B4-BE49-F238E27FC236}">
                  <a16:creationId xmlns:a16="http://schemas.microsoft.com/office/drawing/2014/main" id="{00000000-0008-0000-0C00-00006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1.05x</a:t>
              </a:r>
            </a:p>
            <a:p>
              <a:pPr algn="ctr" rtl="0">
                <a:defRPr sz="1000"/>
              </a:pPr>
              <a:r>
                <a:rPr lang="en-US" sz="1100" b="0" i="0" u="none" strike="noStrike" baseline="0">
                  <a:solidFill>
                    <a:srgbClr val="000000"/>
                  </a:solidFill>
                  <a:latin typeface="Calibri"/>
                  <a:ea typeface="Calibri"/>
                  <a:cs typeface="Calibri"/>
                </a:rPr>
                <a:t>1.35x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793750</xdr:colOff>
          <xdr:row>71</xdr:row>
          <xdr:rowOff>88900</xdr:rowOff>
        </xdr:from>
        <xdr:to>
          <xdr:col>12</xdr:col>
          <xdr:colOff>1460500</xdr:colOff>
          <xdr:row>72</xdr:row>
          <xdr:rowOff>114300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C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65%</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34</xdr:col>
      <xdr:colOff>67235</xdr:colOff>
      <xdr:row>75</xdr:row>
      <xdr:rowOff>33618</xdr:rowOff>
    </xdr:from>
    <xdr:to>
      <xdr:col>38</xdr:col>
      <xdr:colOff>683559</xdr:colOff>
      <xdr:row>107</xdr:row>
      <xdr:rowOff>0</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17983200" y="14473518"/>
          <a:ext cx="0" cy="60623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u="sng"/>
            <a:t>Line Item Categorizations Key:</a:t>
          </a:r>
        </a:p>
        <a:p>
          <a:endParaRPr lang="en-US" sz="1400" b="1" u="none"/>
        </a:p>
        <a:p>
          <a:pPr marL="0" marR="0" lvl="0" indent="0"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latin typeface="+mn-lt"/>
              <a:ea typeface="+mn-ea"/>
              <a:cs typeface="+mn-cs"/>
            </a:rPr>
            <a:t>• Income</a:t>
          </a:r>
          <a:endParaRPr lang="en-US" sz="1400" b="1" u="none"/>
        </a:p>
        <a:p>
          <a:r>
            <a:rPr lang="en-US" sz="1200" b="1" u="none"/>
            <a:t> - Employee Concessions</a:t>
          </a:r>
          <a:r>
            <a:rPr lang="en-US" sz="1200" b="1" u="none" baseline="0"/>
            <a:t> </a:t>
          </a:r>
          <a:r>
            <a:rPr lang="en-US" sz="1200" b="1">
              <a:solidFill>
                <a:schemeClr val="dk1"/>
              </a:solidFill>
              <a:effectLst/>
              <a:latin typeface="+mn-lt"/>
              <a:ea typeface="+mn-ea"/>
              <a:cs typeface="+mn-cs"/>
            </a:rPr>
            <a:t>→ "Apt Allowance"</a:t>
          </a:r>
        </a:p>
        <a:p>
          <a:r>
            <a:rPr lang="en-US" sz="1200" b="1">
              <a:solidFill>
                <a:schemeClr val="dk1"/>
              </a:solidFill>
              <a:effectLst/>
              <a:latin typeface="+mn-lt"/>
              <a:ea typeface="+mn-ea"/>
              <a:cs typeface="+mn-cs"/>
            </a:rPr>
            <a:t> - Trash Income</a:t>
          </a:r>
          <a:r>
            <a:rPr lang="en-US" sz="1200" b="1" baseline="0">
              <a:solidFill>
                <a:schemeClr val="dk1"/>
              </a:solidFill>
              <a:effectLst/>
              <a:latin typeface="+mn-lt"/>
              <a:ea typeface="+mn-ea"/>
              <a:cs typeface="+mn-cs"/>
            </a:rPr>
            <a:t> </a:t>
          </a:r>
          <a:r>
            <a:rPr lang="en-US" sz="1200" b="1">
              <a:solidFill>
                <a:schemeClr val="dk1"/>
              </a:solidFill>
              <a:effectLst/>
              <a:latin typeface="+mn-lt"/>
              <a:ea typeface="+mn-ea"/>
              <a:cs typeface="+mn-cs"/>
            </a:rPr>
            <a:t>→ "Miscellaneous</a:t>
          </a:r>
          <a:r>
            <a:rPr lang="en-US" sz="1200" b="1" baseline="0">
              <a:solidFill>
                <a:schemeClr val="dk1"/>
              </a:solidFill>
              <a:effectLst/>
              <a:latin typeface="+mn-lt"/>
              <a:ea typeface="+mn-ea"/>
              <a:cs typeface="+mn-cs"/>
            </a:rPr>
            <a:t> Other Income</a:t>
          </a:r>
          <a:r>
            <a:rPr lang="en-US" sz="1200" b="1">
              <a:solidFill>
                <a:schemeClr val="dk1"/>
              </a:solidFill>
              <a:effectLst/>
              <a:latin typeface="+mn-lt"/>
              <a:ea typeface="+mn-ea"/>
              <a:cs typeface="+mn-cs"/>
            </a:rPr>
            <a:t>"</a:t>
          </a:r>
          <a:endParaRPr lang="en-US" sz="1200" b="1" u="none" baseline="0"/>
        </a:p>
        <a:p>
          <a:endParaRPr lang="en-US" sz="1200" b="1" u="none"/>
        </a:p>
        <a:p>
          <a:r>
            <a:rPr lang="en-US" sz="1400" b="1" u="none"/>
            <a:t>• Utilities</a:t>
          </a:r>
        </a:p>
        <a:p>
          <a:r>
            <a:rPr lang="en-US" sz="1400" b="1" u="none"/>
            <a:t> </a:t>
          </a:r>
          <a:r>
            <a:rPr lang="en-US" sz="1200" b="1" u="none"/>
            <a:t>- Trash → "Trash Removal" </a:t>
          </a:r>
        </a:p>
        <a:p>
          <a:r>
            <a:rPr lang="en-US" sz="1200" b="1">
              <a:solidFill>
                <a:schemeClr val="dk1"/>
              </a:solidFill>
              <a:effectLst/>
              <a:latin typeface="+mn-lt"/>
              <a:ea typeface="+mn-ea"/>
              <a:cs typeface="+mn-cs"/>
            </a:rPr>
            <a:t> - Waste</a:t>
          </a:r>
          <a:r>
            <a:rPr lang="en-US" sz="1200" b="1" baseline="0">
              <a:solidFill>
                <a:schemeClr val="dk1"/>
              </a:solidFill>
              <a:effectLst/>
              <a:latin typeface="+mn-lt"/>
              <a:ea typeface="+mn-ea"/>
              <a:cs typeface="+mn-cs"/>
            </a:rPr>
            <a:t> Disposal </a:t>
          </a:r>
          <a:r>
            <a:rPr lang="en-US" sz="1200" b="1">
              <a:solidFill>
                <a:schemeClr val="dk1"/>
              </a:solidFill>
              <a:effectLst/>
              <a:latin typeface="+mn-lt"/>
              <a:ea typeface="+mn-ea"/>
              <a:cs typeface="+mn-cs"/>
            </a:rPr>
            <a:t>→ "Trash Removal"</a:t>
          </a:r>
          <a:r>
            <a:rPr lang="en-US" sz="1200" b="1" u="none"/>
            <a:t> </a:t>
          </a:r>
        </a:p>
        <a:p>
          <a:r>
            <a:rPr lang="en-US" sz="1200" b="1" u="none"/>
            <a:t> - Cable/Internet/Telephone </a:t>
          </a:r>
          <a:r>
            <a:rPr lang="en-US" sz="1200" b="1">
              <a:solidFill>
                <a:schemeClr val="dk1"/>
              </a:solidFill>
              <a:effectLst/>
              <a:latin typeface="+mn-lt"/>
              <a:ea typeface="+mn-ea"/>
              <a:cs typeface="+mn-cs"/>
            </a:rPr>
            <a:t>→ "Office Expenses"</a:t>
          </a:r>
        </a:p>
        <a:p>
          <a:r>
            <a:rPr lang="en-US" sz="1200" b="1" u="none"/>
            <a:t> - Utility Billing Service</a:t>
          </a:r>
          <a:r>
            <a:rPr lang="en-US" sz="1200" b="1" u="none" baseline="0"/>
            <a:t> </a:t>
          </a:r>
          <a:r>
            <a:rPr lang="en-US" sz="1200" b="1">
              <a:solidFill>
                <a:schemeClr val="dk1"/>
              </a:solidFill>
              <a:effectLst/>
              <a:latin typeface="+mn-lt"/>
              <a:ea typeface="+mn-ea"/>
              <a:cs typeface="+mn-cs"/>
            </a:rPr>
            <a:t>→ "Office Expenses"</a:t>
          </a:r>
          <a:r>
            <a:rPr lang="en-US" sz="1200" b="1" u="none"/>
            <a:t> </a:t>
          </a:r>
        </a:p>
        <a:p>
          <a:r>
            <a:rPr lang="en-US" sz="1100" b="1">
              <a:solidFill>
                <a:schemeClr val="dk1"/>
              </a:solidFill>
              <a:effectLst/>
              <a:latin typeface="+mn-lt"/>
              <a:ea typeface="+mn-ea"/>
              <a:cs typeface="+mn-cs"/>
            </a:rPr>
            <a:t>- Exterminating / Pest Control → "Pest Control</a:t>
          </a:r>
          <a:endParaRPr lang="en-US" sz="1200" b="1" u="none"/>
        </a:p>
        <a:p>
          <a:r>
            <a:rPr lang="en-US" sz="1200" b="1" u="none"/>
            <a:t> *Anything "Trash" in Utilities section </a:t>
          </a:r>
          <a:r>
            <a:rPr lang="en-US" sz="1200" b="1">
              <a:solidFill>
                <a:schemeClr val="dk1"/>
              </a:solidFill>
              <a:effectLst/>
              <a:latin typeface="+mn-lt"/>
              <a:ea typeface="+mn-ea"/>
              <a:cs typeface="+mn-cs"/>
            </a:rPr>
            <a:t>→</a:t>
          </a:r>
          <a:r>
            <a:rPr lang="en-US" sz="1200" b="1" u="none"/>
            <a:t> "Trash</a:t>
          </a:r>
          <a:r>
            <a:rPr lang="en-US" sz="1200" b="1" u="none" baseline="0"/>
            <a:t> Removal"</a:t>
          </a:r>
        </a:p>
        <a:p>
          <a:endParaRPr lang="en-US" sz="1400" b="1" u="none"/>
        </a:p>
        <a:p>
          <a:r>
            <a:rPr lang="en-US" sz="1400" b="1">
              <a:solidFill>
                <a:schemeClr val="dk1"/>
              </a:solidFill>
              <a:effectLst/>
              <a:latin typeface="+mn-lt"/>
              <a:ea typeface="+mn-ea"/>
              <a:cs typeface="+mn-cs"/>
            </a:rPr>
            <a:t>• </a:t>
          </a:r>
          <a:r>
            <a:rPr lang="en-US" sz="1400" b="1" u="none"/>
            <a:t>Contract Services</a:t>
          </a:r>
        </a:p>
        <a:p>
          <a:r>
            <a:rPr lang="en-US" sz="1200" b="1" u="none"/>
            <a:t> - Trash Removal Valet </a:t>
          </a:r>
          <a:r>
            <a:rPr lang="en-US" sz="1200" b="1">
              <a:solidFill>
                <a:schemeClr val="dk1"/>
              </a:solidFill>
              <a:effectLst/>
              <a:latin typeface="+mn-lt"/>
              <a:ea typeface="+mn-ea"/>
              <a:cs typeface="+mn-cs"/>
            </a:rPr>
            <a:t>→</a:t>
          </a:r>
          <a:r>
            <a:rPr lang="en-US" sz="1200" b="1" u="none"/>
            <a:t> </a:t>
          </a:r>
          <a:r>
            <a:rPr lang="en-US" sz="1200" b="1" baseline="0">
              <a:solidFill>
                <a:schemeClr val="dk1"/>
              </a:solidFill>
              <a:effectLst/>
              <a:latin typeface="+mn-lt"/>
              <a:ea typeface="+mn-ea"/>
              <a:cs typeface="+mn-cs"/>
            </a:rPr>
            <a:t>"Bldg. Maint. &amp; Repair"</a:t>
          </a:r>
          <a:r>
            <a:rPr lang="en-US" sz="1200" b="1">
              <a:solidFill>
                <a:schemeClr val="dk1"/>
              </a:solidFill>
              <a:effectLst/>
              <a:latin typeface="+mn-lt"/>
              <a:ea typeface="+mn-ea"/>
              <a:cs typeface="+mn-cs"/>
            </a:rPr>
            <a:t> </a:t>
          </a:r>
          <a:r>
            <a:rPr lang="en-US" sz="1100" b="1">
              <a:solidFill>
                <a:schemeClr val="dk1"/>
              </a:solidFill>
              <a:effectLst/>
              <a:latin typeface="+mn-lt"/>
              <a:ea typeface="+mn-ea"/>
              <a:cs typeface="+mn-cs"/>
            </a:rPr>
            <a:t> </a:t>
          </a:r>
        </a:p>
        <a:p>
          <a:r>
            <a:rPr lang="en-US" sz="1100" b="1" u="none" baseline="0">
              <a:solidFill>
                <a:schemeClr val="dk1"/>
              </a:solidFill>
              <a:effectLst/>
              <a:latin typeface="+mn-lt"/>
              <a:ea typeface="+mn-ea"/>
              <a:cs typeface="+mn-cs"/>
            </a:rPr>
            <a:t> </a:t>
          </a:r>
          <a:r>
            <a:rPr lang="en-US" sz="1200" b="1" u="none" baseline="0">
              <a:solidFill>
                <a:schemeClr val="dk1"/>
              </a:solidFill>
              <a:effectLst/>
              <a:latin typeface="+mn-lt"/>
              <a:ea typeface="+mn-ea"/>
              <a:cs typeface="+mn-cs"/>
            </a:rPr>
            <a:t>- Pest Control/Extermination </a:t>
          </a:r>
          <a:r>
            <a:rPr lang="en-US" sz="1200" b="1">
              <a:solidFill>
                <a:schemeClr val="dk1"/>
              </a:solidFill>
              <a:effectLst/>
              <a:latin typeface="+mn-lt"/>
              <a:ea typeface="+mn-ea"/>
              <a:cs typeface="+mn-cs"/>
            </a:rPr>
            <a:t>→ "Pest Control"</a:t>
          </a:r>
          <a:endParaRPr lang="en-US" sz="1200" b="1" u="none"/>
        </a:p>
        <a:p>
          <a:r>
            <a:rPr lang="en-US" sz="1200" b="1" u="none"/>
            <a:t> - All other non-specific</a:t>
          </a:r>
          <a:r>
            <a:rPr lang="en-US" sz="1200" b="1" u="none" baseline="0"/>
            <a:t> </a:t>
          </a:r>
          <a:r>
            <a:rPr lang="en-US" sz="1200" b="1" u="none"/>
            <a:t>contract services</a:t>
          </a:r>
          <a:r>
            <a:rPr lang="en-US" sz="1200" b="1" u="none" baseline="0"/>
            <a:t> </a:t>
          </a:r>
          <a:r>
            <a:rPr lang="en-US" sz="1200" b="1">
              <a:solidFill>
                <a:schemeClr val="dk1"/>
              </a:solidFill>
              <a:effectLst/>
              <a:latin typeface="+mn-lt"/>
              <a:ea typeface="+mn-ea"/>
              <a:cs typeface="+mn-cs"/>
            </a:rPr>
            <a:t>→</a:t>
          </a:r>
          <a:r>
            <a:rPr lang="en-US" sz="1200" b="1" u="none" baseline="0"/>
            <a:t> "Bldg. Maint. &amp; Repair"</a:t>
          </a:r>
          <a:r>
            <a:rPr lang="en-US" sz="1200" b="1" u="none"/>
            <a:t>  </a:t>
          </a:r>
        </a:p>
        <a:p>
          <a:r>
            <a:rPr lang="en-US" sz="1200" b="1" u="none"/>
            <a:t> *Generally</a:t>
          </a:r>
          <a:r>
            <a:rPr lang="en-US" sz="1200" b="1" u="none" baseline="0"/>
            <a:t> look out for Landscaping (Grounds Maintenance), Security, Pest Control, etc. to separate out</a:t>
          </a:r>
          <a:endParaRPr lang="en-US" sz="1200" b="1" u="none"/>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89646</xdr:colOff>
      <xdr:row>1</xdr:row>
      <xdr:rowOff>56028</xdr:rowOff>
    </xdr:from>
    <xdr:to>
      <xdr:col>25</xdr:col>
      <xdr:colOff>560</xdr:colOff>
      <xdr:row>6</xdr:row>
      <xdr:rowOff>11204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alphaModFix amt="20000"/>
          <a:extLst>
            <a:ext uri="{28A0092B-C50C-407E-A947-70E740481C1C}">
              <a14:useLocalDpi xmlns:a14="http://schemas.microsoft.com/office/drawing/2010/main" val="0"/>
            </a:ext>
          </a:extLst>
        </a:blip>
        <a:stretch>
          <a:fillRect/>
        </a:stretch>
      </xdr:blipFill>
      <xdr:spPr>
        <a:xfrm>
          <a:off x="694764" y="257734"/>
          <a:ext cx="13380384" cy="1322294"/>
        </a:xfrm>
        <a:prstGeom prst="rect">
          <a:avLst/>
        </a:prstGeom>
      </xdr:spPr>
    </xdr:pic>
    <xdr:clientData/>
  </xdr:twoCellAnchor>
  <xdr:twoCellAnchor>
    <xdr:from>
      <xdr:col>0</xdr:col>
      <xdr:colOff>526676</xdr:colOff>
      <xdr:row>6</xdr:row>
      <xdr:rowOff>65554</xdr:rowOff>
    </xdr:from>
    <xdr:to>
      <xdr:col>27</xdr:col>
      <xdr:colOff>0</xdr:colOff>
      <xdr:row>7</xdr:row>
      <xdr:rowOff>22411</xdr:rowOff>
    </xdr:to>
    <xdr:sp macro="" textlink="">
      <xdr:nvSpPr>
        <xdr:cNvPr id="18" name="Rectangle 17">
          <a:extLst>
            <a:ext uri="{FF2B5EF4-FFF2-40B4-BE49-F238E27FC236}">
              <a16:creationId xmlns:a16="http://schemas.microsoft.com/office/drawing/2014/main" id="{00000000-0008-0000-0F00-000012000000}"/>
            </a:ext>
          </a:extLst>
        </xdr:cNvPr>
        <xdr:cNvSpPr/>
      </xdr:nvSpPr>
      <xdr:spPr>
        <a:xfrm>
          <a:off x="526676" y="1477495"/>
          <a:ext cx="14550346" cy="158563"/>
        </a:xfrm>
        <a:prstGeom prst="rect">
          <a:avLst/>
        </a:prstGeom>
        <a:solidFill>
          <a:srgbClr val="62B5E5"/>
        </a:solidFill>
        <a:ln>
          <a:solidFill>
            <a:srgbClr val="62B5E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oneCell">
    <xdr:from>
      <xdr:col>1</xdr:col>
      <xdr:colOff>22411</xdr:colOff>
      <xdr:row>86</xdr:row>
      <xdr:rowOff>22412</xdr:rowOff>
    </xdr:from>
    <xdr:to>
      <xdr:col>24</xdr:col>
      <xdr:colOff>593911</xdr:colOff>
      <xdr:row>95</xdr:row>
      <xdr:rowOff>32525</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627529" y="17862177"/>
          <a:ext cx="13435853" cy="18478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21596</xdr:colOff>
      <xdr:row>1</xdr:row>
      <xdr:rowOff>56028</xdr:rowOff>
    </xdr:from>
    <xdr:to>
      <xdr:col>43</xdr:col>
      <xdr:colOff>86991</xdr:colOff>
      <xdr:row>6</xdr:row>
      <xdr:rowOff>11204</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alphaModFix amt="20000"/>
          <a:extLst>
            <a:ext uri="{28A0092B-C50C-407E-A947-70E740481C1C}">
              <a14:useLocalDpi xmlns:a14="http://schemas.microsoft.com/office/drawing/2010/main" val="0"/>
            </a:ext>
          </a:extLst>
        </a:blip>
        <a:stretch>
          <a:fillRect/>
        </a:stretch>
      </xdr:blipFill>
      <xdr:spPr>
        <a:xfrm>
          <a:off x="6412871" y="256053"/>
          <a:ext cx="13390870" cy="1336301"/>
        </a:xfrm>
        <a:prstGeom prst="rect">
          <a:avLst/>
        </a:prstGeom>
      </xdr:spPr>
    </xdr:pic>
    <xdr:clientData/>
  </xdr:twoCellAnchor>
  <xdr:twoCellAnchor>
    <xdr:from>
      <xdr:col>0</xdr:col>
      <xdr:colOff>571499</xdr:colOff>
      <xdr:row>6</xdr:row>
      <xdr:rowOff>56029</xdr:rowOff>
    </xdr:from>
    <xdr:to>
      <xdr:col>38</xdr:col>
      <xdr:colOff>11205</xdr:colOff>
      <xdr:row>7</xdr:row>
      <xdr:rowOff>22411</xdr:rowOff>
    </xdr:to>
    <xdr:sp macro="" textlink="">
      <xdr:nvSpPr>
        <xdr:cNvPr id="3" name="Rectangle 2">
          <a:extLst>
            <a:ext uri="{FF2B5EF4-FFF2-40B4-BE49-F238E27FC236}">
              <a16:creationId xmlns:a16="http://schemas.microsoft.com/office/drawing/2014/main" id="{00000000-0008-0000-1100-000003000000}"/>
            </a:ext>
          </a:extLst>
        </xdr:cNvPr>
        <xdr:cNvSpPr/>
      </xdr:nvSpPr>
      <xdr:spPr>
        <a:xfrm>
          <a:off x="571499" y="1637179"/>
          <a:ext cx="15641731" cy="166407"/>
        </a:xfrm>
        <a:prstGeom prst="rect">
          <a:avLst/>
        </a:prstGeom>
        <a:solidFill>
          <a:srgbClr val="62B5E5"/>
        </a:solidFill>
        <a:ln>
          <a:solidFill>
            <a:srgbClr val="62B5E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xdr:from>
      <xdr:col>0</xdr:col>
      <xdr:colOff>571499</xdr:colOff>
      <xdr:row>49</xdr:row>
      <xdr:rowOff>56029</xdr:rowOff>
    </xdr:from>
    <xdr:to>
      <xdr:col>38</xdr:col>
      <xdr:colOff>11205</xdr:colOff>
      <xdr:row>49</xdr:row>
      <xdr:rowOff>224116</xdr:rowOff>
    </xdr:to>
    <xdr:sp macro="" textlink="">
      <xdr:nvSpPr>
        <xdr:cNvPr id="4" name="Rectangle 3">
          <a:extLst>
            <a:ext uri="{FF2B5EF4-FFF2-40B4-BE49-F238E27FC236}">
              <a16:creationId xmlns:a16="http://schemas.microsoft.com/office/drawing/2014/main" id="{00000000-0008-0000-1100-000004000000}"/>
            </a:ext>
          </a:extLst>
        </xdr:cNvPr>
        <xdr:cNvSpPr/>
      </xdr:nvSpPr>
      <xdr:spPr>
        <a:xfrm>
          <a:off x="571499" y="11867029"/>
          <a:ext cx="15641731" cy="168087"/>
        </a:xfrm>
        <a:prstGeom prst="rect">
          <a:avLst/>
        </a:prstGeom>
        <a:solidFill>
          <a:srgbClr val="62B5E5"/>
        </a:solidFill>
        <a:ln>
          <a:solidFill>
            <a:srgbClr val="62B5E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xdr:from>
      <xdr:col>14</xdr:col>
      <xdr:colOff>358588</xdr:colOff>
      <xdr:row>51</xdr:row>
      <xdr:rowOff>44824</xdr:rowOff>
    </xdr:from>
    <xdr:to>
      <xdr:col>38</xdr:col>
      <xdr:colOff>229077</xdr:colOff>
      <xdr:row>59</xdr:row>
      <xdr:rowOff>8679</xdr:rowOff>
    </xdr:to>
    <xdr:sp macro="" textlink="">
      <xdr:nvSpPr>
        <xdr:cNvPr id="5" name="TextBox 4">
          <a:extLst>
            <a:ext uri="{FF2B5EF4-FFF2-40B4-BE49-F238E27FC236}">
              <a16:creationId xmlns:a16="http://schemas.microsoft.com/office/drawing/2014/main" id="{00000000-0008-0000-1100-000005000000}"/>
            </a:ext>
          </a:extLst>
        </xdr:cNvPr>
        <xdr:cNvSpPr txBox="1"/>
      </xdr:nvSpPr>
      <xdr:spPr>
        <a:xfrm>
          <a:off x="7788088" y="12284449"/>
          <a:ext cx="8643014" cy="1564055"/>
        </a:xfrm>
        <a:prstGeom prst="rect">
          <a:avLst/>
        </a:prstGeom>
        <a:noFill/>
        <a:ln w="9525" cmpd="sng">
          <a:noFill/>
        </a:ln>
        <a:effectLst/>
      </xdr:spPr>
      <xdr:txBody>
        <a:bodyPr vertOverflow="clip" horzOverflow="clip" wrap="square" numCol="4"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Jost" pitchFamily="2" charset="0"/>
              <a:ea typeface="Jost" pitchFamily="2" charset="0"/>
              <a:cs typeface="+mn-cs"/>
            </a:rPr>
            <a:t>Lauren Bresky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 lastClr="FFFFFF"/>
              </a:solidFill>
              <a:effectLst/>
              <a:uLnTx/>
              <a:uFillTx/>
              <a:latin typeface="Jost" pitchFamily="2" charset="0"/>
              <a:ea typeface="Jost" pitchFamily="2" charset="0"/>
              <a:cs typeface="+mn-cs"/>
            </a:rPr>
            <a:t>Managing Director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 lastClr="FFFFFF"/>
              </a:solidFill>
              <a:effectLst/>
              <a:uLnTx/>
              <a:uFillTx/>
              <a:latin typeface="Jost" pitchFamily="2" charset="0"/>
              <a:ea typeface="Jost" pitchFamily="2" charset="0"/>
              <a:cs typeface="+mn-cs"/>
            </a:rPr>
            <a:t>O: (972) 455-4912</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 lastClr="FFFFFF"/>
              </a:solidFill>
              <a:effectLst/>
              <a:uLnTx/>
              <a:uFillTx/>
              <a:latin typeface="Jost" pitchFamily="2" charset="0"/>
              <a:ea typeface="Jost" pitchFamily="2" charset="0"/>
              <a:cs typeface="+mn-cs"/>
            </a:rPr>
            <a:t>C: (214) 793-1285</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 lastClr="FFFFFF"/>
              </a:solidFill>
              <a:effectLst/>
              <a:uLnTx/>
              <a:uFillTx/>
              <a:latin typeface="Jost" pitchFamily="2" charset="0"/>
              <a:ea typeface="Jost" pitchFamily="2" charset="0"/>
              <a:cs typeface="+mn-cs"/>
            </a:rPr>
            <a:t>LBresky@Northmarq.com</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ysClr val="window" lastClr="FFFFFF"/>
            </a:solidFill>
            <a:effectLst/>
            <a:uLnTx/>
            <a:uFillTx/>
            <a:latin typeface="Jost" pitchFamily="2" charset="0"/>
            <a:ea typeface="Jost" pitchFamily="2" charset="0"/>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white"/>
              </a:solidFill>
              <a:effectLst/>
              <a:uLnTx/>
              <a:uFillTx/>
              <a:latin typeface="Jost" pitchFamily="2" charset="0"/>
              <a:ea typeface="Jost" pitchFamily="2" charset="0"/>
              <a:cs typeface="+mn-cs"/>
            </a:rPr>
            <a:t>Kevin Leamy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white"/>
              </a:solidFill>
              <a:effectLst/>
              <a:uLnTx/>
              <a:uFillTx/>
              <a:latin typeface="Jost" pitchFamily="2" charset="0"/>
              <a:ea typeface="Jost" pitchFamily="2" charset="0"/>
              <a:cs typeface="+mn-cs"/>
            </a:rPr>
            <a:t>Managing Director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white"/>
              </a:solidFill>
              <a:effectLst/>
              <a:uLnTx/>
              <a:uFillTx/>
              <a:latin typeface="Jost" pitchFamily="2" charset="0"/>
              <a:ea typeface="Jost" pitchFamily="2" charset="0"/>
              <a:cs typeface="+mn-cs"/>
            </a:rPr>
            <a:t>O: (972) 455-4927</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white"/>
              </a:solidFill>
              <a:effectLst/>
              <a:uLnTx/>
              <a:uFillTx/>
              <a:latin typeface="Jost" pitchFamily="2" charset="0"/>
              <a:ea typeface="Jost" pitchFamily="2" charset="0"/>
              <a:cs typeface="+mn-cs"/>
            </a:rPr>
            <a:t>C: (972) 215-8861</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white"/>
              </a:solidFill>
              <a:effectLst/>
              <a:uLnTx/>
              <a:uFillTx/>
              <a:latin typeface="Jost" pitchFamily="2" charset="0"/>
              <a:ea typeface="Jost" pitchFamily="2" charset="0"/>
              <a:cs typeface="+mn-cs"/>
            </a:rPr>
            <a:t>KLeamy@Northmarq.com</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ysClr val="window" lastClr="FFFFFF"/>
            </a:solidFill>
            <a:effectLst/>
            <a:uLnTx/>
            <a:uFillTx/>
            <a:latin typeface="Jost" pitchFamily="2" charset="0"/>
            <a:ea typeface="Jost" pitchFamily="2" charset="0"/>
            <a:cs typeface="+mn-cs"/>
          </a:endParaRPr>
        </a:p>
        <a:p>
          <a:pPr eaLnBrk="1" fontAlgn="auto" latinLnBrk="0" hangingPunct="1"/>
          <a:r>
            <a:rPr lang="en-US" sz="1200" b="1" i="0" baseline="0">
              <a:solidFill>
                <a:schemeClr val="bg1"/>
              </a:solidFill>
              <a:effectLst/>
              <a:latin typeface="Jost" pitchFamily="2" charset="0"/>
              <a:ea typeface="Jost" pitchFamily="2" charset="0"/>
              <a:cs typeface="+mn-cs"/>
            </a:rPr>
            <a:t>Joel Heikenfeld</a:t>
          </a:r>
          <a:endParaRPr lang="en-US" sz="1200">
            <a:solidFill>
              <a:schemeClr val="bg1"/>
            </a:solidFill>
            <a:effectLst/>
            <a:latin typeface="Jost" pitchFamily="2" charset="0"/>
            <a:ea typeface="Jost" pitchFamily="2" charset="0"/>
          </a:endParaRPr>
        </a:p>
        <a:p>
          <a:pPr eaLnBrk="1" fontAlgn="auto" latinLnBrk="0" hangingPunct="1"/>
          <a:r>
            <a:rPr lang="en-US" sz="1200" b="0" i="0" baseline="0">
              <a:solidFill>
                <a:schemeClr val="bg1"/>
              </a:solidFill>
              <a:effectLst/>
              <a:latin typeface="Jost" pitchFamily="2" charset="0"/>
              <a:ea typeface="Jost" pitchFamily="2" charset="0"/>
              <a:cs typeface="+mn-cs"/>
            </a:rPr>
            <a:t>Managing Director</a:t>
          </a:r>
          <a:endParaRPr lang="en-US" sz="1200">
            <a:solidFill>
              <a:schemeClr val="bg1"/>
            </a:solidFill>
            <a:effectLst/>
            <a:latin typeface="Jost" pitchFamily="2" charset="0"/>
            <a:ea typeface="Jost" pitchFamily="2" charset="0"/>
          </a:endParaRPr>
        </a:p>
        <a:p>
          <a:pPr eaLnBrk="1" fontAlgn="auto" latinLnBrk="0" hangingPunct="1"/>
          <a:r>
            <a:rPr lang="en-US" sz="1200" b="0" i="0" baseline="0">
              <a:solidFill>
                <a:schemeClr val="bg1"/>
              </a:solidFill>
              <a:effectLst/>
              <a:latin typeface="Jost" pitchFamily="2" charset="0"/>
              <a:ea typeface="Jost" pitchFamily="2" charset="0"/>
              <a:cs typeface="+mn-cs"/>
            </a:rPr>
            <a:t>O: (972) 455-1943</a:t>
          </a:r>
        </a:p>
        <a:p>
          <a:pPr eaLnBrk="1" fontAlgn="auto" latinLnBrk="0" hangingPunct="1"/>
          <a:r>
            <a:rPr lang="en-US" sz="1200" b="0" i="0" baseline="0">
              <a:solidFill>
                <a:schemeClr val="bg1"/>
              </a:solidFill>
              <a:effectLst/>
              <a:latin typeface="Jost" pitchFamily="2" charset="0"/>
              <a:ea typeface="Jost" pitchFamily="2" charset="0"/>
              <a:cs typeface="+mn-cs"/>
            </a:rPr>
            <a:t>C: (214) 632-5709</a:t>
          </a:r>
          <a:endParaRPr lang="en-US" sz="1200">
            <a:solidFill>
              <a:schemeClr val="bg1"/>
            </a:solidFill>
            <a:effectLst/>
            <a:latin typeface="Jost" pitchFamily="2" charset="0"/>
            <a:ea typeface="Jost" pitchFamily="2" charset="0"/>
          </a:endParaRPr>
        </a:p>
        <a:p>
          <a:pPr eaLnBrk="1" fontAlgn="auto" latinLnBrk="0" hangingPunct="1"/>
          <a:r>
            <a:rPr lang="en-US" sz="1200" b="0" i="0" baseline="0">
              <a:solidFill>
                <a:schemeClr val="bg1"/>
              </a:solidFill>
              <a:effectLst/>
              <a:latin typeface="Jost" pitchFamily="2" charset="0"/>
              <a:ea typeface="Jost" pitchFamily="2" charset="0"/>
              <a:cs typeface="+mn-cs"/>
            </a:rPr>
            <a:t>JHeikenfeld@Northmarq.com</a:t>
          </a:r>
          <a:endParaRPr lang="en-US" sz="1200">
            <a:solidFill>
              <a:schemeClr val="bg1"/>
            </a:solidFill>
            <a:effectLst/>
            <a:latin typeface="Jost" pitchFamily="2" charset="0"/>
            <a:ea typeface="Jost" pitchFamily="2"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ysClr val="window" lastClr="FFFFFF"/>
            </a:solidFill>
            <a:effectLst/>
            <a:uLnTx/>
            <a:uFillTx/>
            <a:latin typeface="Jost" pitchFamily="2" charset="0"/>
            <a:ea typeface="Jost" pitchFamily="2" charset="0"/>
            <a:cs typeface="+mn-cs"/>
          </a:endParaRPr>
        </a:p>
        <a:p>
          <a:pPr eaLnBrk="1" fontAlgn="auto" latinLnBrk="0" hangingPunct="1"/>
          <a:r>
            <a:rPr lang="en-US" sz="1200" b="1" i="0" baseline="0">
              <a:solidFill>
                <a:schemeClr val="bg1"/>
              </a:solidFill>
              <a:effectLst/>
              <a:latin typeface="Jost" pitchFamily="2" charset="0"/>
              <a:ea typeface="Jost" pitchFamily="2" charset="0"/>
              <a:cs typeface="+mn-cs"/>
            </a:rPr>
            <a:t>James Currell</a:t>
          </a:r>
          <a:endParaRPr lang="en-US" sz="1200">
            <a:solidFill>
              <a:schemeClr val="bg1"/>
            </a:solidFill>
            <a:effectLst/>
            <a:latin typeface="Jost" pitchFamily="2" charset="0"/>
            <a:ea typeface="Jost" pitchFamily="2" charset="0"/>
          </a:endParaRPr>
        </a:p>
        <a:p>
          <a:pPr eaLnBrk="1" fontAlgn="auto" latinLnBrk="0" hangingPunct="1"/>
          <a:r>
            <a:rPr lang="en-US" sz="1200" b="0" i="0" baseline="0">
              <a:solidFill>
                <a:schemeClr val="bg1"/>
              </a:solidFill>
              <a:effectLst/>
              <a:latin typeface="Jost" pitchFamily="2" charset="0"/>
              <a:ea typeface="Jost" pitchFamily="2" charset="0"/>
              <a:cs typeface="+mn-cs"/>
            </a:rPr>
            <a:t>Senior Vice President</a:t>
          </a:r>
          <a:endParaRPr lang="en-US" sz="1200">
            <a:solidFill>
              <a:schemeClr val="bg1"/>
            </a:solidFill>
            <a:effectLst/>
            <a:latin typeface="Jost" pitchFamily="2" charset="0"/>
            <a:ea typeface="Jost" pitchFamily="2" charset="0"/>
          </a:endParaRPr>
        </a:p>
        <a:p>
          <a:pPr eaLnBrk="1" fontAlgn="auto" latinLnBrk="0" hangingPunct="1"/>
          <a:r>
            <a:rPr lang="en-US" sz="1200" b="0" i="0" baseline="0">
              <a:solidFill>
                <a:schemeClr val="bg1"/>
              </a:solidFill>
              <a:effectLst/>
              <a:latin typeface="Jost" pitchFamily="2" charset="0"/>
              <a:ea typeface="Jost" pitchFamily="2" charset="0"/>
              <a:cs typeface="+mn-cs"/>
            </a:rPr>
            <a:t>O: (972) 455-4921</a:t>
          </a:r>
          <a:endParaRPr lang="en-US" sz="1200">
            <a:solidFill>
              <a:schemeClr val="bg1"/>
            </a:solidFill>
            <a:effectLst/>
            <a:latin typeface="Jost" pitchFamily="2" charset="0"/>
            <a:ea typeface="Jost" pitchFamily="2" charset="0"/>
          </a:endParaRPr>
        </a:p>
        <a:p>
          <a:pPr eaLnBrk="1" fontAlgn="auto" latinLnBrk="0" hangingPunct="1"/>
          <a:r>
            <a:rPr lang="en-US" sz="1200" b="0" i="0" baseline="0">
              <a:solidFill>
                <a:schemeClr val="bg1"/>
              </a:solidFill>
              <a:effectLst/>
              <a:latin typeface="Jost" pitchFamily="2" charset="0"/>
              <a:ea typeface="Jost" pitchFamily="2" charset="0"/>
              <a:cs typeface="+mn-cs"/>
            </a:rPr>
            <a:t>C: (214) 449-6508</a:t>
          </a:r>
          <a:endParaRPr lang="en-US" sz="1200">
            <a:solidFill>
              <a:schemeClr val="bg1"/>
            </a:solidFill>
            <a:effectLst/>
            <a:latin typeface="Jost" pitchFamily="2" charset="0"/>
            <a:ea typeface="Jost" pitchFamily="2" charset="0"/>
          </a:endParaRPr>
        </a:p>
        <a:p>
          <a:pPr eaLnBrk="1" fontAlgn="auto" latinLnBrk="0" hangingPunct="1"/>
          <a:r>
            <a:rPr lang="en-US" sz="1200" b="0" i="0" baseline="0">
              <a:solidFill>
                <a:schemeClr val="bg1"/>
              </a:solidFill>
              <a:effectLst/>
              <a:latin typeface="Jost" pitchFamily="2" charset="0"/>
              <a:ea typeface="Jost" pitchFamily="2" charset="0"/>
              <a:cs typeface="+mn-cs"/>
            </a:rPr>
            <a:t>JCurrell@Northmarq.com</a:t>
          </a:r>
          <a:endParaRPr lang="en-US" sz="1200">
            <a:solidFill>
              <a:schemeClr val="bg1"/>
            </a:solidFill>
            <a:effectLst/>
            <a:latin typeface="Jost" pitchFamily="2" charset="0"/>
            <a:ea typeface="Jost" pitchFamily="2"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ysClr val="window" lastClr="FFFFFF"/>
            </a:solidFill>
            <a:effectLst/>
            <a:uLnTx/>
            <a:uFillTx/>
            <a:latin typeface="Jost" pitchFamily="2" charset="0"/>
            <a:ea typeface="Jost" pitchFamily="2" charset="0"/>
            <a:cs typeface="+mn-cs"/>
          </a:endParaRPr>
        </a:p>
      </xdr:txBody>
    </xdr:sp>
    <xdr:clientData/>
  </xdr:twoCellAnchor>
  <xdr:twoCellAnchor>
    <xdr:from>
      <xdr:col>2</xdr:col>
      <xdr:colOff>224117</xdr:colOff>
      <xdr:row>51</xdr:row>
      <xdr:rowOff>168088</xdr:rowOff>
    </xdr:from>
    <xdr:to>
      <xdr:col>3</xdr:col>
      <xdr:colOff>554197</xdr:colOff>
      <xdr:row>56</xdr:row>
      <xdr:rowOff>140142</xdr:rowOff>
    </xdr:to>
    <xdr:pic>
      <xdr:nvPicPr>
        <xdr:cNvPr id="6" name="Picture 5">
          <a:extLst>
            <a:ext uri="{FF2B5EF4-FFF2-40B4-BE49-F238E27FC236}">
              <a16:creationId xmlns:a16="http://schemas.microsoft.com/office/drawing/2014/main" id="{00000000-0008-0000-11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95642" y="12407713"/>
          <a:ext cx="1082555" cy="972179"/>
        </a:xfrm>
        <a:prstGeom prst="rect">
          <a:avLst/>
        </a:prstGeom>
      </xdr:spPr>
    </xdr:pic>
    <xdr:clientData/>
  </xdr:twoCellAnchor>
  <xdr:twoCellAnchor editAs="oneCell">
    <xdr:from>
      <xdr:col>1</xdr:col>
      <xdr:colOff>12038</xdr:colOff>
      <xdr:row>50</xdr:row>
      <xdr:rowOff>112944</xdr:rowOff>
    </xdr:from>
    <xdr:to>
      <xdr:col>16</xdr:col>
      <xdr:colOff>231321</xdr:colOff>
      <xdr:row>58</xdr:row>
      <xdr:rowOff>178407</xdr:rowOff>
    </xdr:to>
    <xdr:pic>
      <xdr:nvPicPr>
        <xdr:cNvPr id="7" name="Picture 6">
          <a:extLst>
            <a:ext uri="{FF2B5EF4-FFF2-40B4-BE49-F238E27FC236}">
              <a16:creationId xmlns:a16="http://schemas.microsoft.com/office/drawing/2014/main" id="{00000000-0008-0000-1100-000007000000}"/>
            </a:ext>
          </a:extLst>
        </xdr:cNvPr>
        <xdr:cNvPicPr>
          <a:picLocks noChangeAspect="1"/>
        </xdr:cNvPicPr>
      </xdr:nvPicPr>
      <xdr:blipFill rotWithShape="1">
        <a:blip xmlns:r="http://schemas.openxmlformats.org/officeDocument/2006/relationships" r:embed="rId1" cstate="print">
          <a:alphaModFix amt="20000"/>
          <a:extLst>
            <a:ext uri="{28A0092B-C50C-407E-A947-70E740481C1C}">
              <a14:useLocalDpi xmlns:a14="http://schemas.microsoft.com/office/drawing/2010/main" val="0"/>
            </a:ext>
          </a:extLst>
        </a:blip>
        <a:srcRect r="47801"/>
        <a:stretch/>
      </xdr:blipFill>
      <xdr:spPr>
        <a:xfrm>
          <a:off x="621638" y="12152544"/>
          <a:ext cx="8153608" cy="166566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12</xdr:col>
      <xdr:colOff>666750</xdr:colOff>
      <xdr:row>2</xdr:row>
      <xdr:rowOff>63500</xdr:rowOff>
    </xdr:from>
    <xdr:to>
      <xdr:col>12</xdr:col>
      <xdr:colOff>1747624</xdr:colOff>
      <xdr:row>5</xdr:row>
      <xdr:rowOff>202708</xdr:rowOff>
    </xdr:to>
    <xdr:pic>
      <xdr:nvPicPr>
        <xdr:cNvPr id="3" name="Picture 2">
          <a:extLst>
            <a:ext uri="{FF2B5EF4-FFF2-40B4-BE49-F238E27FC236}">
              <a16:creationId xmlns:a16="http://schemas.microsoft.com/office/drawing/2014/main" id="{D1CFAC02-5F1B-4F71-8086-E89FF42A606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128625" y="381000"/>
          <a:ext cx="1080874" cy="980583"/>
        </a:xfrm>
        <a:prstGeom prst="rect">
          <a:avLst/>
        </a:prstGeom>
      </xdr:spPr>
    </xdr:pic>
    <xdr:clientData/>
  </xdr:twoCellAnchor>
  <xdr:twoCellAnchor editAs="oneCell">
    <xdr:from>
      <xdr:col>0</xdr:col>
      <xdr:colOff>31750</xdr:colOff>
      <xdr:row>0</xdr:row>
      <xdr:rowOff>95250</xdr:rowOff>
    </xdr:from>
    <xdr:to>
      <xdr:col>12</xdr:col>
      <xdr:colOff>981476</xdr:colOff>
      <xdr:row>6</xdr:row>
      <xdr:rowOff>36419</xdr:rowOff>
    </xdr:to>
    <xdr:pic>
      <xdr:nvPicPr>
        <xdr:cNvPr id="4" name="Picture 3">
          <a:extLst>
            <a:ext uri="{FF2B5EF4-FFF2-40B4-BE49-F238E27FC236}">
              <a16:creationId xmlns:a16="http://schemas.microsoft.com/office/drawing/2014/main" id="{56286CB4-7580-430C-ABB3-54F9A8C50DC4}"/>
            </a:ext>
          </a:extLst>
        </xdr:cNvPr>
        <xdr:cNvPicPr>
          <a:picLocks noChangeAspect="1"/>
        </xdr:cNvPicPr>
      </xdr:nvPicPr>
      <xdr:blipFill>
        <a:blip xmlns:r="http://schemas.openxmlformats.org/officeDocument/2006/relationships" r:embed="rId2" cstate="print">
          <a:alphaModFix amt="20000"/>
          <a:extLst>
            <a:ext uri="{28A0092B-C50C-407E-A947-70E740481C1C}">
              <a14:useLocalDpi xmlns:a14="http://schemas.microsoft.com/office/drawing/2010/main" val="0"/>
            </a:ext>
          </a:extLst>
        </a:blip>
        <a:stretch>
          <a:fillRect/>
        </a:stretch>
      </xdr:blipFill>
      <xdr:spPr>
        <a:xfrm>
          <a:off x="31750" y="95250"/>
          <a:ext cx="13411601" cy="1322294"/>
        </a:xfrm>
        <a:prstGeom prst="rect">
          <a:avLst/>
        </a:prstGeom>
      </xdr:spPr>
    </xdr:pic>
    <xdr:clientData/>
  </xdr:twoCellAnchor>
  <xdr:twoCellAnchor>
    <xdr:from>
      <xdr:col>1</xdr:col>
      <xdr:colOff>0</xdr:colOff>
      <xdr:row>6</xdr:row>
      <xdr:rowOff>127000</xdr:rowOff>
    </xdr:from>
    <xdr:to>
      <xdr:col>13</xdr:col>
      <xdr:colOff>587376</xdr:colOff>
      <xdr:row>7</xdr:row>
      <xdr:rowOff>69850</xdr:rowOff>
    </xdr:to>
    <xdr:sp macro="" textlink="">
      <xdr:nvSpPr>
        <xdr:cNvPr id="2" name="Rectangle 1">
          <a:extLst>
            <a:ext uri="{FF2B5EF4-FFF2-40B4-BE49-F238E27FC236}">
              <a16:creationId xmlns:a16="http://schemas.microsoft.com/office/drawing/2014/main" id="{9CFB3A00-A902-43D0-8BA7-4B9D9440F473}"/>
            </a:ext>
          </a:extLst>
        </xdr:cNvPr>
        <xdr:cNvSpPr/>
      </xdr:nvSpPr>
      <xdr:spPr>
        <a:xfrm>
          <a:off x="111125" y="1508125"/>
          <a:ext cx="15113001" cy="165100"/>
        </a:xfrm>
        <a:prstGeom prst="rect">
          <a:avLst/>
        </a:prstGeom>
        <a:solidFill>
          <a:srgbClr val="62B5E5"/>
        </a:solidFill>
        <a:ln>
          <a:solidFill>
            <a:srgbClr val="62B5E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J:\Dallas\Dept\Production\Kirsten\_Equity\Charlie\Foxcreek%20Apartments%20-%20Elliot%20Properties\Sponsor%20Model\Foxcreek_UW_02.04.2025.xlsx" TargetMode="External"/><Relationship Id="rId1" Type="http://schemas.openxmlformats.org/officeDocument/2006/relationships/externalLinkPath" Target="https://northmarq.sharepoint.com/Dallas/Dept/Production/Kirsten/_Equity/Charlie/Foxcreek%20Apartments%20-%20Elliot%20Properties/Sponsor%20Model/Foxcreek_UW_02.04.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ject Summary"/>
      <sheetName val="Inputs"/>
      <sheetName val="Cash Flow"/>
      <sheetName val="Payroll"/>
      <sheetName val="Historical Import"/>
      <sheetName val="Historical Analytics"/>
      <sheetName val="Other Income"/>
      <sheetName val="Debt"/>
      <sheetName val="CapEx"/>
      <sheetName val="Renovation"/>
      <sheetName val="Premium"/>
      <sheetName val="Meta"/>
      <sheetName val="RE Taxes"/>
      <sheetName val="RR Summary"/>
      <sheetName val="Rent Roll"/>
      <sheetName val="Waterfa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persons/person.xml><?xml version="1.0" encoding="utf-8"?>
<personList xmlns="http://schemas.microsoft.com/office/spreadsheetml/2018/threadedcomments" xmlns:x="http://schemas.openxmlformats.org/spreadsheetml/2006/main">
  <person displayName="Patrick Elliott" id="{D66D83BF-0BC1-4CB7-BF1C-579624769875}" userId="S::pelliott@NorthMarq.com::e5124d7e-f2f1-4e4e-b4cf-58723857499f" providerId="AD"/>
</personList>
</file>

<file path=xl/theme/theme1.xml><?xml version="1.0" encoding="utf-8"?>
<a:theme xmlns:a="http://schemas.openxmlformats.org/drawingml/2006/main" name="Office Theme">
  <a:themeElements>
    <a:clrScheme name="NorthMarq">
      <a:dk1>
        <a:srgbClr val="000000"/>
      </a:dk1>
      <a:lt1>
        <a:sysClr val="window" lastClr="FFFFFF"/>
      </a:lt1>
      <a:dk2>
        <a:srgbClr val="636466"/>
      </a:dk2>
      <a:lt2>
        <a:srgbClr val="D4E5F7"/>
      </a:lt2>
      <a:accent1>
        <a:srgbClr val="003359"/>
      </a:accent1>
      <a:accent2>
        <a:srgbClr val="6A8A7F"/>
      </a:accent2>
      <a:accent3>
        <a:srgbClr val="6F9AD3"/>
      </a:accent3>
      <a:accent4>
        <a:srgbClr val="ABC785"/>
      </a:accent4>
      <a:accent5>
        <a:srgbClr val="7F6A8A"/>
      </a:accent5>
      <a:accent6>
        <a:srgbClr val="D45047"/>
      </a:accent6>
      <a:hlink>
        <a:srgbClr val="003359"/>
      </a:hlink>
      <a:folHlink>
        <a:srgbClr val="00000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25" dT="2021-05-18T15:06:42.57" personId="{D66D83BF-0BC1-4CB7-BF1C-579624769875}" id="{FFF940EF-44D6-4F7C-99E9-8440F89EA65E}">
    <text>If agency deal, link to the max pref amount sized in the Debt Sizing sheet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hathamfinancial.com/technology/us-forward-cur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26" Type="http://schemas.openxmlformats.org/officeDocument/2006/relationships/ctrlProp" Target="../ctrlProps/ctrlProp27.xml"/><Relationship Id="rId3" Type="http://schemas.openxmlformats.org/officeDocument/2006/relationships/vmlDrawing" Target="../drawings/vmlDrawing4.vml"/><Relationship Id="rId21" Type="http://schemas.openxmlformats.org/officeDocument/2006/relationships/ctrlProp" Target="../ctrlProps/ctrlProp22.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2" Type="http://schemas.openxmlformats.org/officeDocument/2006/relationships/drawing" Target="../drawings/drawing3.xml"/><Relationship Id="rId16" Type="http://schemas.openxmlformats.org/officeDocument/2006/relationships/ctrlProp" Target="../ctrlProps/ctrlProp17.xml"/><Relationship Id="rId20" Type="http://schemas.openxmlformats.org/officeDocument/2006/relationships/ctrlProp" Target="../ctrlProps/ctrlProp21.xml"/><Relationship Id="rId29" Type="http://schemas.openxmlformats.org/officeDocument/2006/relationships/comments" Target="../comments2.xml"/><Relationship Id="rId1" Type="http://schemas.openxmlformats.org/officeDocument/2006/relationships/printerSettings" Target="../printerSettings/printerSettings12.bin"/><Relationship Id="rId6" Type="http://schemas.openxmlformats.org/officeDocument/2006/relationships/ctrlProp" Target="../ctrlProps/ctrlProp7.xml"/><Relationship Id="rId11" Type="http://schemas.openxmlformats.org/officeDocument/2006/relationships/ctrlProp" Target="../ctrlProps/ctrlProp12.xml"/><Relationship Id="rId24" Type="http://schemas.openxmlformats.org/officeDocument/2006/relationships/ctrlProp" Target="../ctrlProps/ctrlProp25.xml"/><Relationship Id="rId5" Type="http://schemas.openxmlformats.org/officeDocument/2006/relationships/ctrlProp" Target="../ctrlProps/ctrlProp6.xml"/><Relationship Id="rId15" Type="http://schemas.openxmlformats.org/officeDocument/2006/relationships/ctrlProp" Target="../ctrlProps/ctrlProp16.xml"/><Relationship Id="rId23" Type="http://schemas.openxmlformats.org/officeDocument/2006/relationships/ctrlProp" Target="../ctrlProps/ctrlProp24.xml"/><Relationship Id="rId28" Type="http://schemas.openxmlformats.org/officeDocument/2006/relationships/ctrlProp" Target="../ctrlProps/ctrlProp29.xml"/><Relationship Id="rId10" Type="http://schemas.openxmlformats.org/officeDocument/2006/relationships/ctrlProp" Target="../ctrlProps/ctrlProp11.xml"/><Relationship Id="rId19" Type="http://schemas.openxmlformats.org/officeDocument/2006/relationships/ctrlProp" Target="../ctrlProps/ctrlProp20.xml"/><Relationship Id="rId4" Type="http://schemas.openxmlformats.org/officeDocument/2006/relationships/vmlDrawing" Target="../drawings/vmlDrawing5.vml"/><Relationship Id="rId9" Type="http://schemas.openxmlformats.org/officeDocument/2006/relationships/ctrlProp" Target="../ctrlProps/ctrlProp10.xml"/><Relationship Id="rId14" Type="http://schemas.openxmlformats.org/officeDocument/2006/relationships/ctrlProp" Target="../ctrlProps/ctrlProp15.xml"/><Relationship Id="rId22" Type="http://schemas.openxmlformats.org/officeDocument/2006/relationships/ctrlProp" Target="../ctrlProps/ctrlProp23.xml"/><Relationship Id="rId27"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19.bin"/><Relationship Id="rId4" Type="http://schemas.openxmlformats.org/officeDocument/2006/relationships/comments" Target="../comments3.xml"/></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9.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0.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2:AJ36"/>
  <sheetViews>
    <sheetView showGridLines="0" topLeftCell="A7" zoomScale="85" zoomScaleNormal="85" workbookViewId="0">
      <selection activeCell="M13" sqref="M13"/>
    </sheetView>
  </sheetViews>
  <sheetFormatPr defaultRowHeight="17.5" outlineLevelRow="1"/>
  <cols>
    <col min="1" max="1" width="9.1796875" style="101"/>
    <col min="2" max="2" width="35.7265625" style="101" customWidth="1"/>
    <col min="3" max="3" width="42.7265625" style="101" customWidth="1"/>
    <col min="4" max="4" width="9.26953125" style="101" customWidth="1"/>
    <col min="5" max="5" width="9.26953125" style="572" customWidth="1"/>
    <col min="6" max="6" width="9.1796875" style="101"/>
    <col min="7" max="7" width="24.453125" style="101" customWidth="1"/>
    <col min="8" max="9" width="22.7265625" style="101" customWidth="1"/>
    <col min="10" max="10" width="9.1796875" style="101"/>
    <col min="11" max="13" width="22.7265625" style="101" customWidth="1"/>
    <col min="14" max="14" width="9.1796875" style="101"/>
  </cols>
  <sheetData>
    <row r="2" spans="1:36" ht="27" customHeight="1">
      <c r="B2" s="1883" t="s">
        <v>0</v>
      </c>
      <c r="C2" s="1883"/>
      <c r="D2" s="570"/>
      <c r="E2" s="571"/>
      <c r="G2" s="1883" t="s">
        <v>1</v>
      </c>
      <c r="H2" s="1883"/>
      <c r="I2" s="1883"/>
      <c r="J2" s="1883"/>
      <c r="K2" s="1883"/>
      <c r="L2" s="1883"/>
      <c r="M2" s="1883"/>
    </row>
    <row r="3" spans="1:36" ht="20.149999999999999" customHeight="1" thickBot="1"/>
    <row r="4" spans="1:36" ht="25" customHeight="1">
      <c r="A4" s="104"/>
      <c r="B4" s="573"/>
      <c r="C4" s="574"/>
      <c r="D4" s="357"/>
      <c r="E4" s="524"/>
      <c r="G4" s="1882" t="s">
        <v>2</v>
      </c>
      <c r="H4" s="1882"/>
      <c r="I4" s="1882"/>
      <c r="J4" s="586"/>
      <c r="K4" s="1882" t="s">
        <v>3</v>
      </c>
      <c r="L4" s="1882"/>
      <c r="M4" s="1882"/>
    </row>
    <row r="5" spans="1:36" ht="25" customHeight="1">
      <c r="A5" s="104"/>
      <c r="B5" s="575"/>
      <c r="C5" s="576"/>
      <c r="D5" s="130"/>
      <c r="E5" s="577"/>
      <c r="G5" s="597" t="s">
        <v>4</v>
      </c>
      <c r="H5" s="598">
        <f>ROUND('Inputs and Assumptions'!G26,-3)</f>
        <v>35000000</v>
      </c>
      <c r="I5" s="599">
        <f ca="1">H5/$H$8</f>
        <v>0.63295717592592593</v>
      </c>
      <c r="J5" s="586"/>
      <c r="K5" s="597" t="s">
        <v>5</v>
      </c>
      <c r="L5" s="603"/>
      <c r="M5" s="611">
        <f>'Inputs and Assumptions'!P6</f>
        <v>48</v>
      </c>
    </row>
    <row r="6" spans="1:36" ht="25" customHeight="1">
      <c r="A6" s="104"/>
      <c r="B6" s="560" t="s">
        <v>6</v>
      </c>
      <c r="C6" s="578"/>
      <c r="D6" s="130"/>
      <c r="E6" s="577"/>
      <c r="G6" s="600" t="s">
        <v>7</v>
      </c>
      <c r="H6" s="601">
        <f>ROUND('Inputs and Assumptions'!G27,-3)</f>
        <v>0</v>
      </c>
      <c r="I6" s="602">
        <f ca="1">H6/$H$8</f>
        <v>0</v>
      </c>
      <c r="J6" s="586"/>
      <c r="K6" s="600" t="s">
        <v>8</v>
      </c>
      <c r="L6" s="604"/>
      <c r="M6" s="612">
        <f ca="1">'Inputs and Assumptions'!P21</f>
        <v>0.15896270871162421</v>
      </c>
    </row>
    <row r="7" spans="1:36" ht="25" customHeight="1">
      <c r="A7" s="104"/>
      <c r="B7" s="561" t="s">
        <v>9</v>
      </c>
      <c r="C7" s="562">
        <f>ROUND('Inputs and Assumptions'!H12,-3)</f>
        <v>35000000</v>
      </c>
      <c r="D7" s="130"/>
      <c r="E7" s="577"/>
      <c r="G7" s="597" t="s">
        <v>10</v>
      </c>
      <c r="H7" s="598">
        <f ca="1">ROUND('Inputs and Assumptions'!G28,-3)</f>
        <v>20296000</v>
      </c>
      <c r="I7" s="599">
        <f ca="1">H7/$H$8</f>
        <v>0.36704282407407407</v>
      </c>
      <c r="J7" s="586"/>
      <c r="K7" s="597" t="s">
        <v>11</v>
      </c>
      <c r="L7" s="603"/>
      <c r="M7" s="613">
        <f ca="1">'Inputs and Assumptions'!P22</f>
        <v>1.7175438528726268</v>
      </c>
      <c r="AJ7" t="s">
        <v>12</v>
      </c>
    </row>
    <row r="8" spans="1:36" ht="25" customHeight="1">
      <c r="A8" s="104"/>
      <c r="B8" s="563" t="s">
        <v>13</v>
      </c>
      <c r="C8" s="564">
        <f ca="1">'Inputs and Assumptions'!H14</f>
        <v>0.63295717592592593</v>
      </c>
      <c r="D8" s="576"/>
      <c r="E8" s="579"/>
      <c r="G8" s="593" t="s">
        <v>14</v>
      </c>
      <c r="H8" s="596">
        <f ca="1">SUM(H5:H7)</f>
        <v>55296000</v>
      </c>
      <c r="I8" s="595">
        <f ca="1">SUM(I5:I7)</f>
        <v>1</v>
      </c>
      <c r="J8" s="586"/>
      <c r="K8" s="600" t="s">
        <v>15</v>
      </c>
      <c r="L8" s="604"/>
      <c r="M8" s="612">
        <f>'Inputs and Assumptions'!P9</f>
        <v>5.2499999999999998E-2</v>
      </c>
      <c r="AJ8" t="s">
        <v>16</v>
      </c>
    </row>
    <row r="9" spans="1:36" ht="25" customHeight="1">
      <c r="A9" s="104"/>
      <c r="B9" s="561" t="s">
        <v>17</v>
      </c>
      <c r="C9" s="565" t="s">
        <v>18</v>
      </c>
      <c r="D9" s="580"/>
      <c r="E9" s="581"/>
      <c r="G9" s="587"/>
      <c r="H9" s="588"/>
      <c r="I9" s="588"/>
      <c r="J9" s="586"/>
      <c r="K9" s="597" t="s">
        <v>19</v>
      </c>
      <c r="L9" s="603"/>
      <c r="M9" s="599">
        <f ca="1">'Inputs and Assumptions'!P27</f>
        <v>6.45499467725692E-2</v>
      </c>
    </row>
    <row r="10" spans="1:36" ht="25" customHeight="1">
      <c r="A10" s="104"/>
      <c r="B10" s="563" t="s">
        <v>20</v>
      </c>
      <c r="C10" s="566" t="s">
        <v>21</v>
      </c>
      <c r="D10" s="580"/>
      <c r="E10" s="581"/>
      <c r="G10" s="1882" t="s">
        <v>22</v>
      </c>
      <c r="H10" s="1882"/>
      <c r="I10" s="1882"/>
      <c r="J10" s="586"/>
      <c r="K10" s="600" t="s">
        <v>23</v>
      </c>
      <c r="L10" s="604"/>
      <c r="M10" s="602">
        <f ca="1">'Inputs and Assumptions'!P29</f>
        <v>5.5563583041343956E-2</v>
      </c>
    </row>
    <row r="11" spans="1:36" ht="25" customHeight="1">
      <c r="A11" s="104"/>
      <c r="D11" s="104"/>
      <c r="E11" s="582"/>
      <c r="G11" s="597" t="s">
        <v>24</v>
      </c>
      <c r="H11" s="603">
        <f>'Inputs and Assumptions'!G32</f>
        <v>54000000</v>
      </c>
      <c r="I11" s="599">
        <f ca="1">H11/$H$14</f>
        <v>0.9765625</v>
      </c>
      <c r="J11" s="586"/>
      <c r="K11" s="597" t="s">
        <v>25</v>
      </c>
      <c r="L11" s="603"/>
      <c r="M11" s="609">
        <f>'Sponsor Pro Forma'!M17</f>
        <v>0.03</v>
      </c>
    </row>
    <row r="12" spans="1:36" s="10" customFormat="1" ht="25" customHeight="1">
      <c r="A12" s="161"/>
      <c r="B12" s="560" t="s">
        <v>2</v>
      </c>
      <c r="C12" s="578"/>
      <c r="D12" s="357"/>
      <c r="E12" s="524"/>
      <c r="F12" s="101"/>
      <c r="G12" s="600" t="s">
        <v>26</v>
      </c>
      <c r="H12" s="604">
        <f>ROUND('Inputs and Assumptions'!G33,-3)</f>
        <v>0</v>
      </c>
      <c r="I12" s="602">
        <f ca="1">H12/$H$14</f>
        <v>0</v>
      </c>
      <c r="J12" s="586"/>
      <c r="K12" s="600" t="s">
        <v>27</v>
      </c>
      <c r="L12" s="604"/>
      <c r="M12" s="612">
        <f>'Sponsor Pro Forma'!M23</f>
        <v>0.02</v>
      </c>
      <c r="N12" s="138"/>
    </row>
    <row r="13" spans="1:36" ht="25" customHeight="1">
      <c r="A13" s="161"/>
      <c r="B13" s="561" t="s">
        <v>28</v>
      </c>
      <c r="C13" s="562">
        <f>ROUND(C7,-3)</f>
        <v>35000000</v>
      </c>
      <c r="D13" s="576"/>
      <c r="E13" s="579"/>
      <c r="G13" s="597" t="s">
        <v>29</v>
      </c>
      <c r="H13" s="603">
        <f ca="1">ROUND('Inputs and Assumptions'!G34,-3)</f>
        <v>1296000</v>
      </c>
      <c r="I13" s="599">
        <f ca="1">H13/$H$14</f>
        <v>2.34375E-2</v>
      </c>
      <c r="J13" s="587"/>
      <c r="K13" s="586"/>
      <c r="L13" s="586"/>
      <c r="M13" s="586"/>
    </row>
    <row r="14" spans="1:36" ht="25" customHeight="1">
      <c r="A14" s="161"/>
      <c r="B14" s="1202" t="s">
        <v>30</v>
      </c>
      <c r="C14" s="1203">
        <f>C13-C15</f>
        <v>35000000</v>
      </c>
      <c r="D14" s="576"/>
      <c r="E14" s="579"/>
      <c r="G14" s="593" t="s">
        <v>31</v>
      </c>
      <c r="H14" s="594">
        <f ca="1">SUM(H11:H13)</f>
        <v>55296000</v>
      </c>
      <c r="I14" s="595">
        <f ca="1">SUM(I11:I13)</f>
        <v>1</v>
      </c>
      <c r="J14" s="586"/>
      <c r="K14" s="1882" t="s">
        <v>32</v>
      </c>
      <c r="L14" s="1882"/>
      <c r="M14" s="1882"/>
    </row>
    <row r="15" spans="1:36" ht="25" customHeight="1">
      <c r="A15" s="161"/>
      <c r="B15" s="1204" t="s">
        <v>33</v>
      </c>
      <c r="C15" s="1205">
        <f>ROUND('Inputs and Assumptions'!D40,-3)</f>
        <v>0</v>
      </c>
      <c r="D15" s="576"/>
      <c r="E15" s="579"/>
      <c r="G15" s="586"/>
      <c r="H15" s="586"/>
      <c r="I15" s="586"/>
      <c r="J15" s="586"/>
      <c r="K15" s="597" t="s">
        <v>34</v>
      </c>
      <c r="L15" s="605"/>
      <c r="M15" s="606">
        <f>'Debt Sizing'!N14</f>
        <v>3474355.13</v>
      </c>
    </row>
    <row r="16" spans="1:36" ht="25" customHeight="1">
      <c r="A16" s="161"/>
      <c r="B16" s="563" t="s">
        <v>35</v>
      </c>
      <c r="C16" s="567">
        <f ca="1">ROUND('Inputs and Assumptions'!G28,-3)</f>
        <v>20296000</v>
      </c>
      <c r="D16" s="162"/>
      <c r="E16" s="583"/>
      <c r="G16" s="1882" t="s">
        <v>36</v>
      </c>
      <c r="H16" s="1882"/>
      <c r="I16" s="1882"/>
      <c r="J16" s="586"/>
      <c r="K16" s="600" t="s">
        <v>37</v>
      </c>
      <c r="L16" s="607"/>
      <c r="M16" s="608">
        <f>'Debt Sizing'!N21</f>
        <v>4131815.0799999996</v>
      </c>
    </row>
    <row r="17" spans="1:14" ht="25" customHeight="1">
      <c r="A17" s="104"/>
      <c r="B17" s="568" t="s">
        <v>38</v>
      </c>
      <c r="C17" s="569">
        <f ca="1">C13+C16</f>
        <v>55296000</v>
      </c>
      <c r="D17" s="357"/>
      <c r="E17" s="524"/>
      <c r="G17" s="597" t="s">
        <v>39</v>
      </c>
      <c r="H17" s="605"/>
      <c r="I17" s="606">
        <f>ROUND('Inputs and Assumptions'!H12,-3)</f>
        <v>35000000</v>
      </c>
      <c r="J17" s="586"/>
      <c r="K17" s="597" t="s">
        <v>40</v>
      </c>
      <c r="L17" s="605"/>
      <c r="M17" s="606">
        <f>'Debt Sizing'!N39</f>
        <v>2236906.7724000001</v>
      </c>
    </row>
    <row r="18" spans="1:14" ht="25" customHeight="1">
      <c r="A18" s="104"/>
      <c r="D18" s="576"/>
      <c r="E18" s="579"/>
      <c r="G18" s="600" t="s">
        <v>41</v>
      </c>
      <c r="H18" s="607"/>
      <c r="I18" s="608">
        <f>'Inputs and Assumptions'!H13</f>
        <v>132575.75757575757</v>
      </c>
      <c r="J18" s="586"/>
      <c r="K18" s="600" t="s">
        <v>42</v>
      </c>
      <c r="L18" s="607"/>
      <c r="M18" s="612">
        <f>'Debt Sizing'!O40</f>
        <v>0.54138598390516557</v>
      </c>
    </row>
    <row r="19" spans="1:14" ht="25" customHeight="1">
      <c r="A19" s="104"/>
      <c r="B19" s="560" t="s">
        <v>22</v>
      </c>
      <c r="C19" s="578"/>
      <c r="D19" s="576"/>
      <c r="E19" s="579"/>
      <c r="G19" s="597" t="s">
        <v>43</v>
      </c>
      <c r="H19" s="605"/>
      <c r="I19" s="606" t="s">
        <v>12</v>
      </c>
      <c r="J19" s="586"/>
      <c r="K19" s="597" t="s">
        <v>44</v>
      </c>
      <c r="L19" s="605"/>
      <c r="M19" s="606">
        <f>'Debt Sizing'!N41</f>
        <v>1894908.3075999995</v>
      </c>
    </row>
    <row r="20" spans="1:14" ht="25" customHeight="1">
      <c r="B20" s="561" t="s">
        <v>45</v>
      </c>
      <c r="C20" s="562">
        <f>'Inputs and Assumptions'!D11</f>
        <v>54000000</v>
      </c>
      <c r="D20" s="576"/>
      <c r="E20" s="579"/>
      <c r="G20" s="600" t="s">
        <v>46</v>
      </c>
      <c r="H20" s="607"/>
      <c r="I20" s="602">
        <f ca="1">'Inputs and Assumptions'!H14</f>
        <v>0.63295717592592593</v>
      </c>
      <c r="J20" s="586"/>
      <c r="K20" s="586"/>
      <c r="L20" s="586"/>
      <c r="M20" s="586"/>
    </row>
    <row r="21" spans="1:14" ht="25" customHeight="1">
      <c r="B21" s="563" t="s">
        <v>47</v>
      </c>
      <c r="C21" s="567">
        <f>ROUND('Inputs and Assumptions'!D40,-3)</f>
        <v>0</v>
      </c>
      <c r="D21" s="576"/>
      <c r="E21" s="579"/>
      <c r="G21" s="597" t="s">
        <v>48</v>
      </c>
      <c r="H21" s="605"/>
      <c r="I21" s="609">
        <f>IF('Inputs and Assumptions'!H11="Agency",'Debt Sizing'!P65,IF('Inputs and Assumptions'!H11="Bridge",'Debt Sizing'!N65,'Inputs and Assumptions'!H23))</f>
        <v>4.2300000000000004E-2</v>
      </c>
      <c r="J21" s="586"/>
      <c r="K21" s="586"/>
      <c r="L21" s="586"/>
      <c r="M21" s="586"/>
    </row>
    <row r="22" spans="1:14" ht="25" customHeight="1">
      <c r="B22" s="561" t="s">
        <v>49</v>
      </c>
      <c r="C22" s="562">
        <f ca="1">ROUND('Inputs and Assumptions'!G34,-3)</f>
        <v>1296000</v>
      </c>
      <c r="D22" s="576"/>
      <c r="E22" s="579"/>
      <c r="G22" s="600" t="s">
        <v>50</v>
      </c>
      <c r="H22" s="607"/>
      <c r="I22" s="610">
        <f>IF('Inputs and Assumptions'!H11="Agency",'Debt Sizing'!P61,IF('Inputs and Assumptions'!H11="Bridge",'Debt Sizing'!N61,'Inputs and Assumptions'!H21))</f>
        <v>60</v>
      </c>
      <c r="J22" s="586"/>
      <c r="K22" s="589"/>
      <c r="L22" s="589"/>
      <c r="M22" s="589"/>
      <c r="N22" s="163"/>
    </row>
    <row r="23" spans="1:14" ht="25" customHeight="1">
      <c r="B23" s="591" t="s">
        <v>38</v>
      </c>
      <c r="C23" s="592">
        <f ca="1">SUM(C20:C22)</f>
        <v>55296000</v>
      </c>
      <c r="D23" s="576"/>
      <c r="E23" s="579"/>
      <c r="G23" s="597" t="s">
        <v>51</v>
      </c>
      <c r="H23" s="605"/>
      <c r="I23" s="611">
        <f>IF('Inputs and Assumptions'!H11="Agency",'Debt Sizing'!P62,IF('Inputs and Assumptions'!H11="Bridge",'Debt Sizing'!N62,'Inputs and Assumptions'!H22))</f>
        <v>360</v>
      </c>
      <c r="J23" s="589"/>
      <c r="K23" s="590"/>
      <c r="L23" s="590"/>
      <c r="M23" s="590"/>
      <c r="N23" s="159"/>
    </row>
    <row r="24" spans="1:14" ht="25" customHeight="1">
      <c r="D24" s="576"/>
      <c r="E24" s="579"/>
      <c r="J24" s="159"/>
      <c r="K24" s="159"/>
      <c r="L24" s="159"/>
      <c r="M24" s="159"/>
      <c r="N24" s="159"/>
    </row>
    <row r="25" spans="1:14" s="11" customFormat="1" ht="25" customHeight="1">
      <c r="A25" s="170"/>
      <c r="B25" s="101"/>
      <c r="C25" s="101"/>
      <c r="D25" s="172"/>
      <c r="E25" s="584"/>
      <c r="F25" s="101"/>
      <c r="G25" s="101"/>
      <c r="H25" s="101"/>
      <c r="I25" s="101"/>
      <c r="J25" s="159"/>
      <c r="K25" s="159"/>
      <c r="L25" s="159"/>
      <c r="M25" s="159"/>
      <c r="N25" s="159"/>
    </row>
    <row r="26" spans="1:14" s="11" customFormat="1" ht="25" customHeight="1">
      <c r="A26" s="159"/>
      <c r="B26" s="101"/>
      <c r="C26" s="101"/>
      <c r="D26" s="159"/>
      <c r="E26" s="585"/>
      <c r="F26" s="159"/>
      <c r="G26" s="159"/>
      <c r="H26" s="159"/>
      <c r="I26" s="159"/>
      <c r="J26" s="159"/>
      <c r="K26" s="159"/>
      <c r="L26" s="159"/>
      <c r="M26" s="159"/>
      <c r="N26" s="159"/>
    </row>
    <row r="27" spans="1:14" s="11" customFormat="1" ht="25" customHeight="1">
      <c r="A27" s="159"/>
      <c r="B27" s="101"/>
      <c r="C27" s="101"/>
      <c r="D27" s="159"/>
      <c r="E27" s="585"/>
      <c r="F27" s="159"/>
      <c r="G27" s="159"/>
      <c r="H27" s="159"/>
      <c r="I27" s="159"/>
      <c r="J27" s="159"/>
      <c r="K27" s="159"/>
      <c r="L27" s="159"/>
      <c r="M27" s="159"/>
      <c r="N27" s="159"/>
    </row>
    <row r="28" spans="1:14" s="11" customFormat="1" ht="25" customHeight="1">
      <c r="A28" s="159"/>
      <c r="B28" s="101"/>
      <c r="C28" s="101"/>
      <c r="D28" s="159"/>
      <c r="E28" s="585"/>
      <c r="F28" s="159"/>
      <c r="G28" s="159"/>
      <c r="H28" s="159"/>
      <c r="I28" s="159"/>
      <c r="J28" s="159"/>
      <c r="K28" s="159"/>
      <c r="L28" s="159"/>
      <c r="M28" s="159"/>
      <c r="N28" s="159"/>
    </row>
    <row r="29" spans="1:14" s="11" customFormat="1" ht="25" customHeight="1" outlineLevel="1">
      <c r="A29" s="159"/>
      <c r="B29" s="101"/>
      <c r="C29" s="101"/>
      <c r="D29" s="159"/>
      <c r="E29" s="585"/>
      <c r="F29" s="159"/>
      <c r="G29" s="159"/>
      <c r="H29" s="159"/>
      <c r="I29" s="159"/>
      <c r="J29" s="159"/>
      <c r="K29" s="159"/>
      <c r="L29" s="159"/>
      <c r="M29" s="159"/>
      <c r="N29" s="159"/>
    </row>
    <row r="30" spans="1:14" s="11" customFormat="1" ht="25" customHeight="1">
      <c r="A30" s="159"/>
      <c r="B30" s="101"/>
      <c r="C30" s="101"/>
      <c r="D30" s="159"/>
      <c r="E30" s="585"/>
      <c r="F30" s="159"/>
      <c r="G30" s="159"/>
      <c r="H30" s="159"/>
      <c r="I30" s="159"/>
      <c r="J30" s="159"/>
      <c r="K30" s="159"/>
      <c r="L30" s="159"/>
      <c r="M30" s="159"/>
      <c r="N30" s="159"/>
    </row>
    <row r="31" spans="1:14" s="11" customFormat="1" ht="25" customHeight="1">
      <c r="A31" s="159"/>
      <c r="B31" s="101"/>
      <c r="C31" s="101"/>
      <c r="D31" s="159"/>
      <c r="E31" s="585"/>
      <c r="F31" s="159"/>
      <c r="G31" s="159"/>
      <c r="H31" s="159"/>
      <c r="I31" s="159"/>
      <c r="J31" s="159"/>
      <c r="K31" s="101"/>
      <c r="L31" s="101"/>
      <c r="M31" s="101"/>
      <c r="N31" s="101"/>
    </row>
    <row r="32" spans="1:14" s="11" customFormat="1" ht="25" customHeight="1">
      <c r="A32" s="159"/>
      <c r="B32" s="101"/>
      <c r="C32" s="101"/>
      <c r="D32" s="159"/>
      <c r="E32" s="585"/>
      <c r="F32" s="159"/>
      <c r="G32" s="159"/>
      <c r="H32" s="159"/>
      <c r="I32" s="159"/>
      <c r="J32" s="101"/>
      <c r="K32" s="101"/>
      <c r="L32" s="101"/>
      <c r="M32" s="101"/>
      <c r="N32" s="101"/>
    </row>
    <row r="33" spans="1:9">
      <c r="A33" s="159"/>
      <c r="D33" s="159"/>
      <c r="E33" s="585"/>
      <c r="F33" s="159"/>
      <c r="G33" s="159"/>
      <c r="H33" s="159"/>
      <c r="I33" s="159"/>
    </row>
    <row r="34" spans="1:9">
      <c r="A34" s="159"/>
      <c r="D34" s="159"/>
      <c r="E34" s="585"/>
      <c r="F34" s="159"/>
    </row>
    <row r="35" spans="1:9">
      <c r="A35" s="159"/>
      <c r="F35" s="159"/>
    </row>
    <row r="36" spans="1:9">
      <c r="A36" s="159"/>
    </row>
  </sheetData>
  <mergeCells count="7">
    <mergeCell ref="G16:I16"/>
    <mergeCell ref="K14:M14"/>
    <mergeCell ref="G2:M2"/>
    <mergeCell ref="B2:C2"/>
    <mergeCell ref="G4:I4"/>
    <mergeCell ref="G10:I10"/>
    <mergeCell ref="K4:M4"/>
  </mergeCells>
  <dataValidations count="1">
    <dataValidation type="list" allowBlank="1" showInputMessage="1" showErrorMessage="1" sqref="I19" xr:uid="{00000000-0002-0000-0000-000000000000}">
      <formula1>$AJ$7:$AJ$8</formula1>
    </dataValidation>
  </dataValidations>
  <pageMargins left="0.7" right="0.7" top="0.75" bottom="0.75" header="0.3" footer="0.3"/>
  <pageSetup scale="56" orientation="portrait" r:id="rId1"/>
  <colBreaks count="1" manualBreakCount="1">
    <brk id="6" min="2" max="27" man="1"/>
  </colBreaks>
  <ignoredErrors>
    <ignoredError sqref="G8:I11 G20:I21 G19:H19 G24:I28 H22:I23 J18:N27 J5:N10 G5 I5 G7 I7 G14:I16 G12 I12 G13 I13 G18:I18 G17:H17 J13:N17 J11:L11 N11 J12:L12 N12" evalError="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A2:J39"/>
  <sheetViews>
    <sheetView showGridLines="0" workbookViewId="0">
      <selection activeCell="C25" sqref="C25"/>
    </sheetView>
  </sheetViews>
  <sheetFormatPr defaultColWidth="9.1796875" defaultRowHeight="15.5"/>
  <cols>
    <col min="1" max="1" width="28.26953125" style="829" customWidth="1"/>
    <col min="2" max="2" width="40" style="829" customWidth="1"/>
    <col min="3" max="16384" width="9.1796875" style="829"/>
  </cols>
  <sheetData>
    <row r="2" spans="1:4" ht="17.5">
      <c r="A2" s="827" t="s">
        <v>52</v>
      </c>
      <c r="B2" s="828" t="str">
        <f>'Inputs and Assumptions'!property_name</f>
        <v>The Winchester</v>
      </c>
      <c r="D2" s="830"/>
    </row>
    <row r="3" spans="1:4" ht="17.5">
      <c r="A3" s="831"/>
      <c r="B3" s="832"/>
      <c r="D3" s="861" t="s">
        <v>53</v>
      </c>
    </row>
    <row r="4" spans="1:4" ht="17.5">
      <c r="A4" s="833" t="s">
        <v>54</v>
      </c>
      <c r="B4" s="834" t="str">
        <f>'Inputs and Assumptions'!D7</f>
        <v>4450 Friends Xing NE, Huntsville, AL</v>
      </c>
    </row>
    <row r="5" spans="1:4" ht="17.5">
      <c r="A5" s="833" t="s">
        <v>55</v>
      </c>
      <c r="B5" s="834">
        <f>'Inputs and Assumptions'!D8</f>
        <v>2024</v>
      </c>
      <c r="D5" s="830"/>
    </row>
    <row r="6" spans="1:4" ht="17.5">
      <c r="A6" s="833" t="s">
        <v>56</v>
      </c>
      <c r="B6" s="834"/>
      <c r="D6" s="830"/>
    </row>
    <row r="7" spans="1:4" ht="17.5">
      <c r="A7" s="833" t="s">
        <v>57</v>
      </c>
      <c r="B7" s="835">
        <f>units</f>
        <v>264</v>
      </c>
      <c r="D7" s="830"/>
    </row>
    <row r="8" spans="1:4" ht="17.5">
      <c r="A8" s="833" t="s">
        <v>58</v>
      </c>
      <c r="B8" s="836">
        <f>'Rent Roll Analysis'!L41</f>
        <v>1335.4489135481192</v>
      </c>
      <c r="D8" s="830"/>
    </row>
    <row r="9" spans="1:4" ht="17.5">
      <c r="A9" s="833" t="s">
        <v>59</v>
      </c>
      <c r="B9" s="837">
        <f>'Rent Roll Analysis'!L42</f>
        <v>1.2876659672292727</v>
      </c>
      <c r="D9" s="830"/>
    </row>
    <row r="10" spans="1:4" ht="17.5">
      <c r="A10" s="833" t="s">
        <v>60</v>
      </c>
      <c r="B10" s="838">
        <f>'Rent Roll Analysis'!F44</f>
        <v>0.98106060606060608</v>
      </c>
      <c r="D10" s="830"/>
    </row>
    <row r="11" spans="1:4" ht="17.5">
      <c r="A11" s="839" t="s">
        <v>61</v>
      </c>
      <c r="B11" s="840"/>
      <c r="D11" s="830"/>
    </row>
    <row r="12" spans="1:4" ht="17.5">
      <c r="A12" s="841" t="s">
        <v>62</v>
      </c>
      <c r="B12" s="842">
        <f>'T12'!T94</f>
        <v>0</v>
      </c>
      <c r="D12" s="830"/>
    </row>
    <row r="13" spans="1:4" ht="17.5">
      <c r="A13" s="841" t="s">
        <v>63</v>
      </c>
      <c r="B13" s="842">
        <f>'T12'!T100</f>
        <v>0</v>
      </c>
      <c r="D13" s="830"/>
    </row>
    <row r="14" spans="1:4" ht="17.5">
      <c r="A14" s="843" t="s">
        <v>64</v>
      </c>
      <c r="B14" s="844"/>
      <c r="D14" s="830"/>
    </row>
    <row r="15" spans="1:4" ht="17.5">
      <c r="A15" s="845"/>
      <c r="B15" s="846"/>
      <c r="D15" s="830"/>
    </row>
    <row r="16" spans="1:4" ht="17.5">
      <c r="A16" s="831" t="s">
        <v>65</v>
      </c>
      <c r="B16" s="847"/>
      <c r="D16" s="830"/>
    </row>
    <row r="17" spans="1:8" ht="17.5">
      <c r="A17" s="833" t="s">
        <v>66</v>
      </c>
      <c r="B17" s="834"/>
    </row>
    <row r="18" spans="1:8" ht="17.5">
      <c r="A18" s="833" t="s">
        <v>67</v>
      </c>
      <c r="B18" s="834"/>
      <c r="H18" s="101"/>
    </row>
    <row r="19" spans="1:8" ht="17.5">
      <c r="A19" s="833" t="s">
        <v>68</v>
      </c>
      <c r="B19" s="848"/>
    </row>
    <row r="20" spans="1:8" ht="17.5">
      <c r="A20" s="833" t="s">
        <v>9</v>
      </c>
      <c r="B20" s="849"/>
    </row>
    <row r="21" spans="1:8" ht="17.5">
      <c r="A21" s="833" t="s">
        <v>69</v>
      </c>
      <c r="B21" s="834"/>
    </row>
    <row r="22" spans="1:8" ht="17.5">
      <c r="A22" s="833" t="s">
        <v>70</v>
      </c>
      <c r="B22" s="850"/>
    </row>
    <row r="23" spans="1:8" ht="17.5">
      <c r="A23" s="833" t="s">
        <v>71</v>
      </c>
      <c r="B23" s="834"/>
      <c r="D23" s="830"/>
    </row>
    <row r="24" spans="1:8" ht="17.5">
      <c r="A24" s="845"/>
      <c r="B24" s="847"/>
    </row>
    <row r="25" spans="1:8" ht="17.5">
      <c r="A25" s="851" t="s">
        <v>72</v>
      </c>
      <c r="B25" s="847"/>
    </row>
    <row r="26" spans="1:8" ht="17.5">
      <c r="A26" s="833" t="s">
        <v>73</v>
      </c>
      <c r="B26" s="850"/>
    </row>
    <row r="27" spans="1:8" ht="17.5">
      <c r="A27" s="833" t="s">
        <v>74</v>
      </c>
      <c r="B27" s="852"/>
    </row>
    <row r="28" spans="1:8" ht="17.5">
      <c r="A28" s="833" t="s">
        <v>75</v>
      </c>
      <c r="B28" s="850"/>
    </row>
    <row r="29" spans="1:8" ht="17.5">
      <c r="A29" s="833" t="s">
        <v>76</v>
      </c>
      <c r="B29" s="853"/>
    </row>
    <row r="30" spans="1:8" ht="71.25" customHeight="1">
      <c r="A30" s="863" t="s">
        <v>77</v>
      </c>
      <c r="B30" s="854"/>
    </row>
    <row r="31" spans="1:8" ht="17.5">
      <c r="A31" s="855"/>
      <c r="B31" s="847"/>
      <c r="G31" s="101"/>
    </row>
    <row r="32" spans="1:8" ht="17.5">
      <c r="A32" s="851" t="s">
        <v>78</v>
      </c>
      <c r="B32" s="856">
        <f>'Inputs and Assumptions'!D11</f>
        <v>54000000</v>
      </c>
    </row>
    <row r="33" spans="1:10" ht="17.5">
      <c r="A33" s="857" t="s">
        <v>79</v>
      </c>
      <c r="B33" s="858">
        <f>B32/units</f>
        <v>204545.45454545456</v>
      </c>
    </row>
    <row r="34" spans="1:10" ht="17.5">
      <c r="A34" s="857"/>
      <c r="B34" s="847"/>
    </row>
    <row r="35" spans="1:10" ht="17.5">
      <c r="A35" s="857" t="s">
        <v>80</v>
      </c>
      <c r="B35" s="832"/>
    </row>
    <row r="36" spans="1:10">
      <c r="A36" s="859"/>
      <c r="B36" s="860"/>
    </row>
    <row r="39" spans="1:10" s="862" customFormat="1" ht="17.5">
      <c r="A39" s="861" t="s">
        <v>81</v>
      </c>
      <c r="B39" s="861"/>
      <c r="J39" s="861" t="s">
        <v>82</v>
      </c>
    </row>
  </sheetData>
  <pageMargins left="1" right="1" top="1" bottom="1" header="0.5" footer="0.5"/>
  <pageSetup paperSize="3" scale="6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tabColor rgb="FF0000FF"/>
  </sheetPr>
  <dimension ref="A1:AG53"/>
  <sheetViews>
    <sheetView showGridLines="0" tabSelected="1" topLeftCell="A8" zoomScale="50" zoomScaleNormal="50" workbookViewId="0">
      <selection activeCell="D21" sqref="D21"/>
    </sheetView>
  </sheetViews>
  <sheetFormatPr defaultColWidth="9.1796875" defaultRowHeight="14" outlineLevelCol="1"/>
  <cols>
    <col min="1" max="1" width="3.26953125" style="14" customWidth="1"/>
    <col min="2" max="2" width="32.54296875" style="14" customWidth="1"/>
    <col min="3" max="3" width="23.54296875" style="14" bestFit="1" customWidth="1"/>
    <col min="4" max="4" width="59.54296875" style="14" customWidth="1"/>
    <col min="5" max="5" width="11.54296875" style="14" bestFit="1" customWidth="1"/>
    <col min="6" max="8" width="22.7265625" style="14" customWidth="1"/>
    <col min="9" max="9" width="9.1796875" style="14"/>
    <col min="10" max="10" width="25.7265625" style="14" customWidth="1" outlineLevel="1"/>
    <col min="11" max="11" width="28.26953125" style="14" customWidth="1" outlineLevel="1"/>
    <col min="12" max="12" width="22.7265625" style="14" customWidth="1" outlineLevel="1"/>
    <col min="13" max="13" width="9.1796875" style="14" outlineLevel="1"/>
    <col min="14" max="15" width="22.7265625" style="14" customWidth="1" outlineLevel="1"/>
    <col min="16" max="16" width="38.7265625" style="14" bestFit="1" customWidth="1" outlineLevel="1"/>
    <col min="17" max="18" width="9.1796875" style="14"/>
    <col min="19" max="19" width="12.54296875" style="14" bestFit="1" customWidth="1"/>
    <col min="20" max="20" width="9.1796875" style="14"/>
    <col min="21" max="21" width="17.1796875" style="14" bestFit="1" customWidth="1"/>
    <col min="22" max="16384" width="9.1796875" style="14"/>
  </cols>
  <sheetData>
    <row r="1" spans="1:33" ht="9" customHeight="1">
      <c r="B1" s="15"/>
      <c r="C1" s="15"/>
    </row>
    <row r="2" spans="1:33" ht="28">
      <c r="B2" s="796" t="str">
        <f>property_name</f>
        <v>The Winchester</v>
      </c>
      <c r="C2" s="100"/>
      <c r="D2" s="101"/>
      <c r="E2" s="101"/>
      <c r="F2" s="101"/>
      <c r="G2" s="1692"/>
      <c r="H2" s="101"/>
      <c r="I2" s="101"/>
      <c r="J2" s="101"/>
      <c r="K2" s="101"/>
      <c r="L2" s="101"/>
      <c r="M2" s="101"/>
      <c r="N2" s="101"/>
      <c r="O2" s="101"/>
      <c r="P2" s="101"/>
      <c r="Q2" s="101"/>
    </row>
    <row r="3" spans="1:33" s="864" customFormat="1" ht="20.149999999999999" customHeight="1">
      <c r="B3" s="865" t="s">
        <v>83</v>
      </c>
      <c r="C3" s="866"/>
      <c r="D3" s="104"/>
      <c r="E3" s="104"/>
      <c r="F3" s="104"/>
      <c r="G3" s="104"/>
      <c r="H3" s="104"/>
      <c r="I3" s="104"/>
      <c r="J3" s="104"/>
      <c r="K3" s="104"/>
      <c r="L3" s="867"/>
      <c r="M3" s="104"/>
      <c r="N3" s="104"/>
      <c r="O3" s="104"/>
      <c r="P3" s="104"/>
      <c r="Q3" s="104"/>
    </row>
    <row r="4" spans="1:33" ht="12.75" customHeight="1">
      <c r="B4" s="101"/>
      <c r="C4" s="101"/>
      <c r="D4" s="101"/>
      <c r="E4" s="101"/>
      <c r="F4" s="101"/>
      <c r="G4" s="101"/>
      <c r="H4" s="101"/>
      <c r="I4" s="101"/>
      <c r="J4" s="101"/>
      <c r="K4" s="101"/>
      <c r="L4" s="101"/>
      <c r="M4" s="101"/>
      <c r="N4" s="101"/>
      <c r="O4" s="101"/>
      <c r="P4" s="101"/>
      <c r="Q4" s="101"/>
    </row>
    <row r="5" spans="1:33" ht="25" customHeight="1">
      <c r="B5" s="1884" t="s">
        <v>52</v>
      </c>
      <c r="C5" s="1884"/>
      <c r="D5" s="1884"/>
      <c r="E5" s="104"/>
      <c r="F5" s="173" t="s">
        <v>84</v>
      </c>
      <c r="G5" s="173"/>
      <c r="H5" s="173"/>
      <c r="I5" s="101"/>
      <c r="J5" s="174" t="s">
        <v>85</v>
      </c>
      <c r="K5" s="174"/>
      <c r="L5" s="105" t="s">
        <v>86</v>
      </c>
      <c r="M5" s="101"/>
      <c r="N5" s="173" t="s">
        <v>87</v>
      </c>
      <c r="O5" s="173"/>
      <c r="P5" s="173"/>
      <c r="Q5" s="101"/>
      <c r="Y5" s="1199"/>
      <c r="Z5" s="1199" t="s">
        <v>88</v>
      </c>
      <c r="AA5" s="1199"/>
      <c r="AB5" s="1199" t="s">
        <v>89</v>
      </c>
      <c r="AC5" s="1199"/>
      <c r="AD5" s="1199" t="s">
        <v>90</v>
      </c>
      <c r="AE5" s="1199"/>
      <c r="AF5" s="1199"/>
      <c r="AG5" s="1199"/>
    </row>
    <row r="6" spans="1:33" ht="25" customHeight="1">
      <c r="B6" s="615" t="s">
        <v>91</v>
      </c>
      <c r="C6" s="106"/>
      <c r="D6" s="107" t="s">
        <v>92</v>
      </c>
      <c r="E6" s="104"/>
      <c r="F6" s="615" t="s">
        <v>93</v>
      </c>
      <c r="G6" s="108">
        <v>0</v>
      </c>
      <c r="H6" s="109">
        <f ca="1">G6*G28</f>
        <v>0</v>
      </c>
      <c r="I6" s="101"/>
      <c r="J6" s="106" t="s">
        <v>94</v>
      </c>
      <c r="K6" s="110"/>
      <c r="L6" s="111">
        <v>0</v>
      </c>
      <c r="M6" s="101"/>
      <c r="N6" s="106" t="s">
        <v>95</v>
      </c>
      <c r="O6" s="112"/>
      <c r="P6" s="111">
        <v>48</v>
      </c>
      <c r="Q6" s="101"/>
      <c r="Y6" s="1199"/>
      <c r="Z6" s="1199" t="s">
        <v>96</v>
      </c>
      <c r="AA6" s="1199"/>
      <c r="AB6" s="1199" t="s">
        <v>86</v>
      </c>
      <c r="AC6" s="1199"/>
      <c r="AD6" s="1199" t="s">
        <v>97</v>
      </c>
      <c r="AE6" s="1199"/>
      <c r="AF6" s="1199"/>
      <c r="AG6" s="1199"/>
    </row>
    <row r="7" spans="1:33" ht="25" customHeight="1">
      <c r="B7" s="615" t="s">
        <v>98</v>
      </c>
      <c r="C7" s="106"/>
      <c r="D7" s="107" t="s">
        <v>99</v>
      </c>
      <c r="E7" s="104"/>
      <c r="F7" s="615" t="s">
        <v>100</v>
      </c>
      <c r="G7" s="113">
        <f>1-G6</f>
        <v>1</v>
      </c>
      <c r="H7" s="109">
        <f ca="1">G7*G28</f>
        <v>20296000</v>
      </c>
      <c r="I7" s="101"/>
      <c r="J7" s="106" t="s">
        <v>101</v>
      </c>
      <c r="K7" s="110"/>
      <c r="L7" s="109" t="str">
        <f>IF(L5="NO","NA",INDEX('Monthly Cash Flow'!E96:DT96,,MATCH('Inputs and Assumptions'!L6,'Monthly Cash Flow'!E5:DT5,0))*12)</f>
        <v>NA</v>
      </c>
      <c r="M7" s="101"/>
      <c r="N7" s="106" t="s">
        <v>102</v>
      </c>
      <c r="O7" s="112"/>
      <c r="P7" s="109">
        <f>SUM(INDEX('Monthly Cash Flow'!$E$96:$DT$96,,MATCH('Inputs and Assumptions'!$P$6,'Monthly Cash Flow'!$E$5:$DT$5,0)):INDEX('Monthly Cash Flow'!$E$96:$DT$96,1,'Inputs and Assumptions'!$P$6+11))</f>
        <v>3397063.552262499</v>
      </c>
      <c r="Q7" s="101"/>
      <c r="S7" s="98"/>
      <c r="Y7" s="1199"/>
      <c r="Z7" s="1199" t="s">
        <v>103</v>
      </c>
      <c r="AA7" s="1199"/>
      <c r="AB7" s="1199"/>
      <c r="AC7" s="1199"/>
      <c r="AD7" s="1199"/>
      <c r="AE7" s="1199"/>
      <c r="AF7" s="1199"/>
      <c r="AG7" s="1199"/>
    </row>
    <row r="8" spans="1:33" ht="25" customHeight="1" thickBot="1">
      <c r="B8" s="615" t="s">
        <v>104</v>
      </c>
      <c r="C8" s="106"/>
      <c r="D8" s="114">
        <v>2024</v>
      </c>
      <c r="E8" s="104"/>
      <c r="F8" s="618" t="s">
        <v>105</v>
      </c>
      <c r="G8" s="116">
        <f>SUM(G6:G7)</f>
        <v>1</v>
      </c>
      <c r="H8" s="117">
        <f ca="1">SUM(H6:H7)</f>
        <v>20296000</v>
      </c>
      <c r="I8" s="101"/>
      <c r="J8" s="106" t="s">
        <v>106</v>
      </c>
      <c r="K8" s="110"/>
      <c r="L8" s="118">
        <v>0</v>
      </c>
      <c r="M8" s="101"/>
      <c r="N8" s="106" t="s">
        <v>107</v>
      </c>
      <c r="O8" s="1680">
        <f>+P8/units</f>
        <v>245098.38039411971</v>
      </c>
      <c r="P8" s="109">
        <f>+P7/P9</f>
        <v>64705972.424047604</v>
      </c>
      <c r="Q8" s="101"/>
      <c r="Y8" s="1199"/>
      <c r="Z8" s="1199"/>
      <c r="AA8" s="1199"/>
      <c r="AB8" s="1199"/>
      <c r="AC8" s="1199"/>
      <c r="AD8" s="1199"/>
      <c r="AE8" s="1199"/>
      <c r="AF8" s="1199"/>
      <c r="AG8" s="1199"/>
    </row>
    <row r="9" spans="1:33" ht="25" customHeight="1">
      <c r="B9" s="615" t="s">
        <v>108</v>
      </c>
      <c r="C9" s="119">
        <f>D11/D9</f>
        <v>194.25857975393913</v>
      </c>
      <c r="D9" s="120">
        <f>'RRT Summary (Paste)'!E1002</f>
        <v>277980</v>
      </c>
      <c r="E9" s="104"/>
      <c r="F9" s="101"/>
      <c r="G9" s="101"/>
      <c r="H9" s="101"/>
      <c r="I9" s="101"/>
      <c r="J9" s="106" t="s">
        <v>109</v>
      </c>
      <c r="K9" s="121" t="str">
        <f>IF(L9="NA", L9,L9/units)</f>
        <v>NA</v>
      </c>
      <c r="L9" s="109" t="str">
        <f>IF(L5="NO", "NA",L7/L8)</f>
        <v>NA</v>
      </c>
      <c r="M9" s="101"/>
      <c r="N9" s="106" t="s">
        <v>110</v>
      </c>
      <c r="O9" s="112"/>
      <c r="P9" s="118">
        <v>5.2499999999999998E-2</v>
      </c>
      <c r="Q9" s="101"/>
      <c r="U9" s="91"/>
    </row>
    <row r="10" spans="1:33" ht="25" customHeight="1">
      <c r="B10" s="615" t="s">
        <v>111</v>
      </c>
      <c r="C10" s="106"/>
      <c r="D10" s="120">
        <f>'Rent Roll Analysis'!E41</f>
        <v>264</v>
      </c>
      <c r="E10" s="104"/>
      <c r="F10" s="1884" t="s">
        <v>112</v>
      </c>
      <c r="G10" s="1884"/>
      <c r="H10" s="1884"/>
      <c r="I10" s="101"/>
      <c r="J10" s="106" t="s">
        <v>113</v>
      </c>
      <c r="K10" s="110"/>
      <c r="L10" s="118">
        <v>0.75</v>
      </c>
      <c r="M10" s="101"/>
      <c r="N10" s="106" t="s">
        <v>114</v>
      </c>
      <c r="O10" s="118">
        <v>7.4999999999999997E-3</v>
      </c>
      <c r="P10" s="109">
        <f>P8*O10</f>
        <v>485294.79318035702</v>
      </c>
      <c r="Q10" s="101"/>
      <c r="U10" s="99"/>
    </row>
    <row r="11" spans="1:33" ht="25" customHeight="1">
      <c r="B11" s="615" t="s">
        <v>115</v>
      </c>
      <c r="C11" s="121">
        <f>D11/units</f>
        <v>204545.45454545456</v>
      </c>
      <c r="D11" s="122">
        <v>54000000</v>
      </c>
      <c r="E11" s="1839"/>
      <c r="F11" s="624" t="s">
        <v>116</v>
      </c>
      <c r="G11" s="123"/>
      <c r="H11" s="124" t="s">
        <v>88</v>
      </c>
      <c r="I11" s="101"/>
      <c r="J11" s="106" t="s">
        <v>117</v>
      </c>
      <c r="K11" s="110"/>
      <c r="L11" s="125">
        <v>1.25</v>
      </c>
      <c r="M11" s="101"/>
      <c r="N11" s="106" t="s">
        <v>118</v>
      </c>
      <c r="O11" s="112"/>
      <c r="P11" s="109">
        <f>IF(L5="NO", INDEX('Amo Schedule - Senior'!L17:L376, MATCH('Inputs and Assumptions'!P6, 'Amo Schedule - Senior'!C17:C376,0),), IF('Inputs and Assumptions'!P6&gt;'Inputs and Assumptions'!L6, INDEX('Amo Schedule - Refi'!J15:J374, MATCH('Inputs and Assumptions'!P6-'Inputs and Assumptions'!L6, 'Amo Schedule - Refi'!C15:C374,0),),INDEX('Amo Schedule - Senior'!L17:L376, MATCH('Inputs and Assumptions'!P6, 'Amo Schedule - Senior'!C17:C376,0),)))</f>
        <v>35000000</v>
      </c>
      <c r="Q11" s="101"/>
    </row>
    <row r="12" spans="1:33" ht="25" customHeight="1">
      <c r="B12" s="615" t="s">
        <v>119</v>
      </c>
      <c r="C12" s="126"/>
      <c r="D12" s="127">
        <f>'Debt Sizing'!H45</f>
        <v>4.3451473333333324E-2</v>
      </c>
      <c r="E12" s="104"/>
      <c r="F12" s="615" t="s">
        <v>39</v>
      </c>
      <c r="G12" s="110"/>
      <c r="H12" s="109">
        <f>G26</f>
        <v>35000000</v>
      </c>
      <c r="I12" s="101"/>
      <c r="J12" s="106" t="s">
        <v>120</v>
      </c>
      <c r="K12" s="110"/>
      <c r="L12" s="109" t="str">
        <f>IF(L5="NO", "NA",L9*L10)</f>
        <v>NA</v>
      </c>
      <c r="M12" s="101"/>
      <c r="N12" s="128" t="s">
        <v>121</v>
      </c>
      <c r="O12" s="129"/>
      <c r="P12" s="130">
        <f>IF(H37="NO",0, INDEX('Amo Schedule - Supplemental'!J14:J373, MATCH('Inputs and Assumptions'!P6-'Inputs and Assumptions'!H38, 'Amo Schedule - Supplemental'!C14:C373,0),))</f>
        <v>0</v>
      </c>
      <c r="Q12" s="101"/>
    </row>
    <row r="13" spans="1:33" s="16" customFormat="1" ht="25" customHeight="1">
      <c r="A13" s="14"/>
      <c r="B13" s="1319" t="s">
        <v>122</v>
      </c>
      <c r="C13" s="1320" t="s">
        <v>123</v>
      </c>
      <c r="D13" s="1824">
        <v>0.01</v>
      </c>
      <c r="E13" s="104"/>
      <c r="F13" s="615" t="s">
        <v>41</v>
      </c>
      <c r="G13" s="110"/>
      <c r="H13" s="109">
        <f>H12/units</f>
        <v>132575.75757575757</v>
      </c>
      <c r="I13" s="101"/>
      <c r="J13" s="106" t="s">
        <v>124</v>
      </c>
      <c r="K13" s="110"/>
      <c r="L13" s="109" t="str">
        <f>IF(L5="NO","NA",MIN(L9*L10,-PV(L15/12,L17,(L7/L11)/12)))</f>
        <v>NA</v>
      </c>
      <c r="M13" s="101"/>
      <c r="N13" s="133" t="s">
        <v>125</v>
      </c>
      <c r="O13" s="134">
        <v>0</v>
      </c>
      <c r="P13" s="135">
        <f>(P11+P12)*O13</f>
        <v>0</v>
      </c>
      <c r="Q13" s="101"/>
    </row>
    <row r="14" spans="1:33" ht="25" customHeight="1">
      <c r="B14" s="615" t="s">
        <v>126</v>
      </c>
      <c r="C14" s="106"/>
      <c r="D14" s="111">
        <v>0</v>
      </c>
      <c r="E14" s="104"/>
      <c r="F14" s="615" t="s">
        <v>46</v>
      </c>
      <c r="G14" s="110"/>
      <c r="H14" s="136">
        <f ca="1">IF($H$11="Bridge",'Debt Sizing'!N80,IF($H$11="Agency",'Debt Sizing'!P80,H19/(SUM(D18:D24)+SUM(D25:D34))))</f>
        <v>0.63295717592592593</v>
      </c>
      <c r="I14" s="101"/>
      <c r="J14" s="106" t="s">
        <v>127</v>
      </c>
      <c r="K14" s="110"/>
      <c r="L14" s="137" t="str">
        <f>IF(L5="NO","NA",L13/L9)</f>
        <v>NA</v>
      </c>
      <c r="M14" s="101"/>
      <c r="N14" s="128" t="s">
        <v>128</v>
      </c>
      <c r="O14" s="129"/>
      <c r="P14" s="130" cm="1">
        <f t="array" ref="P14">INDEX('Monthly Cash Flow'!E117:DT117,,MATCH('Inputs and Assumptions'!P6,'Monthly Cash Flow'!E5:DT5,0))</f>
        <v>0</v>
      </c>
      <c r="Q14" s="138"/>
      <c r="U14" s="99"/>
    </row>
    <row r="15" spans="1:33" ht="25" customHeight="1" thickBot="1">
      <c r="B15" s="622" t="s">
        <v>129</v>
      </c>
      <c r="C15" s="131"/>
      <c r="D15" s="132">
        <v>46082</v>
      </c>
      <c r="E15" s="104"/>
      <c r="F15" s="615" t="s">
        <v>130</v>
      </c>
      <c r="G15" s="110"/>
      <c r="H15" s="137">
        <f>IF($H$11="Bridge",'Debt Sizing'!N71,IF($H$11="Agency",'Debt Sizing'!P71,('Debt Sizing'!N41/'Inputs and Assumptions'!H19)))</f>
        <v>5.4140237359999982E-2</v>
      </c>
      <c r="I15" s="101"/>
      <c r="J15" s="106" t="s">
        <v>131</v>
      </c>
      <c r="K15" s="110"/>
      <c r="L15" s="118">
        <v>0</v>
      </c>
      <c r="M15" s="101"/>
      <c r="N15" s="133" t="s">
        <v>132</v>
      </c>
      <c r="O15" s="1372"/>
      <c r="P15" s="1587">
        <f>(P8-P10-P11-P12-P13-P14)*L38</f>
        <v>0</v>
      </c>
      <c r="Q15" s="101"/>
    </row>
    <row r="16" spans="1:33" ht="25" customHeight="1" thickBot="1">
      <c r="B16" s="101"/>
      <c r="C16" s="101"/>
      <c r="D16" s="103"/>
      <c r="E16" s="104"/>
      <c r="F16" s="621" t="s">
        <v>133</v>
      </c>
      <c r="G16" s="142"/>
      <c r="H16" s="143" t="str">
        <f>IF(H11="Bridge",'Annual Summary'!M66,"NA")</f>
        <v>NA</v>
      </c>
      <c r="I16" s="101"/>
      <c r="J16" s="106" t="s">
        <v>50</v>
      </c>
      <c r="K16" s="110"/>
      <c r="L16" s="111">
        <v>0</v>
      </c>
      <c r="M16" s="101"/>
      <c r="N16" s="115" t="s">
        <v>134</v>
      </c>
      <c r="O16" s="139"/>
      <c r="P16" s="117">
        <f>P8-SUM(P10:P15)</f>
        <v>29220677.63086725</v>
      </c>
      <c r="Q16" s="101"/>
      <c r="U16" s="99"/>
    </row>
    <row r="17" spans="1:25" ht="25" customHeight="1">
      <c r="B17" s="174" t="s">
        <v>135</v>
      </c>
      <c r="C17" s="175"/>
      <c r="D17" s="175"/>
      <c r="E17" s="104"/>
      <c r="F17" s="101"/>
      <c r="G17" s="101"/>
      <c r="H17" s="101"/>
      <c r="I17" s="101"/>
      <c r="J17" s="106" t="s">
        <v>51</v>
      </c>
      <c r="K17" s="110"/>
      <c r="L17" s="111">
        <v>0</v>
      </c>
      <c r="M17" s="101"/>
      <c r="N17" s="101"/>
      <c r="O17" s="101"/>
      <c r="P17" s="101"/>
      <c r="Q17" s="101"/>
    </row>
    <row r="18" spans="1:25" ht="25" customHeight="1">
      <c r="B18" s="615" t="s">
        <v>24</v>
      </c>
      <c r="C18" s="106"/>
      <c r="D18" s="140">
        <f>D11</f>
        <v>54000000</v>
      </c>
      <c r="E18" s="104"/>
      <c r="F18" s="1884" t="s">
        <v>103</v>
      </c>
      <c r="G18" s="1884"/>
      <c r="H18" s="1884"/>
      <c r="I18" s="101"/>
      <c r="J18" s="106" t="s">
        <v>136</v>
      </c>
      <c r="K18" s="110"/>
      <c r="L18" s="109" t="str">
        <f>IF(L5="NO","NA",INDEX('Amo Schedule - Senior'!L17:L376, MATCH('Inputs and Assumptions'!L6,'Amo Schedule - Senior'!C17:C376,0),))</f>
        <v>NA</v>
      </c>
      <c r="M18" s="101"/>
      <c r="N18" s="173" t="s">
        <v>3</v>
      </c>
      <c r="O18" s="173"/>
      <c r="P18" s="173"/>
      <c r="Q18" s="101"/>
      <c r="U18" s="91"/>
    </row>
    <row r="19" spans="1:25" ht="25" customHeight="1">
      <c r="B19" s="615" t="s">
        <v>137</v>
      </c>
      <c r="C19" s="144">
        <v>0</v>
      </c>
      <c r="D19" s="614">
        <f>C19*D18</f>
        <v>0</v>
      </c>
      <c r="E19" s="104"/>
      <c r="F19" s="615" t="s">
        <v>138</v>
      </c>
      <c r="G19" s="615"/>
      <c r="H19" s="146">
        <v>0</v>
      </c>
      <c r="I19" s="101"/>
      <c r="J19" s="106" t="s">
        <v>125</v>
      </c>
      <c r="K19" s="147">
        <v>0.01</v>
      </c>
      <c r="L19" s="109" t="str">
        <f>IF(L5="NO", "NA", K19*L18)</f>
        <v>NA</v>
      </c>
      <c r="M19" s="101"/>
      <c r="N19" s="106" t="s">
        <v>139</v>
      </c>
      <c r="O19" s="110"/>
      <c r="P19" s="145">
        <f>P6</f>
        <v>48</v>
      </c>
      <c r="Q19" s="101"/>
    </row>
    <row r="20" spans="1:25" ht="25" customHeight="1">
      <c r="B20" s="615" t="s">
        <v>140</v>
      </c>
      <c r="C20" s="144">
        <v>5.0000000000000001E-3</v>
      </c>
      <c r="D20" s="614">
        <f>C20*H12</f>
        <v>175000</v>
      </c>
      <c r="E20" s="104"/>
      <c r="F20" s="615" t="s">
        <v>141</v>
      </c>
      <c r="G20" s="615"/>
      <c r="H20" s="148">
        <f>H19/D11</f>
        <v>0</v>
      </c>
      <c r="I20" s="101"/>
      <c r="J20" s="128" t="s">
        <v>142</v>
      </c>
      <c r="K20" s="149">
        <v>5.0000000000000001E-3</v>
      </c>
      <c r="L20" s="130" t="str">
        <f>IF(L5="NO", "NA", K20*L13)</f>
        <v>NA</v>
      </c>
      <c r="M20" s="101"/>
      <c r="N20" s="106" t="s">
        <v>143</v>
      </c>
      <c r="O20" s="110"/>
      <c r="P20" s="105" t="s">
        <v>90</v>
      </c>
      <c r="Q20" s="101"/>
    </row>
    <row r="21" spans="1:25" ht="25" customHeight="1" thickBot="1">
      <c r="B21" s="615" t="s">
        <v>144</v>
      </c>
      <c r="C21" s="144">
        <v>5.0000000000000001E-3</v>
      </c>
      <c r="D21" s="614">
        <f>C21*H12</f>
        <v>175000</v>
      </c>
      <c r="E21" s="104"/>
      <c r="F21" s="615" t="s">
        <v>145</v>
      </c>
      <c r="G21" s="615"/>
      <c r="H21" s="111">
        <v>0</v>
      </c>
      <c r="I21" s="101"/>
      <c r="J21" s="115" t="s">
        <v>146</v>
      </c>
      <c r="K21" s="142"/>
      <c r="L21" s="151" t="str">
        <f>IF(L5="NO","NA",L13-SUM(L18:L20))</f>
        <v>NA</v>
      </c>
      <c r="M21" s="101"/>
      <c r="N21" s="106" t="s">
        <v>8</v>
      </c>
      <c r="O21" s="110"/>
      <c r="P21" s="127">
        <f ca="1">IF($P$20="PREFERRED RETURN", 'JV Waterfall'!E9, 'Pure Promote Waterfall'!F9)</f>
        <v>0.15896270871162421</v>
      </c>
      <c r="Q21" s="101"/>
    </row>
    <row r="22" spans="1:25" ht="25" customHeight="1" thickBot="1">
      <c r="B22" s="615" t="s">
        <v>147</v>
      </c>
      <c r="C22" s="144">
        <v>0.02</v>
      </c>
      <c r="D22" s="614">
        <f ca="1">IF(C44=TRUE, 1, ROUNDUP(C22*H7,-3))</f>
        <v>406000</v>
      </c>
      <c r="E22" s="104"/>
      <c r="F22" s="615" t="s">
        <v>148</v>
      </c>
      <c r="G22" s="615"/>
      <c r="H22" s="111">
        <v>0</v>
      </c>
      <c r="I22" s="101"/>
      <c r="J22" s="115" t="s">
        <v>149</v>
      </c>
      <c r="K22" s="142"/>
      <c r="L22" s="151" t="str" cm="1">
        <f t="array" ref="L22">IF(L5="NO","NA",IF(AND(INDEX('Monthly Cash Flow'!E112:DT112,,MATCH('Inputs and Assumptions'!L6,'Monthly Cash Flow'!E5:DT5,0))&gt;INDEX('Monthly Cash Flow'!E117:DT117,,MATCH('Inputs and Assumptions'!L6,'Monthly Cash Flow'!E5:DT5,0)),L25&gt;0),H8-INDEX('Monthly Cash Flow'!E129:DT129,,MATCH('Inputs and Assumptions'!L6,'Monthly Cash Flow'!E5:DT5,0)),H8-INDEX('Monthly Cash Flow'!E112:DT112,,MATCH('Inputs and Assumptions'!L6,'Monthly Cash Flow'!E5:DT5,0))))</f>
        <v>NA</v>
      </c>
      <c r="M22" s="101"/>
      <c r="N22" s="106" t="s">
        <v>150</v>
      </c>
      <c r="O22" s="110"/>
      <c r="P22" s="152">
        <f ca="1">IF($P$20="PREFERRED RETURN", 'JV Waterfall'!E10, 'Pure Promote Waterfall'!F10)</f>
        <v>1.7175438528726268</v>
      </c>
      <c r="Q22" s="101"/>
    </row>
    <row r="23" spans="1:25" ht="25" customHeight="1" thickBot="1">
      <c r="B23" s="615" t="s">
        <v>151</v>
      </c>
      <c r="C23" s="144">
        <v>0.01</v>
      </c>
      <c r="D23" s="614">
        <f>IF(C44=TRUE, 1, ROUNDUP(C23*D11,-3))</f>
        <v>540000</v>
      </c>
      <c r="E23" s="104"/>
      <c r="F23" s="621" t="s">
        <v>152</v>
      </c>
      <c r="G23" s="621"/>
      <c r="H23" s="154">
        <v>0</v>
      </c>
      <c r="I23" s="101"/>
      <c r="J23" s="101"/>
      <c r="K23" s="101"/>
      <c r="L23" s="101"/>
      <c r="M23" s="101"/>
      <c r="N23" s="106" t="s">
        <v>153</v>
      </c>
      <c r="O23" s="110"/>
      <c r="P23" s="127">
        <f ca="1">IF($P$20="PREFERRED RETURN", 'JV Waterfall'!D9, 'Pure Promote Waterfall'!E9)</f>
        <v>0.14791656136512762</v>
      </c>
      <c r="Q23" s="101"/>
    </row>
    <row r="24" spans="1:25" ht="25" customHeight="1">
      <c r="B24" s="615" t="s">
        <v>154</v>
      </c>
      <c r="C24" s="150">
        <v>0</v>
      </c>
      <c r="D24" s="165">
        <f>+C24*H12</f>
        <v>0</v>
      </c>
      <c r="E24" s="104"/>
      <c r="F24" s="101"/>
      <c r="G24" s="101"/>
      <c r="H24" s="101"/>
      <c r="I24" s="101"/>
      <c r="J24" s="173" t="s">
        <v>7</v>
      </c>
      <c r="K24" s="173"/>
      <c r="L24" s="173"/>
      <c r="M24" s="101"/>
      <c r="N24" s="106" t="s">
        <v>155</v>
      </c>
      <c r="O24" s="110"/>
      <c r="P24" s="152">
        <f ca="1">IF($P$20="PREFERRED RETURN", 'JV Waterfall'!D10, 'Pure Promote Waterfall'!E10)</f>
        <v>1.6564057454439265</v>
      </c>
      <c r="Q24" s="101"/>
    </row>
    <row r="25" spans="1:25" ht="25" customHeight="1">
      <c r="B25" s="153" t="s">
        <v>156</v>
      </c>
      <c r="C25" s="150"/>
      <c r="D25" s="122">
        <v>0</v>
      </c>
      <c r="E25" s="104"/>
      <c r="F25" s="173" t="s">
        <v>2</v>
      </c>
      <c r="G25" s="173"/>
      <c r="H25" s="173"/>
      <c r="I25" s="101"/>
      <c r="J25" s="106" t="s">
        <v>157</v>
      </c>
      <c r="K25" s="112"/>
      <c r="L25" s="164">
        <v>0</v>
      </c>
      <c r="M25" s="138"/>
      <c r="N25" s="106" t="s">
        <v>158</v>
      </c>
      <c r="O25" s="110"/>
      <c r="P25" s="127" t="e">
        <f ca="1" xml:space="preserve"> IF($P$20="PREFERRED RETURN", 'JV Waterfall'!C9,#REF!)</f>
        <v>#NUM!</v>
      </c>
      <c r="Q25" s="101"/>
    </row>
    <row r="26" spans="1:25" s="17" customFormat="1" ht="25" customHeight="1">
      <c r="A26" s="14"/>
      <c r="B26" s="153" t="s">
        <v>159</v>
      </c>
      <c r="C26" s="150"/>
      <c r="D26" s="122">
        <v>0</v>
      </c>
      <c r="E26" s="104"/>
      <c r="F26" s="615" t="s">
        <v>4</v>
      </c>
      <c r="G26" s="616">
        <f>IF($H$11="Bridge",'Debt Sizing'!N52,IF($H$11="Agency",'Debt Sizing'!P52,H19))</f>
        <v>35000000</v>
      </c>
      <c r="H26" s="617">
        <f ca="1">G26/$G$29</f>
        <v>0.63295717592592593</v>
      </c>
      <c r="I26" s="101"/>
      <c r="J26" s="106" t="s">
        <v>160</v>
      </c>
      <c r="K26" s="112"/>
      <c r="L26" s="137">
        <f>(G26+L25)/D11</f>
        <v>0.64814814814814814</v>
      </c>
      <c r="M26" s="101"/>
      <c r="N26" s="106" t="s">
        <v>161</v>
      </c>
      <c r="O26" s="110"/>
      <c r="P26" s="152" t="e">
        <f ca="1" xml:space="preserve"> IF($P$20="PREFERRED RETURN", 'JV Waterfall'!C10,#REF!)</f>
        <v>#DIV/0!</v>
      </c>
      <c r="Q26" s="101"/>
      <c r="R26" s="14"/>
      <c r="S26" s="14"/>
      <c r="T26" s="14"/>
      <c r="U26" s="14"/>
      <c r="V26" s="14"/>
      <c r="W26" s="14"/>
      <c r="X26" s="14"/>
      <c r="Y26" s="14"/>
    </row>
    <row r="27" spans="1:25" s="17" customFormat="1" ht="25" customHeight="1">
      <c r="A27" s="14"/>
      <c r="B27" s="153" t="s">
        <v>162</v>
      </c>
      <c r="C27" s="150">
        <v>0</v>
      </c>
      <c r="D27" s="1236">
        <f>+D26*C27</f>
        <v>0</v>
      </c>
      <c r="E27" s="104"/>
      <c r="F27" s="615" t="s">
        <v>7</v>
      </c>
      <c r="G27" s="616">
        <f>L25</f>
        <v>0</v>
      </c>
      <c r="H27" s="617">
        <f ca="1">G27/$G$29</f>
        <v>0</v>
      </c>
      <c r="I27" s="101"/>
      <c r="J27" s="106" t="s">
        <v>163</v>
      </c>
      <c r="K27" s="112"/>
      <c r="L27" s="137">
        <f ca="1">(G26+L25)/G29</f>
        <v>0.63295717592592593</v>
      </c>
      <c r="M27" s="101"/>
      <c r="N27" s="106" t="s">
        <v>164</v>
      </c>
      <c r="O27" s="110"/>
      <c r="P27" s="127">
        <f ca="1">'Annual Summary'!I69</f>
        <v>6.45499467725692E-2</v>
      </c>
      <c r="Q27" s="101"/>
      <c r="R27" s="14"/>
      <c r="S27" s="14"/>
      <c r="T27" s="14"/>
      <c r="U27" s="14"/>
      <c r="V27" s="14"/>
      <c r="W27" s="14"/>
      <c r="X27" s="14"/>
      <c r="Y27" s="14"/>
    </row>
    <row r="28" spans="1:25" s="17" customFormat="1" ht="25" customHeight="1">
      <c r="A28" s="16"/>
      <c r="B28" s="153" t="s">
        <v>165</v>
      </c>
      <c r="C28" s="150"/>
      <c r="D28" s="122">
        <v>0</v>
      </c>
      <c r="E28" s="104"/>
      <c r="F28" s="615" t="s">
        <v>10</v>
      </c>
      <c r="G28" s="616">
        <f ca="1">IF($H$11="Bridge",'Debt Sizing'!N54,IF(H11="Agency",'Debt Sizing'!P54,D42-H19-L25))</f>
        <v>20296000</v>
      </c>
      <c r="H28" s="617">
        <f ca="1">G28/$G$29</f>
        <v>0.36704282407407407</v>
      </c>
      <c r="I28" s="101"/>
      <c r="J28" s="106" t="s">
        <v>166</v>
      </c>
      <c r="K28" s="112"/>
      <c r="L28" s="1354">
        <f>IF(H11="Bridge",'Debt Sizing'!N58+'Inputs and Assumptions'!L25, G26+L25)</f>
        <v>35000000</v>
      </c>
      <c r="M28" s="101"/>
      <c r="N28" s="106" t="s">
        <v>167</v>
      </c>
      <c r="O28" s="110"/>
      <c r="P28" s="127">
        <f ca="1">'Annual Summary'!I70</f>
        <v>6.9454478801679945E-2</v>
      </c>
      <c r="Q28" s="101"/>
      <c r="R28" s="14"/>
      <c r="S28" s="14"/>
      <c r="T28" s="14"/>
      <c r="U28" s="14"/>
      <c r="V28" s="14"/>
      <c r="W28" s="14"/>
      <c r="X28" s="14"/>
      <c r="Y28" s="14"/>
    </row>
    <row r="29" spans="1:25" s="17" customFormat="1" ht="25" customHeight="1" thickBot="1">
      <c r="A29" s="16"/>
      <c r="B29" s="153" t="s">
        <v>168</v>
      </c>
      <c r="C29" s="150"/>
      <c r="D29" s="140">
        <v>0</v>
      </c>
      <c r="E29" s="104"/>
      <c r="F29" s="618" t="s">
        <v>14</v>
      </c>
      <c r="G29" s="619">
        <f ca="1">SUM(G26:G28)</f>
        <v>55296000</v>
      </c>
      <c r="H29" s="620">
        <f ca="1">G29/$G$29</f>
        <v>1</v>
      </c>
      <c r="I29" s="101"/>
      <c r="J29" s="106" t="s">
        <v>169</v>
      </c>
      <c r="K29" s="112"/>
      <c r="L29" s="109">
        <f>L28/units</f>
        <v>132575.75757575757</v>
      </c>
      <c r="M29" s="101"/>
      <c r="N29" s="141" t="s">
        <v>170</v>
      </c>
      <c r="O29" s="142"/>
      <c r="P29" s="156">
        <f ca="1">'Annual Summary'!I71</f>
        <v>5.5563583041343956E-2</v>
      </c>
      <c r="Q29" s="101"/>
      <c r="R29" s="18"/>
      <c r="S29" s="18"/>
      <c r="T29" s="18"/>
      <c r="U29" s="18"/>
      <c r="V29" s="18"/>
      <c r="W29" s="18"/>
      <c r="X29" s="18"/>
      <c r="Y29" s="18"/>
    </row>
    <row r="30" spans="1:25" s="17" customFormat="1" ht="25" customHeight="1">
      <c r="A30" s="16"/>
      <c r="B30" s="153" t="s">
        <v>171</v>
      </c>
      <c r="C30" s="1237">
        <v>0</v>
      </c>
      <c r="D30" s="1236">
        <f>ROUNDUP(D29/12*C30,-4)</f>
        <v>0</v>
      </c>
      <c r="E30" s="104"/>
      <c r="F30" s="161"/>
      <c r="G30" s="162"/>
      <c r="H30" s="162"/>
      <c r="I30" s="101"/>
      <c r="J30" s="106" t="s">
        <v>172</v>
      </c>
      <c r="K30" s="112"/>
      <c r="L30" s="137">
        <f>IF(H11="Bridge",'Debt Sizing'!N41/('Debt Sizing'!N58+'Inputs and Assumptions'!L25),'Debt Sizing'!N41/('Inputs and Assumptions'!G26+'Inputs and Assumptions'!L25))</f>
        <v>5.4140237359999982E-2</v>
      </c>
      <c r="M30" s="101"/>
      <c r="N30" s="159"/>
      <c r="O30" s="159"/>
      <c r="P30" s="159"/>
      <c r="Q30" s="163"/>
    </row>
    <row r="31" spans="1:25" s="17" customFormat="1" ht="25" customHeight="1">
      <c r="A31" s="16"/>
      <c r="B31" s="153" t="s">
        <v>173</v>
      </c>
      <c r="C31" s="1237">
        <v>0</v>
      </c>
      <c r="D31" s="1236">
        <f>ROUNDUP(Taxes!G13/12*'Inputs and Assumptions'!C31,-4)</f>
        <v>0</v>
      </c>
      <c r="E31" s="104"/>
      <c r="F31" s="173" t="s">
        <v>22</v>
      </c>
      <c r="G31" s="173"/>
      <c r="H31" s="173"/>
      <c r="I31" s="101"/>
      <c r="J31" s="106" t="s">
        <v>174</v>
      </c>
      <c r="K31" s="112"/>
      <c r="L31" s="109">
        <f ca="1">D42*L27</f>
        <v>35000000</v>
      </c>
      <c r="M31" s="101"/>
      <c r="N31" s="159"/>
      <c r="O31" s="159"/>
      <c r="P31" s="159"/>
      <c r="Q31" s="159"/>
    </row>
    <row r="32" spans="1:25" s="17" customFormat="1" ht="25" customHeight="1">
      <c r="A32" s="16"/>
      <c r="B32" s="1238" t="str">
        <f>'Monthly Cash Flow'!B109</f>
        <v>Senior Interest Shortfall</v>
      </c>
      <c r="C32" s="1252">
        <v>0.1</v>
      </c>
      <c r="D32" s="140">
        <f>ROUNDUP('Monthly Cash Flow'!D109*(1+C32),-4)</f>
        <v>0</v>
      </c>
      <c r="E32" s="104"/>
      <c r="F32" s="106" t="s">
        <v>24</v>
      </c>
      <c r="G32" s="112">
        <f>D11</f>
        <v>54000000</v>
      </c>
      <c r="H32" s="136">
        <f ca="1">G32/$G$35</f>
        <v>0.9765625</v>
      </c>
      <c r="I32" s="101"/>
      <c r="J32" s="106" t="s">
        <v>175</v>
      </c>
      <c r="K32" s="112"/>
      <c r="L32" s="1354">
        <f ca="1">L31/units</f>
        <v>132575.75757575757</v>
      </c>
      <c r="M32" s="101"/>
      <c r="N32" s="159"/>
      <c r="O32" s="159"/>
      <c r="P32" s="159"/>
      <c r="Q32" s="159"/>
    </row>
    <row r="33" spans="1:17" s="17" customFormat="1" ht="25" customHeight="1">
      <c r="A33" s="16"/>
      <c r="B33" s="1238" t="str">
        <f>'Monthly Cash Flow'!B113</f>
        <v>Pref Interest Shortfall</v>
      </c>
      <c r="C33" s="1252">
        <v>0.1</v>
      </c>
      <c r="D33" s="140">
        <f>ROUNDUP('Monthly Cash Flow'!D113*(1+C33),-4)</f>
        <v>0</v>
      </c>
      <c r="E33" s="104"/>
      <c r="F33" s="106" t="s">
        <v>26</v>
      </c>
      <c r="G33" s="112">
        <f>D40</f>
        <v>0</v>
      </c>
      <c r="H33" s="136">
        <f ca="1">G33/$G$35</f>
        <v>0</v>
      </c>
      <c r="I33" s="101"/>
      <c r="J33" s="106" t="s">
        <v>176</v>
      </c>
      <c r="K33" s="112"/>
      <c r="L33" s="137">
        <f>'Annual Summary'!M39/('Inputs and Assumptions'!H12+'Inputs and Assumptions'!L25)</f>
        <v>8.8197193780684011E-2</v>
      </c>
      <c r="M33" s="101"/>
      <c r="N33" s="159"/>
      <c r="O33" s="159"/>
      <c r="P33" s="159"/>
      <c r="Q33" s="159"/>
    </row>
    <row r="34" spans="1:17" s="17" customFormat="1" ht="25" customHeight="1">
      <c r="A34" s="16"/>
      <c r="B34" s="615" t="s">
        <v>177</v>
      </c>
      <c r="C34" s="150"/>
      <c r="D34" s="122">
        <v>0</v>
      </c>
      <c r="E34" s="161"/>
      <c r="F34" s="106" t="s">
        <v>29</v>
      </c>
      <c r="G34" s="166">
        <f ca="1">SUM(D19:D21)+SUM(D22:D35)</f>
        <v>1296000</v>
      </c>
      <c r="H34" s="136">
        <f ca="1">G34/$G$35</f>
        <v>2.34375E-2</v>
      </c>
      <c r="I34" s="101"/>
      <c r="J34" s="106" t="s">
        <v>178</v>
      </c>
      <c r="K34" s="112"/>
      <c r="L34" s="1431">
        <f>('Annual Summary'!$M$39)/('Annual Summary'!$M$47+'Annual Summary'!$M$51)</f>
        <v>2.0850400420965483</v>
      </c>
      <c r="M34" s="101"/>
      <c r="N34" s="159"/>
      <c r="O34" s="159"/>
      <c r="P34" s="159"/>
      <c r="Q34" s="159"/>
    </row>
    <row r="35" spans="1:17" s="17" customFormat="1" ht="25" customHeight="1" thickBot="1">
      <c r="A35" s="16"/>
      <c r="B35" s="615" t="s">
        <v>179</v>
      </c>
      <c r="C35" s="155">
        <v>6</v>
      </c>
      <c r="D35" s="122">
        <v>0</v>
      </c>
      <c r="E35" s="161"/>
      <c r="F35" s="115" t="s">
        <v>31</v>
      </c>
      <c r="G35" s="167">
        <f ca="1">SUM(G32:G34)</f>
        <v>55296000</v>
      </c>
      <c r="H35" s="157">
        <f ca="1">G35/$G$35</f>
        <v>1</v>
      </c>
      <c r="I35" s="101"/>
      <c r="J35" s="106" t="s">
        <v>180</v>
      </c>
      <c r="K35" s="112"/>
      <c r="L35" s="118">
        <v>0.06</v>
      </c>
      <c r="M35" s="101"/>
      <c r="N35" s="159"/>
      <c r="O35" s="159"/>
      <c r="P35" s="159"/>
      <c r="Q35" s="159"/>
    </row>
    <row r="36" spans="1:17" s="17" customFormat="1" ht="25" customHeight="1">
      <c r="A36" s="14"/>
      <c r="B36" s="615" t="s">
        <v>181</v>
      </c>
      <c r="C36" s="126">
        <f>D36/units</f>
        <v>0</v>
      </c>
      <c r="D36" s="122">
        <v>0</v>
      </c>
      <c r="E36" s="161"/>
      <c r="F36" s="159"/>
      <c r="G36" s="159"/>
      <c r="H36" s="159"/>
      <c r="I36" s="101"/>
      <c r="J36" s="106" t="s">
        <v>182</v>
      </c>
      <c r="K36" s="105" t="s">
        <v>183</v>
      </c>
      <c r="L36" s="118">
        <v>0.06</v>
      </c>
      <c r="M36" s="101"/>
      <c r="N36" s="159"/>
      <c r="O36" s="159"/>
      <c r="P36" s="159"/>
      <c r="Q36" s="159"/>
    </row>
    <row r="37" spans="1:17" s="17" customFormat="1" ht="25" customHeight="1">
      <c r="A37" s="14"/>
      <c r="B37" s="615" t="s">
        <v>184</v>
      </c>
      <c r="C37" s="126">
        <f>D37/units</f>
        <v>0</v>
      </c>
      <c r="D37" s="122">
        <v>0</v>
      </c>
      <c r="E37" s="161"/>
      <c r="F37" s="173" t="s">
        <v>185</v>
      </c>
      <c r="G37" s="173"/>
      <c r="H37" s="105" t="s">
        <v>86</v>
      </c>
      <c r="I37" s="101"/>
      <c r="J37" s="106" t="s">
        <v>186</v>
      </c>
      <c r="K37" s="112"/>
      <c r="L37" s="137">
        <f>L35+L36</f>
        <v>0.12</v>
      </c>
      <c r="M37" s="101"/>
      <c r="N37" s="159"/>
      <c r="O37" s="159"/>
      <c r="P37" s="159"/>
      <c r="Q37" s="159"/>
    </row>
    <row r="38" spans="1:17" ht="25" customHeight="1" thickBot="1">
      <c r="B38" s="615" t="s">
        <v>187</v>
      </c>
      <c r="C38" s="160" t="e">
        <f>D38/SUM(D36:D37)</f>
        <v>#DIV/0!</v>
      </c>
      <c r="D38" s="122">
        <v>0</v>
      </c>
      <c r="E38" s="161"/>
      <c r="F38" s="106" t="s">
        <v>188</v>
      </c>
      <c r="G38" s="110"/>
      <c r="H38" s="111">
        <v>0</v>
      </c>
      <c r="I38" s="101"/>
      <c r="J38" s="141" t="s">
        <v>189</v>
      </c>
      <c r="K38" s="139"/>
      <c r="L38" s="1371">
        <v>0</v>
      </c>
      <c r="M38" s="170"/>
      <c r="N38" s="159"/>
      <c r="O38" s="159"/>
      <c r="P38" s="159"/>
      <c r="Q38" s="101"/>
    </row>
    <row r="39" spans="1:17" ht="25" customHeight="1">
      <c r="A39" s="17"/>
      <c r="B39" s="615" t="s">
        <v>190</v>
      </c>
      <c r="C39" s="144">
        <v>0</v>
      </c>
      <c r="D39" s="614">
        <f>C39*SUM(D36:D38)</f>
        <v>0</v>
      </c>
      <c r="E39" s="170"/>
      <c r="F39" s="106" t="s">
        <v>191</v>
      </c>
      <c r="G39" s="110"/>
      <c r="H39" s="146">
        <v>0</v>
      </c>
      <c r="I39" s="170"/>
      <c r="J39" s="17"/>
      <c r="K39" s="17"/>
      <c r="L39" s="17"/>
      <c r="M39" s="170"/>
      <c r="N39" s="159"/>
      <c r="O39" s="159"/>
      <c r="P39" s="171"/>
      <c r="Q39" s="101"/>
    </row>
    <row r="40" spans="1:17" ht="25" customHeight="1" thickBot="1">
      <c r="A40" s="17"/>
      <c r="B40" s="615" t="s">
        <v>192</v>
      </c>
      <c r="C40" s="126">
        <f>D40/units</f>
        <v>0</v>
      </c>
      <c r="D40" s="614">
        <f>SUM(D36:D39)</f>
        <v>0</v>
      </c>
      <c r="E40" s="170"/>
      <c r="F40" s="106" t="s">
        <v>131</v>
      </c>
      <c r="G40" s="110"/>
      <c r="H40" s="118">
        <v>0</v>
      </c>
      <c r="I40" s="170"/>
      <c r="J40" s="17"/>
      <c r="K40" s="17"/>
      <c r="L40" s="17"/>
      <c r="M40" s="170"/>
      <c r="N40" s="170"/>
      <c r="O40" s="170"/>
      <c r="P40" s="170"/>
      <c r="Q40" s="101"/>
    </row>
    <row r="41" spans="1:17" ht="25" customHeight="1" thickBot="1">
      <c r="A41" s="17"/>
      <c r="B41" s="1351" t="s">
        <v>193</v>
      </c>
      <c r="C41" s="1352">
        <f ca="1">D41/units</f>
        <v>209454.54545454544</v>
      </c>
      <c r="D41" s="1353">
        <f ca="1">SUM(D18:D35)</f>
        <v>55296000</v>
      </c>
      <c r="E41" s="170"/>
      <c r="F41" s="106" t="s">
        <v>50</v>
      </c>
      <c r="G41" s="110"/>
      <c r="H41" s="111">
        <v>0</v>
      </c>
      <c r="I41" s="170"/>
      <c r="J41" s="17"/>
      <c r="K41" s="17"/>
      <c r="L41" s="17"/>
      <c r="M41" s="170"/>
      <c r="N41" s="170"/>
      <c r="O41" s="170"/>
      <c r="P41" s="170"/>
      <c r="Q41" s="101"/>
    </row>
    <row r="42" spans="1:17" ht="25" customHeight="1" thickBot="1">
      <c r="A42" s="17"/>
      <c r="B42" s="623" t="s">
        <v>194</v>
      </c>
      <c r="C42" s="121">
        <f ca="1">D42/units</f>
        <v>209454.54545454544</v>
      </c>
      <c r="D42" s="165">
        <f ca="1">SUM(D18:D35)+D40</f>
        <v>55296000</v>
      </c>
      <c r="E42" s="170"/>
      <c r="F42" s="141" t="s">
        <v>51</v>
      </c>
      <c r="G42" s="142"/>
      <c r="H42" s="158">
        <v>0</v>
      </c>
      <c r="I42" s="170"/>
      <c r="J42" s="17"/>
      <c r="K42" s="17"/>
      <c r="L42" s="17"/>
      <c r="M42" s="170"/>
      <c r="N42" s="170"/>
      <c r="O42" s="170"/>
      <c r="P42" s="170"/>
      <c r="Q42" s="101"/>
    </row>
    <row r="43" spans="1:17" ht="25" customHeight="1">
      <c r="A43" s="17"/>
      <c r="B43" s="168"/>
      <c r="C43" s="168"/>
      <c r="D43" s="169"/>
      <c r="E43" s="170"/>
      <c r="F43" s="170"/>
      <c r="G43" s="170"/>
      <c r="H43" s="170"/>
      <c r="I43" s="170"/>
      <c r="J43" s="17"/>
      <c r="K43" s="17"/>
      <c r="L43" s="17"/>
      <c r="M43" s="170"/>
      <c r="N43" s="170"/>
      <c r="O43" s="170"/>
      <c r="P43" s="170"/>
      <c r="Q43" s="101"/>
    </row>
    <row r="44" spans="1:17" ht="25" customHeight="1">
      <c r="A44" s="17"/>
      <c r="B44" s="101"/>
      <c r="C44" s="159" t="b">
        <v>0</v>
      </c>
      <c r="D44" s="103">
        <f ca="1">+SUM(D25:D31,D22:D23,D20)</f>
        <v>1121000</v>
      </c>
      <c r="E44" s="170"/>
      <c r="F44" s="170"/>
      <c r="G44" s="170"/>
      <c r="H44" s="170"/>
      <c r="I44" s="170"/>
      <c r="J44" s="17"/>
      <c r="K44" s="17"/>
      <c r="L44" s="17"/>
      <c r="M44" s="170"/>
      <c r="N44" s="170"/>
      <c r="O44" s="170"/>
      <c r="P44" s="170"/>
    </row>
    <row r="45" spans="1:17" ht="25" customHeight="1">
      <c r="B45" s="101"/>
      <c r="C45" s="101"/>
      <c r="D45" s="882"/>
      <c r="E45" s="170"/>
      <c r="F45" s="170"/>
      <c r="G45" s="170"/>
      <c r="H45" s="170"/>
      <c r="I45" s="170"/>
      <c r="J45" s="159"/>
      <c r="K45" s="159"/>
      <c r="L45" s="159"/>
      <c r="M45" s="170"/>
      <c r="N45" s="170"/>
      <c r="O45" s="170"/>
      <c r="P45" s="170"/>
    </row>
    <row r="46" spans="1:17" ht="19">
      <c r="B46" s="17"/>
      <c r="C46" s="17"/>
      <c r="D46" s="1842"/>
      <c r="E46" s="17"/>
      <c r="J46" s="170"/>
      <c r="K46" s="170"/>
      <c r="L46" s="170"/>
      <c r="N46" s="170"/>
      <c r="O46" s="170"/>
      <c r="P46" s="170"/>
    </row>
    <row r="47" spans="1:17" ht="19">
      <c r="B47" s="17"/>
      <c r="C47" s="17"/>
      <c r="D47" s="17"/>
      <c r="E47" s="17"/>
      <c r="J47" s="170"/>
      <c r="K47" s="170"/>
      <c r="L47" s="170"/>
    </row>
    <row r="48" spans="1:17" ht="19">
      <c r="E48" s="17"/>
      <c r="J48" s="170"/>
      <c r="K48" s="170"/>
      <c r="L48" s="170"/>
    </row>
    <row r="49" spans="5:12" ht="19">
      <c r="E49" s="17"/>
      <c r="J49" s="170"/>
      <c r="K49" s="170"/>
      <c r="L49" s="170"/>
    </row>
    <row r="50" spans="5:12" ht="19">
      <c r="E50" s="17"/>
      <c r="J50" s="170"/>
      <c r="K50" s="170"/>
      <c r="L50" s="170"/>
    </row>
    <row r="51" spans="5:12" ht="19">
      <c r="E51" s="17"/>
      <c r="J51" s="170"/>
      <c r="K51" s="170"/>
      <c r="L51" s="170"/>
    </row>
    <row r="52" spans="5:12" ht="19">
      <c r="E52" s="17"/>
      <c r="J52" s="170"/>
      <c r="K52" s="170"/>
      <c r="L52" s="170"/>
    </row>
    <row r="53" spans="5:12" ht="15.5">
      <c r="J53" s="97"/>
      <c r="K53" s="97"/>
      <c r="L53" s="97"/>
    </row>
  </sheetData>
  <mergeCells count="3">
    <mergeCell ref="B5:D5"/>
    <mergeCell ref="F10:H10"/>
    <mergeCell ref="F18:H18"/>
  </mergeCells>
  <dataValidations count="5">
    <dataValidation type="list" allowBlank="1" showInputMessage="1" showErrorMessage="1" sqref="L5 H37" xr:uid="{00000000-0002-0000-0200-000000000000}">
      <formula1>$AB$5:$AB$6</formula1>
    </dataValidation>
    <dataValidation type="list" allowBlank="1" showInputMessage="1" showErrorMessage="1" sqref="P20" xr:uid="{00000000-0002-0000-0200-000001000000}">
      <formula1>$AD$5:$AD$6</formula1>
    </dataValidation>
    <dataValidation type="list" allowBlank="1" showInputMessage="1" showErrorMessage="1" sqref="H11" xr:uid="{00000000-0002-0000-0200-000002000000}">
      <formula1>$Z$5:$Z$7</formula1>
    </dataValidation>
    <dataValidation type="list" allowBlank="1" showInputMessage="1" showErrorMessage="1" sqref="K36" xr:uid="{00000000-0002-0000-0200-000003000000}">
      <formula1>"Accrue, Pay Down"</formula1>
    </dataValidation>
    <dataValidation type="list" allowBlank="1" showInputMessage="1" showErrorMessage="1" sqref="C13:C14" xr:uid="{00000000-0002-0000-0200-000004000000}">
      <formula1>"% of EGI, % of NOI"</formula1>
    </dataValidation>
  </dataValidations>
  <pageMargins left="0.7" right="0.7" top="0.75" bottom="0.75" header="0.3" footer="0.3"/>
  <pageSetup scale="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Check Box 2">
              <controlPr defaultSize="0" autoFill="0" autoLine="0" autoPict="0">
                <anchor moveWithCells="1">
                  <from>
                    <xdr:col>1</xdr:col>
                    <xdr:colOff>889000</xdr:colOff>
                    <xdr:row>42</xdr:row>
                    <xdr:rowOff>279400</xdr:rowOff>
                  </from>
                  <to>
                    <xdr:col>1</xdr:col>
                    <xdr:colOff>1898650</xdr:colOff>
                    <xdr:row>43</xdr:row>
                    <xdr:rowOff>298450</xdr:rowOff>
                  </to>
                </anchor>
              </controlPr>
            </control>
          </mc:Choice>
        </mc:AlternateContent>
        <mc:AlternateContent xmlns:mc="http://schemas.openxmlformats.org/markup-compatibility/2006">
          <mc:Choice Requires="x14">
            <control shapeId="19473" r:id="rId5" name="Button 17">
              <controlPr defaultSize="0" print="0" autoFill="0" autoPict="0" macro="[0]!Pref_75_LTC">
                <anchor moveWithCells="1" sizeWithCells="1">
                  <from>
                    <xdr:col>12</xdr:col>
                    <xdr:colOff>419100</xdr:colOff>
                    <xdr:row>31</xdr:row>
                    <xdr:rowOff>31750</xdr:rowOff>
                  </from>
                  <to>
                    <xdr:col>13</xdr:col>
                    <xdr:colOff>603250</xdr:colOff>
                    <xdr:row>32</xdr:row>
                    <xdr:rowOff>152400</xdr:rowOff>
                  </to>
                </anchor>
              </controlPr>
            </control>
          </mc:Choice>
        </mc:AlternateContent>
        <mc:AlternateContent xmlns:mc="http://schemas.openxmlformats.org/markup-compatibility/2006">
          <mc:Choice Requires="x14">
            <control shapeId="19474" r:id="rId6" name="Button 18">
              <controlPr defaultSize="0" print="0" autoFill="0" autoPict="0" macro="[0]!Pref_80_LTC">
                <anchor moveWithCells="1" sizeWithCells="1">
                  <from>
                    <xdr:col>12</xdr:col>
                    <xdr:colOff>431800</xdr:colOff>
                    <xdr:row>32</xdr:row>
                    <xdr:rowOff>260350</xdr:rowOff>
                  </from>
                  <to>
                    <xdr:col>13</xdr:col>
                    <xdr:colOff>609600</xdr:colOff>
                    <xdr:row>34</xdr:row>
                    <xdr:rowOff>57150</xdr:rowOff>
                  </to>
                </anchor>
              </controlPr>
            </control>
          </mc:Choice>
        </mc:AlternateContent>
        <mc:AlternateContent xmlns:mc="http://schemas.openxmlformats.org/markup-compatibility/2006">
          <mc:Choice Requires="x14">
            <control shapeId="19476" r:id="rId7" name="Button 20">
              <controlPr defaultSize="0" print="0" autoFill="0" autoPict="0" macro="[0]!Pref_85_LTC">
                <anchor moveWithCells="1" sizeWithCells="1">
                  <from>
                    <xdr:col>12</xdr:col>
                    <xdr:colOff>438150</xdr:colOff>
                    <xdr:row>34</xdr:row>
                    <xdr:rowOff>165100</xdr:rowOff>
                  </from>
                  <to>
                    <xdr:col>13</xdr:col>
                    <xdr:colOff>603250</xdr:colOff>
                    <xdr:row>35</xdr:row>
                    <xdr:rowOff>279400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tabColor theme="9" tint="-0.249977111117893"/>
  </sheetPr>
  <dimension ref="A1:L382"/>
  <sheetViews>
    <sheetView showGridLines="0" zoomScale="85" zoomScaleNormal="85" workbookViewId="0">
      <pane xSplit="6" ySplit="16" topLeftCell="G17" activePane="bottomRight" state="frozen"/>
      <selection pane="topRight" activeCell="H70" sqref="H70"/>
      <selection pane="bottomLeft" activeCell="H70" sqref="H70"/>
      <selection pane="bottomRight" activeCell="H70" sqref="H70"/>
    </sheetView>
  </sheetViews>
  <sheetFormatPr defaultColWidth="8.81640625" defaultRowHeight="13" outlineLevelRow="1"/>
  <cols>
    <col min="1" max="1" width="8.81640625" style="20"/>
    <col min="2" max="2" width="2" style="20" customWidth="1"/>
    <col min="3" max="3" width="9" style="20" customWidth="1"/>
    <col min="4" max="4" width="12.54296875" style="20" customWidth="1"/>
    <col min="5" max="5" width="15.1796875" style="20" customWidth="1"/>
    <col min="6" max="6" width="14.7265625" style="20" customWidth="1"/>
    <col min="7" max="7" width="2.26953125" style="20" customWidth="1"/>
    <col min="8" max="8" width="22.26953125" style="20" customWidth="1"/>
    <col min="9" max="9" width="18" style="20" customWidth="1"/>
    <col min="10" max="11" width="14.7265625" style="20" customWidth="1"/>
    <col min="12" max="12" width="18.1796875" style="20" customWidth="1"/>
    <col min="13" max="16384" width="8.81640625" style="20"/>
  </cols>
  <sheetData>
    <row r="1" spans="1:12" s="19" customFormat="1" ht="18.5">
      <c r="B1" s="19" t="s">
        <v>195</v>
      </c>
    </row>
    <row r="3" spans="1:12">
      <c r="B3" s="21"/>
      <c r="C3" s="21"/>
      <c r="D3" s="22"/>
      <c r="E3" s="22"/>
      <c r="F3" s="22"/>
    </row>
    <row r="4" spans="1:12" ht="15.75" customHeight="1">
      <c r="B4" s="21"/>
      <c r="C4" s="23" t="s">
        <v>24</v>
      </c>
      <c r="D4" s="24"/>
      <c r="E4" s="71">
        <f>'Inputs and Assumptions'!D11</f>
        <v>54000000</v>
      </c>
      <c r="F4" s="21"/>
      <c r="G4" s="25"/>
      <c r="H4" s="25"/>
      <c r="I4" s="26"/>
      <c r="J4" s="26"/>
      <c r="K4" s="26"/>
    </row>
    <row r="5" spans="1:12" ht="15.75" customHeight="1">
      <c r="B5" s="21"/>
      <c r="C5" s="23" t="s">
        <v>196</v>
      </c>
      <c r="D5" s="24"/>
      <c r="E5" s="71">
        <f>IF('Inputs and Assumptions'!H11="Bridge",'Debt Sizing'!N58,IF('Inputs and Assumptions'!H11="Agency",'Debt Sizing'!P58,'Inputs and Assumptions'!H19))</f>
        <v>35000000</v>
      </c>
      <c r="F5" s="21"/>
      <c r="G5" s="25"/>
      <c r="H5" s="25"/>
      <c r="I5" s="26"/>
      <c r="J5" s="26"/>
      <c r="K5" s="26"/>
    </row>
    <row r="6" spans="1:12" ht="15.75" customHeight="1">
      <c r="B6" s="21"/>
      <c r="C6" s="23" t="s">
        <v>197</v>
      </c>
      <c r="D6" s="24"/>
      <c r="E6" s="71">
        <f>IF('Inputs and Assumptions'!H11="Bridge", 'Inputs and Assumptions'!D40, 0)</f>
        <v>0</v>
      </c>
      <c r="F6" s="21"/>
      <c r="G6" s="25"/>
      <c r="H6" s="25"/>
      <c r="I6" s="26"/>
      <c r="J6" s="26"/>
      <c r="K6" s="26"/>
    </row>
    <row r="7" spans="1:12">
      <c r="B7" s="21"/>
      <c r="C7" s="23" t="s">
        <v>198</v>
      </c>
      <c r="D7" s="24"/>
      <c r="E7" s="88">
        <f>SUM(E5:E6)</f>
        <v>35000000</v>
      </c>
      <c r="F7" s="27"/>
      <c r="G7" s="28"/>
      <c r="H7" s="29"/>
      <c r="I7" s="30"/>
      <c r="J7" s="30"/>
      <c r="K7" s="26"/>
    </row>
    <row r="8" spans="1:12" ht="13.5" customHeight="1">
      <c r="B8" s="21"/>
      <c r="C8" s="23" t="s">
        <v>199</v>
      </c>
      <c r="D8" s="24"/>
      <c r="E8" s="70">
        <f>IF(AND('Inputs and Assumptions'!$H$11="Bridge",'Debt Sizing'!$O$64="1 Mo Term SOFR"),'Debt Sizing'!$N$63,IF('Inputs and Assumptions'!H11="Bridge",'Debt Sizing'!N65,IF('Inputs and Assumptions'!H11="Agency",'Debt Sizing'!P65,'Inputs and Assumptions'!H23)))</f>
        <v>4.2300000000000004E-2</v>
      </c>
      <c r="F8" s="31"/>
      <c r="G8" s="32"/>
      <c r="H8" s="33"/>
      <c r="I8" s="30"/>
      <c r="J8" s="30"/>
      <c r="K8" s="34"/>
    </row>
    <row r="9" spans="1:12">
      <c r="B9" s="21"/>
      <c r="C9" s="23" t="s">
        <v>50</v>
      </c>
      <c r="D9" s="24"/>
      <c r="E9" s="35">
        <f>IF('Inputs and Assumptions'!H11="Bridge",'Debt Sizing'!N61,IF('Inputs and Assumptions'!H11="Agency",'Debt Sizing'!P61,'Inputs and Assumptions'!H21))</f>
        <v>60</v>
      </c>
      <c r="F9" s="31"/>
      <c r="G9" s="32"/>
      <c r="H9" s="33"/>
      <c r="I9" s="30"/>
      <c r="J9" s="30"/>
      <c r="K9" s="34"/>
    </row>
    <row r="10" spans="1:12">
      <c r="B10" s="21"/>
      <c r="C10" s="23" t="s">
        <v>51</v>
      </c>
      <c r="D10" s="24"/>
      <c r="E10" s="72">
        <f>IF('Inputs and Assumptions'!H11="Bridge",'Debt Sizing'!N62,IF('Inputs and Assumptions'!H11="Agency",'Debt Sizing'!P62,'Inputs and Assumptions'!H22))</f>
        <v>360</v>
      </c>
      <c r="F10" s="27"/>
      <c r="G10" s="36"/>
      <c r="H10" s="26"/>
      <c r="I10" s="30"/>
      <c r="J10" s="30"/>
      <c r="K10" s="37"/>
    </row>
    <row r="11" spans="1:12">
      <c r="B11" s="21"/>
      <c r="C11" s="23" t="s">
        <v>200</v>
      </c>
      <c r="D11" s="24"/>
      <c r="E11" s="38">
        <f>-PMT(E8/12,E10,E7)</f>
        <v>171769.40979449562</v>
      </c>
      <c r="F11" s="22"/>
      <c r="G11" s="39"/>
      <c r="H11" s="40"/>
      <c r="I11" s="41"/>
      <c r="J11" s="41"/>
      <c r="K11" s="26"/>
    </row>
    <row r="12" spans="1:12">
      <c r="B12" s="21"/>
      <c r="C12" s="23" t="s">
        <v>201</v>
      </c>
      <c r="D12" s="24"/>
      <c r="E12" s="38">
        <f>E7*(E8/12)</f>
        <v>123375.00000000001</v>
      </c>
      <c r="F12" s="22"/>
      <c r="G12" s="39"/>
      <c r="H12" s="40"/>
      <c r="I12" s="41"/>
      <c r="J12" s="41"/>
      <c r="K12" s="26"/>
    </row>
    <row r="13" spans="1:12">
      <c r="B13" s="21"/>
      <c r="C13" s="23"/>
      <c r="D13" s="24"/>
      <c r="E13" s="38"/>
      <c r="F13" s="22"/>
      <c r="G13" s="39"/>
      <c r="H13" s="40"/>
      <c r="I13" s="41"/>
      <c r="J13" s="41"/>
      <c r="K13" s="26"/>
    </row>
    <row r="14" spans="1:12">
      <c r="B14" s="21"/>
      <c r="C14" s="21"/>
      <c r="D14" s="22"/>
      <c r="E14" s="22"/>
      <c r="F14" s="22"/>
      <c r="G14" s="42"/>
      <c r="H14" s="42"/>
      <c r="I14" s="43"/>
      <c r="J14" s="43"/>
      <c r="K14" s="43"/>
    </row>
    <row r="15" spans="1:12">
      <c r="D15" s="42"/>
      <c r="E15" s="42"/>
      <c r="F15" s="42"/>
      <c r="G15" s="42"/>
      <c r="H15" s="42"/>
      <c r="I15" s="43"/>
      <c r="J15" s="43"/>
      <c r="K15" s="43"/>
    </row>
    <row r="16" spans="1:12" s="47" customFormat="1">
      <c r="A16" s="44" t="s">
        <v>202</v>
      </c>
      <c r="B16" s="44"/>
      <c r="C16" s="44" t="s">
        <v>203</v>
      </c>
      <c r="D16" s="44" t="s">
        <v>131</v>
      </c>
      <c r="E16" s="45" t="s">
        <v>204</v>
      </c>
      <c r="F16" s="45" t="s">
        <v>205</v>
      </c>
      <c r="G16" s="45"/>
      <c r="H16" s="45" t="s">
        <v>206</v>
      </c>
      <c r="I16" s="45" t="s">
        <v>207</v>
      </c>
      <c r="J16" s="45" t="s">
        <v>208</v>
      </c>
      <c r="K16" s="45" t="s">
        <v>197</v>
      </c>
      <c r="L16" s="46" t="s">
        <v>209</v>
      </c>
    </row>
    <row r="17" spans="1:12">
      <c r="A17" s="20">
        <v>1</v>
      </c>
      <c r="C17" s="20">
        <v>1</v>
      </c>
      <c r="D17" s="813">
        <f>IF(AND('Inputs and Assumptions'!$H$11="Bridge",'Debt Sizing'!$O$64="1 Mo Term SOFR"),IFERROR(INDEX('1 Month Term SOFR Forward Curve'!$D$5:$D$125,MATCH('Amo Schedule - Senior'!C17,'1 Month Term SOFR Forward Curve'!$C$5:$C$125,0))+$E$8,'Amo Schedule - Senior'!D16),'Amo Schedule - Senior'!$E$8)</f>
        <v>4.2300000000000004E-2</v>
      </c>
      <c r="E17" s="73">
        <f>E5</f>
        <v>35000000</v>
      </c>
      <c r="F17" s="73">
        <f>E17*($D17/12)</f>
        <v>123375.00000000001</v>
      </c>
      <c r="G17" s="73"/>
      <c r="H17" s="73">
        <f t="shared" ref="H17:H80" si="0">+J17-I17-F17</f>
        <v>0</v>
      </c>
      <c r="I17" s="73">
        <v>0</v>
      </c>
      <c r="J17" s="73">
        <f>IF(C17&lt;=$E$9,F17,-PMT(D17/12,$E$10,$E$7))</f>
        <v>123375.00000000001</v>
      </c>
      <c r="K17" s="73">
        <f>IF(AND('Inputs and Assumptions'!$H$11="Bridge", C17&lt;='Inputs and Assumptions'!$D$14),'Inputs and Assumptions'!$D$40/'Inputs and Assumptions'!$D$14, 0)</f>
        <v>0</v>
      </c>
      <c r="L17" s="74">
        <f>E17-H17-I17+K17</f>
        <v>35000000</v>
      </c>
    </row>
    <row r="18" spans="1:12">
      <c r="A18" s="20">
        <v>1</v>
      </c>
      <c r="C18" s="20">
        <v>2</v>
      </c>
      <c r="D18" s="813">
        <f>IF(AND('Inputs and Assumptions'!$H$11="Bridge",'Debt Sizing'!$O$64="1 Mo Term SOFR"),IFERROR(INDEX('1 Month Term SOFR Forward Curve'!$D$5:$D$125,MATCH('Amo Schedule - Senior'!C18,'1 Month Term SOFR Forward Curve'!$C$5:$C$125,0))+$E$8,'Amo Schedule - Senior'!D17),'Amo Schedule - Senior'!$E$8)</f>
        <v>4.2300000000000004E-2</v>
      </c>
      <c r="E18" s="73">
        <f t="shared" ref="E18:E81" si="1">L17</f>
        <v>35000000</v>
      </c>
      <c r="F18" s="73">
        <f t="shared" ref="F18:F81" si="2">E18*($D18/12)</f>
        <v>123375.00000000001</v>
      </c>
      <c r="G18" s="73"/>
      <c r="H18" s="73">
        <f t="shared" si="0"/>
        <v>0</v>
      </c>
      <c r="I18" s="73">
        <v>0</v>
      </c>
      <c r="J18" s="73">
        <f t="shared" ref="J18:J81" si="3">IF(C18&lt;=$E$9,F18,-PMT(D18/12,$E$10,$E$7))</f>
        <v>123375.00000000001</v>
      </c>
      <c r="K18" s="73">
        <f>IF(AND('Inputs and Assumptions'!$H$11="Bridge", C18&lt;='Inputs and Assumptions'!$D$14),'Inputs and Assumptions'!$D$40/'Inputs and Assumptions'!$D$14, 0)</f>
        <v>0</v>
      </c>
      <c r="L18" s="74">
        <f t="shared" ref="L18:L81" si="4">E18-H18-I18+K18</f>
        <v>35000000</v>
      </c>
    </row>
    <row r="19" spans="1:12">
      <c r="A19" s="20">
        <v>1</v>
      </c>
      <c r="C19" s="20">
        <v>3</v>
      </c>
      <c r="D19" s="813">
        <f>IF(AND('Inputs and Assumptions'!$H$11="Bridge",'Debt Sizing'!$O$64="1 Mo Term SOFR"),IFERROR(INDEX('1 Month Term SOFR Forward Curve'!$D$5:$D$125,MATCH('Amo Schedule - Senior'!C19,'1 Month Term SOFR Forward Curve'!$C$5:$C$125,0))+$E$8,'Amo Schedule - Senior'!D18),'Amo Schedule - Senior'!$E$8)</f>
        <v>4.2300000000000004E-2</v>
      </c>
      <c r="E19" s="73">
        <f t="shared" si="1"/>
        <v>35000000</v>
      </c>
      <c r="F19" s="73">
        <f t="shared" si="2"/>
        <v>123375.00000000001</v>
      </c>
      <c r="G19" s="73"/>
      <c r="H19" s="73">
        <f t="shared" si="0"/>
        <v>0</v>
      </c>
      <c r="I19" s="73">
        <v>0</v>
      </c>
      <c r="J19" s="73">
        <f t="shared" si="3"/>
        <v>123375.00000000001</v>
      </c>
      <c r="K19" s="73">
        <f>IF(AND('Inputs and Assumptions'!$H$11="Bridge", C19&lt;='Inputs and Assumptions'!$D$14),'Inputs and Assumptions'!$D$40/'Inputs and Assumptions'!$D$14, 0)</f>
        <v>0</v>
      </c>
      <c r="L19" s="74">
        <f t="shared" si="4"/>
        <v>35000000</v>
      </c>
    </row>
    <row r="20" spans="1:12">
      <c r="A20" s="20">
        <v>1</v>
      </c>
      <c r="C20" s="20">
        <v>4</v>
      </c>
      <c r="D20" s="813">
        <f>IF(AND('Inputs and Assumptions'!$H$11="Bridge",'Debt Sizing'!$O$64="1 Mo Term SOFR"),IFERROR(INDEX('1 Month Term SOFR Forward Curve'!$D$5:$D$125,MATCH('Amo Schedule - Senior'!C20,'1 Month Term SOFR Forward Curve'!$C$5:$C$125,0))+$E$8,'Amo Schedule - Senior'!D19),'Amo Schedule - Senior'!$E$8)</f>
        <v>4.2300000000000004E-2</v>
      </c>
      <c r="E20" s="73">
        <f t="shared" si="1"/>
        <v>35000000</v>
      </c>
      <c r="F20" s="73">
        <f t="shared" si="2"/>
        <v>123375.00000000001</v>
      </c>
      <c r="G20" s="73"/>
      <c r="H20" s="73">
        <f t="shared" si="0"/>
        <v>0</v>
      </c>
      <c r="I20" s="73">
        <v>0</v>
      </c>
      <c r="J20" s="73">
        <f t="shared" si="3"/>
        <v>123375.00000000001</v>
      </c>
      <c r="K20" s="73">
        <f>IF(AND('Inputs and Assumptions'!$H$11="Bridge", C20&lt;='Inputs and Assumptions'!$D$14),'Inputs and Assumptions'!$D$40/'Inputs and Assumptions'!$D$14, 0)</f>
        <v>0</v>
      </c>
      <c r="L20" s="74">
        <f t="shared" si="4"/>
        <v>35000000</v>
      </c>
    </row>
    <row r="21" spans="1:12">
      <c r="A21" s="20">
        <v>1</v>
      </c>
      <c r="C21" s="20">
        <v>5</v>
      </c>
      <c r="D21" s="813">
        <f>IF(AND('Inputs and Assumptions'!$H$11="Bridge",'Debt Sizing'!$O$64="1 Mo Term SOFR"),IFERROR(INDEX('1 Month Term SOFR Forward Curve'!$D$5:$D$125,MATCH('Amo Schedule - Senior'!C21,'1 Month Term SOFR Forward Curve'!$C$5:$C$125,0))+$E$8,'Amo Schedule - Senior'!D20),'Amo Schedule - Senior'!$E$8)</f>
        <v>4.2300000000000004E-2</v>
      </c>
      <c r="E21" s="73">
        <f t="shared" si="1"/>
        <v>35000000</v>
      </c>
      <c r="F21" s="73">
        <f t="shared" si="2"/>
        <v>123375.00000000001</v>
      </c>
      <c r="G21" s="73"/>
      <c r="H21" s="73">
        <f t="shared" si="0"/>
        <v>0</v>
      </c>
      <c r="I21" s="73">
        <v>0</v>
      </c>
      <c r="J21" s="73">
        <f t="shared" si="3"/>
        <v>123375.00000000001</v>
      </c>
      <c r="K21" s="73">
        <f>IF(AND('Inputs and Assumptions'!$H$11="Bridge", C21&lt;='Inputs and Assumptions'!$D$14),'Inputs and Assumptions'!$D$40/'Inputs and Assumptions'!$D$14, 0)</f>
        <v>0</v>
      </c>
      <c r="L21" s="74">
        <f t="shared" si="4"/>
        <v>35000000</v>
      </c>
    </row>
    <row r="22" spans="1:12">
      <c r="A22" s="20">
        <v>1</v>
      </c>
      <c r="C22" s="20">
        <v>6</v>
      </c>
      <c r="D22" s="813">
        <f>IF(AND('Inputs and Assumptions'!$H$11="Bridge",'Debt Sizing'!$O$64="1 Mo Term SOFR"),IFERROR(INDEX('1 Month Term SOFR Forward Curve'!$D$5:$D$125,MATCH('Amo Schedule - Senior'!C22,'1 Month Term SOFR Forward Curve'!$C$5:$C$125,0))+$E$8,'Amo Schedule - Senior'!D21),'Amo Schedule - Senior'!$E$8)</f>
        <v>4.2300000000000004E-2</v>
      </c>
      <c r="E22" s="73">
        <f t="shared" si="1"/>
        <v>35000000</v>
      </c>
      <c r="F22" s="73">
        <f t="shared" si="2"/>
        <v>123375.00000000001</v>
      </c>
      <c r="G22" s="73"/>
      <c r="H22" s="73">
        <f t="shared" si="0"/>
        <v>0</v>
      </c>
      <c r="I22" s="73">
        <v>0</v>
      </c>
      <c r="J22" s="73">
        <f t="shared" si="3"/>
        <v>123375.00000000001</v>
      </c>
      <c r="K22" s="73">
        <f>IF(AND('Inputs and Assumptions'!$H$11="Bridge", C22&lt;='Inputs and Assumptions'!$D$14),'Inputs and Assumptions'!$D$40/'Inputs and Assumptions'!$D$14, 0)</f>
        <v>0</v>
      </c>
      <c r="L22" s="74">
        <f t="shared" si="4"/>
        <v>35000000</v>
      </c>
    </row>
    <row r="23" spans="1:12">
      <c r="A23" s="20">
        <v>1</v>
      </c>
      <c r="C23" s="20">
        <v>7</v>
      </c>
      <c r="D23" s="813">
        <f>IF(AND('Inputs and Assumptions'!$H$11="Bridge",'Debt Sizing'!$O$64="1 Mo Term SOFR"),IFERROR(INDEX('1 Month Term SOFR Forward Curve'!$D$5:$D$125,MATCH('Amo Schedule - Senior'!C23,'1 Month Term SOFR Forward Curve'!$C$5:$C$125,0))+$E$8,'Amo Schedule - Senior'!D22),'Amo Schedule - Senior'!$E$8)</f>
        <v>4.2300000000000004E-2</v>
      </c>
      <c r="E23" s="73">
        <f t="shared" si="1"/>
        <v>35000000</v>
      </c>
      <c r="F23" s="73">
        <f t="shared" si="2"/>
        <v>123375.00000000001</v>
      </c>
      <c r="G23" s="73"/>
      <c r="H23" s="73">
        <f t="shared" si="0"/>
        <v>0</v>
      </c>
      <c r="I23" s="73">
        <v>0</v>
      </c>
      <c r="J23" s="73">
        <f t="shared" si="3"/>
        <v>123375.00000000001</v>
      </c>
      <c r="K23" s="73">
        <f>IF(AND('Inputs and Assumptions'!$H$11="Bridge", C23&lt;='Inputs and Assumptions'!$D$14),'Inputs and Assumptions'!$D$40/'Inputs and Assumptions'!$D$14, 0)</f>
        <v>0</v>
      </c>
      <c r="L23" s="74">
        <f t="shared" si="4"/>
        <v>35000000</v>
      </c>
    </row>
    <row r="24" spans="1:12">
      <c r="A24" s="20">
        <v>1</v>
      </c>
      <c r="C24" s="20">
        <v>8</v>
      </c>
      <c r="D24" s="813">
        <f>IF(AND('Inputs and Assumptions'!$H$11="Bridge",'Debt Sizing'!$O$64="1 Mo Term SOFR"),IFERROR(INDEX('1 Month Term SOFR Forward Curve'!$D$5:$D$125,MATCH('Amo Schedule - Senior'!C24,'1 Month Term SOFR Forward Curve'!$C$5:$C$125,0))+$E$8,'Amo Schedule - Senior'!D23),'Amo Schedule - Senior'!$E$8)</f>
        <v>4.2300000000000004E-2</v>
      </c>
      <c r="E24" s="73">
        <f t="shared" si="1"/>
        <v>35000000</v>
      </c>
      <c r="F24" s="73">
        <f t="shared" si="2"/>
        <v>123375.00000000001</v>
      </c>
      <c r="G24" s="73"/>
      <c r="H24" s="73">
        <f t="shared" si="0"/>
        <v>0</v>
      </c>
      <c r="I24" s="73">
        <v>0</v>
      </c>
      <c r="J24" s="73">
        <f t="shared" si="3"/>
        <v>123375.00000000001</v>
      </c>
      <c r="K24" s="73">
        <f>IF(AND('Inputs and Assumptions'!$H$11="Bridge", C24&lt;='Inputs and Assumptions'!$D$14),'Inputs and Assumptions'!$D$40/'Inputs and Assumptions'!$D$14, 0)</f>
        <v>0</v>
      </c>
      <c r="L24" s="74">
        <f t="shared" si="4"/>
        <v>35000000</v>
      </c>
    </row>
    <row r="25" spans="1:12">
      <c r="A25" s="20">
        <v>1</v>
      </c>
      <c r="C25" s="20">
        <v>9</v>
      </c>
      <c r="D25" s="813">
        <f>IF(AND('Inputs and Assumptions'!$H$11="Bridge",'Debt Sizing'!$O$64="1 Mo Term SOFR"),IFERROR(INDEX('1 Month Term SOFR Forward Curve'!$D$5:$D$125,MATCH('Amo Schedule - Senior'!C25,'1 Month Term SOFR Forward Curve'!$C$5:$C$125,0))+$E$8,'Amo Schedule - Senior'!D24),'Amo Schedule - Senior'!$E$8)</f>
        <v>4.2300000000000004E-2</v>
      </c>
      <c r="E25" s="73">
        <f t="shared" si="1"/>
        <v>35000000</v>
      </c>
      <c r="F25" s="73">
        <f t="shared" si="2"/>
        <v>123375.00000000001</v>
      </c>
      <c r="G25" s="73"/>
      <c r="H25" s="73">
        <f t="shared" si="0"/>
        <v>0</v>
      </c>
      <c r="I25" s="73">
        <v>0</v>
      </c>
      <c r="J25" s="73">
        <f t="shared" si="3"/>
        <v>123375.00000000001</v>
      </c>
      <c r="K25" s="73">
        <f>IF(AND('Inputs and Assumptions'!$H$11="Bridge", C25&lt;='Inputs and Assumptions'!$D$14),'Inputs and Assumptions'!$D$40/'Inputs and Assumptions'!$D$14, 0)</f>
        <v>0</v>
      </c>
      <c r="L25" s="74">
        <f t="shared" si="4"/>
        <v>35000000</v>
      </c>
    </row>
    <row r="26" spans="1:12">
      <c r="A26" s="20">
        <v>1</v>
      </c>
      <c r="C26" s="20">
        <v>10</v>
      </c>
      <c r="D26" s="813">
        <f>IF(AND('Inputs and Assumptions'!$H$11="Bridge",'Debt Sizing'!$O$64="1 Mo Term SOFR"),IFERROR(INDEX('1 Month Term SOFR Forward Curve'!$D$5:$D$125,MATCH('Amo Schedule - Senior'!C26,'1 Month Term SOFR Forward Curve'!$C$5:$C$125,0))+$E$8,'Amo Schedule - Senior'!D25),'Amo Schedule - Senior'!$E$8)</f>
        <v>4.2300000000000004E-2</v>
      </c>
      <c r="E26" s="73">
        <f t="shared" si="1"/>
        <v>35000000</v>
      </c>
      <c r="F26" s="73">
        <f t="shared" si="2"/>
        <v>123375.00000000001</v>
      </c>
      <c r="G26" s="73"/>
      <c r="H26" s="73">
        <f t="shared" si="0"/>
        <v>0</v>
      </c>
      <c r="I26" s="73">
        <v>0</v>
      </c>
      <c r="J26" s="73">
        <f t="shared" si="3"/>
        <v>123375.00000000001</v>
      </c>
      <c r="K26" s="73">
        <f>IF(AND('Inputs and Assumptions'!$H$11="Bridge", C26&lt;='Inputs and Assumptions'!$D$14),'Inputs and Assumptions'!$D$40/'Inputs and Assumptions'!$D$14, 0)</f>
        <v>0</v>
      </c>
      <c r="L26" s="74">
        <f t="shared" si="4"/>
        <v>35000000</v>
      </c>
    </row>
    <row r="27" spans="1:12">
      <c r="A27" s="20">
        <v>1</v>
      </c>
      <c r="C27" s="20">
        <v>11</v>
      </c>
      <c r="D27" s="813">
        <f>IF(AND('Inputs and Assumptions'!$H$11="Bridge",'Debt Sizing'!$O$64="1 Mo Term SOFR"),IFERROR(INDEX('1 Month Term SOFR Forward Curve'!$D$5:$D$125,MATCH('Amo Schedule - Senior'!C27,'1 Month Term SOFR Forward Curve'!$C$5:$C$125,0))+$E$8,'Amo Schedule - Senior'!D26),'Amo Schedule - Senior'!$E$8)</f>
        <v>4.2300000000000004E-2</v>
      </c>
      <c r="E27" s="73">
        <f t="shared" si="1"/>
        <v>35000000</v>
      </c>
      <c r="F27" s="73">
        <f t="shared" si="2"/>
        <v>123375.00000000001</v>
      </c>
      <c r="G27" s="73"/>
      <c r="H27" s="73">
        <f t="shared" si="0"/>
        <v>0</v>
      </c>
      <c r="I27" s="73">
        <v>0</v>
      </c>
      <c r="J27" s="73">
        <f t="shared" si="3"/>
        <v>123375.00000000001</v>
      </c>
      <c r="K27" s="73">
        <f>IF(AND('Inputs and Assumptions'!$H$11="Bridge", C27&lt;='Inputs and Assumptions'!$D$14),'Inputs and Assumptions'!$D$40/'Inputs and Assumptions'!$D$14, 0)</f>
        <v>0</v>
      </c>
      <c r="L27" s="74">
        <f t="shared" si="4"/>
        <v>35000000</v>
      </c>
    </row>
    <row r="28" spans="1:12">
      <c r="A28" s="49">
        <v>1</v>
      </c>
      <c r="B28" s="49"/>
      <c r="C28" s="49">
        <v>12</v>
      </c>
      <c r="D28" s="814">
        <f>IF(AND('Inputs and Assumptions'!$H$11="Bridge",'Debt Sizing'!$O$64="1 Mo Term SOFR"),IFERROR(INDEX('1 Month Term SOFR Forward Curve'!$D$5:$D$125,MATCH('Amo Schedule - Senior'!C28,'1 Month Term SOFR Forward Curve'!$C$5:$C$125,0))+$E$8,'Amo Schedule - Senior'!D27),'Amo Schedule - Senior'!$E$8)</f>
        <v>4.2300000000000004E-2</v>
      </c>
      <c r="E28" s="75">
        <f t="shared" si="1"/>
        <v>35000000</v>
      </c>
      <c r="F28" s="75">
        <f t="shared" si="2"/>
        <v>123375.00000000001</v>
      </c>
      <c r="G28" s="75"/>
      <c r="H28" s="75">
        <f t="shared" si="0"/>
        <v>0</v>
      </c>
      <c r="I28" s="75">
        <v>0</v>
      </c>
      <c r="J28" s="75">
        <f t="shared" si="3"/>
        <v>123375.00000000001</v>
      </c>
      <c r="K28" s="75">
        <f>IF(AND('Inputs and Assumptions'!$H$11="Bridge", C28&lt;='Inputs and Assumptions'!$D$14),'Inputs and Assumptions'!$D$40/'Inputs and Assumptions'!$D$14, 0)</f>
        <v>0</v>
      </c>
      <c r="L28" s="93">
        <f t="shared" si="4"/>
        <v>35000000</v>
      </c>
    </row>
    <row r="29" spans="1:12" ht="12.75" customHeight="1" outlineLevel="1">
      <c r="A29" s="56">
        <v>2</v>
      </c>
      <c r="B29" s="56"/>
      <c r="C29" s="56">
        <v>13</v>
      </c>
      <c r="D29" s="815">
        <f>IF(AND('Inputs and Assumptions'!$H$11="Bridge",'Debt Sizing'!$O$64="1 Mo Term SOFR"),IFERROR(INDEX('1 Month Term SOFR Forward Curve'!$D$5:$D$125,MATCH('Amo Schedule - Senior'!C29,'1 Month Term SOFR Forward Curve'!$C$5:$C$125,0))+$E$8,'Amo Schedule - Senior'!D28),'Amo Schedule - Senior'!$E$8)</f>
        <v>4.2300000000000004E-2</v>
      </c>
      <c r="E29" s="77">
        <f t="shared" si="1"/>
        <v>35000000</v>
      </c>
      <c r="F29" s="77">
        <f t="shared" si="2"/>
        <v>123375.00000000001</v>
      </c>
      <c r="G29" s="77"/>
      <c r="H29" s="77">
        <f t="shared" si="0"/>
        <v>0</v>
      </c>
      <c r="I29" s="77">
        <v>0</v>
      </c>
      <c r="J29" s="77">
        <f t="shared" si="3"/>
        <v>123375.00000000001</v>
      </c>
      <c r="K29" s="77">
        <f>IF(AND('Inputs and Assumptions'!$H$11="Bridge", C29&lt;='Inputs and Assumptions'!$D$14),'Inputs and Assumptions'!$D$40/'Inputs and Assumptions'!$D$14, 0)</f>
        <v>0</v>
      </c>
      <c r="L29" s="94">
        <f t="shared" si="4"/>
        <v>35000000</v>
      </c>
    </row>
    <row r="30" spans="1:12" outlineLevel="1">
      <c r="A30" s="20">
        <v>2</v>
      </c>
      <c r="C30" s="20">
        <v>14</v>
      </c>
      <c r="D30" s="813">
        <f>IF(AND('Inputs and Assumptions'!$H$11="Bridge",'Debt Sizing'!$O$64="1 Mo Term SOFR"),IFERROR(INDEX('1 Month Term SOFR Forward Curve'!$D$5:$D$125,MATCH('Amo Schedule - Senior'!C30,'1 Month Term SOFR Forward Curve'!$C$5:$C$125,0))+$E$8,'Amo Schedule - Senior'!D29),'Amo Schedule - Senior'!$E$8)</f>
        <v>4.2300000000000004E-2</v>
      </c>
      <c r="E30" s="73">
        <f t="shared" si="1"/>
        <v>35000000</v>
      </c>
      <c r="F30" s="73">
        <f t="shared" si="2"/>
        <v>123375.00000000001</v>
      </c>
      <c r="G30" s="73"/>
      <c r="H30" s="73">
        <f t="shared" si="0"/>
        <v>0</v>
      </c>
      <c r="I30" s="73">
        <v>0</v>
      </c>
      <c r="J30" s="73">
        <f t="shared" si="3"/>
        <v>123375.00000000001</v>
      </c>
      <c r="K30" s="73">
        <f>IF(AND('Inputs and Assumptions'!$H$11="Bridge", C30&lt;='Inputs and Assumptions'!$D$14),'Inputs and Assumptions'!$D$40/'Inputs and Assumptions'!$D$14, 0)</f>
        <v>0</v>
      </c>
      <c r="L30" s="74">
        <f t="shared" si="4"/>
        <v>35000000</v>
      </c>
    </row>
    <row r="31" spans="1:12" outlineLevel="1">
      <c r="A31" s="20">
        <v>2</v>
      </c>
      <c r="C31" s="20">
        <v>15</v>
      </c>
      <c r="D31" s="813">
        <f>IF(AND('Inputs and Assumptions'!$H$11="Bridge",'Debt Sizing'!$O$64="1 Mo Term SOFR"),IFERROR(INDEX('1 Month Term SOFR Forward Curve'!$D$5:$D$125,MATCH('Amo Schedule - Senior'!C31,'1 Month Term SOFR Forward Curve'!$C$5:$C$125,0))+$E$8,'Amo Schedule - Senior'!D30),'Amo Schedule - Senior'!$E$8)</f>
        <v>4.2300000000000004E-2</v>
      </c>
      <c r="E31" s="73">
        <f t="shared" si="1"/>
        <v>35000000</v>
      </c>
      <c r="F31" s="73">
        <f t="shared" si="2"/>
        <v>123375.00000000001</v>
      </c>
      <c r="G31" s="73"/>
      <c r="H31" s="73">
        <f t="shared" si="0"/>
        <v>0</v>
      </c>
      <c r="I31" s="73">
        <v>0</v>
      </c>
      <c r="J31" s="73">
        <f t="shared" si="3"/>
        <v>123375.00000000001</v>
      </c>
      <c r="K31" s="73">
        <f>IF(AND('Inputs and Assumptions'!$H$11="Bridge", C31&lt;='Inputs and Assumptions'!$D$14),'Inputs and Assumptions'!$D$40/'Inputs and Assumptions'!$D$14, 0)</f>
        <v>0</v>
      </c>
      <c r="L31" s="74">
        <f t="shared" si="4"/>
        <v>35000000</v>
      </c>
    </row>
    <row r="32" spans="1:12" outlineLevel="1">
      <c r="A32" s="20">
        <v>2</v>
      </c>
      <c r="C32" s="20">
        <v>16</v>
      </c>
      <c r="D32" s="813">
        <f>IF(AND('Inputs and Assumptions'!$H$11="Bridge",'Debt Sizing'!$O$64="1 Mo Term SOFR"),IFERROR(INDEX('1 Month Term SOFR Forward Curve'!$D$5:$D$125,MATCH('Amo Schedule - Senior'!C32,'1 Month Term SOFR Forward Curve'!$C$5:$C$125,0))+$E$8,'Amo Schedule - Senior'!D31),'Amo Schedule - Senior'!$E$8)</f>
        <v>4.2300000000000004E-2</v>
      </c>
      <c r="E32" s="73">
        <f t="shared" si="1"/>
        <v>35000000</v>
      </c>
      <c r="F32" s="73">
        <f t="shared" si="2"/>
        <v>123375.00000000001</v>
      </c>
      <c r="G32" s="73"/>
      <c r="H32" s="73">
        <f t="shared" si="0"/>
        <v>0</v>
      </c>
      <c r="I32" s="73">
        <v>0</v>
      </c>
      <c r="J32" s="73">
        <f t="shared" si="3"/>
        <v>123375.00000000001</v>
      </c>
      <c r="K32" s="73">
        <f>IF(AND('Inputs and Assumptions'!$H$11="Bridge", C32&lt;='Inputs and Assumptions'!$D$14),'Inputs and Assumptions'!$D$40/'Inputs and Assumptions'!$D$14, 0)</f>
        <v>0</v>
      </c>
      <c r="L32" s="74">
        <f t="shared" si="4"/>
        <v>35000000</v>
      </c>
    </row>
    <row r="33" spans="1:12" outlineLevel="1">
      <c r="A33" s="20">
        <v>2</v>
      </c>
      <c r="C33" s="20">
        <v>17</v>
      </c>
      <c r="D33" s="813">
        <f>IF(AND('Inputs and Assumptions'!$H$11="Bridge",'Debt Sizing'!$O$64="1 Mo Term SOFR"),IFERROR(INDEX('1 Month Term SOFR Forward Curve'!$D$5:$D$125,MATCH('Amo Schedule - Senior'!C33,'1 Month Term SOFR Forward Curve'!$C$5:$C$125,0))+$E$8,'Amo Schedule - Senior'!D32),'Amo Schedule - Senior'!$E$8)</f>
        <v>4.2300000000000004E-2</v>
      </c>
      <c r="E33" s="73">
        <f t="shared" si="1"/>
        <v>35000000</v>
      </c>
      <c r="F33" s="73">
        <f t="shared" si="2"/>
        <v>123375.00000000001</v>
      </c>
      <c r="G33" s="73"/>
      <c r="H33" s="73">
        <f t="shared" si="0"/>
        <v>0</v>
      </c>
      <c r="I33" s="73">
        <v>0</v>
      </c>
      <c r="J33" s="73">
        <f t="shared" si="3"/>
        <v>123375.00000000001</v>
      </c>
      <c r="K33" s="73">
        <f>IF(AND('Inputs and Assumptions'!$H$11="Bridge", C33&lt;='Inputs and Assumptions'!$D$14),'Inputs and Assumptions'!$D$40/'Inputs and Assumptions'!$D$14, 0)</f>
        <v>0</v>
      </c>
      <c r="L33" s="74">
        <f t="shared" si="4"/>
        <v>35000000</v>
      </c>
    </row>
    <row r="34" spans="1:12" outlineLevel="1">
      <c r="A34" s="20">
        <v>2</v>
      </c>
      <c r="C34" s="20">
        <v>18</v>
      </c>
      <c r="D34" s="813">
        <f>IF(AND('Inputs and Assumptions'!$H$11="Bridge",'Debt Sizing'!$O$64="1 Mo Term SOFR"),IFERROR(INDEX('1 Month Term SOFR Forward Curve'!$D$5:$D$125,MATCH('Amo Schedule - Senior'!C34,'1 Month Term SOFR Forward Curve'!$C$5:$C$125,0))+$E$8,'Amo Schedule - Senior'!D33),'Amo Schedule - Senior'!$E$8)</f>
        <v>4.2300000000000004E-2</v>
      </c>
      <c r="E34" s="73">
        <f t="shared" si="1"/>
        <v>35000000</v>
      </c>
      <c r="F34" s="73">
        <f t="shared" si="2"/>
        <v>123375.00000000001</v>
      </c>
      <c r="G34" s="73"/>
      <c r="H34" s="73">
        <f t="shared" si="0"/>
        <v>0</v>
      </c>
      <c r="I34" s="73">
        <v>0</v>
      </c>
      <c r="J34" s="73">
        <f t="shared" si="3"/>
        <v>123375.00000000001</v>
      </c>
      <c r="K34" s="73">
        <f>IF(AND('Inputs and Assumptions'!$H$11="Bridge", C34&lt;='Inputs and Assumptions'!$D$14),'Inputs and Assumptions'!$D$40/'Inputs and Assumptions'!$D$14, 0)</f>
        <v>0</v>
      </c>
      <c r="L34" s="74">
        <f t="shared" si="4"/>
        <v>35000000</v>
      </c>
    </row>
    <row r="35" spans="1:12" outlineLevel="1">
      <c r="A35" s="20">
        <v>2</v>
      </c>
      <c r="C35" s="20">
        <v>19</v>
      </c>
      <c r="D35" s="813">
        <f>IF(AND('Inputs and Assumptions'!$H$11="Bridge",'Debt Sizing'!$O$64="1 Mo Term SOFR"),IFERROR(INDEX('1 Month Term SOFR Forward Curve'!$D$5:$D$125,MATCH('Amo Schedule - Senior'!C35,'1 Month Term SOFR Forward Curve'!$C$5:$C$125,0))+$E$8,'Amo Schedule - Senior'!D34),'Amo Schedule - Senior'!$E$8)</f>
        <v>4.2300000000000004E-2</v>
      </c>
      <c r="E35" s="73">
        <f t="shared" si="1"/>
        <v>35000000</v>
      </c>
      <c r="F35" s="73">
        <f t="shared" si="2"/>
        <v>123375.00000000001</v>
      </c>
      <c r="G35" s="73"/>
      <c r="H35" s="73">
        <f t="shared" si="0"/>
        <v>0</v>
      </c>
      <c r="I35" s="73">
        <v>0</v>
      </c>
      <c r="J35" s="73">
        <f t="shared" si="3"/>
        <v>123375.00000000001</v>
      </c>
      <c r="K35" s="73">
        <f>IF(AND('Inputs and Assumptions'!$H$11="Bridge", C35&lt;='Inputs and Assumptions'!$D$14),'Inputs and Assumptions'!$D$40/'Inputs and Assumptions'!$D$14, 0)</f>
        <v>0</v>
      </c>
      <c r="L35" s="74">
        <f t="shared" si="4"/>
        <v>35000000</v>
      </c>
    </row>
    <row r="36" spans="1:12" outlineLevel="1">
      <c r="A36" s="20">
        <v>2</v>
      </c>
      <c r="C36" s="20">
        <v>20</v>
      </c>
      <c r="D36" s="813">
        <f>IF(AND('Inputs and Assumptions'!$H$11="Bridge",'Debt Sizing'!$O$64="1 Mo Term SOFR"),IFERROR(INDEX('1 Month Term SOFR Forward Curve'!$D$5:$D$125,MATCH('Amo Schedule - Senior'!C36,'1 Month Term SOFR Forward Curve'!$C$5:$C$125,0))+$E$8,'Amo Schedule - Senior'!D35),'Amo Schedule - Senior'!$E$8)</f>
        <v>4.2300000000000004E-2</v>
      </c>
      <c r="E36" s="73">
        <f t="shared" si="1"/>
        <v>35000000</v>
      </c>
      <c r="F36" s="73">
        <f t="shared" si="2"/>
        <v>123375.00000000001</v>
      </c>
      <c r="G36" s="73"/>
      <c r="H36" s="73">
        <f t="shared" si="0"/>
        <v>0</v>
      </c>
      <c r="I36" s="73">
        <v>0</v>
      </c>
      <c r="J36" s="73">
        <f t="shared" si="3"/>
        <v>123375.00000000001</v>
      </c>
      <c r="K36" s="73">
        <f>IF(AND('Inputs and Assumptions'!$H$11="Bridge", C36&lt;='Inputs and Assumptions'!$D$14),'Inputs and Assumptions'!$D$40/'Inputs and Assumptions'!$D$14, 0)</f>
        <v>0</v>
      </c>
      <c r="L36" s="74">
        <f t="shared" si="4"/>
        <v>35000000</v>
      </c>
    </row>
    <row r="37" spans="1:12" outlineLevel="1">
      <c r="A37" s="20">
        <v>2</v>
      </c>
      <c r="C37" s="20">
        <v>21</v>
      </c>
      <c r="D37" s="813">
        <f>IF(AND('Inputs and Assumptions'!$H$11="Bridge",'Debt Sizing'!$O$64="1 Mo Term SOFR"),IFERROR(INDEX('1 Month Term SOFR Forward Curve'!$D$5:$D$125,MATCH('Amo Schedule - Senior'!C37,'1 Month Term SOFR Forward Curve'!$C$5:$C$125,0))+$E$8,'Amo Schedule - Senior'!D36),'Amo Schedule - Senior'!$E$8)</f>
        <v>4.2300000000000004E-2</v>
      </c>
      <c r="E37" s="73">
        <f t="shared" si="1"/>
        <v>35000000</v>
      </c>
      <c r="F37" s="73">
        <f t="shared" si="2"/>
        <v>123375.00000000001</v>
      </c>
      <c r="G37" s="73"/>
      <c r="H37" s="73">
        <f t="shared" si="0"/>
        <v>0</v>
      </c>
      <c r="I37" s="73">
        <v>0</v>
      </c>
      <c r="J37" s="73">
        <f t="shared" si="3"/>
        <v>123375.00000000001</v>
      </c>
      <c r="K37" s="73">
        <f>IF(AND('Inputs and Assumptions'!$H$11="Bridge", C37&lt;='Inputs and Assumptions'!$D$14),'Inputs and Assumptions'!$D$40/'Inputs and Assumptions'!$D$14, 0)</f>
        <v>0</v>
      </c>
      <c r="L37" s="74">
        <f t="shared" si="4"/>
        <v>35000000</v>
      </c>
    </row>
    <row r="38" spans="1:12" outlineLevel="1">
      <c r="A38" s="20">
        <v>2</v>
      </c>
      <c r="C38" s="20">
        <v>22</v>
      </c>
      <c r="D38" s="813">
        <f>IF(AND('Inputs and Assumptions'!$H$11="Bridge",'Debt Sizing'!$O$64="1 Mo Term SOFR"),IFERROR(INDEX('1 Month Term SOFR Forward Curve'!$D$5:$D$125,MATCH('Amo Schedule - Senior'!C38,'1 Month Term SOFR Forward Curve'!$C$5:$C$125,0))+$E$8,'Amo Schedule - Senior'!D37),'Amo Schedule - Senior'!$E$8)</f>
        <v>4.2300000000000004E-2</v>
      </c>
      <c r="E38" s="73">
        <f t="shared" si="1"/>
        <v>35000000</v>
      </c>
      <c r="F38" s="73">
        <f t="shared" si="2"/>
        <v>123375.00000000001</v>
      </c>
      <c r="G38" s="73"/>
      <c r="H38" s="73">
        <f t="shared" si="0"/>
        <v>0</v>
      </c>
      <c r="I38" s="73">
        <v>0</v>
      </c>
      <c r="J38" s="73">
        <f t="shared" si="3"/>
        <v>123375.00000000001</v>
      </c>
      <c r="K38" s="73">
        <f>IF(AND('Inputs and Assumptions'!$H$11="Bridge", C38&lt;='Inputs and Assumptions'!$D$14),'Inputs and Assumptions'!$D$40/'Inputs and Assumptions'!$D$14, 0)</f>
        <v>0</v>
      </c>
      <c r="L38" s="74">
        <f t="shared" si="4"/>
        <v>35000000</v>
      </c>
    </row>
    <row r="39" spans="1:12" outlineLevel="1">
      <c r="A39" s="20">
        <v>2</v>
      </c>
      <c r="C39" s="20">
        <v>23</v>
      </c>
      <c r="D39" s="813">
        <f>IF(AND('Inputs and Assumptions'!$H$11="Bridge",'Debt Sizing'!$O$64="1 Mo Term SOFR"),IFERROR(INDEX('1 Month Term SOFR Forward Curve'!$D$5:$D$125,MATCH('Amo Schedule - Senior'!C39,'1 Month Term SOFR Forward Curve'!$C$5:$C$125,0))+$E$8,'Amo Schedule - Senior'!D38),'Amo Schedule - Senior'!$E$8)</f>
        <v>4.2300000000000004E-2</v>
      </c>
      <c r="E39" s="73">
        <f t="shared" si="1"/>
        <v>35000000</v>
      </c>
      <c r="F39" s="73">
        <f t="shared" si="2"/>
        <v>123375.00000000001</v>
      </c>
      <c r="G39" s="73"/>
      <c r="H39" s="73">
        <f t="shared" si="0"/>
        <v>0</v>
      </c>
      <c r="I39" s="73">
        <v>0</v>
      </c>
      <c r="J39" s="73">
        <f t="shared" si="3"/>
        <v>123375.00000000001</v>
      </c>
      <c r="K39" s="73">
        <f>IF(AND('Inputs and Assumptions'!$H$11="Bridge", C39&lt;='Inputs and Assumptions'!$D$14),'Inputs and Assumptions'!$D$40/'Inputs and Assumptions'!$D$14, 0)</f>
        <v>0</v>
      </c>
      <c r="L39" s="74">
        <f t="shared" si="4"/>
        <v>35000000</v>
      </c>
    </row>
    <row r="40" spans="1:12" outlineLevel="1">
      <c r="A40" s="49">
        <v>2</v>
      </c>
      <c r="B40" s="49"/>
      <c r="C40" s="49">
        <v>24</v>
      </c>
      <c r="D40" s="814">
        <f>IF(AND('Inputs and Assumptions'!$H$11="Bridge",'Debt Sizing'!$O$64="1 Mo Term SOFR"),IFERROR(INDEX('1 Month Term SOFR Forward Curve'!$D$5:$D$125,MATCH('Amo Schedule - Senior'!C40,'1 Month Term SOFR Forward Curve'!$C$5:$C$125,0))+$E$8,'Amo Schedule - Senior'!D39),'Amo Schedule - Senior'!$E$8)</f>
        <v>4.2300000000000004E-2</v>
      </c>
      <c r="E40" s="75">
        <f t="shared" si="1"/>
        <v>35000000</v>
      </c>
      <c r="F40" s="75">
        <f t="shared" si="2"/>
        <v>123375.00000000001</v>
      </c>
      <c r="G40" s="75"/>
      <c r="H40" s="75">
        <f t="shared" si="0"/>
        <v>0</v>
      </c>
      <c r="I40" s="75">
        <v>0</v>
      </c>
      <c r="J40" s="75">
        <f t="shared" si="3"/>
        <v>123375.00000000001</v>
      </c>
      <c r="K40" s="75">
        <f>IF(AND('Inputs and Assumptions'!$H$11="Bridge", C40&lt;='Inputs and Assumptions'!$D$14),'Inputs and Assumptions'!$D$40/'Inputs and Assumptions'!$D$14, 0)</f>
        <v>0</v>
      </c>
      <c r="L40" s="93">
        <f t="shared" si="4"/>
        <v>35000000</v>
      </c>
    </row>
    <row r="41" spans="1:12" outlineLevel="1">
      <c r="A41" s="56">
        <v>3</v>
      </c>
      <c r="B41" s="56"/>
      <c r="C41" s="56">
        <v>25</v>
      </c>
      <c r="D41" s="815">
        <f>IF(AND('Inputs and Assumptions'!$H$11="Bridge",'Debt Sizing'!$O$64="1 Mo Term SOFR"),IFERROR(INDEX('1 Month Term SOFR Forward Curve'!$D$5:$D$125,MATCH('Amo Schedule - Senior'!C41,'1 Month Term SOFR Forward Curve'!$C$5:$C$125,0))+$E$8,'Amo Schedule - Senior'!D40),'Amo Schedule - Senior'!$E$8)</f>
        <v>4.2300000000000004E-2</v>
      </c>
      <c r="E41" s="77">
        <f t="shared" si="1"/>
        <v>35000000</v>
      </c>
      <c r="F41" s="77">
        <f t="shared" si="2"/>
        <v>123375.00000000001</v>
      </c>
      <c r="G41" s="77"/>
      <c r="H41" s="77">
        <f t="shared" si="0"/>
        <v>0</v>
      </c>
      <c r="I41" s="77">
        <v>0</v>
      </c>
      <c r="J41" s="77">
        <f t="shared" si="3"/>
        <v>123375.00000000001</v>
      </c>
      <c r="K41" s="77">
        <f>IF(AND('Inputs and Assumptions'!$H$11="Bridge", C41&lt;='Inputs and Assumptions'!$D$14),'Inputs and Assumptions'!$D$40/'Inputs and Assumptions'!$D$14, 0)</f>
        <v>0</v>
      </c>
      <c r="L41" s="94">
        <f t="shared" si="4"/>
        <v>35000000</v>
      </c>
    </row>
    <row r="42" spans="1:12" outlineLevel="1">
      <c r="A42" s="20">
        <v>3</v>
      </c>
      <c r="C42" s="20">
        <v>26</v>
      </c>
      <c r="D42" s="813">
        <f>IF(AND('Inputs and Assumptions'!$H$11="Bridge",'Debt Sizing'!$O$64="1 Mo Term SOFR"),IFERROR(INDEX('1 Month Term SOFR Forward Curve'!$D$5:$D$125,MATCH('Amo Schedule - Senior'!C42,'1 Month Term SOFR Forward Curve'!$C$5:$C$125,0))+$E$8,'Amo Schedule - Senior'!D41),'Amo Schedule - Senior'!$E$8)</f>
        <v>4.2300000000000004E-2</v>
      </c>
      <c r="E42" s="73">
        <f t="shared" si="1"/>
        <v>35000000</v>
      </c>
      <c r="F42" s="73">
        <f t="shared" si="2"/>
        <v>123375.00000000001</v>
      </c>
      <c r="G42" s="73"/>
      <c r="H42" s="73">
        <f t="shared" si="0"/>
        <v>0</v>
      </c>
      <c r="I42" s="73">
        <v>0</v>
      </c>
      <c r="J42" s="73">
        <f t="shared" si="3"/>
        <v>123375.00000000001</v>
      </c>
      <c r="K42" s="73">
        <f>IF(AND('Inputs and Assumptions'!$H$11="Bridge", C42&lt;='Inputs and Assumptions'!$D$14),'Inputs and Assumptions'!$D$40/'Inputs and Assumptions'!$D$14, 0)</f>
        <v>0</v>
      </c>
      <c r="L42" s="74">
        <f t="shared" si="4"/>
        <v>35000000</v>
      </c>
    </row>
    <row r="43" spans="1:12" outlineLevel="1">
      <c r="A43" s="20">
        <v>3</v>
      </c>
      <c r="C43" s="20">
        <v>27</v>
      </c>
      <c r="D43" s="813">
        <f>IF(AND('Inputs and Assumptions'!$H$11="Bridge",'Debt Sizing'!$O$64="1 Mo Term SOFR"),IFERROR(INDEX('1 Month Term SOFR Forward Curve'!$D$5:$D$125,MATCH('Amo Schedule - Senior'!C43,'1 Month Term SOFR Forward Curve'!$C$5:$C$125,0))+$E$8,'Amo Schedule - Senior'!D42),'Amo Schedule - Senior'!$E$8)</f>
        <v>4.2300000000000004E-2</v>
      </c>
      <c r="E43" s="73">
        <f t="shared" si="1"/>
        <v>35000000</v>
      </c>
      <c r="F43" s="73">
        <f t="shared" si="2"/>
        <v>123375.00000000001</v>
      </c>
      <c r="G43" s="73"/>
      <c r="H43" s="73">
        <f t="shared" si="0"/>
        <v>0</v>
      </c>
      <c r="I43" s="73">
        <v>0</v>
      </c>
      <c r="J43" s="73">
        <f t="shared" si="3"/>
        <v>123375.00000000001</v>
      </c>
      <c r="K43" s="73">
        <f>IF(AND('Inputs and Assumptions'!$H$11="Bridge", C43&lt;='Inputs and Assumptions'!$D$14),'Inputs and Assumptions'!$D$40/'Inputs and Assumptions'!$D$14, 0)</f>
        <v>0</v>
      </c>
      <c r="L43" s="74">
        <f t="shared" si="4"/>
        <v>35000000</v>
      </c>
    </row>
    <row r="44" spans="1:12" outlineLevel="1">
      <c r="A44" s="20">
        <v>3</v>
      </c>
      <c r="C44" s="20">
        <v>28</v>
      </c>
      <c r="D44" s="813">
        <f>IF(AND('Inputs and Assumptions'!$H$11="Bridge",'Debt Sizing'!$O$64="1 Mo Term SOFR"),IFERROR(INDEX('1 Month Term SOFR Forward Curve'!$D$5:$D$125,MATCH('Amo Schedule - Senior'!C44,'1 Month Term SOFR Forward Curve'!$C$5:$C$125,0))+$E$8,'Amo Schedule - Senior'!D43),'Amo Schedule - Senior'!$E$8)</f>
        <v>4.2300000000000004E-2</v>
      </c>
      <c r="E44" s="73">
        <f t="shared" si="1"/>
        <v>35000000</v>
      </c>
      <c r="F44" s="73">
        <f t="shared" si="2"/>
        <v>123375.00000000001</v>
      </c>
      <c r="G44" s="73"/>
      <c r="H44" s="73">
        <f t="shared" si="0"/>
        <v>0</v>
      </c>
      <c r="I44" s="73">
        <v>0</v>
      </c>
      <c r="J44" s="73">
        <f t="shared" si="3"/>
        <v>123375.00000000001</v>
      </c>
      <c r="K44" s="73">
        <f>IF(AND('Inputs and Assumptions'!$H$11="Bridge", C44&lt;='Inputs and Assumptions'!$D$14),'Inputs and Assumptions'!$D$40/'Inputs and Assumptions'!$D$14, 0)</f>
        <v>0</v>
      </c>
      <c r="L44" s="74">
        <f t="shared" si="4"/>
        <v>35000000</v>
      </c>
    </row>
    <row r="45" spans="1:12" outlineLevel="1">
      <c r="A45" s="20">
        <v>3</v>
      </c>
      <c r="C45" s="20">
        <v>29</v>
      </c>
      <c r="D45" s="813">
        <f>IF(AND('Inputs and Assumptions'!$H$11="Bridge",'Debt Sizing'!$O$64="1 Mo Term SOFR"),IFERROR(INDEX('1 Month Term SOFR Forward Curve'!$D$5:$D$125,MATCH('Amo Schedule - Senior'!C45,'1 Month Term SOFR Forward Curve'!$C$5:$C$125,0))+$E$8,'Amo Schedule - Senior'!D44),'Amo Schedule - Senior'!$E$8)</f>
        <v>4.2300000000000004E-2</v>
      </c>
      <c r="E45" s="73">
        <f t="shared" si="1"/>
        <v>35000000</v>
      </c>
      <c r="F45" s="73">
        <f t="shared" si="2"/>
        <v>123375.00000000001</v>
      </c>
      <c r="G45" s="73"/>
      <c r="H45" s="73">
        <f t="shared" si="0"/>
        <v>0</v>
      </c>
      <c r="I45" s="73">
        <v>0</v>
      </c>
      <c r="J45" s="73">
        <f t="shared" si="3"/>
        <v>123375.00000000001</v>
      </c>
      <c r="K45" s="73">
        <f>IF(AND('Inputs and Assumptions'!$H$11="Bridge", C45&lt;='Inputs and Assumptions'!$D$14),'Inputs and Assumptions'!$D$40/'Inputs and Assumptions'!$D$14, 0)</f>
        <v>0</v>
      </c>
      <c r="L45" s="74">
        <f t="shared" si="4"/>
        <v>35000000</v>
      </c>
    </row>
    <row r="46" spans="1:12" outlineLevel="1">
      <c r="A46" s="20">
        <v>3</v>
      </c>
      <c r="C46" s="20">
        <v>30</v>
      </c>
      <c r="D46" s="813">
        <f>IF(AND('Inputs and Assumptions'!$H$11="Bridge",'Debt Sizing'!$O$64="1 Mo Term SOFR"),IFERROR(INDEX('1 Month Term SOFR Forward Curve'!$D$5:$D$125,MATCH('Amo Schedule - Senior'!C46,'1 Month Term SOFR Forward Curve'!$C$5:$C$125,0))+$E$8,'Amo Schedule - Senior'!D45),'Amo Schedule - Senior'!$E$8)</f>
        <v>4.2300000000000004E-2</v>
      </c>
      <c r="E46" s="73">
        <f t="shared" si="1"/>
        <v>35000000</v>
      </c>
      <c r="F46" s="73">
        <f t="shared" si="2"/>
        <v>123375.00000000001</v>
      </c>
      <c r="G46" s="73"/>
      <c r="H46" s="73">
        <f t="shared" si="0"/>
        <v>0</v>
      </c>
      <c r="I46" s="73">
        <v>0</v>
      </c>
      <c r="J46" s="73">
        <f t="shared" si="3"/>
        <v>123375.00000000001</v>
      </c>
      <c r="K46" s="73">
        <f>IF(AND('Inputs and Assumptions'!$H$11="Bridge", C46&lt;='Inputs and Assumptions'!$D$14),'Inputs and Assumptions'!$D$40/'Inputs and Assumptions'!$D$14, 0)</f>
        <v>0</v>
      </c>
      <c r="L46" s="74">
        <f t="shared" si="4"/>
        <v>35000000</v>
      </c>
    </row>
    <row r="47" spans="1:12" outlineLevel="1">
      <c r="A47" s="20">
        <v>3</v>
      </c>
      <c r="C47" s="20">
        <v>31</v>
      </c>
      <c r="D47" s="813">
        <f>IF(AND('Inputs and Assumptions'!$H$11="Bridge",'Debt Sizing'!$O$64="1 Mo Term SOFR"),IFERROR(INDEX('1 Month Term SOFR Forward Curve'!$D$5:$D$125,MATCH('Amo Schedule - Senior'!C47,'1 Month Term SOFR Forward Curve'!$C$5:$C$125,0))+$E$8,'Amo Schedule - Senior'!D46),'Amo Schedule - Senior'!$E$8)</f>
        <v>4.2300000000000004E-2</v>
      </c>
      <c r="E47" s="73">
        <f t="shared" si="1"/>
        <v>35000000</v>
      </c>
      <c r="F47" s="73">
        <f t="shared" si="2"/>
        <v>123375.00000000001</v>
      </c>
      <c r="G47" s="73"/>
      <c r="H47" s="73">
        <f t="shared" si="0"/>
        <v>0</v>
      </c>
      <c r="I47" s="73">
        <v>0</v>
      </c>
      <c r="J47" s="73">
        <f t="shared" si="3"/>
        <v>123375.00000000001</v>
      </c>
      <c r="K47" s="73">
        <f>IF(AND('Inputs and Assumptions'!$H$11="Bridge", C47&lt;='Inputs and Assumptions'!$D$14),'Inputs and Assumptions'!$D$40/'Inputs and Assumptions'!$D$14, 0)</f>
        <v>0</v>
      </c>
      <c r="L47" s="74">
        <f t="shared" si="4"/>
        <v>35000000</v>
      </c>
    </row>
    <row r="48" spans="1:12" outlineLevel="1">
      <c r="A48" s="20">
        <v>3</v>
      </c>
      <c r="C48" s="20">
        <v>32</v>
      </c>
      <c r="D48" s="813">
        <f>IF(AND('Inputs and Assumptions'!$H$11="Bridge",'Debt Sizing'!$O$64="1 Mo Term SOFR"),IFERROR(INDEX('1 Month Term SOFR Forward Curve'!$D$5:$D$125,MATCH('Amo Schedule - Senior'!C48,'1 Month Term SOFR Forward Curve'!$C$5:$C$125,0))+$E$8,'Amo Schedule - Senior'!D47),'Amo Schedule - Senior'!$E$8)</f>
        <v>4.2300000000000004E-2</v>
      </c>
      <c r="E48" s="73">
        <f t="shared" si="1"/>
        <v>35000000</v>
      </c>
      <c r="F48" s="73">
        <f t="shared" si="2"/>
        <v>123375.00000000001</v>
      </c>
      <c r="G48" s="73"/>
      <c r="H48" s="73">
        <f t="shared" si="0"/>
        <v>0</v>
      </c>
      <c r="I48" s="73">
        <v>0</v>
      </c>
      <c r="J48" s="73">
        <f t="shared" si="3"/>
        <v>123375.00000000001</v>
      </c>
      <c r="K48" s="73">
        <f>IF(AND('Inputs and Assumptions'!$H$11="Bridge", C48&lt;='Inputs and Assumptions'!$D$14),'Inputs and Assumptions'!$D$40/'Inputs and Assumptions'!$D$14, 0)</f>
        <v>0</v>
      </c>
      <c r="L48" s="74">
        <f t="shared" si="4"/>
        <v>35000000</v>
      </c>
    </row>
    <row r="49" spans="1:12" outlineLevel="1">
      <c r="A49" s="20">
        <v>3</v>
      </c>
      <c r="C49" s="20">
        <v>33</v>
      </c>
      <c r="D49" s="813">
        <f>IF(AND('Inputs and Assumptions'!$H$11="Bridge",'Debt Sizing'!$O$64="1 Mo Term SOFR"),IFERROR(INDEX('1 Month Term SOFR Forward Curve'!$D$5:$D$125,MATCH('Amo Schedule - Senior'!C49,'1 Month Term SOFR Forward Curve'!$C$5:$C$125,0))+$E$8,'Amo Schedule - Senior'!D48),'Amo Schedule - Senior'!$E$8)</f>
        <v>4.2300000000000004E-2</v>
      </c>
      <c r="E49" s="73">
        <f t="shared" si="1"/>
        <v>35000000</v>
      </c>
      <c r="F49" s="73">
        <f t="shared" si="2"/>
        <v>123375.00000000001</v>
      </c>
      <c r="G49" s="73"/>
      <c r="H49" s="73">
        <f t="shared" si="0"/>
        <v>0</v>
      </c>
      <c r="I49" s="73">
        <v>0</v>
      </c>
      <c r="J49" s="73">
        <f t="shared" si="3"/>
        <v>123375.00000000001</v>
      </c>
      <c r="K49" s="73">
        <f>IF(AND('Inputs and Assumptions'!$H$11="Bridge", C49&lt;='Inputs and Assumptions'!$D$14),'Inputs and Assumptions'!$D$40/'Inputs and Assumptions'!$D$14, 0)</f>
        <v>0</v>
      </c>
      <c r="L49" s="74">
        <f t="shared" si="4"/>
        <v>35000000</v>
      </c>
    </row>
    <row r="50" spans="1:12" outlineLevel="1">
      <c r="A50" s="20">
        <v>3</v>
      </c>
      <c r="C50" s="20">
        <v>34</v>
      </c>
      <c r="D50" s="813">
        <f>IF(AND('Inputs and Assumptions'!$H$11="Bridge",'Debt Sizing'!$O$64="1 Mo Term SOFR"),IFERROR(INDEX('1 Month Term SOFR Forward Curve'!$D$5:$D$125,MATCH('Amo Schedule - Senior'!C50,'1 Month Term SOFR Forward Curve'!$C$5:$C$125,0))+$E$8,'Amo Schedule - Senior'!D49),'Amo Schedule - Senior'!$E$8)</f>
        <v>4.2300000000000004E-2</v>
      </c>
      <c r="E50" s="73">
        <f t="shared" si="1"/>
        <v>35000000</v>
      </c>
      <c r="F50" s="73">
        <f t="shared" si="2"/>
        <v>123375.00000000001</v>
      </c>
      <c r="G50" s="73"/>
      <c r="H50" s="73">
        <f t="shared" si="0"/>
        <v>0</v>
      </c>
      <c r="I50" s="73">
        <v>0</v>
      </c>
      <c r="J50" s="73">
        <f t="shared" si="3"/>
        <v>123375.00000000001</v>
      </c>
      <c r="K50" s="73">
        <f>IF(AND('Inputs and Assumptions'!$H$11="Bridge", C50&lt;='Inputs and Assumptions'!$D$14),'Inputs and Assumptions'!$D$40/'Inputs and Assumptions'!$D$14, 0)</f>
        <v>0</v>
      </c>
      <c r="L50" s="74">
        <f t="shared" si="4"/>
        <v>35000000</v>
      </c>
    </row>
    <row r="51" spans="1:12" outlineLevel="1">
      <c r="A51" s="20">
        <v>3</v>
      </c>
      <c r="C51" s="20">
        <v>35</v>
      </c>
      <c r="D51" s="813">
        <f>IF(AND('Inputs and Assumptions'!$H$11="Bridge",'Debt Sizing'!$O$64="1 Mo Term SOFR"),IFERROR(INDEX('1 Month Term SOFR Forward Curve'!$D$5:$D$125,MATCH('Amo Schedule - Senior'!C51,'1 Month Term SOFR Forward Curve'!$C$5:$C$125,0))+$E$8,'Amo Schedule - Senior'!D50),'Amo Schedule - Senior'!$E$8)</f>
        <v>4.2300000000000004E-2</v>
      </c>
      <c r="E51" s="73">
        <f t="shared" si="1"/>
        <v>35000000</v>
      </c>
      <c r="F51" s="73">
        <f t="shared" si="2"/>
        <v>123375.00000000001</v>
      </c>
      <c r="G51" s="73"/>
      <c r="H51" s="73">
        <f t="shared" si="0"/>
        <v>0</v>
      </c>
      <c r="I51" s="73">
        <v>0</v>
      </c>
      <c r="J51" s="73">
        <f t="shared" si="3"/>
        <v>123375.00000000001</v>
      </c>
      <c r="K51" s="73">
        <f>IF(AND('Inputs and Assumptions'!$H$11="Bridge", C51&lt;='Inputs and Assumptions'!$D$14),'Inputs and Assumptions'!$D$40/'Inputs and Assumptions'!$D$14, 0)</f>
        <v>0</v>
      </c>
      <c r="L51" s="74">
        <f t="shared" si="4"/>
        <v>35000000</v>
      </c>
    </row>
    <row r="52" spans="1:12" outlineLevel="1">
      <c r="A52" s="49">
        <v>3</v>
      </c>
      <c r="B52" s="49"/>
      <c r="C52" s="49">
        <v>36</v>
      </c>
      <c r="D52" s="814">
        <f>IF(AND('Inputs and Assumptions'!$H$11="Bridge",'Debt Sizing'!$O$64="1 Mo Term SOFR"),IFERROR(INDEX('1 Month Term SOFR Forward Curve'!$D$5:$D$125,MATCH('Amo Schedule - Senior'!C52,'1 Month Term SOFR Forward Curve'!$C$5:$C$125,0))+$E$8,'Amo Schedule - Senior'!D51),'Amo Schedule - Senior'!$E$8)</f>
        <v>4.2300000000000004E-2</v>
      </c>
      <c r="E52" s="75">
        <f t="shared" si="1"/>
        <v>35000000</v>
      </c>
      <c r="F52" s="75">
        <f t="shared" si="2"/>
        <v>123375.00000000001</v>
      </c>
      <c r="G52" s="75"/>
      <c r="H52" s="75">
        <f t="shared" si="0"/>
        <v>0</v>
      </c>
      <c r="I52" s="75">
        <v>0</v>
      </c>
      <c r="J52" s="75">
        <f t="shared" si="3"/>
        <v>123375.00000000001</v>
      </c>
      <c r="K52" s="75">
        <f>IF(AND('Inputs and Assumptions'!$H$11="Bridge", C52&lt;='Inputs and Assumptions'!$D$14),'Inputs and Assumptions'!$D$40/'Inputs and Assumptions'!$D$14, 0)</f>
        <v>0</v>
      </c>
      <c r="L52" s="93">
        <f t="shared" si="4"/>
        <v>35000000</v>
      </c>
    </row>
    <row r="53" spans="1:12" ht="15.75" customHeight="1" outlineLevel="1">
      <c r="A53" s="56">
        <v>4</v>
      </c>
      <c r="B53" s="56"/>
      <c r="C53" s="56">
        <v>37</v>
      </c>
      <c r="D53" s="815">
        <f>IF(AND('Inputs and Assumptions'!$H$11="Bridge",'Debt Sizing'!$O$64="1 Mo Term SOFR"),IFERROR(INDEX('1 Month Term SOFR Forward Curve'!$D$5:$D$125,MATCH('Amo Schedule - Senior'!C53,'1 Month Term SOFR Forward Curve'!$C$5:$C$125,0))+$E$8,'Amo Schedule - Senior'!D52),'Amo Schedule - Senior'!$E$8)</f>
        <v>4.2300000000000004E-2</v>
      </c>
      <c r="E53" s="77">
        <f t="shared" si="1"/>
        <v>35000000</v>
      </c>
      <c r="F53" s="77">
        <f t="shared" si="2"/>
        <v>123375.00000000001</v>
      </c>
      <c r="G53" s="77"/>
      <c r="H53" s="77">
        <f t="shared" si="0"/>
        <v>0</v>
      </c>
      <c r="I53" s="77">
        <v>0</v>
      </c>
      <c r="J53" s="77">
        <f t="shared" si="3"/>
        <v>123375.00000000001</v>
      </c>
      <c r="K53" s="77">
        <f>IF(AND('Inputs and Assumptions'!$H$11="Bridge", C53&lt;='Inputs and Assumptions'!$D$14),'Inputs and Assumptions'!$D$40/'Inputs and Assumptions'!$D$14, 0)</f>
        <v>0</v>
      </c>
      <c r="L53" s="94">
        <f t="shared" si="4"/>
        <v>35000000</v>
      </c>
    </row>
    <row r="54" spans="1:12" outlineLevel="1">
      <c r="A54" s="20">
        <v>4</v>
      </c>
      <c r="C54" s="20">
        <v>38</v>
      </c>
      <c r="D54" s="813">
        <f>IF(AND('Inputs and Assumptions'!$H$11="Bridge",'Debt Sizing'!$O$64="1 Mo Term SOFR"),IFERROR(INDEX('1 Month Term SOFR Forward Curve'!$D$5:$D$125,MATCH('Amo Schedule - Senior'!C54,'1 Month Term SOFR Forward Curve'!$C$5:$C$125,0))+$E$8,'Amo Schedule - Senior'!D53),'Amo Schedule - Senior'!$E$8)</f>
        <v>4.2300000000000004E-2</v>
      </c>
      <c r="E54" s="73">
        <f t="shared" si="1"/>
        <v>35000000</v>
      </c>
      <c r="F54" s="73">
        <f t="shared" si="2"/>
        <v>123375.00000000001</v>
      </c>
      <c r="G54" s="73"/>
      <c r="H54" s="73">
        <f t="shared" si="0"/>
        <v>0</v>
      </c>
      <c r="I54" s="73">
        <v>0</v>
      </c>
      <c r="J54" s="73">
        <f t="shared" si="3"/>
        <v>123375.00000000001</v>
      </c>
      <c r="K54" s="73">
        <f>IF(AND('Inputs and Assumptions'!$H$11="Bridge", C54&lt;='Inputs and Assumptions'!$D$14),'Inputs and Assumptions'!$D$40/'Inputs and Assumptions'!$D$14, 0)</f>
        <v>0</v>
      </c>
      <c r="L54" s="74">
        <f t="shared" si="4"/>
        <v>35000000</v>
      </c>
    </row>
    <row r="55" spans="1:12" outlineLevel="1">
      <c r="A55" s="20">
        <v>4</v>
      </c>
      <c r="C55" s="20">
        <v>39</v>
      </c>
      <c r="D55" s="813">
        <f>IF(AND('Inputs and Assumptions'!$H$11="Bridge",'Debt Sizing'!$O$64="1 Mo Term SOFR"),IFERROR(INDEX('1 Month Term SOFR Forward Curve'!$D$5:$D$125,MATCH('Amo Schedule - Senior'!C55,'1 Month Term SOFR Forward Curve'!$C$5:$C$125,0))+$E$8,'Amo Schedule - Senior'!D54),'Amo Schedule - Senior'!$E$8)</f>
        <v>4.2300000000000004E-2</v>
      </c>
      <c r="E55" s="73">
        <f t="shared" si="1"/>
        <v>35000000</v>
      </c>
      <c r="F55" s="73">
        <f t="shared" si="2"/>
        <v>123375.00000000001</v>
      </c>
      <c r="G55" s="73"/>
      <c r="H55" s="73">
        <f t="shared" si="0"/>
        <v>0</v>
      </c>
      <c r="I55" s="73">
        <v>0</v>
      </c>
      <c r="J55" s="73">
        <f t="shared" si="3"/>
        <v>123375.00000000001</v>
      </c>
      <c r="K55" s="73">
        <f>IF(AND('Inputs and Assumptions'!$H$11="Bridge", C55&lt;='Inputs and Assumptions'!$D$14),'Inputs and Assumptions'!$D$40/'Inputs and Assumptions'!$D$14, 0)</f>
        <v>0</v>
      </c>
      <c r="L55" s="74">
        <f t="shared" si="4"/>
        <v>35000000</v>
      </c>
    </row>
    <row r="56" spans="1:12" outlineLevel="1">
      <c r="A56" s="20">
        <v>4</v>
      </c>
      <c r="C56" s="20">
        <v>40</v>
      </c>
      <c r="D56" s="813">
        <f>IF(AND('Inputs and Assumptions'!$H$11="Bridge",'Debt Sizing'!$O$64="1 Mo Term SOFR"),IFERROR(INDEX('1 Month Term SOFR Forward Curve'!$D$5:$D$125,MATCH('Amo Schedule - Senior'!C56,'1 Month Term SOFR Forward Curve'!$C$5:$C$125,0))+$E$8,'Amo Schedule - Senior'!D55),'Amo Schedule - Senior'!$E$8)</f>
        <v>4.2300000000000004E-2</v>
      </c>
      <c r="E56" s="73">
        <f t="shared" si="1"/>
        <v>35000000</v>
      </c>
      <c r="F56" s="73">
        <f t="shared" si="2"/>
        <v>123375.00000000001</v>
      </c>
      <c r="G56" s="73"/>
      <c r="H56" s="73">
        <f t="shared" si="0"/>
        <v>0</v>
      </c>
      <c r="I56" s="73">
        <v>0</v>
      </c>
      <c r="J56" s="73">
        <f t="shared" si="3"/>
        <v>123375.00000000001</v>
      </c>
      <c r="K56" s="73">
        <f>IF(AND('Inputs and Assumptions'!$H$11="Bridge", C56&lt;='Inputs and Assumptions'!$D$14),'Inputs and Assumptions'!$D$40/'Inputs and Assumptions'!$D$14, 0)</f>
        <v>0</v>
      </c>
      <c r="L56" s="74">
        <f t="shared" si="4"/>
        <v>35000000</v>
      </c>
    </row>
    <row r="57" spans="1:12" outlineLevel="1">
      <c r="A57" s="20">
        <v>4</v>
      </c>
      <c r="C57" s="20">
        <v>41</v>
      </c>
      <c r="D57" s="813">
        <f>IF(AND('Inputs and Assumptions'!$H$11="Bridge",'Debt Sizing'!$O$64="1 Mo Term SOFR"),IFERROR(INDEX('1 Month Term SOFR Forward Curve'!$D$5:$D$125,MATCH('Amo Schedule - Senior'!C57,'1 Month Term SOFR Forward Curve'!$C$5:$C$125,0))+$E$8,'Amo Schedule - Senior'!D56),'Amo Schedule - Senior'!$E$8)</f>
        <v>4.2300000000000004E-2</v>
      </c>
      <c r="E57" s="73">
        <f t="shared" si="1"/>
        <v>35000000</v>
      </c>
      <c r="F57" s="73">
        <f t="shared" si="2"/>
        <v>123375.00000000001</v>
      </c>
      <c r="G57" s="73"/>
      <c r="H57" s="73">
        <f t="shared" si="0"/>
        <v>0</v>
      </c>
      <c r="I57" s="73">
        <v>0</v>
      </c>
      <c r="J57" s="73">
        <f t="shared" si="3"/>
        <v>123375.00000000001</v>
      </c>
      <c r="K57" s="73">
        <f>IF(AND('Inputs and Assumptions'!$H$11="Bridge", C57&lt;='Inputs and Assumptions'!$D$14),'Inputs and Assumptions'!$D$40/'Inputs and Assumptions'!$D$14, 0)</f>
        <v>0</v>
      </c>
      <c r="L57" s="74">
        <f t="shared" si="4"/>
        <v>35000000</v>
      </c>
    </row>
    <row r="58" spans="1:12" outlineLevel="1">
      <c r="A58" s="20">
        <v>4</v>
      </c>
      <c r="C58" s="20">
        <v>42</v>
      </c>
      <c r="D58" s="813">
        <f>IF(AND('Inputs and Assumptions'!$H$11="Bridge",'Debt Sizing'!$O$64="1 Mo Term SOFR"),IFERROR(INDEX('1 Month Term SOFR Forward Curve'!$D$5:$D$125,MATCH('Amo Schedule - Senior'!C58,'1 Month Term SOFR Forward Curve'!$C$5:$C$125,0))+$E$8,'Amo Schedule - Senior'!D57),'Amo Schedule - Senior'!$E$8)</f>
        <v>4.2300000000000004E-2</v>
      </c>
      <c r="E58" s="73">
        <f t="shared" si="1"/>
        <v>35000000</v>
      </c>
      <c r="F58" s="73">
        <f t="shared" si="2"/>
        <v>123375.00000000001</v>
      </c>
      <c r="G58" s="73"/>
      <c r="H58" s="73">
        <f t="shared" si="0"/>
        <v>0</v>
      </c>
      <c r="I58" s="73">
        <v>0</v>
      </c>
      <c r="J58" s="73">
        <f t="shared" si="3"/>
        <v>123375.00000000001</v>
      </c>
      <c r="K58" s="73">
        <f>IF(AND('Inputs and Assumptions'!$H$11="Bridge", C58&lt;='Inputs and Assumptions'!$D$14),'Inputs and Assumptions'!$D$40/'Inputs and Assumptions'!$D$14, 0)</f>
        <v>0</v>
      </c>
      <c r="L58" s="74">
        <f t="shared" si="4"/>
        <v>35000000</v>
      </c>
    </row>
    <row r="59" spans="1:12" outlineLevel="1">
      <c r="A59" s="20">
        <v>4</v>
      </c>
      <c r="C59" s="20">
        <v>43</v>
      </c>
      <c r="D59" s="813">
        <f>IF(AND('Inputs and Assumptions'!$H$11="Bridge",'Debt Sizing'!$O$64="1 Mo Term SOFR"),IFERROR(INDEX('1 Month Term SOFR Forward Curve'!$D$5:$D$125,MATCH('Amo Schedule - Senior'!C59,'1 Month Term SOFR Forward Curve'!$C$5:$C$125,0))+$E$8,'Amo Schedule - Senior'!D58),'Amo Schedule - Senior'!$E$8)</f>
        <v>4.2300000000000004E-2</v>
      </c>
      <c r="E59" s="73">
        <f t="shared" si="1"/>
        <v>35000000</v>
      </c>
      <c r="F59" s="73">
        <f t="shared" si="2"/>
        <v>123375.00000000001</v>
      </c>
      <c r="G59" s="73"/>
      <c r="H59" s="73">
        <f t="shared" si="0"/>
        <v>0</v>
      </c>
      <c r="I59" s="73">
        <v>0</v>
      </c>
      <c r="J59" s="73">
        <f t="shared" si="3"/>
        <v>123375.00000000001</v>
      </c>
      <c r="K59" s="73">
        <f>IF(AND('Inputs and Assumptions'!$H$11="Bridge", C59&lt;='Inputs and Assumptions'!$D$14),'Inputs and Assumptions'!$D$40/'Inputs and Assumptions'!$D$14, 0)</f>
        <v>0</v>
      </c>
      <c r="L59" s="74">
        <f t="shared" si="4"/>
        <v>35000000</v>
      </c>
    </row>
    <row r="60" spans="1:12" outlineLevel="1">
      <c r="A60" s="20">
        <v>4</v>
      </c>
      <c r="C60" s="20">
        <v>44</v>
      </c>
      <c r="D60" s="813">
        <f>IF(AND('Inputs and Assumptions'!$H$11="Bridge",'Debt Sizing'!$O$64="1 Mo Term SOFR"),IFERROR(INDEX('1 Month Term SOFR Forward Curve'!$D$5:$D$125,MATCH('Amo Schedule - Senior'!C60,'1 Month Term SOFR Forward Curve'!$C$5:$C$125,0))+$E$8,'Amo Schedule - Senior'!D59),'Amo Schedule - Senior'!$E$8)</f>
        <v>4.2300000000000004E-2</v>
      </c>
      <c r="E60" s="73">
        <f t="shared" si="1"/>
        <v>35000000</v>
      </c>
      <c r="F60" s="73">
        <f t="shared" si="2"/>
        <v>123375.00000000001</v>
      </c>
      <c r="G60" s="73"/>
      <c r="H60" s="73">
        <f t="shared" si="0"/>
        <v>0</v>
      </c>
      <c r="I60" s="73">
        <v>0</v>
      </c>
      <c r="J60" s="73">
        <f t="shared" si="3"/>
        <v>123375.00000000001</v>
      </c>
      <c r="K60" s="73">
        <f>IF(AND('Inputs and Assumptions'!$H$11="Bridge", C60&lt;='Inputs and Assumptions'!$D$14),'Inputs and Assumptions'!$D$40/'Inputs and Assumptions'!$D$14, 0)</f>
        <v>0</v>
      </c>
      <c r="L60" s="74">
        <f t="shared" si="4"/>
        <v>35000000</v>
      </c>
    </row>
    <row r="61" spans="1:12" outlineLevel="1">
      <c r="A61" s="20">
        <v>4</v>
      </c>
      <c r="C61" s="20">
        <v>45</v>
      </c>
      <c r="D61" s="813">
        <f>IF(AND('Inputs and Assumptions'!$H$11="Bridge",'Debt Sizing'!$O$64="1 Mo Term SOFR"),IFERROR(INDEX('1 Month Term SOFR Forward Curve'!$D$5:$D$125,MATCH('Amo Schedule - Senior'!C61,'1 Month Term SOFR Forward Curve'!$C$5:$C$125,0))+$E$8,'Amo Schedule - Senior'!D60),'Amo Schedule - Senior'!$E$8)</f>
        <v>4.2300000000000004E-2</v>
      </c>
      <c r="E61" s="73">
        <f t="shared" si="1"/>
        <v>35000000</v>
      </c>
      <c r="F61" s="73">
        <f t="shared" si="2"/>
        <v>123375.00000000001</v>
      </c>
      <c r="G61" s="73"/>
      <c r="H61" s="73">
        <f t="shared" si="0"/>
        <v>0</v>
      </c>
      <c r="I61" s="73">
        <v>0</v>
      </c>
      <c r="J61" s="73">
        <f t="shared" si="3"/>
        <v>123375.00000000001</v>
      </c>
      <c r="K61" s="73">
        <f>IF(AND('Inputs and Assumptions'!$H$11="Bridge", C61&lt;='Inputs and Assumptions'!$D$14),'Inputs and Assumptions'!$D$40/'Inputs and Assumptions'!$D$14, 0)</f>
        <v>0</v>
      </c>
      <c r="L61" s="74">
        <f t="shared" si="4"/>
        <v>35000000</v>
      </c>
    </row>
    <row r="62" spans="1:12" outlineLevel="1">
      <c r="A62" s="20">
        <v>4</v>
      </c>
      <c r="C62" s="20">
        <v>46</v>
      </c>
      <c r="D62" s="813">
        <f>IF(AND('Inputs and Assumptions'!$H$11="Bridge",'Debt Sizing'!$O$64="1 Mo Term SOFR"),IFERROR(INDEX('1 Month Term SOFR Forward Curve'!$D$5:$D$125,MATCH('Amo Schedule - Senior'!C62,'1 Month Term SOFR Forward Curve'!$C$5:$C$125,0))+$E$8,'Amo Schedule - Senior'!D61),'Amo Schedule - Senior'!$E$8)</f>
        <v>4.2300000000000004E-2</v>
      </c>
      <c r="E62" s="73">
        <f t="shared" si="1"/>
        <v>35000000</v>
      </c>
      <c r="F62" s="73">
        <f t="shared" si="2"/>
        <v>123375.00000000001</v>
      </c>
      <c r="G62" s="73"/>
      <c r="H62" s="73">
        <f t="shared" si="0"/>
        <v>0</v>
      </c>
      <c r="I62" s="73">
        <v>0</v>
      </c>
      <c r="J62" s="73">
        <f t="shared" si="3"/>
        <v>123375.00000000001</v>
      </c>
      <c r="K62" s="73">
        <f>IF(AND('Inputs and Assumptions'!$H$11="Bridge", C62&lt;='Inputs and Assumptions'!$D$14),'Inputs and Assumptions'!$D$40/'Inputs and Assumptions'!$D$14, 0)</f>
        <v>0</v>
      </c>
      <c r="L62" s="74">
        <f t="shared" si="4"/>
        <v>35000000</v>
      </c>
    </row>
    <row r="63" spans="1:12" outlineLevel="1">
      <c r="A63" s="20">
        <v>4</v>
      </c>
      <c r="C63" s="20">
        <v>47</v>
      </c>
      <c r="D63" s="813">
        <f>IF(AND('Inputs and Assumptions'!$H$11="Bridge",'Debt Sizing'!$O$64="1 Mo Term SOFR"),IFERROR(INDEX('1 Month Term SOFR Forward Curve'!$D$5:$D$125,MATCH('Amo Schedule - Senior'!C63,'1 Month Term SOFR Forward Curve'!$C$5:$C$125,0))+$E$8,'Amo Schedule - Senior'!D62),'Amo Schedule - Senior'!$E$8)</f>
        <v>4.2300000000000004E-2</v>
      </c>
      <c r="E63" s="73">
        <f t="shared" si="1"/>
        <v>35000000</v>
      </c>
      <c r="F63" s="73">
        <f t="shared" si="2"/>
        <v>123375.00000000001</v>
      </c>
      <c r="G63" s="73"/>
      <c r="H63" s="73">
        <f t="shared" si="0"/>
        <v>0</v>
      </c>
      <c r="I63" s="73">
        <v>0</v>
      </c>
      <c r="J63" s="73">
        <f t="shared" si="3"/>
        <v>123375.00000000001</v>
      </c>
      <c r="K63" s="73">
        <f>IF(AND('Inputs and Assumptions'!$H$11="Bridge", C63&lt;='Inputs and Assumptions'!$D$14),'Inputs and Assumptions'!$D$40/'Inputs and Assumptions'!$D$14, 0)</f>
        <v>0</v>
      </c>
      <c r="L63" s="74">
        <f t="shared" si="4"/>
        <v>35000000</v>
      </c>
    </row>
    <row r="64" spans="1:12" outlineLevel="1">
      <c r="A64" s="49">
        <v>4</v>
      </c>
      <c r="B64" s="49"/>
      <c r="C64" s="53">
        <v>48</v>
      </c>
      <c r="D64" s="816">
        <f>IF(AND('Inputs and Assumptions'!$H$11="Bridge",'Debt Sizing'!$O$64="1 Mo Term SOFR"),IFERROR(INDEX('1 Month Term SOFR Forward Curve'!$D$5:$D$125,MATCH('Amo Schedule - Senior'!C64,'1 Month Term SOFR Forward Curve'!$C$5:$C$125,0))+$E$8,'Amo Schedule - Senior'!D63),'Amo Schedule - Senior'!$E$8)</f>
        <v>4.2300000000000004E-2</v>
      </c>
      <c r="E64" s="76">
        <f t="shared" si="1"/>
        <v>35000000</v>
      </c>
      <c r="F64" s="76">
        <f t="shared" si="2"/>
        <v>123375.00000000001</v>
      </c>
      <c r="G64" s="76"/>
      <c r="H64" s="76">
        <f t="shared" si="0"/>
        <v>0</v>
      </c>
      <c r="I64" s="75">
        <v>0</v>
      </c>
      <c r="J64" s="76">
        <f t="shared" si="3"/>
        <v>123375.00000000001</v>
      </c>
      <c r="K64" s="75">
        <f>IF(AND('Inputs and Assumptions'!$H$11="Bridge", C64&lt;='Inputs and Assumptions'!$D$14),'Inputs and Assumptions'!$D$40/'Inputs and Assumptions'!$D$14, 0)</f>
        <v>0</v>
      </c>
      <c r="L64" s="93">
        <f t="shared" si="4"/>
        <v>35000000</v>
      </c>
    </row>
    <row r="65" spans="1:12" ht="12.75" customHeight="1" outlineLevel="1">
      <c r="A65" s="56">
        <v>5</v>
      </c>
      <c r="B65" s="56"/>
      <c r="C65" s="56">
        <v>49</v>
      </c>
      <c r="D65" s="815">
        <f>IF(AND('Inputs and Assumptions'!$H$11="Bridge",'Debt Sizing'!$O$64="1 Mo Term SOFR"),IFERROR(INDEX('1 Month Term SOFR Forward Curve'!$D$5:$D$125,MATCH('Amo Schedule - Senior'!C65,'1 Month Term SOFR Forward Curve'!$C$5:$C$125,0))+$E$8,'Amo Schedule - Senior'!D64),'Amo Schedule - Senior'!$E$8)</f>
        <v>4.2300000000000004E-2</v>
      </c>
      <c r="E65" s="77">
        <f t="shared" si="1"/>
        <v>35000000</v>
      </c>
      <c r="F65" s="77">
        <f t="shared" si="2"/>
        <v>123375.00000000001</v>
      </c>
      <c r="G65" s="77"/>
      <c r="H65" s="77">
        <f t="shared" si="0"/>
        <v>0</v>
      </c>
      <c r="I65" s="77">
        <v>0</v>
      </c>
      <c r="J65" s="77">
        <f t="shared" si="3"/>
        <v>123375.00000000001</v>
      </c>
      <c r="K65" s="77">
        <f>IF(AND('Inputs and Assumptions'!$H$11="Bridge", C65&lt;='Inputs and Assumptions'!$D$14),'Inputs and Assumptions'!$D$40/'Inputs and Assumptions'!$D$14, 0)</f>
        <v>0</v>
      </c>
      <c r="L65" s="94">
        <f t="shared" si="4"/>
        <v>35000000</v>
      </c>
    </row>
    <row r="66" spans="1:12" outlineLevel="1">
      <c r="A66" s="20">
        <v>5</v>
      </c>
      <c r="C66" s="20">
        <v>50</v>
      </c>
      <c r="D66" s="813">
        <f>IF(AND('Inputs and Assumptions'!$H$11="Bridge",'Debt Sizing'!$O$64="1 Mo Term SOFR"),IFERROR(INDEX('1 Month Term SOFR Forward Curve'!$D$5:$D$125,MATCH('Amo Schedule - Senior'!C66,'1 Month Term SOFR Forward Curve'!$C$5:$C$125,0))+$E$8,'Amo Schedule - Senior'!D65),'Amo Schedule - Senior'!$E$8)</f>
        <v>4.2300000000000004E-2</v>
      </c>
      <c r="E66" s="73">
        <f t="shared" si="1"/>
        <v>35000000</v>
      </c>
      <c r="F66" s="73">
        <f t="shared" si="2"/>
        <v>123375.00000000001</v>
      </c>
      <c r="G66" s="73"/>
      <c r="H66" s="73">
        <f t="shared" si="0"/>
        <v>0</v>
      </c>
      <c r="I66" s="73">
        <v>0</v>
      </c>
      <c r="J66" s="73">
        <f t="shared" si="3"/>
        <v>123375.00000000001</v>
      </c>
      <c r="K66" s="73">
        <f>IF(AND('Inputs and Assumptions'!$H$11="Bridge", C66&lt;='Inputs and Assumptions'!$D$14),'Inputs and Assumptions'!$D$40/'Inputs and Assumptions'!$D$14, 0)</f>
        <v>0</v>
      </c>
      <c r="L66" s="74">
        <f t="shared" si="4"/>
        <v>35000000</v>
      </c>
    </row>
    <row r="67" spans="1:12" outlineLevel="1">
      <c r="A67" s="20">
        <v>5</v>
      </c>
      <c r="C67" s="20">
        <v>51</v>
      </c>
      <c r="D67" s="813">
        <f>IF(AND('Inputs and Assumptions'!$H$11="Bridge",'Debt Sizing'!$O$64="1 Mo Term SOFR"),IFERROR(INDEX('1 Month Term SOFR Forward Curve'!$D$5:$D$125,MATCH('Amo Schedule - Senior'!C67,'1 Month Term SOFR Forward Curve'!$C$5:$C$125,0))+$E$8,'Amo Schedule - Senior'!D66),'Amo Schedule - Senior'!$E$8)</f>
        <v>4.2300000000000004E-2</v>
      </c>
      <c r="E67" s="73">
        <f t="shared" si="1"/>
        <v>35000000</v>
      </c>
      <c r="F67" s="73">
        <f t="shared" si="2"/>
        <v>123375.00000000001</v>
      </c>
      <c r="G67" s="73"/>
      <c r="H67" s="73">
        <f t="shared" si="0"/>
        <v>0</v>
      </c>
      <c r="I67" s="73">
        <v>0</v>
      </c>
      <c r="J67" s="73">
        <f t="shared" si="3"/>
        <v>123375.00000000001</v>
      </c>
      <c r="K67" s="73">
        <f>IF(AND('Inputs and Assumptions'!$H$11="Bridge", C67&lt;='Inputs and Assumptions'!$D$14),'Inputs and Assumptions'!$D$40/'Inputs and Assumptions'!$D$14, 0)</f>
        <v>0</v>
      </c>
      <c r="L67" s="74">
        <f t="shared" si="4"/>
        <v>35000000</v>
      </c>
    </row>
    <row r="68" spans="1:12" outlineLevel="1">
      <c r="A68" s="20">
        <v>5</v>
      </c>
      <c r="C68" s="20">
        <v>52</v>
      </c>
      <c r="D68" s="813">
        <f>IF(AND('Inputs and Assumptions'!$H$11="Bridge",'Debt Sizing'!$O$64="1 Mo Term SOFR"),IFERROR(INDEX('1 Month Term SOFR Forward Curve'!$D$5:$D$125,MATCH('Amo Schedule - Senior'!C68,'1 Month Term SOFR Forward Curve'!$C$5:$C$125,0))+$E$8,'Amo Schedule - Senior'!D67),'Amo Schedule - Senior'!$E$8)</f>
        <v>4.2300000000000004E-2</v>
      </c>
      <c r="E68" s="73">
        <f t="shared" si="1"/>
        <v>35000000</v>
      </c>
      <c r="F68" s="73">
        <f t="shared" si="2"/>
        <v>123375.00000000001</v>
      </c>
      <c r="G68" s="73"/>
      <c r="H68" s="73">
        <f t="shared" si="0"/>
        <v>0</v>
      </c>
      <c r="I68" s="73">
        <v>0</v>
      </c>
      <c r="J68" s="73">
        <f t="shared" si="3"/>
        <v>123375.00000000001</v>
      </c>
      <c r="K68" s="73">
        <f>IF(AND('Inputs and Assumptions'!$H$11="Bridge", C68&lt;='Inputs and Assumptions'!$D$14),'Inputs and Assumptions'!$D$40/'Inputs and Assumptions'!$D$14, 0)</f>
        <v>0</v>
      </c>
      <c r="L68" s="74">
        <f t="shared" si="4"/>
        <v>35000000</v>
      </c>
    </row>
    <row r="69" spans="1:12" outlineLevel="1">
      <c r="A69" s="20">
        <v>5</v>
      </c>
      <c r="C69" s="20">
        <v>53</v>
      </c>
      <c r="D69" s="813">
        <f>IF(AND('Inputs and Assumptions'!$H$11="Bridge",'Debt Sizing'!$O$64="1 Mo Term SOFR"),IFERROR(INDEX('1 Month Term SOFR Forward Curve'!$D$5:$D$125,MATCH('Amo Schedule - Senior'!C69,'1 Month Term SOFR Forward Curve'!$C$5:$C$125,0))+$E$8,'Amo Schedule - Senior'!D68),'Amo Schedule - Senior'!$E$8)</f>
        <v>4.2300000000000004E-2</v>
      </c>
      <c r="E69" s="73">
        <f t="shared" si="1"/>
        <v>35000000</v>
      </c>
      <c r="F69" s="73">
        <f t="shared" si="2"/>
        <v>123375.00000000001</v>
      </c>
      <c r="G69" s="73"/>
      <c r="H69" s="73">
        <f t="shared" si="0"/>
        <v>0</v>
      </c>
      <c r="I69" s="73">
        <v>0</v>
      </c>
      <c r="J69" s="73">
        <f t="shared" si="3"/>
        <v>123375.00000000001</v>
      </c>
      <c r="K69" s="73">
        <f>IF(AND('Inputs and Assumptions'!$H$11="Bridge", C69&lt;='Inputs and Assumptions'!$D$14),'Inputs and Assumptions'!$D$40/'Inputs and Assumptions'!$D$14, 0)</f>
        <v>0</v>
      </c>
      <c r="L69" s="74">
        <f t="shared" si="4"/>
        <v>35000000</v>
      </c>
    </row>
    <row r="70" spans="1:12" outlineLevel="1">
      <c r="A70" s="20">
        <v>5</v>
      </c>
      <c r="C70" s="20">
        <v>54</v>
      </c>
      <c r="D70" s="813">
        <f>IF(AND('Inputs and Assumptions'!$H$11="Bridge",'Debt Sizing'!$O$64="1 Mo Term SOFR"),IFERROR(INDEX('1 Month Term SOFR Forward Curve'!$D$5:$D$125,MATCH('Amo Schedule - Senior'!C70,'1 Month Term SOFR Forward Curve'!$C$5:$C$125,0))+$E$8,'Amo Schedule - Senior'!D69),'Amo Schedule - Senior'!$E$8)</f>
        <v>4.2300000000000004E-2</v>
      </c>
      <c r="E70" s="73">
        <f t="shared" si="1"/>
        <v>35000000</v>
      </c>
      <c r="F70" s="73">
        <f t="shared" si="2"/>
        <v>123375.00000000001</v>
      </c>
      <c r="G70" s="73"/>
      <c r="H70" s="73">
        <f t="shared" si="0"/>
        <v>0</v>
      </c>
      <c r="I70" s="73">
        <v>0</v>
      </c>
      <c r="J70" s="73">
        <f t="shared" si="3"/>
        <v>123375.00000000001</v>
      </c>
      <c r="K70" s="73">
        <f>IF(AND('Inputs and Assumptions'!$H$11="Bridge", C70&lt;='Inputs and Assumptions'!$D$14),'Inputs and Assumptions'!$D$40/'Inputs and Assumptions'!$D$14, 0)</f>
        <v>0</v>
      </c>
      <c r="L70" s="74">
        <f t="shared" si="4"/>
        <v>35000000</v>
      </c>
    </row>
    <row r="71" spans="1:12" outlineLevel="1">
      <c r="A71" s="20">
        <v>5</v>
      </c>
      <c r="C71" s="20">
        <v>55</v>
      </c>
      <c r="D71" s="813">
        <f>IF(AND('Inputs and Assumptions'!$H$11="Bridge",'Debt Sizing'!$O$64="1 Mo Term SOFR"),IFERROR(INDEX('1 Month Term SOFR Forward Curve'!$D$5:$D$125,MATCH('Amo Schedule - Senior'!C71,'1 Month Term SOFR Forward Curve'!$C$5:$C$125,0))+$E$8,'Amo Schedule - Senior'!D70),'Amo Schedule - Senior'!$E$8)</f>
        <v>4.2300000000000004E-2</v>
      </c>
      <c r="E71" s="73">
        <f t="shared" si="1"/>
        <v>35000000</v>
      </c>
      <c r="F71" s="73">
        <f t="shared" si="2"/>
        <v>123375.00000000001</v>
      </c>
      <c r="G71" s="73"/>
      <c r="H71" s="73">
        <f t="shared" si="0"/>
        <v>0</v>
      </c>
      <c r="I71" s="73">
        <v>0</v>
      </c>
      <c r="J71" s="73">
        <f t="shared" si="3"/>
        <v>123375.00000000001</v>
      </c>
      <c r="K71" s="73">
        <f>IF(AND('Inputs and Assumptions'!$H$11="Bridge", C71&lt;='Inputs and Assumptions'!$D$14),'Inputs and Assumptions'!$D$40/'Inputs and Assumptions'!$D$14, 0)</f>
        <v>0</v>
      </c>
      <c r="L71" s="74">
        <f t="shared" si="4"/>
        <v>35000000</v>
      </c>
    </row>
    <row r="72" spans="1:12" outlineLevel="1">
      <c r="A72" s="20">
        <v>5</v>
      </c>
      <c r="C72" s="20">
        <v>56</v>
      </c>
      <c r="D72" s="813">
        <f>IF(AND('Inputs and Assumptions'!$H$11="Bridge",'Debt Sizing'!$O$64="1 Mo Term SOFR"),IFERROR(INDEX('1 Month Term SOFR Forward Curve'!$D$5:$D$125,MATCH('Amo Schedule - Senior'!C72,'1 Month Term SOFR Forward Curve'!$C$5:$C$125,0))+$E$8,'Amo Schedule - Senior'!D71),'Amo Schedule - Senior'!$E$8)</f>
        <v>4.2300000000000004E-2</v>
      </c>
      <c r="E72" s="73">
        <f t="shared" si="1"/>
        <v>35000000</v>
      </c>
      <c r="F72" s="73">
        <f t="shared" si="2"/>
        <v>123375.00000000001</v>
      </c>
      <c r="G72" s="73"/>
      <c r="H72" s="73">
        <f t="shared" si="0"/>
        <v>0</v>
      </c>
      <c r="I72" s="73">
        <v>0</v>
      </c>
      <c r="J72" s="73">
        <f t="shared" si="3"/>
        <v>123375.00000000001</v>
      </c>
      <c r="K72" s="73">
        <f>IF(AND('Inputs and Assumptions'!$H$11="Bridge", C72&lt;='Inputs and Assumptions'!$D$14),'Inputs and Assumptions'!$D$40/'Inputs and Assumptions'!$D$14, 0)</f>
        <v>0</v>
      </c>
      <c r="L72" s="74">
        <f t="shared" si="4"/>
        <v>35000000</v>
      </c>
    </row>
    <row r="73" spans="1:12" outlineLevel="1">
      <c r="A73" s="20">
        <v>5</v>
      </c>
      <c r="C73" s="20">
        <v>57</v>
      </c>
      <c r="D73" s="813">
        <f>IF(AND('Inputs and Assumptions'!$H$11="Bridge",'Debt Sizing'!$O$64="1 Mo Term SOFR"),IFERROR(INDEX('1 Month Term SOFR Forward Curve'!$D$5:$D$125,MATCH('Amo Schedule - Senior'!C73,'1 Month Term SOFR Forward Curve'!$C$5:$C$125,0))+$E$8,'Amo Schedule - Senior'!D72),'Amo Schedule - Senior'!$E$8)</f>
        <v>4.2300000000000004E-2</v>
      </c>
      <c r="E73" s="73">
        <f t="shared" si="1"/>
        <v>35000000</v>
      </c>
      <c r="F73" s="73">
        <f t="shared" si="2"/>
        <v>123375.00000000001</v>
      </c>
      <c r="G73" s="73"/>
      <c r="H73" s="73">
        <f t="shared" si="0"/>
        <v>0</v>
      </c>
      <c r="I73" s="73">
        <v>0</v>
      </c>
      <c r="J73" s="73">
        <f t="shared" si="3"/>
        <v>123375.00000000001</v>
      </c>
      <c r="K73" s="73">
        <f>IF(AND('Inputs and Assumptions'!$H$11="Bridge", C73&lt;='Inputs and Assumptions'!$D$14),'Inputs and Assumptions'!$D$40/'Inputs and Assumptions'!$D$14, 0)</f>
        <v>0</v>
      </c>
      <c r="L73" s="74">
        <f t="shared" si="4"/>
        <v>35000000</v>
      </c>
    </row>
    <row r="74" spans="1:12" outlineLevel="1">
      <c r="A74" s="20">
        <v>5</v>
      </c>
      <c r="C74" s="20">
        <v>58</v>
      </c>
      <c r="D74" s="813">
        <f>IF(AND('Inputs and Assumptions'!$H$11="Bridge",'Debt Sizing'!$O$64="1 Mo Term SOFR"),IFERROR(INDEX('1 Month Term SOFR Forward Curve'!$D$5:$D$125,MATCH('Amo Schedule - Senior'!C74,'1 Month Term SOFR Forward Curve'!$C$5:$C$125,0))+$E$8,'Amo Schedule - Senior'!D73),'Amo Schedule - Senior'!$E$8)</f>
        <v>4.2300000000000004E-2</v>
      </c>
      <c r="E74" s="73">
        <f t="shared" si="1"/>
        <v>35000000</v>
      </c>
      <c r="F74" s="73">
        <f t="shared" si="2"/>
        <v>123375.00000000001</v>
      </c>
      <c r="G74" s="73"/>
      <c r="H74" s="73">
        <f t="shared" si="0"/>
        <v>0</v>
      </c>
      <c r="I74" s="73">
        <v>0</v>
      </c>
      <c r="J74" s="73">
        <f t="shared" si="3"/>
        <v>123375.00000000001</v>
      </c>
      <c r="K74" s="73">
        <f>IF(AND('Inputs and Assumptions'!$H$11="Bridge", C74&lt;='Inputs and Assumptions'!$D$14),'Inputs and Assumptions'!$D$40/'Inputs and Assumptions'!$D$14, 0)</f>
        <v>0</v>
      </c>
      <c r="L74" s="74">
        <f t="shared" si="4"/>
        <v>35000000</v>
      </c>
    </row>
    <row r="75" spans="1:12" outlineLevel="1">
      <c r="A75" s="20">
        <v>5</v>
      </c>
      <c r="C75" s="20">
        <v>59</v>
      </c>
      <c r="D75" s="813">
        <f>IF(AND('Inputs and Assumptions'!$H$11="Bridge",'Debt Sizing'!$O$64="1 Mo Term SOFR"),IFERROR(INDEX('1 Month Term SOFR Forward Curve'!$D$5:$D$125,MATCH('Amo Schedule - Senior'!C75,'1 Month Term SOFR Forward Curve'!$C$5:$C$125,0))+$E$8,'Amo Schedule - Senior'!D74),'Amo Schedule - Senior'!$E$8)</f>
        <v>4.2300000000000004E-2</v>
      </c>
      <c r="E75" s="73">
        <f t="shared" si="1"/>
        <v>35000000</v>
      </c>
      <c r="F75" s="73">
        <f t="shared" si="2"/>
        <v>123375.00000000001</v>
      </c>
      <c r="G75" s="73"/>
      <c r="H75" s="73">
        <f t="shared" si="0"/>
        <v>0</v>
      </c>
      <c r="I75" s="73">
        <v>0</v>
      </c>
      <c r="J75" s="73">
        <f t="shared" si="3"/>
        <v>123375.00000000001</v>
      </c>
      <c r="K75" s="73">
        <f>IF(AND('Inputs and Assumptions'!$H$11="Bridge", C75&lt;='Inputs and Assumptions'!$D$14),'Inputs and Assumptions'!$D$40/'Inputs and Assumptions'!$D$14, 0)</f>
        <v>0</v>
      </c>
      <c r="L75" s="74">
        <f t="shared" si="4"/>
        <v>35000000</v>
      </c>
    </row>
    <row r="76" spans="1:12" outlineLevel="1">
      <c r="A76" s="49">
        <v>5</v>
      </c>
      <c r="B76" s="49"/>
      <c r="C76" s="49">
        <v>60</v>
      </c>
      <c r="D76" s="814">
        <f>IF(AND('Inputs and Assumptions'!$H$11="Bridge",'Debt Sizing'!$O$64="1 Mo Term SOFR"),IFERROR(INDEX('1 Month Term SOFR Forward Curve'!$D$5:$D$125,MATCH('Amo Schedule - Senior'!C76,'1 Month Term SOFR Forward Curve'!$C$5:$C$125,0))+$E$8,'Amo Schedule - Senior'!D75),'Amo Schedule - Senior'!$E$8)</f>
        <v>4.2300000000000004E-2</v>
      </c>
      <c r="E76" s="75">
        <f t="shared" si="1"/>
        <v>35000000</v>
      </c>
      <c r="F76" s="75">
        <f t="shared" si="2"/>
        <v>123375.00000000001</v>
      </c>
      <c r="G76" s="75"/>
      <c r="H76" s="75">
        <f t="shared" si="0"/>
        <v>0</v>
      </c>
      <c r="I76" s="75">
        <v>0</v>
      </c>
      <c r="J76" s="75">
        <f t="shared" si="3"/>
        <v>123375.00000000001</v>
      </c>
      <c r="K76" s="75">
        <f>IF(AND('Inputs and Assumptions'!$H$11="Bridge", C76&lt;='Inputs and Assumptions'!$D$14),'Inputs and Assumptions'!$D$40/'Inputs and Assumptions'!$D$14, 0)</f>
        <v>0</v>
      </c>
      <c r="L76" s="93">
        <f t="shared" si="4"/>
        <v>35000000</v>
      </c>
    </row>
    <row r="77" spans="1:12" outlineLevel="1">
      <c r="A77" s="56">
        <v>6</v>
      </c>
      <c r="B77" s="56"/>
      <c r="C77" s="56">
        <v>61</v>
      </c>
      <c r="D77" s="815">
        <f>IF(AND('Inputs and Assumptions'!$H$11="Bridge",'Debt Sizing'!$O$64="1 Mo Term SOFR"),IFERROR(INDEX('1 Month Term SOFR Forward Curve'!$D$5:$D$125,MATCH('Amo Schedule - Senior'!C77,'1 Month Term SOFR Forward Curve'!$C$5:$C$125,0))+$E$8,'Amo Schedule - Senior'!D76),'Amo Schedule - Senior'!$E$8)</f>
        <v>4.2300000000000004E-2</v>
      </c>
      <c r="E77" s="77">
        <f t="shared" si="1"/>
        <v>35000000</v>
      </c>
      <c r="F77" s="77">
        <f t="shared" si="2"/>
        <v>123375.00000000001</v>
      </c>
      <c r="G77" s="77"/>
      <c r="H77" s="77">
        <f t="shared" si="0"/>
        <v>48394.409794495601</v>
      </c>
      <c r="I77" s="77">
        <v>0</v>
      </c>
      <c r="J77" s="77">
        <f t="shared" si="3"/>
        <v>171769.40979449562</v>
      </c>
      <c r="K77" s="77">
        <f>IF(AND('Inputs and Assumptions'!$H$11="Bridge", C77&lt;='Inputs and Assumptions'!$D$14),'Inputs and Assumptions'!$D$40/'Inputs and Assumptions'!$D$14, 0)</f>
        <v>0</v>
      </c>
      <c r="L77" s="94">
        <f t="shared" si="4"/>
        <v>34951605.590205505</v>
      </c>
    </row>
    <row r="78" spans="1:12" outlineLevel="1">
      <c r="A78" s="20">
        <v>6</v>
      </c>
      <c r="C78" s="20">
        <v>62</v>
      </c>
      <c r="D78" s="817">
        <f>IF(AND('Inputs and Assumptions'!$H$11="Bridge",'Debt Sizing'!$O$64="1 Mo Term SOFR"),IFERROR(INDEX('1 Month Term SOFR Forward Curve'!$D$5:$D$125,MATCH('Amo Schedule - Senior'!C78,'1 Month Term SOFR Forward Curve'!$C$5:$C$125,0))+$E$8,'Amo Schedule - Senior'!D77),'Amo Schedule - Senior'!$E$8)</f>
        <v>4.2300000000000004E-2</v>
      </c>
      <c r="E78" s="78">
        <f t="shared" si="1"/>
        <v>34951605.590205505</v>
      </c>
      <c r="F78" s="78">
        <f t="shared" si="2"/>
        <v>123204.40970547442</v>
      </c>
      <c r="G78" s="78"/>
      <c r="H78" s="78">
        <f t="shared" si="0"/>
        <v>48565.000089021196</v>
      </c>
      <c r="I78" s="73">
        <v>0</v>
      </c>
      <c r="J78" s="78">
        <f t="shared" si="3"/>
        <v>171769.40979449562</v>
      </c>
      <c r="K78" s="73">
        <f>IF(AND('Inputs and Assumptions'!$H$11="Bridge", C78&lt;='Inputs and Assumptions'!$D$14),'Inputs and Assumptions'!$D$40/'Inputs and Assumptions'!$D$14, 0)</f>
        <v>0</v>
      </c>
      <c r="L78" s="74">
        <f t="shared" si="4"/>
        <v>34903040.590116486</v>
      </c>
    </row>
    <row r="79" spans="1:12" outlineLevel="1">
      <c r="A79" s="20">
        <v>6</v>
      </c>
      <c r="C79" s="20">
        <v>63</v>
      </c>
      <c r="D79" s="817">
        <f>IF(AND('Inputs and Assumptions'!$H$11="Bridge",'Debt Sizing'!$O$64="1 Mo Term SOFR"),IFERROR(INDEX('1 Month Term SOFR Forward Curve'!$D$5:$D$125,MATCH('Amo Schedule - Senior'!C79,'1 Month Term SOFR Forward Curve'!$C$5:$C$125,0))+$E$8,'Amo Schedule - Senior'!D78),'Amo Schedule - Senior'!$E$8)</f>
        <v>4.2300000000000004E-2</v>
      </c>
      <c r="E79" s="78">
        <f t="shared" si="1"/>
        <v>34903040.590116486</v>
      </c>
      <c r="F79" s="78">
        <f t="shared" si="2"/>
        <v>123033.21808016063</v>
      </c>
      <c r="G79" s="78"/>
      <c r="H79" s="78">
        <f t="shared" si="0"/>
        <v>48736.191714334986</v>
      </c>
      <c r="I79" s="73">
        <v>0</v>
      </c>
      <c r="J79" s="78">
        <f t="shared" si="3"/>
        <v>171769.40979449562</v>
      </c>
      <c r="K79" s="73">
        <f>IF(AND('Inputs and Assumptions'!$H$11="Bridge", C79&lt;='Inputs and Assumptions'!$D$14),'Inputs and Assumptions'!$D$40/'Inputs and Assumptions'!$D$14, 0)</f>
        <v>0</v>
      </c>
      <c r="L79" s="74">
        <f t="shared" si="4"/>
        <v>34854304.398402154</v>
      </c>
    </row>
    <row r="80" spans="1:12" outlineLevel="1">
      <c r="A80" s="20">
        <v>6</v>
      </c>
      <c r="C80" s="20">
        <v>64</v>
      </c>
      <c r="D80" s="817">
        <f>IF(AND('Inputs and Assumptions'!$H$11="Bridge",'Debt Sizing'!$O$64="1 Mo Term SOFR"),IFERROR(INDEX('1 Month Term SOFR Forward Curve'!$D$5:$D$125,MATCH('Amo Schedule - Senior'!C80,'1 Month Term SOFR Forward Curve'!$C$5:$C$125,0))+$E$8,'Amo Schedule - Senior'!D79),'Amo Schedule - Senior'!$E$8)</f>
        <v>4.2300000000000004E-2</v>
      </c>
      <c r="E80" s="78">
        <f t="shared" si="1"/>
        <v>34854304.398402154</v>
      </c>
      <c r="F80" s="78">
        <f t="shared" si="2"/>
        <v>122861.42300436761</v>
      </c>
      <c r="G80" s="78"/>
      <c r="H80" s="78">
        <f t="shared" si="0"/>
        <v>48907.986790128009</v>
      </c>
      <c r="I80" s="73">
        <v>0</v>
      </c>
      <c r="J80" s="78">
        <f t="shared" si="3"/>
        <v>171769.40979449562</v>
      </c>
      <c r="K80" s="73">
        <f>IF(AND('Inputs and Assumptions'!$H$11="Bridge", C80&lt;='Inputs and Assumptions'!$D$14),'Inputs and Assumptions'!$D$40/'Inputs and Assumptions'!$D$14, 0)</f>
        <v>0</v>
      </c>
      <c r="L80" s="74">
        <f t="shared" si="4"/>
        <v>34805396.411612026</v>
      </c>
    </row>
    <row r="81" spans="1:12" outlineLevel="1">
      <c r="A81" s="20">
        <v>6</v>
      </c>
      <c r="C81" s="20">
        <v>65</v>
      </c>
      <c r="D81" s="817">
        <f>IF(AND('Inputs and Assumptions'!$H$11="Bridge",'Debt Sizing'!$O$64="1 Mo Term SOFR"),IFERROR(INDEX('1 Month Term SOFR Forward Curve'!$D$5:$D$125,MATCH('Amo Schedule - Senior'!C81,'1 Month Term SOFR Forward Curve'!$C$5:$C$125,0))+$E$8,'Amo Schedule - Senior'!D80),'Amo Schedule - Senior'!$E$8)</f>
        <v>4.2300000000000004E-2</v>
      </c>
      <c r="E81" s="78">
        <f t="shared" si="1"/>
        <v>34805396.411612026</v>
      </c>
      <c r="F81" s="78">
        <f t="shared" si="2"/>
        <v>122689.0223509324</v>
      </c>
      <c r="G81" s="78"/>
      <c r="H81" s="78">
        <f t="shared" ref="H81:H144" si="5">+J81-I81-F81</f>
        <v>49080.387443563217</v>
      </c>
      <c r="I81" s="73">
        <v>0</v>
      </c>
      <c r="J81" s="78">
        <f t="shared" si="3"/>
        <v>171769.40979449562</v>
      </c>
      <c r="K81" s="73">
        <f>IF(AND('Inputs and Assumptions'!$H$11="Bridge", C81&lt;='Inputs and Assumptions'!$D$14),'Inputs and Assumptions'!$D$40/'Inputs and Assumptions'!$D$14, 0)</f>
        <v>0</v>
      </c>
      <c r="L81" s="74">
        <f t="shared" si="4"/>
        <v>34756316.024168462</v>
      </c>
    </row>
    <row r="82" spans="1:12" outlineLevel="1">
      <c r="A82" s="20">
        <v>6</v>
      </c>
      <c r="C82" s="20">
        <v>66</v>
      </c>
      <c r="D82" s="817">
        <f>IF(AND('Inputs and Assumptions'!$H$11="Bridge",'Debt Sizing'!$O$64="1 Mo Term SOFR"),IFERROR(INDEX('1 Month Term SOFR Forward Curve'!$D$5:$D$125,MATCH('Amo Schedule - Senior'!C82,'1 Month Term SOFR Forward Curve'!$C$5:$C$125,0))+$E$8,'Amo Schedule - Senior'!D81),'Amo Schedule - Senior'!$E$8)</f>
        <v>4.2300000000000004E-2</v>
      </c>
      <c r="E82" s="78">
        <f t="shared" ref="E82:E145" si="6">L81</f>
        <v>34756316.024168462</v>
      </c>
      <c r="F82" s="78">
        <f t="shared" ref="F82:F145" si="7">E82*($D82/12)</f>
        <v>122516.01398519384</v>
      </c>
      <c r="G82" s="78"/>
      <c r="H82" s="78">
        <f t="shared" si="5"/>
        <v>49253.395809301772</v>
      </c>
      <c r="I82" s="73">
        <v>0</v>
      </c>
      <c r="J82" s="78">
        <f t="shared" ref="J82:J145" si="8">IF(C82&lt;=$E$9,F82,-PMT(D82/12,$E$10,$E$7))</f>
        <v>171769.40979449562</v>
      </c>
      <c r="K82" s="73">
        <f>IF(AND('Inputs and Assumptions'!$H$11="Bridge", C82&lt;='Inputs and Assumptions'!$D$14),'Inputs and Assumptions'!$D$40/'Inputs and Assumptions'!$D$14, 0)</f>
        <v>0</v>
      </c>
      <c r="L82" s="74">
        <f t="shared" ref="L82:L145" si="9">E82-H82-I82+K82</f>
        <v>34707062.628359161</v>
      </c>
    </row>
    <row r="83" spans="1:12" outlineLevel="1">
      <c r="A83" s="20">
        <v>6</v>
      </c>
      <c r="C83" s="20">
        <v>67</v>
      </c>
      <c r="D83" s="817">
        <f>IF(AND('Inputs and Assumptions'!$H$11="Bridge",'Debt Sizing'!$O$64="1 Mo Term SOFR"),IFERROR(INDEX('1 Month Term SOFR Forward Curve'!$D$5:$D$125,MATCH('Amo Schedule - Senior'!C83,'1 Month Term SOFR Forward Curve'!$C$5:$C$125,0))+$E$8,'Amo Schedule - Senior'!D82),'Amo Schedule - Senior'!$E$8)</f>
        <v>4.2300000000000004E-2</v>
      </c>
      <c r="E83" s="78">
        <f t="shared" si="6"/>
        <v>34707062.628359161</v>
      </c>
      <c r="F83" s="78">
        <f t="shared" si="7"/>
        <v>122342.39576496606</v>
      </c>
      <c r="G83" s="78"/>
      <c r="H83" s="78">
        <f t="shared" si="5"/>
        <v>49427.014029529557</v>
      </c>
      <c r="I83" s="73">
        <v>0</v>
      </c>
      <c r="J83" s="78">
        <f t="shared" si="8"/>
        <v>171769.40979449562</v>
      </c>
      <c r="K83" s="73">
        <f>IF(AND('Inputs and Assumptions'!$H$11="Bridge", C83&lt;='Inputs and Assumptions'!$D$14),'Inputs and Assumptions'!$D$40/'Inputs and Assumptions'!$D$14, 0)</f>
        <v>0</v>
      </c>
      <c r="L83" s="74">
        <f t="shared" si="9"/>
        <v>34657635.614329629</v>
      </c>
    </row>
    <row r="84" spans="1:12" outlineLevel="1">
      <c r="A84" s="20">
        <v>6</v>
      </c>
      <c r="C84" s="20">
        <v>68</v>
      </c>
      <c r="D84" s="817">
        <f>IF(AND('Inputs and Assumptions'!$H$11="Bridge",'Debt Sizing'!$O$64="1 Mo Term SOFR"),IFERROR(INDEX('1 Month Term SOFR Forward Curve'!$D$5:$D$125,MATCH('Amo Schedule - Senior'!C84,'1 Month Term SOFR Forward Curve'!$C$5:$C$125,0))+$E$8,'Amo Schedule - Senior'!D83),'Amo Schedule - Senior'!$E$8)</f>
        <v>4.2300000000000004E-2</v>
      </c>
      <c r="E84" s="78">
        <f t="shared" si="6"/>
        <v>34657635.614329629</v>
      </c>
      <c r="F84" s="78">
        <f t="shared" si="7"/>
        <v>122168.16554051195</v>
      </c>
      <c r="G84" s="78"/>
      <c r="H84" s="78">
        <f t="shared" si="5"/>
        <v>49601.244253983663</v>
      </c>
      <c r="I84" s="73">
        <v>0</v>
      </c>
      <c r="J84" s="78">
        <f t="shared" si="8"/>
        <v>171769.40979449562</v>
      </c>
      <c r="K84" s="73">
        <f>IF(AND('Inputs and Assumptions'!$H$11="Bridge", C84&lt;='Inputs and Assumptions'!$D$14),'Inputs and Assumptions'!$D$40/'Inputs and Assumptions'!$D$14, 0)</f>
        <v>0</v>
      </c>
      <c r="L84" s="74">
        <f t="shared" si="9"/>
        <v>34608034.370075643</v>
      </c>
    </row>
    <row r="85" spans="1:12" outlineLevel="1">
      <c r="A85" s="20">
        <v>6</v>
      </c>
      <c r="C85" s="20">
        <v>69</v>
      </c>
      <c r="D85" s="817">
        <f>IF(AND('Inputs and Assumptions'!$H$11="Bridge",'Debt Sizing'!$O$64="1 Mo Term SOFR"),IFERROR(INDEX('1 Month Term SOFR Forward Curve'!$D$5:$D$125,MATCH('Amo Schedule - Senior'!C85,'1 Month Term SOFR Forward Curve'!$C$5:$C$125,0))+$E$8,'Amo Schedule - Senior'!D84),'Amo Schedule - Senior'!$E$8)</f>
        <v>4.2300000000000004E-2</v>
      </c>
      <c r="E85" s="78">
        <f t="shared" si="6"/>
        <v>34608034.370075643</v>
      </c>
      <c r="F85" s="78">
        <f t="shared" si="7"/>
        <v>121993.32115451666</v>
      </c>
      <c r="G85" s="78"/>
      <c r="H85" s="78">
        <f t="shared" si="5"/>
        <v>49776.08863997896</v>
      </c>
      <c r="I85" s="73">
        <v>0</v>
      </c>
      <c r="J85" s="78">
        <f t="shared" si="8"/>
        <v>171769.40979449562</v>
      </c>
      <c r="K85" s="73">
        <f>IF(AND('Inputs and Assumptions'!$H$11="Bridge", C85&lt;='Inputs and Assumptions'!$D$14),'Inputs and Assumptions'!$D$40/'Inputs and Assumptions'!$D$14, 0)</f>
        <v>0</v>
      </c>
      <c r="L85" s="74">
        <f t="shared" si="9"/>
        <v>34558258.281435661</v>
      </c>
    </row>
    <row r="86" spans="1:12" outlineLevel="1">
      <c r="A86" s="20">
        <v>6</v>
      </c>
      <c r="C86" s="20">
        <v>70</v>
      </c>
      <c r="D86" s="817">
        <f>IF(AND('Inputs and Assumptions'!$H$11="Bridge",'Debt Sizing'!$O$64="1 Mo Term SOFR"),IFERROR(INDEX('1 Month Term SOFR Forward Curve'!$D$5:$D$125,MATCH('Amo Schedule - Senior'!C86,'1 Month Term SOFR Forward Curve'!$C$5:$C$125,0))+$E$8,'Amo Schedule - Senior'!D85),'Amo Schedule - Senior'!$E$8)</f>
        <v>4.2300000000000004E-2</v>
      </c>
      <c r="E86" s="78">
        <f t="shared" si="6"/>
        <v>34558258.281435661</v>
      </c>
      <c r="F86" s="78">
        <f t="shared" si="7"/>
        <v>121817.86044206072</v>
      </c>
      <c r="G86" s="78"/>
      <c r="H86" s="78">
        <f t="shared" si="5"/>
        <v>49951.5493524349</v>
      </c>
      <c r="I86" s="73">
        <v>0</v>
      </c>
      <c r="J86" s="78">
        <f t="shared" si="8"/>
        <v>171769.40979449562</v>
      </c>
      <c r="K86" s="73">
        <f>IF(AND('Inputs and Assumptions'!$H$11="Bridge", C86&lt;='Inputs and Assumptions'!$D$14),'Inputs and Assumptions'!$D$40/'Inputs and Assumptions'!$D$14, 0)</f>
        <v>0</v>
      </c>
      <c r="L86" s="74">
        <f t="shared" si="9"/>
        <v>34508306.732083224</v>
      </c>
    </row>
    <row r="87" spans="1:12" outlineLevel="1">
      <c r="A87" s="20">
        <v>6</v>
      </c>
      <c r="C87" s="20">
        <v>71</v>
      </c>
      <c r="D87" s="817">
        <f>IF(AND('Inputs and Assumptions'!$H$11="Bridge",'Debt Sizing'!$O$64="1 Mo Term SOFR"),IFERROR(INDEX('1 Month Term SOFR Forward Curve'!$D$5:$D$125,MATCH('Amo Schedule - Senior'!C87,'1 Month Term SOFR Forward Curve'!$C$5:$C$125,0))+$E$8,'Amo Schedule - Senior'!D86),'Amo Schedule - Senior'!$E$8)</f>
        <v>4.2300000000000004E-2</v>
      </c>
      <c r="E87" s="78">
        <f t="shared" si="6"/>
        <v>34508306.732083224</v>
      </c>
      <c r="F87" s="78">
        <f t="shared" si="7"/>
        <v>121641.78123059338</v>
      </c>
      <c r="G87" s="78"/>
      <c r="H87" s="78">
        <f t="shared" si="5"/>
        <v>50127.628563902239</v>
      </c>
      <c r="I87" s="73">
        <v>0</v>
      </c>
      <c r="J87" s="78">
        <f t="shared" si="8"/>
        <v>171769.40979449562</v>
      </c>
      <c r="K87" s="73">
        <f>IF(AND('Inputs and Assumptions'!$H$11="Bridge", C87&lt;='Inputs and Assumptions'!$D$14),'Inputs and Assumptions'!$D$40/'Inputs and Assumptions'!$D$14, 0)</f>
        <v>0</v>
      </c>
      <c r="L87" s="74">
        <f t="shared" si="9"/>
        <v>34458179.10351932</v>
      </c>
    </row>
    <row r="88" spans="1:12" outlineLevel="1">
      <c r="A88" s="49">
        <v>6</v>
      </c>
      <c r="B88" s="49"/>
      <c r="C88" s="49">
        <v>72</v>
      </c>
      <c r="D88" s="814">
        <f>IF(AND('Inputs and Assumptions'!$H$11="Bridge",'Debt Sizing'!$O$64="1 Mo Term SOFR"),IFERROR(INDEX('1 Month Term SOFR Forward Curve'!$D$5:$D$125,MATCH('Amo Schedule - Senior'!C88,'1 Month Term SOFR Forward Curve'!$C$5:$C$125,0))+$E$8,'Amo Schedule - Senior'!D87),'Amo Schedule - Senior'!$E$8)</f>
        <v>4.2300000000000004E-2</v>
      </c>
      <c r="E88" s="75">
        <f t="shared" si="6"/>
        <v>34458179.10351932</v>
      </c>
      <c r="F88" s="75">
        <f t="shared" si="7"/>
        <v>121465.08133990562</v>
      </c>
      <c r="G88" s="75"/>
      <c r="H88" s="75">
        <f t="shared" si="5"/>
        <v>50304.328454589995</v>
      </c>
      <c r="I88" s="75">
        <v>0</v>
      </c>
      <c r="J88" s="75">
        <f t="shared" si="8"/>
        <v>171769.40979449562</v>
      </c>
      <c r="K88" s="75">
        <f>IF(AND('Inputs and Assumptions'!$H$11="Bridge", C88&lt;='Inputs and Assumptions'!$D$14),'Inputs and Assumptions'!$D$40/'Inputs and Assumptions'!$D$14, 0)</f>
        <v>0</v>
      </c>
      <c r="L88" s="93">
        <f t="shared" si="9"/>
        <v>34407874.775064729</v>
      </c>
    </row>
    <row r="89" spans="1:12" outlineLevel="1">
      <c r="A89" s="56">
        <v>7</v>
      </c>
      <c r="B89" s="56"/>
      <c r="C89" s="56">
        <v>73</v>
      </c>
      <c r="D89" s="815">
        <f>IF(AND('Inputs and Assumptions'!$H$11="Bridge",'Debt Sizing'!$O$64="1 Mo Term SOFR"),IFERROR(INDEX('1 Month Term SOFR Forward Curve'!$D$5:$D$125,MATCH('Amo Schedule - Senior'!C89,'1 Month Term SOFR Forward Curve'!$C$5:$C$125,0))+$E$8,'Amo Schedule - Senior'!D88),'Amo Schedule - Senior'!$E$8)</f>
        <v>4.2300000000000004E-2</v>
      </c>
      <c r="E89" s="77">
        <f t="shared" si="6"/>
        <v>34407874.775064729</v>
      </c>
      <c r="F89" s="77">
        <f t="shared" si="7"/>
        <v>121287.75858210318</v>
      </c>
      <c r="G89" s="77"/>
      <c r="H89" s="77">
        <f t="shared" si="5"/>
        <v>50481.651212392433</v>
      </c>
      <c r="I89" s="77">
        <v>0</v>
      </c>
      <c r="J89" s="77">
        <f t="shared" si="8"/>
        <v>171769.40979449562</v>
      </c>
      <c r="K89" s="77">
        <f>IF(AND('Inputs and Assumptions'!$H$11="Bridge", C89&lt;='Inputs and Assumptions'!$D$14),'Inputs and Assumptions'!$D$40/'Inputs and Assumptions'!$D$14, 0)</f>
        <v>0</v>
      </c>
      <c r="L89" s="94">
        <f t="shared" si="9"/>
        <v>34357393.123852335</v>
      </c>
    </row>
    <row r="90" spans="1:12" ht="15.75" customHeight="1" outlineLevel="1">
      <c r="A90" s="20">
        <v>7</v>
      </c>
      <c r="C90" s="20">
        <v>74</v>
      </c>
      <c r="D90" s="813">
        <f>IF(AND('Inputs and Assumptions'!$H$11="Bridge",'Debt Sizing'!$O$64="1 Mo Term SOFR"),IFERROR(INDEX('1 Month Term SOFR Forward Curve'!$D$5:$D$125,MATCH('Amo Schedule - Senior'!C90,'1 Month Term SOFR Forward Curve'!$C$5:$C$125,0))+$E$8,'Amo Schedule - Senior'!D89),'Amo Schedule - Senior'!$E$8)</f>
        <v>4.2300000000000004E-2</v>
      </c>
      <c r="E90" s="73">
        <f t="shared" si="6"/>
        <v>34357393.123852335</v>
      </c>
      <c r="F90" s="73">
        <f t="shared" si="7"/>
        <v>121109.81076157949</v>
      </c>
      <c r="G90" s="73"/>
      <c r="H90" s="73">
        <f t="shared" si="5"/>
        <v>50659.599032916129</v>
      </c>
      <c r="I90" s="73">
        <v>0</v>
      </c>
      <c r="J90" s="73">
        <f t="shared" si="8"/>
        <v>171769.40979449562</v>
      </c>
      <c r="K90" s="73">
        <f>IF(AND('Inputs and Assumptions'!$H$11="Bridge", C90&lt;='Inputs and Assumptions'!$D$14),'Inputs and Assumptions'!$D$40/'Inputs and Assumptions'!$D$14, 0)</f>
        <v>0</v>
      </c>
      <c r="L90" s="74">
        <f t="shared" si="9"/>
        <v>34306733.524819419</v>
      </c>
    </row>
    <row r="91" spans="1:12" ht="15.75" customHeight="1" outlineLevel="1">
      <c r="A91" s="20">
        <v>7</v>
      </c>
      <c r="C91" s="20">
        <v>75</v>
      </c>
      <c r="D91" s="813">
        <f>IF(AND('Inputs and Assumptions'!$H$11="Bridge",'Debt Sizing'!$O$64="1 Mo Term SOFR"),IFERROR(INDEX('1 Month Term SOFR Forward Curve'!$D$5:$D$125,MATCH('Amo Schedule - Senior'!C91,'1 Month Term SOFR Forward Curve'!$C$5:$C$125,0))+$E$8,'Amo Schedule - Senior'!D90),'Amo Schedule - Senior'!$E$8)</f>
        <v>4.2300000000000004E-2</v>
      </c>
      <c r="E91" s="73">
        <f t="shared" si="6"/>
        <v>34306733.524819419</v>
      </c>
      <c r="F91" s="73">
        <f t="shared" si="7"/>
        <v>120931.23567498846</v>
      </c>
      <c r="G91" s="73"/>
      <c r="H91" s="73">
        <f t="shared" si="5"/>
        <v>50838.174119507152</v>
      </c>
      <c r="I91" s="73">
        <v>0</v>
      </c>
      <c r="J91" s="73">
        <f t="shared" si="8"/>
        <v>171769.40979449562</v>
      </c>
      <c r="K91" s="73">
        <f>IF(AND('Inputs and Assumptions'!$H$11="Bridge", C91&lt;='Inputs and Assumptions'!$D$14),'Inputs and Assumptions'!$D$40/'Inputs and Assumptions'!$D$14, 0)</f>
        <v>0</v>
      </c>
      <c r="L91" s="74">
        <f t="shared" si="9"/>
        <v>34255895.350699909</v>
      </c>
    </row>
    <row r="92" spans="1:12" ht="15.75" customHeight="1" outlineLevel="1">
      <c r="A92" s="20">
        <v>7</v>
      </c>
      <c r="C92" s="20">
        <v>76</v>
      </c>
      <c r="D92" s="813">
        <f>IF(AND('Inputs and Assumptions'!$H$11="Bridge",'Debt Sizing'!$O$64="1 Mo Term SOFR"),IFERROR(INDEX('1 Month Term SOFR Forward Curve'!$D$5:$D$125,MATCH('Amo Schedule - Senior'!C92,'1 Month Term SOFR Forward Curve'!$C$5:$C$125,0))+$E$8,'Amo Schedule - Senior'!D91),'Amo Schedule - Senior'!$E$8)</f>
        <v>4.2300000000000004E-2</v>
      </c>
      <c r="E92" s="73">
        <f t="shared" si="6"/>
        <v>34255895.350699909</v>
      </c>
      <c r="F92" s="73">
        <f t="shared" si="7"/>
        <v>120752.03111121719</v>
      </c>
      <c r="G92" s="73"/>
      <c r="H92" s="73">
        <f t="shared" si="5"/>
        <v>51017.378683278424</v>
      </c>
      <c r="I92" s="73">
        <v>0</v>
      </c>
      <c r="J92" s="73">
        <f t="shared" si="8"/>
        <v>171769.40979449562</v>
      </c>
      <c r="K92" s="73">
        <f>IF(AND('Inputs and Assumptions'!$H$11="Bridge", C92&lt;='Inputs and Assumptions'!$D$14),'Inputs and Assumptions'!$D$40/'Inputs and Assumptions'!$D$14, 0)</f>
        <v>0</v>
      </c>
      <c r="L92" s="74">
        <f t="shared" si="9"/>
        <v>34204877.972016633</v>
      </c>
    </row>
    <row r="93" spans="1:12" ht="15.75" customHeight="1" outlineLevel="1">
      <c r="A93" s="20">
        <v>7</v>
      </c>
      <c r="C93" s="20">
        <v>77</v>
      </c>
      <c r="D93" s="813">
        <f>IF(AND('Inputs and Assumptions'!$H$11="Bridge",'Debt Sizing'!$O$64="1 Mo Term SOFR"),IFERROR(INDEX('1 Month Term SOFR Forward Curve'!$D$5:$D$125,MATCH('Amo Schedule - Senior'!C93,'1 Month Term SOFR Forward Curve'!$C$5:$C$125,0))+$E$8,'Amo Schedule - Senior'!D92),'Amo Schedule - Senior'!$E$8)</f>
        <v>4.2300000000000004E-2</v>
      </c>
      <c r="E93" s="73">
        <f t="shared" si="6"/>
        <v>34204877.972016633</v>
      </c>
      <c r="F93" s="73">
        <f t="shared" si="7"/>
        <v>120572.19485135864</v>
      </c>
      <c r="G93" s="73"/>
      <c r="H93" s="73">
        <f t="shared" si="5"/>
        <v>51197.214943136976</v>
      </c>
      <c r="I93" s="73">
        <v>0</v>
      </c>
      <c r="J93" s="73">
        <f t="shared" si="8"/>
        <v>171769.40979449562</v>
      </c>
      <c r="K93" s="73">
        <f>IF(AND('Inputs and Assumptions'!$H$11="Bridge", C93&lt;='Inputs and Assumptions'!$D$14),'Inputs and Assumptions'!$D$40/'Inputs and Assumptions'!$D$14, 0)</f>
        <v>0</v>
      </c>
      <c r="L93" s="74">
        <f t="shared" si="9"/>
        <v>34153680.757073499</v>
      </c>
    </row>
    <row r="94" spans="1:12" ht="15.75" customHeight="1" outlineLevel="1">
      <c r="A94" s="20">
        <v>7</v>
      </c>
      <c r="C94" s="20">
        <v>78</v>
      </c>
      <c r="D94" s="813">
        <f>IF(AND('Inputs and Assumptions'!$H$11="Bridge",'Debt Sizing'!$O$64="1 Mo Term SOFR"),IFERROR(INDEX('1 Month Term SOFR Forward Curve'!$D$5:$D$125,MATCH('Amo Schedule - Senior'!C94,'1 Month Term SOFR Forward Curve'!$C$5:$C$125,0))+$E$8,'Amo Schedule - Senior'!D93),'Amo Schedule - Senior'!$E$8)</f>
        <v>4.2300000000000004E-2</v>
      </c>
      <c r="E94" s="73">
        <f t="shared" si="6"/>
        <v>34153680.757073499</v>
      </c>
      <c r="F94" s="73">
        <f t="shared" si="7"/>
        <v>120391.7246686841</v>
      </c>
      <c r="G94" s="73"/>
      <c r="H94" s="73">
        <f t="shared" si="5"/>
        <v>51377.68512581152</v>
      </c>
      <c r="I94" s="73">
        <v>0</v>
      </c>
      <c r="J94" s="73">
        <f t="shared" si="8"/>
        <v>171769.40979449562</v>
      </c>
      <c r="K94" s="73">
        <f>IF(AND('Inputs and Assumptions'!$H$11="Bridge", C94&lt;='Inputs and Assumptions'!$D$14),'Inputs and Assumptions'!$D$40/'Inputs and Assumptions'!$D$14, 0)</f>
        <v>0</v>
      </c>
      <c r="L94" s="74">
        <f t="shared" si="9"/>
        <v>34102303.071947686</v>
      </c>
    </row>
    <row r="95" spans="1:12" ht="15.75" customHeight="1" outlineLevel="1">
      <c r="A95" s="20">
        <v>7</v>
      </c>
      <c r="C95" s="20">
        <v>79</v>
      </c>
      <c r="D95" s="813">
        <f>IF(AND('Inputs and Assumptions'!$H$11="Bridge",'Debt Sizing'!$O$64="1 Mo Term SOFR"),IFERROR(INDEX('1 Month Term SOFR Forward Curve'!$D$5:$D$125,MATCH('Amo Schedule - Senior'!C95,'1 Month Term SOFR Forward Curve'!$C$5:$C$125,0))+$E$8,'Amo Schedule - Senior'!D94),'Amo Schedule - Senior'!$E$8)</f>
        <v>4.2300000000000004E-2</v>
      </c>
      <c r="E95" s="73">
        <f t="shared" si="6"/>
        <v>34102303.071947686</v>
      </c>
      <c r="F95" s="73">
        <f t="shared" si="7"/>
        <v>120210.6183286156</v>
      </c>
      <c r="G95" s="73"/>
      <c r="H95" s="73">
        <f t="shared" si="5"/>
        <v>51558.791465880015</v>
      </c>
      <c r="I95" s="73">
        <v>0</v>
      </c>
      <c r="J95" s="73">
        <f t="shared" si="8"/>
        <v>171769.40979449562</v>
      </c>
      <c r="K95" s="73">
        <f>IF(AND('Inputs and Assumptions'!$H$11="Bridge", C95&lt;='Inputs and Assumptions'!$D$14),'Inputs and Assumptions'!$D$40/'Inputs and Assumptions'!$D$14, 0)</f>
        <v>0</v>
      </c>
      <c r="L95" s="74">
        <f t="shared" si="9"/>
        <v>34050744.280481808</v>
      </c>
    </row>
    <row r="96" spans="1:12" ht="15.75" customHeight="1" outlineLevel="1">
      <c r="A96" s="20">
        <v>7</v>
      </c>
      <c r="C96" s="20">
        <v>80</v>
      </c>
      <c r="D96" s="813">
        <f>IF(AND('Inputs and Assumptions'!$H$11="Bridge",'Debt Sizing'!$O$64="1 Mo Term SOFR"),IFERROR(INDEX('1 Month Term SOFR Forward Curve'!$D$5:$D$125,MATCH('Amo Schedule - Senior'!C96,'1 Month Term SOFR Forward Curve'!$C$5:$C$125,0))+$E$8,'Amo Schedule - Senior'!D95),'Amo Schedule - Senior'!$E$8)</f>
        <v>4.2300000000000004E-2</v>
      </c>
      <c r="E96" s="73">
        <f t="shared" si="6"/>
        <v>34050744.280481808</v>
      </c>
      <c r="F96" s="73">
        <f t="shared" si="7"/>
        <v>120028.87358869838</v>
      </c>
      <c r="G96" s="73"/>
      <c r="H96" s="73">
        <f t="shared" si="5"/>
        <v>51740.536205797238</v>
      </c>
      <c r="I96" s="73">
        <v>0</v>
      </c>
      <c r="J96" s="73">
        <f t="shared" si="8"/>
        <v>171769.40979449562</v>
      </c>
      <c r="K96" s="73">
        <f>IF(AND('Inputs and Assumptions'!$H$11="Bridge", C96&lt;='Inputs and Assumptions'!$D$14),'Inputs and Assumptions'!$D$40/'Inputs and Assumptions'!$D$14, 0)</f>
        <v>0</v>
      </c>
      <c r="L96" s="74">
        <f t="shared" si="9"/>
        <v>33999003.74427601</v>
      </c>
    </row>
    <row r="97" spans="1:12" ht="15.75" customHeight="1" outlineLevel="1">
      <c r="A97" s="20">
        <v>7</v>
      </c>
      <c r="C97" s="20">
        <v>81</v>
      </c>
      <c r="D97" s="813">
        <f>IF(AND('Inputs and Assumptions'!$H$11="Bridge",'Debt Sizing'!$O$64="1 Mo Term SOFR"),IFERROR(INDEX('1 Month Term SOFR Forward Curve'!$D$5:$D$125,MATCH('Amo Schedule - Senior'!C97,'1 Month Term SOFR Forward Curve'!$C$5:$C$125,0))+$E$8,'Amo Schedule - Senior'!D96),'Amo Schedule - Senior'!$E$8)</f>
        <v>4.2300000000000004E-2</v>
      </c>
      <c r="E97" s="73">
        <f t="shared" si="6"/>
        <v>33999003.74427601</v>
      </c>
      <c r="F97" s="73">
        <f t="shared" si="7"/>
        <v>119846.48819857294</v>
      </c>
      <c r="G97" s="73"/>
      <c r="H97" s="73">
        <f t="shared" si="5"/>
        <v>51922.921595922671</v>
      </c>
      <c r="I97" s="73">
        <v>0</v>
      </c>
      <c r="J97" s="73">
        <f t="shared" si="8"/>
        <v>171769.40979449562</v>
      </c>
      <c r="K97" s="73">
        <f>IF(AND('Inputs and Assumptions'!$H$11="Bridge", C97&lt;='Inputs and Assumptions'!$D$14),'Inputs and Assumptions'!$D$40/'Inputs and Assumptions'!$D$14, 0)</f>
        <v>0</v>
      </c>
      <c r="L97" s="74">
        <f t="shared" si="9"/>
        <v>33947080.822680086</v>
      </c>
    </row>
    <row r="98" spans="1:12" ht="15.75" customHeight="1" outlineLevel="1">
      <c r="A98" s="20">
        <v>7</v>
      </c>
      <c r="C98" s="20">
        <v>82</v>
      </c>
      <c r="D98" s="817">
        <f>IF(AND('Inputs and Assumptions'!$H$11="Bridge",'Debt Sizing'!$O$64="1 Mo Term SOFR"),IFERROR(INDEX('1 Month Term SOFR Forward Curve'!$D$5:$D$125,MATCH('Amo Schedule - Senior'!C98,'1 Month Term SOFR Forward Curve'!$C$5:$C$125,0))+$E$8,'Amo Schedule - Senior'!D97),'Amo Schedule - Senior'!$E$8)</f>
        <v>4.2300000000000004E-2</v>
      </c>
      <c r="E98" s="78">
        <f t="shared" si="6"/>
        <v>33947080.822680086</v>
      </c>
      <c r="F98" s="78">
        <f t="shared" si="7"/>
        <v>119663.45989994731</v>
      </c>
      <c r="G98" s="78"/>
      <c r="H98" s="78">
        <f t="shared" si="5"/>
        <v>52105.949894548306</v>
      </c>
      <c r="I98" s="73">
        <v>0</v>
      </c>
      <c r="J98" s="78">
        <f t="shared" si="8"/>
        <v>171769.40979449562</v>
      </c>
      <c r="K98" s="73">
        <f>IF(AND('Inputs and Assumptions'!$H$11="Bridge", C98&lt;='Inputs and Assumptions'!$D$14),'Inputs and Assumptions'!$D$40/'Inputs and Assumptions'!$D$14, 0)</f>
        <v>0</v>
      </c>
      <c r="L98" s="74">
        <f t="shared" si="9"/>
        <v>33894974.872785538</v>
      </c>
    </row>
    <row r="99" spans="1:12" ht="15.75" customHeight="1" outlineLevel="1">
      <c r="A99" s="20">
        <v>7</v>
      </c>
      <c r="C99" s="20">
        <v>83</v>
      </c>
      <c r="D99" s="817">
        <f>IF(AND('Inputs and Assumptions'!$H$11="Bridge",'Debt Sizing'!$O$64="1 Mo Term SOFR"),IFERROR(INDEX('1 Month Term SOFR Forward Curve'!$D$5:$D$125,MATCH('Amo Schedule - Senior'!C99,'1 Month Term SOFR Forward Curve'!$C$5:$C$125,0))+$E$8,'Amo Schedule - Senior'!D98),'Amo Schedule - Senior'!$E$8)</f>
        <v>4.2300000000000004E-2</v>
      </c>
      <c r="E99" s="78">
        <f t="shared" si="6"/>
        <v>33894974.872785538</v>
      </c>
      <c r="F99" s="78">
        <f t="shared" si="7"/>
        <v>119479.78642656903</v>
      </c>
      <c r="G99" s="78"/>
      <c r="H99" s="78">
        <f t="shared" si="5"/>
        <v>52289.623367926586</v>
      </c>
      <c r="I99" s="73">
        <v>0</v>
      </c>
      <c r="J99" s="78">
        <f t="shared" si="8"/>
        <v>171769.40979449562</v>
      </c>
      <c r="K99" s="73">
        <f>IF(AND('Inputs and Assumptions'!$H$11="Bridge", C99&lt;='Inputs and Assumptions'!$D$14),'Inputs and Assumptions'!$D$40/'Inputs and Assumptions'!$D$14, 0)</f>
        <v>0</v>
      </c>
      <c r="L99" s="74">
        <f t="shared" si="9"/>
        <v>33842685.24941761</v>
      </c>
    </row>
    <row r="100" spans="1:12" s="59" customFormat="1" ht="16.5" customHeight="1" outlineLevel="1" thickBot="1">
      <c r="A100" s="49">
        <v>7</v>
      </c>
      <c r="B100" s="49"/>
      <c r="C100" s="49">
        <v>84</v>
      </c>
      <c r="D100" s="814">
        <f>IF(AND('Inputs and Assumptions'!$H$11="Bridge",'Debt Sizing'!$O$64="1 Mo Term SOFR"),IFERROR(INDEX('1 Month Term SOFR Forward Curve'!$D$5:$D$125,MATCH('Amo Schedule - Senior'!C100,'1 Month Term SOFR Forward Curve'!$C$5:$C$125,0))+$E$8,'Amo Schedule - Senior'!D99),'Amo Schedule - Senior'!$E$8)</f>
        <v>4.2300000000000004E-2</v>
      </c>
      <c r="E100" s="75">
        <f t="shared" si="6"/>
        <v>33842685.24941761</v>
      </c>
      <c r="F100" s="75">
        <f t="shared" si="7"/>
        <v>119295.46550419708</v>
      </c>
      <c r="G100" s="75"/>
      <c r="H100" s="75">
        <f t="shared" si="5"/>
        <v>52473.944290298532</v>
      </c>
      <c r="I100" s="75">
        <v>0</v>
      </c>
      <c r="J100" s="75">
        <f t="shared" si="8"/>
        <v>171769.40979449562</v>
      </c>
      <c r="K100" s="75">
        <f>IF(AND('Inputs and Assumptions'!$H$11="Bridge", C100&lt;='Inputs and Assumptions'!$D$14),'Inputs and Assumptions'!$D$40/'Inputs and Assumptions'!$D$14, 0)</f>
        <v>0</v>
      </c>
      <c r="L100" s="93">
        <f t="shared" si="9"/>
        <v>33790211.305127315</v>
      </c>
    </row>
    <row r="101" spans="1:12" outlineLevel="1">
      <c r="A101" s="56">
        <v>8</v>
      </c>
      <c r="B101" s="56"/>
      <c r="C101" s="56">
        <v>85</v>
      </c>
      <c r="D101" s="815">
        <f>IF(AND('Inputs and Assumptions'!$H$11="Bridge",'Debt Sizing'!$O$64="1 Mo Term SOFR"),IFERROR(INDEX('1 Month Term SOFR Forward Curve'!$D$5:$D$125,MATCH('Amo Schedule - Senior'!C101,'1 Month Term SOFR Forward Curve'!$C$5:$C$125,0))+$E$8,'Amo Schedule - Senior'!D100),'Amo Schedule - Senior'!$E$8)</f>
        <v>4.2300000000000004E-2</v>
      </c>
      <c r="E101" s="77">
        <f t="shared" si="6"/>
        <v>33790211.305127315</v>
      </c>
      <c r="F101" s="77">
        <f t="shared" si="7"/>
        <v>119110.4948505738</v>
      </c>
      <c r="G101" s="77"/>
      <c r="H101" s="77">
        <f t="shared" si="5"/>
        <v>52658.914943921816</v>
      </c>
      <c r="I101" s="77">
        <v>0</v>
      </c>
      <c r="J101" s="77">
        <f t="shared" si="8"/>
        <v>171769.40979449562</v>
      </c>
      <c r="K101" s="77">
        <f>IF(AND('Inputs and Assumptions'!$H$11="Bridge", C101&lt;='Inputs and Assumptions'!$D$14),'Inputs and Assumptions'!$D$40/'Inputs and Assumptions'!$D$14, 0)</f>
        <v>0</v>
      </c>
      <c r="L101" s="94">
        <f t="shared" si="9"/>
        <v>33737552.390183397</v>
      </c>
    </row>
    <row r="102" spans="1:12" outlineLevel="1">
      <c r="A102" s="20">
        <v>8</v>
      </c>
      <c r="C102" s="20">
        <v>86</v>
      </c>
      <c r="D102" s="813">
        <f>IF(AND('Inputs and Assumptions'!$H$11="Bridge",'Debt Sizing'!$O$64="1 Mo Term SOFR"),IFERROR(INDEX('1 Month Term SOFR Forward Curve'!$D$5:$D$125,MATCH('Amo Schedule - Senior'!C102,'1 Month Term SOFR Forward Curve'!$C$5:$C$125,0))+$E$8,'Amo Schedule - Senior'!D101),'Amo Schedule - Senior'!$E$8)</f>
        <v>4.2300000000000004E-2</v>
      </c>
      <c r="E102" s="73">
        <f t="shared" si="6"/>
        <v>33737552.390183397</v>
      </c>
      <c r="F102" s="73">
        <f t="shared" si="7"/>
        <v>118924.87217539648</v>
      </c>
      <c r="G102" s="73"/>
      <c r="H102" s="73">
        <f t="shared" si="5"/>
        <v>52844.537619099137</v>
      </c>
      <c r="I102" s="73">
        <v>0</v>
      </c>
      <c r="J102" s="73">
        <f t="shared" si="8"/>
        <v>171769.40979449562</v>
      </c>
      <c r="K102" s="73">
        <f>IF(AND('Inputs and Assumptions'!$H$11="Bridge", C102&lt;='Inputs and Assumptions'!$D$14),'Inputs and Assumptions'!$D$40/'Inputs and Assumptions'!$D$14, 0)</f>
        <v>0</v>
      </c>
      <c r="L102" s="74">
        <f t="shared" si="9"/>
        <v>33684707.852564298</v>
      </c>
    </row>
    <row r="103" spans="1:12" outlineLevel="1">
      <c r="A103" s="20">
        <v>8</v>
      </c>
      <c r="C103" s="20">
        <v>87</v>
      </c>
      <c r="D103" s="813">
        <f>IF(AND('Inputs and Assumptions'!$H$11="Bridge",'Debt Sizing'!$O$64="1 Mo Term SOFR"),IFERROR(INDEX('1 Month Term SOFR Forward Curve'!$D$5:$D$125,MATCH('Amo Schedule - Senior'!C103,'1 Month Term SOFR Forward Curve'!$C$5:$C$125,0))+$E$8,'Amo Schedule - Senior'!D102),'Amo Schedule - Senior'!$E$8)</f>
        <v>4.2300000000000004E-2</v>
      </c>
      <c r="E103" s="73">
        <f t="shared" si="6"/>
        <v>33684707.852564298</v>
      </c>
      <c r="F103" s="73">
        <f t="shared" si="7"/>
        <v>118738.59518028917</v>
      </c>
      <c r="G103" s="73"/>
      <c r="H103" s="73">
        <f t="shared" si="5"/>
        <v>53030.814614206451</v>
      </c>
      <c r="I103" s="73">
        <v>0</v>
      </c>
      <c r="J103" s="73">
        <f t="shared" si="8"/>
        <v>171769.40979449562</v>
      </c>
      <c r="K103" s="73">
        <f>IF(AND('Inputs and Assumptions'!$H$11="Bridge", C103&lt;='Inputs and Assumptions'!$D$14),'Inputs and Assumptions'!$D$40/'Inputs and Assumptions'!$D$14, 0)</f>
        <v>0</v>
      </c>
      <c r="L103" s="74">
        <f t="shared" si="9"/>
        <v>33631677.037950091</v>
      </c>
    </row>
    <row r="104" spans="1:12" outlineLevel="1">
      <c r="A104" s="20">
        <v>8</v>
      </c>
      <c r="C104" s="20">
        <v>88</v>
      </c>
      <c r="D104" s="813">
        <f>IF(AND('Inputs and Assumptions'!$H$11="Bridge",'Debt Sizing'!$O$64="1 Mo Term SOFR"),IFERROR(INDEX('1 Month Term SOFR Forward Curve'!$D$5:$D$125,MATCH('Amo Schedule - Senior'!C104,'1 Month Term SOFR Forward Curve'!$C$5:$C$125,0))+$E$8,'Amo Schedule - Senior'!D103),'Amo Schedule - Senior'!$E$8)</f>
        <v>4.2300000000000004E-2</v>
      </c>
      <c r="E104" s="73">
        <f t="shared" si="6"/>
        <v>33631677.037950091</v>
      </c>
      <c r="F104" s="73">
        <f t="shared" si="7"/>
        <v>118551.66155877408</v>
      </c>
      <c r="G104" s="73"/>
      <c r="H104" s="73">
        <f t="shared" si="5"/>
        <v>53217.748235721534</v>
      </c>
      <c r="I104" s="73">
        <v>0</v>
      </c>
      <c r="J104" s="73">
        <f t="shared" si="8"/>
        <v>171769.40979449562</v>
      </c>
      <c r="K104" s="73">
        <f>IF(AND('Inputs and Assumptions'!$H$11="Bridge", C104&lt;='Inputs and Assumptions'!$D$14),'Inputs and Assumptions'!$D$40/'Inputs and Assumptions'!$D$14, 0)</f>
        <v>0</v>
      </c>
      <c r="L104" s="74">
        <f t="shared" si="9"/>
        <v>33578459.289714366</v>
      </c>
    </row>
    <row r="105" spans="1:12" outlineLevel="1">
      <c r="A105" s="20">
        <v>8</v>
      </c>
      <c r="C105" s="20">
        <v>89</v>
      </c>
      <c r="D105" s="813">
        <f>IF(AND('Inputs and Assumptions'!$H$11="Bridge",'Debt Sizing'!$O$64="1 Mo Term SOFR"),IFERROR(INDEX('1 Month Term SOFR Forward Curve'!$D$5:$D$125,MATCH('Amo Schedule - Senior'!C105,'1 Month Term SOFR Forward Curve'!$C$5:$C$125,0))+$E$8,'Amo Schedule - Senior'!D104),'Amo Schedule - Senior'!$E$8)</f>
        <v>4.2300000000000004E-2</v>
      </c>
      <c r="E105" s="73">
        <f t="shared" si="6"/>
        <v>33578459.289714366</v>
      </c>
      <c r="F105" s="73">
        <f t="shared" si="7"/>
        <v>118364.06899624315</v>
      </c>
      <c r="G105" s="73"/>
      <c r="H105" s="73">
        <f t="shared" si="5"/>
        <v>53405.340798252466</v>
      </c>
      <c r="I105" s="73">
        <v>0</v>
      </c>
      <c r="J105" s="73">
        <f t="shared" si="8"/>
        <v>171769.40979449562</v>
      </c>
      <c r="K105" s="73">
        <f>IF(AND('Inputs and Assumptions'!$H$11="Bridge", C105&lt;='Inputs and Assumptions'!$D$14),'Inputs and Assumptions'!$D$40/'Inputs and Assumptions'!$D$14, 0)</f>
        <v>0</v>
      </c>
      <c r="L105" s="74">
        <f t="shared" si="9"/>
        <v>33525053.948916115</v>
      </c>
    </row>
    <row r="106" spans="1:12" outlineLevel="1">
      <c r="A106" s="20">
        <v>8</v>
      </c>
      <c r="C106" s="20">
        <v>90</v>
      </c>
      <c r="D106" s="813">
        <f>IF(AND('Inputs and Assumptions'!$H$11="Bridge",'Debt Sizing'!$O$64="1 Mo Term SOFR"),IFERROR(INDEX('1 Month Term SOFR Forward Curve'!$D$5:$D$125,MATCH('Amo Schedule - Senior'!C106,'1 Month Term SOFR Forward Curve'!$C$5:$C$125,0))+$E$8,'Amo Schedule - Senior'!D105),'Amo Schedule - Senior'!$E$8)</f>
        <v>4.2300000000000004E-2</v>
      </c>
      <c r="E106" s="73">
        <f t="shared" si="6"/>
        <v>33525053.948916115</v>
      </c>
      <c r="F106" s="73">
        <f t="shared" si="7"/>
        <v>118175.81516992932</v>
      </c>
      <c r="G106" s="73"/>
      <c r="H106" s="73">
        <f t="shared" si="5"/>
        <v>53593.594624566293</v>
      </c>
      <c r="I106" s="73">
        <v>0</v>
      </c>
      <c r="J106" s="73">
        <f t="shared" si="8"/>
        <v>171769.40979449562</v>
      </c>
      <c r="K106" s="73">
        <f>IF(AND('Inputs and Assumptions'!$H$11="Bridge", C106&lt;='Inputs and Assumptions'!$D$14),'Inputs and Assumptions'!$D$40/'Inputs and Assumptions'!$D$14, 0)</f>
        <v>0</v>
      </c>
      <c r="L106" s="74">
        <f t="shared" si="9"/>
        <v>33471460.354291547</v>
      </c>
    </row>
    <row r="107" spans="1:12" outlineLevel="1">
      <c r="A107" s="20">
        <v>8</v>
      </c>
      <c r="C107" s="20">
        <v>91</v>
      </c>
      <c r="D107" s="813">
        <f>IF(AND('Inputs and Assumptions'!$H$11="Bridge",'Debt Sizing'!$O$64="1 Mo Term SOFR"),IFERROR(INDEX('1 Month Term SOFR Forward Curve'!$D$5:$D$125,MATCH('Amo Schedule - Senior'!C107,'1 Month Term SOFR Forward Curve'!$C$5:$C$125,0))+$E$8,'Amo Schedule - Senior'!D106),'Amo Schedule - Senior'!$E$8)</f>
        <v>4.2300000000000004E-2</v>
      </c>
      <c r="E107" s="73">
        <f t="shared" si="6"/>
        <v>33471460.354291547</v>
      </c>
      <c r="F107" s="73">
        <f t="shared" si="7"/>
        <v>117986.89774887772</v>
      </c>
      <c r="G107" s="73"/>
      <c r="H107" s="73">
        <f t="shared" si="5"/>
        <v>53782.512045617899</v>
      </c>
      <c r="I107" s="73">
        <v>0</v>
      </c>
      <c r="J107" s="73">
        <f t="shared" si="8"/>
        <v>171769.40979449562</v>
      </c>
      <c r="K107" s="73">
        <f>IF(AND('Inputs and Assumptions'!$H$11="Bridge", C107&lt;='Inputs and Assumptions'!$D$14),'Inputs and Assumptions'!$D$40/'Inputs and Assumptions'!$D$14, 0)</f>
        <v>0</v>
      </c>
      <c r="L107" s="74">
        <f t="shared" si="9"/>
        <v>33417677.842245929</v>
      </c>
    </row>
    <row r="108" spans="1:12" outlineLevel="1">
      <c r="A108" s="20">
        <v>8</v>
      </c>
      <c r="C108" s="20">
        <v>92</v>
      </c>
      <c r="D108" s="813">
        <f>IF(AND('Inputs and Assumptions'!$H$11="Bridge",'Debt Sizing'!$O$64="1 Mo Term SOFR"),IFERROR(INDEX('1 Month Term SOFR Forward Curve'!$D$5:$D$125,MATCH('Amo Schedule - Senior'!C108,'1 Month Term SOFR Forward Curve'!$C$5:$C$125,0))+$E$8,'Amo Schedule - Senior'!D107),'Amo Schedule - Senior'!$E$8)</f>
        <v>4.2300000000000004E-2</v>
      </c>
      <c r="E108" s="73">
        <f t="shared" si="6"/>
        <v>33417677.842245929</v>
      </c>
      <c r="F108" s="73">
        <f t="shared" si="7"/>
        <v>117797.31439391691</v>
      </c>
      <c r="G108" s="73"/>
      <c r="H108" s="73">
        <f t="shared" si="5"/>
        <v>53972.095400578706</v>
      </c>
      <c r="I108" s="73">
        <v>0</v>
      </c>
      <c r="J108" s="73">
        <f t="shared" si="8"/>
        <v>171769.40979449562</v>
      </c>
      <c r="K108" s="73">
        <f>IF(AND('Inputs and Assumptions'!$H$11="Bridge", C108&lt;='Inputs and Assumptions'!$D$14),'Inputs and Assumptions'!$D$40/'Inputs and Assumptions'!$D$14, 0)</f>
        <v>0</v>
      </c>
      <c r="L108" s="74">
        <f t="shared" si="9"/>
        <v>33363705.74684535</v>
      </c>
    </row>
    <row r="109" spans="1:12" outlineLevel="1">
      <c r="A109" s="20">
        <v>8</v>
      </c>
      <c r="C109" s="20">
        <v>93</v>
      </c>
      <c r="D109" s="813">
        <f>IF(AND('Inputs and Assumptions'!$H$11="Bridge",'Debt Sizing'!$O$64="1 Mo Term SOFR"),IFERROR(INDEX('1 Month Term SOFR Forward Curve'!$D$5:$D$125,MATCH('Amo Schedule - Senior'!C109,'1 Month Term SOFR Forward Curve'!$C$5:$C$125,0))+$E$8,'Amo Schedule - Senior'!D108),'Amo Schedule - Senior'!$E$8)</f>
        <v>4.2300000000000004E-2</v>
      </c>
      <c r="E109" s="73">
        <f t="shared" si="6"/>
        <v>33363705.74684535</v>
      </c>
      <c r="F109" s="73">
        <f t="shared" si="7"/>
        <v>117607.06275762987</v>
      </c>
      <c r="G109" s="73"/>
      <c r="H109" s="73">
        <f t="shared" si="5"/>
        <v>54162.347036865744</v>
      </c>
      <c r="I109" s="73">
        <v>0</v>
      </c>
      <c r="J109" s="73">
        <f t="shared" si="8"/>
        <v>171769.40979449562</v>
      </c>
      <c r="K109" s="73">
        <f>IF(AND('Inputs and Assumptions'!$H$11="Bridge", C109&lt;='Inputs and Assumptions'!$D$14),'Inputs and Assumptions'!$D$40/'Inputs and Assumptions'!$D$14, 0)</f>
        <v>0</v>
      </c>
      <c r="L109" s="74">
        <f t="shared" si="9"/>
        <v>33309543.399808485</v>
      </c>
    </row>
    <row r="110" spans="1:12" outlineLevel="1">
      <c r="A110" s="20">
        <v>8</v>
      </c>
      <c r="C110" s="20">
        <v>94</v>
      </c>
      <c r="D110" s="813">
        <f>IF(AND('Inputs and Assumptions'!$H$11="Bridge",'Debt Sizing'!$O$64="1 Mo Term SOFR"),IFERROR(INDEX('1 Month Term SOFR Forward Curve'!$D$5:$D$125,MATCH('Amo Schedule - Senior'!C110,'1 Month Term SOFR Forward Curve'!$C$5:$C$125,0))+$E$8,'Amo Schedule - Senior'!D109),'Amo Schedule - Senior'!$E$8)</f>
        <v>4.2300000000000004E-2</v>
      </c>
      <c r="E110" s="73">
        <f t="shared" si="6"/>
        <v>33309543.399808485</v>
      </c>
      <c r="F110" s="73">
        <f t="shared" si="7"/>
        <v>117416.14048432492</v>
      </c>
      <c r="G110" s="73"/>
      <c r="H110" s="73">
        <f t="shared" si="5"/>
        <v>54353.269310170697</v>
      </c>
      <c r="I110" s="73">
        <v>0</v>
      </c>
      <c r="J110" s="73">
        <f t="shared" si="8"/>
        <v>171769.40979449562</v>
      </c>
      <c r="K110" s="73">
        <f>IF(AND('Inputs and Assumptions'!$H$11="Bridge", C110&lt;='Inputs and Assumptions'!$D$14),'Inputs and Assumptions'!$D$40/'Inputs and Assumptions'!$D$14, 0)</f>
        <v>0</v>
      </c>
      <c r="L110" s="74">
        <f t="shared" si="9"/>
        <v>33255190.130498316</v>
      </c>
    </row>
    <row r="111" spans="1:12" outlineLevel="1">
      <c r="A111" s="20">
        <v>8</v>
      </c>
      <c r="C111" s="20">
        <v>95</v>
      </c>
      <c r="D111" s="813">
        <f>IF(AND('Inputs and Assumptions'!$H$11="Bridge",'Debt Sizing'!$O$64="1 Mo Term SOFR"),IFERROR(INDEX('1 Month Term SOFR Forward Curve'!$D$5:$D$125,MATCH('Amo Schedule - Senior'!C111,'1 Month Term SOFR Forward Curve'!$C$5:$C$125,0))+$E$8,'Amo Schedule - Senior'!D110),'Amo Schedule - Senior'!$E$8)</f>
        <v>4.2300000000000004E-2</v>
      </c>
      <c r="E111" s="73">
        <f t="shared" si="6"/>
        <v>33255190.130498316</v>
      </c>
      <c r="F111" s="73">
        <f t="shared" si="7"/>
        <v>117224.54521000657</v>
      </c>
      <c r="G111" s="73"/>
      <c r="H111" s="73">
        <f t="shared" si="5"/>
        <v>54544.864584489042</v>
      </c>
      <c r="I111" s="73">
        <v>0</v>
      </c>
      <c r="J111" s="73">
        <f t="shared" si="8"/>
        <v>171769.40979449562</v>
      </c>
      <c r="K111" s="73">
        <f>IF(AND('Inputs and Assumptions'!$H$11="Bridge", C111&lt;='Inputs and Assumptions'!$D$14),'Inputs and Assumptions'!$D$40/'Inputs and Assumptions'!$D$14, 0)</f>
        <v>0</v>
      </c>
      <c r="L111" s="74">
        <f t="shared" si="9"/>
        <v>33200645.265913825</v>
      </c>
    </row>
    <row r="112" spans="1:12" outlineLevel="1">
      <c r="A112" s="49">
        <v>8</v>
      </c>
      <c r="B112" s="49"/>
      <c r="C112" s="44">
        <v>96</v>
      </c>
      <c r="D112" s="818">
        <f>IF(AND('Inputs and Assumptions'!$H$11="Bridge",'Debt Sizing'!$O$64="1 Mo Term SOFR"),IFERROR(INDEX('1 Month Term SOFR Forward Curve'!$D$5:$D$125,MATCH('Amo Schedule - Senior'!C112,'1 Month Term SOFR Forward Curve'!$C$5:$C$125,0))+$E$8,'Amo Schedule - Senior'!D111),'Amo Schedule - Senior'!$E$8)</f>
        <v>4.2300000000000004E-2</v>
      </c>
      <c r="E112" s="79">
        <f t="shared" si="6"/>
        <v>33200645.265913825</v>
      </c>
      <c r="F112" s="79">
        <f t="shared" si="7"/>
        <v>117032.27456234624</v>
      </c>
      <c r="G112" s="79"/>
      <c r="H112" s="79">
        <f t="shared" si="5"/>
        <v>54737.135232149376</v>
      </c>
      <c r="I112" s="75">
        <v>0</v>
      </c>
      <c r="J112" s="79">
        <f t="shared" si="8"/>
        <v>171769.40979449562</v>
      </c>
      <c r="K112" s="75">
        <f>IF(AND('Inputs and Assumptions'!$H$11="Bridge", C112&lt;='Inputs and Assumptions'!$D$14),'Inputs and Assumptions'!$D$40/'Inputs and Assumptions'!$D$14, 0)</f>
        <v>0</v>
      </c>
      <c r="L112" s="93">
        <f t="shared" si="9"/>
        <v>33145908.130681675</v>
      </c>
    </row>
    <row r="113" spans="1:12" outlineLevel="1">
      <c r="A113" s="56">
        <v>9</v>
      </c>
      <c r="B113" s="56"/>
      <c r="C113" s="56">
        <v>97</v>
      </c>
      <c r="D113" s="815">
        <f>IF(AND('Inputs and Assumptions'!$H$11="Bridge",'Debt Sizing'!$O$64="1 Mo Term SOFR"),IFERROR(INDEX('1 Month Term SOFR Forward Curve'!$D$5:$D$125,MATCH('Amo Schedule - Senior'!C113,'1 Month Term SOFR Forward Curve'!$C$5:$C$125,0))+$E$8,'Amo Schedule - Senior'!D112),'Amo Schedule - Senior'!$E$8)</f>
        <v>4.2300000000000004E-2</v>
      </c>
      <c r="E113" s="77">
        <f t="shared" si="6"/>
        <v>33145908.130681675</v>
      </c>
      <c r="F113" s="77">
        <f t="shared" si="7"/>
        <v>116839.32616065291</v>
      </c>
      <c r="G113" s="77"/>
      <c r="H113" s="77">
        <f t="shared" si="5"/>
        <v>54930.083633842703</v>
      </c>
      <c r="I113" s="77">
        <v>0</v>
      </c>
      <c r="J113" s="77">
        <f t="shared" si="8"/>
        <v>171769.40979449562</v>
      </c>
      <c r="K113" s="77">
        <f>IF(AND('Inputs and Assumptions'!$H$11="Bridge", C113&lt;='Inputs and Assumptions'!$D$14),'Inputs and Assumptions'!$D$40/'Inputs and Assumptions'!$D$14, 0)</f>
        <v>0</v>
      </c>
      <c r="L113" s="94">
        <f t="shared" si="9"/>
        <v>33090978.047047831</v>
      </c>
    </row>
    <row r="114" spans="1:12" outlineLevel="1">
      <c r="A114" s="20">
        <v>9</v>
      </c>
      <c r="C114" s="20">
        <v>98</v>
      </c>
      <c r="D114" s="813">
        <f>IF(AND('Inputs and Assumptions'!$H$11="Bridge",'Debt Sizing'!$O$64="1 Mo Term SOFR"),IFERROR(INDEX('1 Month Term SOFR Forward Curve'!$D$5:$D$125,MATCH('Amo Schedule - Senior'!C114,'1 Month Term SOFR Forward Curve'!$C$5:$C$125,0))+$E$8,'Amo Schedule - Senior'!D113),'Amo Schedule - Senior'!$E$8)</f>
        <v>4.2300000000000004E-2</v>
      </c>
      <c r="E114" s="73">
        <f t="shared" si="6"/>
        <v>33090978.047047831</v>
      </c>
      <c r="F114" s="73">
        <f t="shared" si="7"/>
        <v>116645.69761584362</v>
      </c>
      <c r="G114" s="73"/>
      <c r="H114" s="73">
        <f t="shared" si="5"/>
        <v>55123.712178652</v>
      </c>
      <c r="I114" s="73">
        <v>0</v>
      </c>
      <c r="J114" s="73">
        <f t="shared" si="8"/>
        <v>171769.40979449562</v>
      </c>
      <c r="K114" s="73">
        <f>IF(AND('Inputs and Assumptions'!$H$11="Bridge", C114&lt;='Inputs and Assumptions'!$D$14),'Inputs and Assumptions'!$D$40/'Inputs and Assumptions'!$D$14, 0)</f>
        <v>0</v>
      </c>
      <c r="L114" s="74">
        <f t="shared" si="9"/>
        <v>33035854.33486918</v>
      </c>
    </row>
    <row r="115" spans="1:12" outlineLevel="1">
      <c r="A115" s="20">
        <v>9</v>
      </c>
      <c r="C115" s="20">
        <v>99</v>
      </c>
      <c r="D115" s="813">
        <f>IF(AND('Inputs and Assumptions'!$H$11="Bridge",'Debt Sizing'!$O$64="1 Mo Term SOFR"),IFERROR(INDEX('1 Month Term SOFR Forward Curve'!$D$5:$D$125,MATCH('Amo Schedule - Senior'!C115,'1 Month Term SOFR Forward Curve'!$C$5:$C$125,0))+$E$8,'Amo Schedule - Senior'!D114),'Amo Schedule - Senior'!$E$8)</f>
        <v>4.2300000000000004E-2</v>
      </c>
      <c r="E115" s="73">
        <f t="shared" si="6"/>
        <v>33035854.33486918</v>
      </c>
      <c r="F115" s="73">
        <f t="shared" si="7"/>
        <v>116451.38653041387</v>
      </c>
      <c r="G115" s="73"/>
      <c r="H115" s="73">
        <f t="shared" si="5"/>
        <v>55318.023264081741</v>
      </c>
      <c r="I115" s="73">
        <v>0</v>
      </c>
      <c r="J115" s="73">
        <f t="shared" si="8"/>
        <v>171769.40979449562</v>
      </c>
      <c r="K115" s="73">
        <f>IF(AND('Inputs and Assumptions'!$H$11="Bridge", C115&lt;='Inputs and Assumptions'!$D$14),'Inputs and Assumptions'!$D$40/'Inputs and Assumptions'!$D$14, 0)</f>
        <v>0</v>
      </c>
      <c r="L115" s="74">
        <f t="shared" si="9"/>
        <v>32980536.3116051</v>
      </c>
    </row>
    <row r="116" spans="1:12" outlineLevel="1">
      <c r="A116" s="20">
        <v>9</v>
      </c>
      <c r="C116" s="20">
        <v>100</v>
      </c>
      <c r="D116" s="813">
        <f>IF(AND('Inputs and Assumptions'!$H$11="Bridge",'Debt Sizing'!$O$64="1 Mo Term SOFR"),IFERROR(INDEX('1 Month Term SOFR Forward Curve'!$D$5:$D$125,MATCH('Amo Schedule - Senior'!C116,'1 Month Term SOFR Forward Curve'!$C$5:$C$125,0))+$E$8,'Amo Schedule - Senior'!D115),'Amo Schedule - Senior'!$E$8)</f>
        <v>4.2300000000000004E-2</v>
      </c>
      <c r="E116" s="73">
        <f t="shared" si="6"/>
        <v>32980536.3116051</v>
      </c>
      <c r="F116" s="73">
        <f t="shared" si="7"/>
        <v>116256.39049840799</v>
      </c>
      <c r="G116" s="73"/>
      <c r="H116" s="73">
        <f t="shared" si="5"/>
        <v>55513.01929608763</v>
      </c>
      <c r="I116" s="73">
        <v>0</v>
      </c>
      <c r="J116" s="73">
        <f t="shared" si="8"/>
        <v>171769.40979449562</v>
      </c>
      <c r="K116" s="73">
        <f>IF(AND('Inputs and Assumptions'!$H$11="Bridge", C116&lt;='Inputs and Assumptions'!$D$14),'Inputs and Assumptions'!$D$40/'Inputs and Assumptions'!$D$14, 0)</f>
        <v>0</v>
      </c>
      <c r="L116" s="74">
        <f t="shared" si="9"/>
        <v>32925023.292309012</v>
      </c>
    </row>
    <row r="117" spans="1:12" outlineLevel="1">
      <c r="A117" s="20">
        <v>9</v>
      </c>
      <c r="C117" s="20">
        <v>101</v>
      </c>
      <c r="D117" s="813">
        <f>IF(AND('Inputs and Assumptions'!$H$11="Bridge",'Debt Sizing'!$O$64="1 Mo Term SOFR"),IFERROR(INDEX('1 Month Term SOFR Forward Curve'!$D$5:$D$125,MATCH('Amo Schedule - Senior'!C117,'1 Month Term SOFR Forward Curve'!$C$5:$C$125,0))+$E$8,'Amo Schedule - Senior'!D116),'Amo Schedule - Senior'!$E$8)</f>
        <v>4.2300000000000004E-2</v>
      </c>
      <c r="E117" s="73">
        <f t="shared" si="6"/>
        <v>32925023.292309012</v>
      </c>
      <c r="F117" s="73">
        <f t="shared" si="7"/>
        <v>116060.70710538929</v>
      </c>
      <c r="G117" s="73"/>
      <c r="H117" s="73">
        <f t="shared" si="5"/>
        <v>55708.702689106329</v>
      </c>
      <c r="I117" s="73">
        <v>0</v>
      </c>
      <c r="J117" s="73">
        <f t="shared" si="8"/>
        <v>171769.40979449562</v>
      </c>
      <c r="K117" s="73">
        <f>IF(AND('Inputs and Assumptions'!$H$11="Bridge", C117&lt;='Inputs and Assumptions'!$D$14),'Inputs and Assumptions'!$D$40/'Inputs and Assumptions'!$D$14, 0)</f>
        <v>0</v>
      </c>
      <c r="L117" s="74">
        <f t="shared" si="9"/>
        <v>32869314.589619905</v>
      </c>
    </row>
    <row r="118" spans="1:12" outlineLevel="1">
      <c r="A118" s="20">
        <v>9</v>
      </c>
      <c r="C118" s="20">
        <v>102</v>
      </c>
      <c r="D118" s="813">
        <f>IF(AND('Inputs and Assumptions'!$H$11="Bridge",'Debt Sizing'!$O$64="1 Mo Term SOFR"),IFERROR(INDEX('1 Month Term SOFR Forward Curve'!$D$5:$D$125,MATCH('Amo Schedule - Senior'!C118,'1 Month Term SOFR Forward Curve'!$C$5:$C$125,0))+$E$8,'Amo Schedule - Senior'!D117),'Amo Schedule - Senior'!$E$8)</f>
        <v>4.2300000000000004E-2</v>
      </c>
      <c r="E118" s="73">
        <f t="shared" si="6"/>
        <v>32869314.589619905</v>
      </c>
      <c r="F118" s="73">
        <f t="shared" si="7"/>
        <v>115864.33392841018</v>
      </c>
      <c r="G118" s="73"/>
      <c r="H118" s="73">
        <f t="shared" si="5"/>
        <v>55905.075866085434</v>
      </c>
      <c r="I118" s="73">
        <v>0</v>
      </c>
      <c r="J118" s="73">
        <f t="shared" si="8"/>
        <v>171769.40979449562</v>
      </c>
      <c r="K118" s="73">
        <f>IF(AND('Inputs and Assumptions'!$H$11="Bridge", C118&lt;='Inputs and Assumptions'!$D$14),'Inputs and Assumptions'!$D$40/'Inputs and Assumptions'!$D$14, 0)</f>
        <v>0</v>
      </c>
      <c r="L118" s="74">
        <f t="shared" si="9"/>
        <v>32813409.51375382</v>
      </c>
    </row>
    <row r="119" spans="1:12" outlineLevel="1">
      <c r="A119" s="20">
        <v>9</v>
      </c>
      <c r="C119" s="20">
        <v>103</v>
      </c>
      <c r="D119" s="813">
        <f>IF(AND('Inputs and Assumptions'!$H$11="Bridge",'Debt Sizing'!$O$64="1 Mo Term SOFR"),IFERROR(INDEX('1 Month Term SOFR Forward Curve'!$D$5:$D$125,MATCH('Amo Schedule - Senior'!C119,'1 Month Term SOFR Forward Curve'!$C$5:$C$125,0))+$E$8,'Amo Schedule - Senior'!D118),'Amo Schedule - Senior'!$E$8)</f>
        <v>4.2300000000000004E-2</v>
      </c>
      <c r="E119" s="73">
        <f t="shared" si="6"/>
        <v>32813409.51375382</v>
      </c>
      <c r="F119" s="73">
        <f t="shared" si="7"/>
        <v>115667.26853598222</v>
      </c>
      <c r="G119" s="73"/>
      <c r="H119" s="73">
        <f t="shared" si="5"/>
        <v>56102.141258513395</v>
      </c>
      <c r="I119" s="73">
        <v>0</v>
      </c>
      <c r="J119" s="73">
        <f t="shared" si="8"/>
        <v>171769.40979449562</v>
      </c>
      <c r="K119" s="73">
        <f>IF(AND('Inputs and Assumptions'!$H$11="Bridge", C119&lt;='Inputs and Assumptions'!$D$14),'Inputs and Assumptions'!$D$40/'Inputs and Assumptions'!$D$14, 0)</f>
        <v>0</v>
      </c>
      <c r="L119" s="74">
        <f t="shared" si="9"/>
        <v>32757307.372495309</v>
      </c>
    </row>
    <row r="120" spans="1:12" outlineLevel="1">
      <c r="A120" s="20">
        <v>9</v>
      </c>
      <c r="C120" s="20">
        <v>104</v>
      </c>
      <c r="D120" s="813">
        <f>IF(AND('Inputs and Assumptions'!$H$11="Bridge",'Debt Sizing'!$O$64="1 Mo Term SOFR"),IFERROR(INDEX('1 Month Term SOFR Forward Curve'!$D$5:$D$125,MATCH('Amo Schedule - Senior'!C120,'1 Month Term SOFR Forward Curve'!$C$5:$C$125,0))+$E$8,'Amo Schedule - Senior'!D119),'Amo Schedule - Senior'!$E$8)</f>
        <v>4.2300000000000004E-2</v>
      </c>
      <c r="E120" s="73">
        <f t="shared" si="6"/>
        <v>32757307.372495309</v>
      </c>
      <c r="F120" s="73">
        <f t="shared" si="7"/>
        <v>115469.50848804598</v>
      </c>
      <c r="G120" s="73"/>
      <c r="H120" s="73">
        <f t="shared" si="5"/>
        <v>56299.901306449639</v>
      </c>
      <c r="I120" s="73">
        <v>0</v>
      </c>
      <c r="J120" s="73">
        <f t="shared" si="8"/>
        <v>171769.40979449562</v>
      </c>
      <c r="K120" s="73">
        <f>IF(AND('Inputs and Assumptions'!$H$11="Bridge", C120&lt;='Inputs and Assumptions'!$D$14),'Inputs and Assumptions'!$D$40/'Inputs and Assumptions'!$D$14, 0)</f>
        <v>0</v>
      </c>
      <c r="L120" s="74">
        <f t="shared" si="9"/>
        <v>32701007.471188858</v>
      </c>
    </row>
    <row r="121" spans="1:12" outlineLevel="1">
      <c r="A121" s="20">
        <v>9</v>
      </c>
      <c r="C121" s="20">
        <v>105</v>
      </c>
      <c r="D121" s="813">
        <f>IF(AND('Inputs and Assumptions'!$H$11="Bridge",'Debt Sizing'!$O$64="1 Mo Term SOFR"),IFERROR(INDEX('1 Month Term SOFR Forward Curve'!$D$5:$D$125,MATCH('Amo Schedule - Senior'!C121,'1 Month Term SOFR Forward Curve'!$C$5:$C$125,0))+$E$8,'Amo Schedule - Senior'!D120),'Amo Schedule - Senior'!$E$8)</f>
        <v>4.2300000000000004E-2</v>
      </c>
      <c r="E121" s="73">
        <f t="shared" si="6"/>
        <v>32701007.471188858</v>
      </c>
      <c r="F121" s="73">
        <f t="shared" si="7"/>
        <v>115271.05133594073</v>
      </c>
      <c r="G121" s="73"/>
      <c r="H121" s="73">
        <f t="shared" si="5"/>
        <v>56498.358458554882</v>
      </c>
      <c r="I121" s="73">
        <v>0</v>
      </c>
      <c r="J121" s="73">
        <f t="shared" si="8"/>
        <v>171769.40979449562</v>
      </c>
      <c r="K121" s="73">
        <f>IF(AND('Inputs and Assumptions'!$H$11="Bridge", C121&lt;='Inputs and Assumptions'!$D$14),'Inputs and Assumptions'!$D$40/'Inputs and Assumptions'!$D$14, 0)</f>
        <v>0</v>
      </c>
      <c r="L121" s="74">
        <f t="shared" si="9"/>
        <v>32644509.112730302</v>
      </c>
    </row>
    <row r="122" spans="1:12" outlineLevel="1">
      <c r="A122" s="20">
        <v>9</v>
      </c>
      <c r="C122" s="20">
        <v>106</v>
      </c>
      <c r="D122" s="813">
        <f>IF(AND('Inputs and Assumptions'!$H$11="Bridge",'Debt Sizing'!$O$64="1 Mo Term SOFR"),IFERROR(INDEX('1 Month Term SOFR Forward Curve'!$D$5:$D$125,MATCH('Amo Schedule - Senior'!C122,'1 Month Term SOFR Forward Curve'!$C$5:$C$125,0))+$E$8,'Amo Schedule - Senior'!D121),'Amo Schedule - Senior'!$E$8)</f>
        <v>4.2300000000000004E-2</v>
      </c>
      <c r="E122" s="73">
        <f t="shared" si="6"/>
        <v>32644509.112730302</v>
      </c>
      <c r="F122" s="73">
        <f t="shared" si="7"/>
        <v>115071.89462237433</v>
      </c>
      <c r="G122" s="73"/>
      <c r="H122" s="73">
        <f t="shared" si="5"/>
        <v>56697.51517212129</v>
      </c>
      <c r="I122" s="73">
        <v>0</v>
      </c>
      <c r="J122" s="73">
        <f t="shared" si="8"/>
        <v>171769.40979449562</v>
      </c>
      <c r="K122" s="73">
        <f>IF(AND('Inputs and Assumptions'!$H$11="Bridge", C122&lt;='Inputs and Assumptions'!$D$14),'Inputs and Assumptions'!$D$40/'Inputs and Assumptions'!$D$14, 0)</f>
        <v>0</v>
      </c>
      <c r="L122" s="74">
        <f t="shared" si="9"/>
        <v>32587811.597558182</v>
      </c>
    </row>
    <row r="123" spans="1:12" outlineLevel="1">
      <c r="A123" s="20">
        <v>9</v>
      </c>
      <c r="C123" s="20">
        <v>107</v>
      </c>
      <c r="D123" s="813">
        <f>IF(AND('Inputs and Assumptions'!$H$11="Bridge",'Debt Sizing'!$O$64="1 Mo Term SOFR"),IFERROR(INDEX('1 Month Term SOFR Forward Curve'!$D$5:$D$125,MATCH('Amo Schedule - Senior'!C123,'1 Month Term SOFR Forward Curve'!$C$5:$C$125,0))+$E$8,'Amo Schedule - Senior'!D122),'Amo Schedule - Senior'!$E$8)</f>
        <v>4.2300000000000004E-2</v>
      </c>
      <c r="E123" s="73">
        <f t="shared" si="6"/>
        <v>32587811.597558182</v>
      </c>
      <c r="F123" s="73">
        <f t="shared" si="7"/>
        <v>114872.0358813926</v>
      </c>
      <c r="G123" s="73"/>
      <c r="H123" s="73">
        <f t="shared" si="5"/>
        <v>56897.373913103016</v>
      </c>
      <c r="I123" s="73">
        <v>0</v>
      </c>
      <c r="J123" s="73">
        <f t="shared" si="8"/>
        <v>171769.40979449562</v>
      </c>
      <c r="K123" s="73">
        <f>IF(AND('Inputs and Assumptions'!$H$11="Bridge", C123&lt;='Inputs and Assumptions'!$D$14),'Inputs and Assumptions'!$D$40/'Inputs and Assumptions'!$D$14, 0)</f>
        <v>0</v>
      </c>
      <c r="L123" s="74">
        <f t="shared" si="9"/>
        <v>32530914.22364508</v>
      </c>
    </row>
    <row r="124" spans="1:12" outlineLevel="1">
      <c r="A124" s="49">
        <v>9</v>
      </c>
      <c r="B124" s="49"/>
      <c r="C124" s="49">
        <v>108</v>
      </c>
      <c r="D124" s="814">
        <f>IF(AND('Inputs and Assumptions'!$H$11="Bridge",'Debt Sizing'!$O$64="1 Mo Term SOFR"),IFERROR(INDEX('1 Month Term SOFR Forward Curve'!$D$5:$D$125,MATCH('Amo Schedule - Senior'!C124,'1 Month Term SOFR Forward Curve'!$C$5:$C$125,0))+$E$8,'Amo Schedule - Senior'!D123),'Amo Schedule - Senior'!$E$8)</f>
        <v>4.2300000000000004E-2</v>
      </c>
      <c r="E124" s="75">
        <f t="shared" si="6"/>
        <v>32530914.22364508</v>
      </c>
      <c r="F124" s="75">
        <f t="shared" si="7"/>
        <v>114671.47263834892</v>
      </c>
      <c r="G124" s="75"/>
      <c r="H124" s="75">
        <f t="shared" si="5"/>
        <v>57097.937156146698</v>
      </c>
      <c r="I124" s="75">
        <v>0</v>
      </c>
      <c r="J124" s="75">
        <f t="shared" si="8"/>
        <v>171769.40979449562</v>
      </c>
      <c r="K124" s="75">
        <f>IF(AND('Inputs and Assumptions'!$H$11="Bridge", C124&lt;='Inputs and Assumptions'!$D$14),'Inputs and Assumptions'!$D$40/'Inputs and Assumptions'!$D$14, 0)</f>
        <v>0</v>
      </c>
      <c r="L124" s="93">
        <f t="shared" si="9"/>
        <v>32473816.286488932</v>
      </c>
    </row>
    <row r="125" spans="1:12" outlineLevel="1">
      <c r="A125" s="56">
        <v>10</v>
      </c>
      <c r="B125" s="56"/>
      <c r="C125" s="56">
        <v>109</v>
      </c>
      <c r="D125" s="815">
        <f>IF(AND('Inputs and Assumptions'!$H$11="Bridge",'Debt Sizing'!$O$64="1 Mo Term SOFR"),IFERROR(INDEX('1 Month Term SOFR Forward Curve'!$D$5:$D$125,MATCH('Amo Schedule - Senior'!C125,'1 Month Term SOFR Forward Curve'!$C$5:$C$125,0))+$E$8,'Amo Schedule - Senior'!D124),'Amo Schedule - Senior'!$E$8)</f>
        <v>4.2300000000000004E-2</v>
      </c>
      <c r="E125" s="77">
        <f t="shared" si="6"/>
        <v>32473816.286488932</v>
      </c>
      <c r="F125" s="77">
        <f t="shared" si="7"/>
        <v>114470.2024098735</v>
      </c>
      <c r="G125" s="77"/>
      <c r="H125" s="77">
        <f t="shared" si="5"/>
        <v>57299.207384622117</v>
      </c>
      <c r="I125" s="77">
        <v>0</v>
      </c>
      <c r="J125" s="77">
        <f t="shared" si="8"/>
        <v>171769.40979449562</v>
      </c>
      <c r="K125" s="77">
        <f>IF(AND('Inputs and Assumptions'!$H$11="Bridge", C125&lt;='Inputs and Assumptions'!$D$14),'Inputs and Assumptions'!$D$40/'Inputs and Assumptions'!$D$14, 0)</f>
        <v>0</v>
      </c>
      <c r="L125" s="94">
        <f t="shared" si="9"/>
        <v>32416517.079104308</v>
      </c>
    </row>
    <row r="126" spans="1:12" outlineLevel="1">
      <c r="A126" s="20">
        <v>10</v>
      </c>
      <c r="C126" s="20">
        <v>110</v>
      </c>
      <c r="D126" s="813">
        <f>IF(AND('Inputs and Assumptions'!$H$11="Bridge",'Debt Sizing'!$O$64="1 Mo Term SOFR"),IFERROR(INDEX('1 Month Term SOFR Forward Curve'!$D$5:$D$125,MATCH('Amo Schedule - Senior'!C126,'1 Month Term SOFR Forward Curve'!$C$5:$C$125,0))+$E$8,'Amo Schedule - Senior'!D125),'Amo Schedule - Senior'!$E$8)</f>
        <v>4.2300000000000004E-2</v>
      </c>
      <c r="E126" s="73">
        <f t="shared" si="6"/>
        <v>32416517.079104308</v>
      </c>
      <c r="F126" s="73">
        <f t="shared" si="7"/>
        <v>114268.22270384269</v>
      </c>
      <c r="G126" s="73"/>
      <c r="H126" s="73">
        <f t="shared" si="5"/>
        <v>57501.187090652922</v>
      </c>
      <c r="I126" s="73">
        <v>0</v>
      </c>
      <c r="J126" s="73">
        <f t="shared" si="8"/>
        <v>171769.40979449562</v>
      </c>
      <c r="K126" s="73">
        <f>IF(AND('Inputs and Assumptions'!$H$11="Bridge", C126&lt;='Inputs and Assumptions'!$D$14),'Inputs and Assumptions'!$D$40/'Inputs and Assumptions'!$D$14, 0)</f>
        <v>0</v>
      </c>
      <c r="L126" s="74">
        <f t="shared" si="9"/>
        <v>32359015.892013654</v>
      </c>
    </row>
    <row r="127" spans="1:12" outlineLevel="1">
      <c r="A127" s="20">
        <v>10</v>
      </c>
      <c r="C127" s="20">
        <v>111</v>
      </c>
      <c r="D127" s="813">
        <f>IF(AND('Inputs and Assumptions'!$H$11="Bridge",'Debt Sizing'!$O$64="1 Mo Term SOFR"),IFERROR(INDEX('1 Month Term SOFR Forward Curve'!$D$5:$D$125,MATCH('Amo Schedule - Senior'!C127,'1 Month Term SOFR Forward Curve'!$C$5:$C$125,0))+$E$8,'Amo Schedule - Senior'!D126),'Amo Schedule - Senior'!$E$8)</f>
        <v>4.2300000000000004E-2</v>
      </c>
      <c r="E127" s="73">
        <f t="shared" si="6"/>
        <v>32359015.892013654</v>
      </c>
      <c r="F127" s="73">
        <f t="shared" si="7"/>
        <v>114065.53101934814</v>
      </c>
      <c r="G127" s="73"/>
      <c r="H127" s="73">
        <f t="shared" si="5"/>
        <v>57703.878775147474</v>
      </c>
      <c r="I127" s="73">
        <v>0</v>
      </c>
      <c r="J127" s="73">
        <f t="shared" si="8"/>
        <v>171769.40979449562</v>
      </c>
      <c r="K127" s="73">
        <f>IF(AND('Inputs and Assumptions'!$H$11="Bridge", C127&lt;='Inputs and Assumptions'!$D$14),'Inputs and Assumptions'!$D$40/'Inputs and Assumptions'!$D$14, 0)</f>
        <v>0</v>
      </c>
      <c r="L127" s="74">
        <f t="shared" si="9"/>
        <v>32301312.013238508</v>
      </c>
    </row>
    <row r="128" spans="1:12" outlineLevel="1">
      <c r="A128" s="20">
        <v>10</v>
      </c>
      <c r="C128" s="20">
        <v>112</v>
      </c>
      <c r="D128" s="813">
        <f>IF(AND('Inputs and Assumptions'!$H$11="Bridge",'Debt Sizing'!$O$64="1 Mo Term SOFR"),IFERROR(INDEX('1 Month Term SOFR Forward Curve'!$D$5:$D$125,MATCH('Amo Schedule - Senior'!C128,'1 Month Term SOFR Forward Curve'!$C$5:$C$125,0))+$E$8,'Amo Schedule - Senior'!D127),'Amo Schedule - Senior'!$E$8)</f>
        <v>4.2300000000000004E-2</v>
      </c>
      <c r="E128" s="73">
        <f t="shared" si="6"/>
        <v>32301312.013238508</v>
      </c>
      <c r="F128" s="73">
        <f t="shared" si="7"/>
        <v>113862.12484666576</v>
      </c>
      <c r="G128" s="73"/>
      <c r="H128" s="73">
        <f t="shared" si="5"/>
        <v>57907.284947829859</v>
      </c>
      <c r="I128" s="73">
        <v>0</v>
      </c>
      <c r="J128" s="73">
        <f t="shared" si="8"/>
        <v>171769.40979449562</v>
      </c>
      <c r="K128" s="73">
        <f>IF(AND('Inputs and Assumptions'!$H$11="Bridge", C128&lt;='Inputs and Assumptions'!$D$14),'Inputs and Assumptions'!$D$40/'Inputs and Assumptions'!$D$14, 0)</f>
        <v>0</v>
      </c>
      <c r="L128" s="74">
        <f t="shared" si="9"/>
        <v>32243404.728290677</v>
      </c>
    </row>
    <row r="129" spans="1:12" outlineLevel="1">
      <c r="A129" s="20">
        <v>10</v>
      </c>
      <c r="C129" s="20">
        <v>113</v>
      </c>
      <c r="D129" s="813">
        <f>IF(AND('Inputs and Assumptions'!$H$11="Bridge",'Debt Sizing'!$O$64="1 Mo Term SOFR"),IFERROR(INDEX('1 Month Term SOFR Forward Curve'!$D$5:$D$125,MATCH('Amo Schedule - Senior'!C129,'1 Month Term SOFR Forward Curve'!$C$5:$C$125,0))+$E$8,'Amo Schedule - Senior'!D128),'Amo Schedule - Senior'!$E$8)</f>
        <v>4.2300000000000004E-2</v>
      </c>
      <c r="E129" s="73">
        <f t="shared" si="6"/>
        <v>32243404.728290677</v>
      </c>
      <c r="F129" s="73">
        <f t="shared" si="7"/>
        <v>113658.00166722464</v>
      </c>
      <c r="G129" s="73"/>
      <c r="H129" s="73">
        <f t="shared" si="5"/>
        <v>58111.408127270974</v>
      </c>
      <c r="I129" s="73">
        <v>0</v>
      </c>
      <c r="J129" s="73">
        <f t="shared" si="8"/>
        <v>171769.40979449562</v>
      </c>
      <c r="K129" s="73">
        <f>IF(AND('Inputs and Assumptions'!$H$11="Bridge", C129&lt;='Inputs and Assumptions'!$D$14),'Inputs and Assumptions'!$D$40/'Inputs and Assumptions'!$D$14, 0)</f>
        <v>0</v>
      </c>
      <c r="L129" s="74">
        <f t="shared" si="9"/>
        <v>32185293.320163406</v>
      </c>
    </row>
    <row r="130" spans="1:12" outlineLevel="1">
      <c r="A130" s="20">
        <v>10</v>
      </c>
      <c r="C130" s="20">
        <v>114</v>
      </c>
      <c r="D130" s="813">
        <f>IF(AND('Inputs and Assumptions'!$H$11="Bridge",'Debt Sizing'!$O$64="1 Mo Term SOFR"),IFERROR(INDEX('1 Month Term SOFR Forward Curve'!$D$5:$D$125,MATCH('Amo Schedule - Senior'!C130,'1 Month Term SOFR Forward Curve'!$C$5:$C$125,0))+$E$8,'Amo Schedule - Senior'!D129),'Amo Schedule - Senior'!$E$8)</f>
        <v>4.2300000000000004E-2</v>
      </c>
      <c r="E130" s="73">
        <f t="shared" si="6"/>
        <v>32185293.320163406</v>
      </c>
      <c r="F130" s="73">
        <f t="shared" si="7"/>
        <v>113453.15895357601</v>
      </c>
      <c r="G130" s="73"/>
      <c r="H130" s="73">
        <f t="shared" si="5"/>
        <v>58316.250840919602</v>
      </c>
      <c r="I130" s="73">
        <v>0</v>
      </c>
      <c r="J130" s="73">
        <f t="shared" si="8"/>
        <v>171769.40979449562</v>
      </c>
      <c r="K130" s="73">
        <f>IF(AND('Inputs and Assumptions'!$H$11="Bridge", C130&lt;='Inputs and Assumptions'!$D$14),'Inputs and Assumptions'!$D$40/'Inputs and Assumptions'!$D$14, 0)</f>
        <v>0</v>
      </c>
      <c r="L130" s="74">
        <f t="shared" si="9"/>
        <v>32126977.069322485</v>
      </c>
    </row>
    <row r="131" spans="1:12" outlineLevel="1">
      <c r="A131" s="20">
        <v>10</v>
      </c>
      <c r="C131" s="20">
        <v>115</v>
      </c>
      <c r="D131" s="813">
        <f>IF(AND('Inputs and Assumptions'!$H$11="Bridge",'Debt Sizing'!$O$64="1 Mo Term SOFR"),IFERROR(INDEX('1 Month Term SOFR Forward Curve'!$D$5:$D$125,MATCH('Amo Schedule - Senior'!C131,'1 Month Term SOFR Forward Curve'!$C$5:$C$125,0))+$E$8,'Amo Schedule - Senior'!D130),'Amo Schedule - Senior'!$E$8)</f>
        <v>4.2300000000000004E-2</v>
      </c>
      <c r="E131" s="73">
        <f t="shared" si="6"/>
        <v>32126977.069322485</v>
      </c>
      <c r="F131" s="73">
        <f t="shared" si="7"/>
        <v>113247.59416936178</v>
      </c>
      <c r="G131" s="73"/>
      <c r="H131" s="73">
        <f t="shared" si="5"/>
        <v>58521.815625133837</v>
      </c>
      <c r="I131" s="73">
        <v>0</v>
      </c>
      <c r="J131" s="73">
        <f t="shared" si="8"/>
        <v>171769.40979449562</v>
      </c>
      <c r="K131" s="73">
        <f>IF(AND('Inputs and Assumptions'!$H$11="Bridge", C131&lt;='Inputs and Assumptions'!$D$14),'Inputs and Assumptions'!$D$40/'Inputs and Assumptions'!$D$14, 0)</f>
        <v>0</v>
      </c>
      <c r="L131" s="74">
        <f t="shared" si="9"/>
        <v>32068455.253697351</v>
      </c>
    </row>
    <row r="132" spans="1:12" outlineLevel="1">
      <c r="A132" s="20">
        <v>10</v>
      </c>
      <c r="C132" s="20">
        <v>116</v>
      </c>
      <c r="D132" s="813">
        <f>IF(AND('Inputs and Assumptions'!$H$11="Bridge",'Debt Sizing'!$O$64="1 Mo Term SOFR"),IFERROR(INDEX('1 Month Term SOFR Forward Curve'!$D$5:$D$125,MATCH('Amo Schedule - Senior'!C132,'1 Month Term SOFR Forward Curve'!$C$5:$C$125,0))+$E$8,'Amo Schedule - Senior'!D131),'Amo Schedule - Senior'!$E$8)</f>
        <v>4.2300000000000004E-2</v>
      </c>
      <c r="E132" s="73">
        <f t="shared" si="6"/>
        <v>32068455.253697351</v>
      </c>
      <c r="F132" s="73">
        <f t="shared" si="7"/>
        <v>113041.30476928318</v>
      </c>
      <c r="G132" s="73"/>
      <c r="H132" s="73">
        <f t="shared" si="5"/>
        <v>58728.105025212441</v>
      </c>
      <c r="I132" s="73">
        <v>0</v>
      </c>
      <c r="J132" s="73">
        <f t="shared" si="8"/>
        <v>171769.40979449562</v>
      </c>
      <c r="K132" s="73">
        <f>IF(AND('Inputs and Assumptions'!$H$11="Bridge", C132&lt;='Inputs and Assumptions'!$D$14),'Inputs and Assumptions'!$D$40/'Inputs and Assumptions'!$D$14, 0)</f>
        <v>0</v>
      </c>
      <c r="L132" s="74">
        <f t="shared" si="9"/>
        <v>32009727.148672137</v>
      </c>
    </row>
    <row r="133" spans="1:12" outlineLevel="1">
      <c r="A133" s="20">
        <v>10</v>
      </c>
      <c r="C133" s="20">
        <v>117</v>
      </c>
      <c r="D133" s="813">
        <f>IF(AND('Inputs and Assumptions'!$H$11="Bridge",'Debt Sizing'!$O$64="1 Mo Term SOFR"),IFERROR(INDEX('1 Month Term SOFR Forward Curve'!$D$5:$D$125,MATCH('Amo Schedule - Senior'!C133,'1 Month Term SOFR Forward Curve'!$C$5:$C$125,0))+$E$8,'Amo Schedule - Senior'!D132),'Amo Schedule - Senior'!$E$8)</f>
        <v>4.2300000000000004E-2</v>
      </c>
      <c r="E133" s="73">
        <f t="shared" si="6"/>
        <v>32009727.148672137</v>
      </c>
      <c r="F133" s="73">
        <f t="shared" si="7"/>
        <v>112834.2881990693</v>
      </c>
      <c r="G133" s="73"/>
      <c r="H133" s="73">
        <f t="shared" si="5"/>
        <v>58935.121595426317</v>
      </c>
      <c r="I133" s="73">
        <v>0</v>
      </c>
      <c r="J133" s="73">
        <f t="shared" si="8"/>
        <v>171769.40979449562</v>
      </c>
      <c r="K133" s="73">
        <f>IF(AND('Inputs and Assumptions'!$H$11="Bridge", C133&lt;='Inputs and Assumptions'!$D$14),'Inputs and Assumptions'!$D$40/'Inputs and Assumptions'!$D$14, 0)</f>
        <v>0</v>
      </c>
      <c r="L133" s="74">
        <f t="shared" si="9"/>
        <v>31950792.02707671</v>
      </c>
    </row>
    <row r="134" spans="1:12" outlineLevel="1">
      <c r="A134" s="20">
        <v>10</v>
      </c>
      <c r="C134" s="20">
        <v>118</v>
      </c>
      <c r="D134" s="813">
        <f>IF(AND('Inputs and Assumptions'!$H$11="Bridge",'Debt Sizing'!$O$64="1 Mo Term SOFR"),IFERROR(INDEX('1 Month Term SOFR Forward Curve'!$D$5:$D$125,MATCH('Amo Schedule - Senior'!C134,'1 Month Term SOFR Forward Curve'!$C$5:$C$125,0))+$E$8,'Amo Schedule - Senior'!D133),'Amo Schedule - Senior'!$E$8)</f>
        <v>4.2300000000000004E-2</v>
      </c>
      <c r="E134" s="73">
        <f t="shared" si="6"/>
        <v>31950792.02707671</v>
      </c>
      <c r="F134" s="73">
        <f t="shared" si="7"/>
        <v>112626.54189544541</v>
      </c>
      <c r="G134" s="73"/>
      <c r="H134" s="73">
        <f t="shared" si="5"/>
        <v>59142.867899050209</v>
      </c>
      <c r="I134" s="73">
        <v>0</v>
      </c>
      <c r="J134" s="73">
        <f t="shared" si="8"/>
        <v>171769.40979449562</v>
      </c>
      <c r="K134" s="73">
        <f>IF(AND('Inputs and Assumptions'!$H$11="Bridge", C134&lt;='Inputs and Assumptions'!$D$14),'Inputs and Assumptions'!$D$40/'Inputs and Assumptions'!$D$14, 0)</f>
        <v>0</v>
      </c>
      <c r="L134" s="74">
        <f t="shared" si="9"/>
        <v>31891649.159177661</v>
      </c>
    </row>
    <row r="135" spans="1:12" outlineLevel="1">
      <c r="A135" s="20">
        <v>10</v>
      </c>
      <c r="C135" s="20">
        <v>119</v>
      </c>
      <c r="D135" s="813">
        <f>IF(AND('Inputs and Assumptions'!$H$11="Bridge",'Debt Sizing'!$O$64="1 Mo Term SOFR"),IFERROR(INDEX('1 Month Term SOFR Forward Curve'!$D$5:$D$125,MATCH('Amo Schedule - Senior'!C135,'1 Month Term SOFR Forward Curve'!$C$5:$C$125,0))+$E$8,'Amo Schedule - Senior'!D134),'Amo Schedule - Senior'!$E$8)</f>
        <v>4.2300000000000004E-2</v>
      </c>
      <c r="E135" s="73">
        <f t="shared" si="6"/>
        <v>31891649.159177661</v>
      </c>
      <c r="F135" s="73">
        <f t="shared" si="7"/>
        <v>112418.06328610127</v>
      </c>
      <c r="G135" s="73"/>
      <c r="H135" s="73">
        <f t="shared" si="5"/>
        <v>59351.346508394345</v>
      </c>
      <c r="I135" s="73">
        <v>0</v>
      </c>
      <c r="J135" s="73">
        <f t="shared" si="8"/>
        <v>171769.40979449562</v>
      </c>
      <c r="K135" s="73">
        <f>IF(AND('Inputs and Assumptions'!$H$11="Bridge", C135&lt;='Inputs and Assumptions'!$D$14),'Inputs and Assumptions'!$D$40/'Inputs and Assumptions'!$D$14, 0)</f>
        <v>0</v>
      </c>
      <c r="L135" s="74">
        <f t="shared" si="9"/>
        <v>31832297.812669266</v>
      </c>
    </row>
    <row r="136" spans="1:12">
      <c r="A136" s="49">
        <v>10</v>
      </c>
      <c r="B136" s="49"/>
      <c r="C136" s="49">
        <v>120</v>
      </c>
      <c r="D136" s="819">
        <f>IF(AND('Inputs and Assumptions'!$H$11="Bridge",'Debt Sizing'!$O$64="1 Mo Term SOFR"),IFERROR(INDEX('1 Month Term SOFR Forward Curve'!$D$5:$D$125,MATCH('Amo Schedule - Senior'!C136,'1 Month Term SOFR Forward Curve'!$C$5:$C$125,0))+$E$8,'Amo Schedule - Senior'!D135),'Amo Schedule - Senior'!$E$8)</f>
        <v>4.2300000000000004E-2</v>
      </c>
      <c r="E136" s="95">
        <f t="shared" si="6"/>
        <v>31832297.812669266</v>
      </c>
      <c r="F136" s="95">
        <f t="shared" si="7"/>
        <v>112208.84978965917</v>
      </c>
      <c r="G136" s="95"/>
      <c r="H136" s="95">
        <f t="shared" si="5"/>
        <v>59560.560004836443</v>
      </c>
      <c r="I136" s="75">
        <v>0</v>
      </c>
      <c r="J136" s="95">
        <f t="shared" si="8"/>
        <v>171769.40979449562</v>
      </c>
      <c r="K136" s="75">
        <f>IF(AND('Inputs and Assumptions'!$H$11="Bridge", C136&lt;='Inputs and Assumptions'!$D$14),'Inputs and Assumptions'!$D$40/'Inputs and Assumptions'!$D$14, 0)</f>
        <v>0</v>
      </c>
      <c r="L136" s="93">
        <f t="shared" si="9"/>
        <v>31772737.252664428</v>
      </c>
    </row>
    <row r="137" spans="1:12">
      <c r="A137" s="56"/>
      <c r="B137" s="56"/>
      <c r="C137" s="56">
        <v>121</v>
      </c>
      <c r="D137" s="815">
        <f>IF(AND('Inputs and Assumptions'!$H$11="Bridge",'Debt Sizing'!$O$64="1 Mo Term SOFR"),IFERROR(INDEX('1 Month Term SOFR Forward Curve'!$D$5:$D$125,MATCH('Amo Schedule - Senior'!C137,'1 Month Term SOFR Forward Curve'!$C$5:$C$125,0))+$E$8,'Amo Schedule - Senior'!D136),'Amo Schedule - Senior'!$E$8)</f>
        <v>4.2300000000000004E-2</v>
      </c>
      <c r="E137" s="77">
        <f t="shared" si="6"/>
        <v>31772737.252664428</v>
      </c>
      <c r="F137" s="77">
        <f t="shared" si="7"/>
        <v>111998.89881564213</v>
      </c>
      <c r="G137" s="77"/>
      <c r="H137" s="77">
        <f t="shared" si="5"/>
        <v>59770.51097885349</v>
      </c>
      <c r="I137" s="77">
        <v>0</v>
      </c>
      <c r="J137" s="77">
        <f t="shared" si="8"/>
        <v>171769.40979449562</v>
      </c>
      <c r="K137" s="77">
        <f>IF(AND('Inputs and Assumptions'!$H$11="Bridge", C137&lt;='Inputs and Assumptions'!$D$14),'Inputs and Assumptions'!$D$40/'Inputs and Assumptions'!$D$14, 0)</f>
        <v>0</v>
      </c>
      <c r="L137" s="94">
        <f t="shared" si="9"/>
        <v>31712966.741685573</v>
      </c>
    </row>
    <row r="138" spans="1:12">
      <c r="C138" s="20">
        <v>122</v>
      </c>
      <c r="D138" s="813">
        <f>IF(AND('Inputs and Assumptions'!$H$11="Bridge",'Debt Sizing'!$O$64="1 Mo Term SOFR"),IFERROR(INDEX('1 Month Term SOFR Forward Curve'!$D$5:$D$125,MATCH('Amo Schedule - Senior'!C138,'1 Month Term SOFR Forward Curve'!$C$5:$C$125,0))+$E$8,'Amo Schedule - Senior'!D137),'Amo Schedule - Senior'!$E$8)</f>
        <v>4.2300000000000004E-2</v>
      </c>
      <c r="E138" s="73">
        <f t="shared" si="6"/>
        <v>31712966.741685573</v>
      </c>
      <c r="F138" s="73">
        <f t="shared" si="7"/>
        <v>111788.20776444166</v>
      </c>
      <c r="G138" s="73"/>
      <c r="H138" s="73">
        <f t="shared" si="5"/>
        <v>59981.202030053959</v>
      </c>
      <c r="I138" s="73">
        <v>0</v>
      </c>
      <c r="J138" s="73">
        <f t="shared" si="8"/>
        <v>171769.40979449562</v>
      </c>
      <c r="K138" s="73">
        <f>IF(AND('Inputs and Assumptions'!$H$11="Bridge", C138&lt;='Inputs and Assumptions'!$D$14),'Inputs and Assumptions'!$D$40/'Inputs and Assumptions'!$D$14, 0)</f>
        <v>0</v>
      </c>
      <c r="L138" s="74">
        <f t="shared" si="9"/>
        <v>31652985.539655518</v>
      </c>
    </row>
    <row r="139" spans="1:12">
      <c r="C139" s="20">
        <v>123</v>
      </c>
      <c r="D139" s="813">
        <f>IF(AND('Inputs and Assumptions'!$H$11="Bridge",'Debt Sizing'!$O$64="1 Mo Term SOFR"),IFERROR(INDEX('1 Month Term SOFR Forward Curve'!$D$5:$D$125,MATCH('Amo Schedule - Senior'!C139,'1 Month Term SOFR Forward Curve'!$C$5:$C$125,0))+$E$8,'Amo Schedule - Senior'!D138),'Amo Schedule - Senior'!$E$8)</f>
        <v>4.2300000000000004E-2</v>
      </c>
      <c r="E139" s="73">
        <f t="shared" si="6"/>
        <v>31652985.539655518</v>
      </c>
      <c r="F139" s="73">
        <f t="shared" si="7"/>
        <v>111576.7740272857</v>
      </c>
      <c r="G139" s="73"/>
      <c r="H139" s="73">
        <f t="shared" si="5"/>
        <v>60192.635767209911</v>
      </c>
      <c r="I139" s="73">
        <v>0</v>
      </c>
      <c r="J139" s="73">
        <f t="shared" si="8"/>
        <v>171769.40979449562</v>
      </c>
      <c r="K139" s="73">
        <f>IF(AND('Inputs and Assumptions'!$H$11="Bridge", C139&lt;='Inputs and Assumptions'!$D$14),'Inputs and Assumptions'!$D$40/'Inputs and Assumptions'!$D$14, 0)</f>
        <v>0</v>
      </c>
      <c r="L139" s="74">
        <f t="shared" si="9"/>
        <v>31592792.903888308</v>
      </c>
    </row>
    <row r="140" spans="1:12">
      <c r="C140" s="20">
        <v>124</v>
      </c>
      <c r="D140" s="813">
        <f>IF(AND('Inputs and Assumptions'!$H$11="Bridge",'Debt Sizing'!$O$64="1 Mo Term SOFR"),IFERROR(INDEX('1 Month Term SOFR Forward Curve'!$D$5:$D$125,MATCH('Amo Schedule - Senior'!C140,'1 Month Term SOFR Forward Curve'!$C$5:$C$125,0))+$E$8,'Amo Schedule - Senior'!D139),'Amo Schedule - Senior'!$E$8)</f>
        <v>4.2300000000000004E-2</v>
      </c>
      <c r="E140" s="73">
        <f t="shared" si="6"/>
        <v>31592792.903888308</v>
      </c>
      <c r="F140" s="73">
        <f t="shared" si="7"/>
        <v>111364.5949862063</v>
      </c>
      <c r="G140" s="73"/>
      <c r="H140" s="73">
        <f t="shared" si="5"/>
        <v>60404.814808289317</v>
      </c>
      <c r="I140" s="73">
        <v>0</v>
      </c>
      <c r="J140" s="73">
        <f t="shared" si="8"/>
        <v>171769.40979449562</v>
      </c>
      <c r="K140" s="73">
        <f>IF(AND('Inputs and Assumptions'!$H$11="Bridge", C140&lt;='Inputs and Assumptions'!$D$14),'Inputs and Assumptions'!$D$40/'Inputs and Assumptions'!$D$14, 0)</f>
        <v>0</v>
      </c>
      <c r="L140" s="74">
        <f t="shared" si="9"/>
        <v>31532388.089080017</v>
      </c>
    </row>
    <row r="141" spans="1:12">
      <c r="C141" s="20">
        <v>125</v>
      </c>
      <c r="D141" s="813">
        <f>IF(AND('Inputs and Assumptions'!$H$11="Bridge",'Debt Sizing'!$O$64="1 Mo Term SOFR"),IFERROR(INDEX('1 Month Term SOFR Forward Curve'!$D$5:$D$125,MATCH('Amo Schedule - Senior'!C141,'1 Month Term SOFR Forward Curve'!$C$5:$C$125,0))+$E$8,'Amo Schedule - Senior'!D140),'Amo Schedule - Senior'!$E$8)</f>
        <v>4.2300000000000004E-2</v>
      </c>
      <c r="E141" s="73">
        <f t="shared" si="6"/>
        <v>31532388.089080017</v>
      </c>
      <c r="F141" s="73">
        <f t="shared" si="7"/>
        <v>111151.66801400707</v>
      </c>
      <c r="G141" s="73"/>
      <c r="H141" s="73">
        <f t="shared" si="5"/>
        <v>60617.741780488548</v>
      </c>
      <c r="I141" s="73">
        <v>0</v>
      </c>
      <c r="J141" s="73">
        <f t="shared" si="8"/>
        <v>171769.40979449562</v>
      </c>
      <c r="K141" s="73">
        <f>IF(AND('Inputs and Assumptions'!$H$11="Bridge", C141&lt;='Inputs and Assumptions'!$D$14),'Inputs and Assumptions'!$D$40/'Inputs and Assumptions'!$D$14, 0)</f>
        <v>0</v>
      </c>
      <c r="L141" s="74">
        <f t="shared" si="9"/>
        <v>31471770.347299527</v>
      </c>
    </row>
    <row r="142" spans="1:12">
      <c r="C142" s="20">
        <v>126</v>
      </c>
      <c r="D142" s="813">
        <f>IF(AND('Inputs and Assumptions'!$H$11="Bridge",'Debt Sizing'!$O$64="1 Mo Term SOFR"),IFERROR(INDEX('1 Month Term SOFR Forward Curve'!$D$5:$D$125,MATCH('Amo Schedule - Senior'!C142,'1 Month Term SOFR Forward Curve'!$C$5:$C$125,0))+$E$8,'Amo Schedule - Senior'!D141),'Amo Schedule - Senior'!$E$8)</f>
        <v>4.2300000000000004E-2</v>
      </c>
      <c r="E142" s="73">
        <f t="shared" si="6"/>
        <v>31471770.347299527</v>
      </c>
      <c r="F142" s="73">
        <f t="shared" si="7"/>
        <v>110937.99047423084</v>
      </c>
      <c r="G142" s="73"/>
      <c r="H142" s="73">
        <f t="shared" si="5"/>
        <v>60831.419320264773</v>
      </c>
      <c r="I142" s="73">
        <v>0</v>
      </c>
      <c r="J142" s="73">
        <f t="shared" si="8"/>
        <v>171769.40979449562</v>
      </c>
      <c r="K142" s="73">
        <f>IF(AND('Inputs and Assumptions'!$H$11="Bridge", C142&lt;='Inputs and Assumptions'!$D$14),'Inputs and Assumptions'!$D$40/'Inputs and Assumptions'!$D$14, 0)</f>
        <v>0</v>
      </c>
      <c r="L142" s="74">
        <f t="shared" si="9"/>
        <v>31410938.927979264</v>
      </c>
    </row>
    <row r="143" spans="1:12">
      <c r="C143" s="20">
        <v>127</v>
      </c>
      <c r="D143" s="813">
        <f>IF(AND('Inputs and Assumptions'!$H$11="Bridge",'Debt Sizing'!$O$64="1 Mo Term SOFR"),IFERROR(INDEX('1 Month Term SOFR Forward Curve'!$D$5:$D$125,MATCH('Amo Schedule - Senior'!C143,'1 Month Term SOFR Forward Curve'!$C$5:$C$125,0))+$E$8,'Amo Schedule - Senior'!D142),'Amo Schedule - Senior'!$E$8)</f>
        <v>4.2300000000000004E-2</v>
      </c>
      <c r="E143" s="73">
        <f t="shared" si="6"/>
        <v>31410938.927979264</v>
      </c>
      <c r="F143" s="73">
        <f t="shared" si="7"/>
        <v>110723.55972112692</v>
      </c>
      <c r="G143" s="73"/>
      <c r="H143" s="73">
        <f t="shared" si="5"/>
        <v>61045.850073368696</v>
      </c>
      <c r="I143" s="73">
        <v>0</v>
      </c>
      <c r="J143" s="73">
        <f t="shared" si="8"/>
        <v>171769.40979449562</v>
      </c>
      <c r="K143" s="73">
        <f>IF(AND('Inputs and Assumptions'!$H$11="Bridge", C143&lt;='Inputs and Assumptions'!$D$14),'Inputs and Assumptions'!$D$40/'Inputs and Assumptions'!$D$14, 0)</f>
        <v>0</v>
      </c>
      <c r="L143" s="74">
        <f t="shared" si="9"/>
        <v>31349893.077905897</v>
      </c>
    </row>
    <row r="144" spans="1:12">
      <c r="C144" s="20">
        <v>128</v>
      </c>
      <c r="D144" s="813">
        <f>IF(AND('Inputs and Assumptions'!$H$11="Bridge",'Debt Sizing'!$O$64="1 Mo Term SOFR"),IFERROR(INDEX('1 Month Term SOFR Forward Curve'!$D$5:$D$125,MATCH('Amo Schedule - Senior'!C144,'1 Month Term SOFR Forward Curve'!$C$5:$C$125,0))+$E$8,'Amo Schedule - Senior'!D143),'Amo Schedule - Senior'!$E$8)</f>
        <v>4.2300000000000004E-2</v>
      </c>
      <c r="E144" s="73">
        <f t="shared" si="6"/>
        <v>31349893.077905897</v>
      </c>
      <c r="F144" s="73">
        <f t="shared" si="7"/>
        <v>110508.3730996183</v>
      </c>
      <c r="G144" s="73"/>
      <c r="H144" s="73">
        <f t="shared" si="5"/>
        <v>61261.036694877315</v>
      </c>
      <c r="I144" s="73">
        <v>0</v>
      </c>
      <c r="J144" s="73">
        <f t="shared" si="8"/>
        <v>171769.40979449562</v>
      </c>
      <c r="K144" s="73">
        <f>IF(AND('Inputs and Assumptions'!$H$11="Bridge", C144&lt;='Inputs and Assumptions'!$D$14),'Inputs and Assumptions'!$D$40/'Inputs and Assumptions'!$D$14, 0)</f>
        <v>0</v>
      </c>
      <c r="L144" s="74">
        <f t="shared" si="9"/>
        <v>31288632.04121102</v>
      </c>
    </row>
    <row r="145" spans="3:12">
      <c r="C145" s="20">
        <v>129</v>
      </c>
      <c r="D145" s="813">
        <f>IF(AND('Inputs and Assumptions'!$H$11="Bridge",'Debt Sizing'!$O$64="1 Mo Term SOFR"),IFERROR(INDEX('1 Month Term SOFR Forward Curve'!$D$5:$D$125,MATCH('Amo Schedule - Senior'!C145,'1 Month Term SOFR Forward Curve'!$C$5:$C$125,0))+$E$8,'Amo Schedule - Senior'!D144),'Amo Schedule - Senior'!$E$8)</f>
        <v>4.2300000000000004E-2</v>
      </c>
      <c r="E145" s="73">
        <f t="shared" si="6"/>
        <v>31288632.04121102</v>
      </c>
      <c r="F145" s="73">
        <f t="shared" si="7"/>
        <v>110292.42794526886</v>
      </c>
      <c r="G145" s="73"/>
      <c r="H145" s="73">
        <f t="shared" ref="H145:H208" si="10">+J145-I145-F145</f>
        <v>61476.981849226751</v>
      </c>
      <c r="I145" s="73">
        <v>0</v>
      </c>
      <c r="J145" s="73">
        <f t="shared" si="8"/>
        <v>171769.40979449562</v>
      </c>
      <c r="K145" s="73">
        <f>IF(AND('Inputs and Assumptions'!$H$11="Bridge", C145&lt;='Inputs and Assumptions'!$D$14),'Inputs and Assumptions'!$D$40/'Inputs and Assumptions'!$D$14, 0)</f>
        <v>0</v>
      </c>
      <c r="L145" s="74">
        <f t="shared" si="9"/>
        <v>31227155.059361793</v>
      </c>
    </row>
    <row r="146" spans="3:12">
      <c r="C146" s="20">
        <v>130</v>
      </c>
      <c r="D146" s="813">
        <f>IF(AND('Inputs and Assumptions'!$H$11="Bridge",'Debt Sizing'!$O$64="1 Mo Term SOFR"),IFERROR(INDEX('1 Month Term SOFR Forward Curve'!$D$5:$D$125,MATCH('Amo Schedule - Senior'!C146,'1 Month Term SOFR Forward Curve'!$C$5:$C$125,0))+$E$8,'Amo Schedule - Senior'!D145),'Amo Schedule - Senior'!$E$8)</f>
        <v>4.2300000000000004E-2</v>
      </c>
      <c r="E146" s="73">
        <f t="shared" ref="E146:E209" si="11">L145</f>
        <v>31227155.059361793</v>
      </c>
      <c r="F146" s="73">
        <f t="shared" ref="F146:F209" si="12">E146*($D146/12)</f>
        <v>110075.72158425034</v>
      </c>
      <c r="G146" s="73"/>
      <c r="H146" s="73">
        <f t="shared" si="10"/>
        <v>61693.68821024528</v>
      </c>
      <c r="I146" s="73">
        <v>0</v>
      </c>
      <c r="J146" s="73">
        <f t="shared" ref="J146:J209" si="13">IF(C146&lt;=$E$9,F146,-PMT(D146/12,$E$10,$E$7))</f>
        <v>171769.40979449562</v>
      </c>
      <c r="K146" s="73">
        <f>IF(AND('Inputs and Assumptions'!$H$11="Bridge", C146&lt;='Inputs and Assumptions'!$D$14),'Inputs and Assumptions'!$D$40/'Inputs and Assumptions'!$D$14, 0)</f>
        <v>0</v>
      </c>
      <c r="L146" s="74">
        <f t="shared" ref="L146:L209" si="14">E146-H146-I146+K146</f>
        <v>31165461.371151548</v>
      </c>
    </row>
    <row r="147" spans="3:12">
      <c r="C147" s="20">
        <v>131</v>
      </c>
      <c r="D147" s="813">
        <f>IF(AND('Inputs and Assumptions'!$H$11="Bridge",'Debt Sizing'!$O$64="1 Mo Term SOFR"),IFERROR(INDEX('1 Month Term SOFR Forward Curve'!$D$5:$D$125,MATCH('Amo Schedule - Senior'!C147,'1 Month Term SOFR Forward Curve'!$C$5:$C$125,0))+$E$8,'Amo Schedule - Senior'!D146),'Amo Schedule - Senior'!$E$8)</f>
        <v>4.2300000000000004E-2</v>
      </c>
      <c r="E147" s="73">
        <f t="shared" si="11"/>
        <v>31165461.371151548</v>
      </c>
      <c r="F147" s="73">
        <f t="shared" si="12"/>
        <v>109858.25133330922</v>
      </c>
      <c r="G147" s="73"/>
      <c r="H147" s="73">
        <f t="shared" si="10"/>
        <v>61911.158461186395</v>
      </c>
      <c r="I147" s="73">
        <v>0</v>
      </c>
      <c r="J147" s="73">
        <f t="shared" si="13"/>
        <v>171769.40979449562</v>
      </c>
      <c r="K147" s="73">
        <f>IF(AND('Inputs and Assumptions'!$H$11="Bridge", C147&lt;='Inputs and Assumptions'!$D$14),'Inputs and Assumptions'!$D$40/'Inputs and Assumptions'!$D$14, 0)</f>
        <v>0</v>
      </c>
      <c r="L147" s="74">
        <f t="shared" si="14"/>
        <v>31103550.212690361</v>
      </c>
    </row>
    <row r="148" spans="3:12">
      <c r="C148" s="20">
        <v>132</v>
      </c>
      <c r="D148" s="813">
        <f>IF(AND('Inputs and Assumptions'!$H$11="Bridge",'Debt Sizing'!$O$64="1 Mo Term SOFR"),IFERROR(INDEX('1 Month Term SOFR Forward Curve'!$D$5:$D$125,MATCH('Amo Schedule - Senior'!C148,'1 Month Term SOFR Forward Curve'!$C$5:$C$125,0))+$E$8,'Amo Schedule - Senior'!D147),'Amo Schedule - Senior'!$E$8)</f>
        <v>4.2300000000000004E-2</v>
      </c>
      <c r="E148" s="73">
        <f t="shared" si="11"/>
        <v>31103550.212690361</v>
      </c>
      <c r="F148" s="73">
        <f t="shared" si="12"/>
        <v>109640.01449973353</v>
      </c>
      <c r="G148" s="73"/>
      <c r="H148" s="73">
        <f t="shared" si="10"/>
        <v>62129.395294762086</v>
      </c>
      <c r="I148" s="73">
        <v>0</v>
      </c>
      <c r="J148" s="73">
        <f t="shared" si="13"/>
        <v>171769.40979449562</v>
      </c>
      <c r="K148" s="73">
        <f>IF(AND('Inputs and Assumptions'!$H$11="Bridge", C148&lt;='Inputs and Assumptions'!$D$14),'Inputs and Assumptions'!$D$40/'Inputs and Assumptions'!$D$14, 0)</f>
        <v>0</v>
      </c>
      <c r="L148" s="74">
        <f t="shared" si="14"/>
        <v>31041420.817395598</v>
      </c>
    </row>
    <row r="149" spans="3:12">
      <c r="C149" s="20">
        <v>133</v>
      </c>
      <c r="D149" s="813">
        <f>IF(AND('Inputs and Assumptions'!$H$11="Bridge",'Debt Sizing'!$O$64="1 Mo Term SOFR"),IFERROR(INDEX('1 Month Term SOFR Forward Curve'!$D$5:$D$125,MATCH('Amo Schedule - Senior'!C149,'1 Month Term SOFR Forward Curve'!$C$5:$C$125,0))+$E$8,'Amo Schedule - Senior'!D148),'Amo Schedule - Senior'!$E$8)</f>
        <v>4.2300000000000004E-2</v>
      </c>
      <c r="E149" s="73">
        <f t="shared" si="11"/>
        <v>31041420.817395598</v>
      </c>
      <c r="F149" s="73">
        <f t="shared" si="12"/>
        <v>109421.00838131949</v>
      </c>
      <c r="G149" s="73"/>
      <c r="H149" s="73">
        <f t="shared" si="10"/>
        <v>62348.401413176121</v>
      </c>
      <c r="I149" s="73">
        <v>0</v>
      </c>
      <c r="J149" s="73">
        <f t="shared" si="13"/>
        <v>171769.40979449562</v>
      </c>
      <c r="K149" s="73">
        <f>IF(AND('Inputs and Assumptions'!$H$11="Bridge", C149&lt;='Inputs and Assumptions'!$D$14),'Inputs and Assumptions'!$D$40/'Inputs and Assumptions'!$D$14, 0)</f>
        <v>0</v>
      </c>
      <c r="L149" s="74">
        <f t="shared" si="14"/>
        <v>30979072.415982421</v>
      </c>
    </row>
    <row r="150" spans="3:12">
      <c r="C150" s="20">
        <v>134</v>
      </c>
      <c r="D150" s="813">
        <f>IF(AND('Inputs and Assumptions'!$H$11="Bridge",'Debt Sizing'!$O$64="1 Mo Term SOFR"),IFERROR(INDEX('1 Month Term SOFR Forward Curve'!$D$5:$D$125,MATCH('Amo Schedule - Senior'!C150,'1 Month Term SOFR Forward Curve'!$C$5:$C$125,0))+$E$8,'Amo Schedule - Senior'!D149),'Amo Schedule - Senior'!$E$8)</f>
        <v>4.2300000000000004E-2</v>
      </c>
      <c r="E150" s="73">
        <f t="shared" si="11"/>
        <v>30979072.415982421</v>
      </c>
      <c r="F150" s="73">
        <f t="shared" si="12"/>
        <v>109201.23026633804</v>
      </c>
      <c r="G150" s="73"/>
      <c r="H150" s="73">
        <f t="shared" si="10"/>
        <v>62568.179528157576</v>
      </c>
      <c r="I150" s="73">
        <v>0</v>
      </c>
      <c r="J150" s="73">
        <f t="shared" si="13"/>
        <v>171769.40979449562</v>
      </c>
      <c r="K150" s="73">
        <f>IF(AND('Inputs and Assumptions'!$H$11="Bridge", C150&lt;='Inputs and Assumptions'!$D$14),'Inputs and Assumptions'!$D$40/'Inputs and Assumptions'!$D$14, 0)</f>
        <v>0</v>
      </c>
      <c r="L150" s="74">
        <f t="shared" si="14"/>
        <v>30916504.236454263</v>
      </c>
    </row>
    <row r="151" spans="3:12">
      <c r="C151" s="20">
        <v>135</v>
      </c>
      <c r="D151" s="813">
        <f>IF(AND('Inputs and Assumptions'!$H$11="Bridge",'Debt Sizing'!$O$64="1 Mo Term SOFR"),IFERROR(INDEX('1 Month Term SOFR Forward Curve'!$D$5:$D$125,MATCH('Amo Schedule - Senior'!C151,'1 Month Term SOFR Forward Curve'!$C$5:$C$125,0))+$E$8,'Amo Schedule - Senior'!D150),'Amo Schedule - Senior'!$E$8)</f>
        <v>4.2300000000000004E-2</v>
      </c>
      <c r="E151" s="73">
        <f t="shared" si="11"/>
        <v>30916504.236454263</v>
      </c>
      <c r="F151" s="73">
        <f t="shared" si="12"/>
        <v>108980.67743350129</v>
      </c>
      <c r="G151" s="73"/>
      <c r="H151" s="73">
        <f t="shared" si="10"/>
        <v>62788.732360994327</v>
      </c>
      <c r="I151" s="73">
        <v>0</v>
      </c>
      <c r="J151" s="73">
        <f t="shared" si="13"/>
        <v>171769.40979449562</v>
      </c>
      <c r="K151" s="73">
        <f>IF(AND('Inputs and Assumptions'!$H$11="Bridge", C151&lt;='Inputs and Assumptions'!$D$14),'Inputs and Assumptions'!$D$40/'Inputs and Assumptions'!$D$14, 0)</f>
        <v>0</v>
      </c>
      <c r="L151" s="74">
        <f t="shared" si="14"/>
        <v>30853715.504093271</v>
      </c>
    </row>
    <row r="152" spans="3:12">
      <c r="C152" s="20">
        <v>136</v>
      </c>
      <c r="D152" s="813">
        <f>IF(AND('Inputs and Assumptions'!$H$11="Bridge",'Debt Sizing'!$O$64="1 Mo Term SOFR"),IFERROR(INDEX('1 Month Term SOFR Forward Curve'!$D$5:$D$125,MATCH('Amo Schedule - Senior'!C152,'1 Month Term SOFR Forward Curve'!$C$5:$C$125,0))+$E$8,'Amo Schedule - Senior'!D151),'Amo Schedule - Senior'!$E$8)</f>
        <v>4.2300000000000004E-2</v>
      </c>
      <c r="E152" s="73">
        <f t="shared" si="11"/>
        <v>30853715.504093271</v>
      </c>
      <c r="F152" s="73">
        <f t="shared" si="12"/>
        <v>108759.34715192879</v>
      </c>
      <c r="G152" s="73"/>
      <c r="H152" s="73">
        <f t="shared" si="10"/>
        <v>63010.062642566831</v>
      </c>
      <c r="I152" s="73">
        <v>0</v>
      </c>
      <c r="J152" s="73">
        <f t="shared" si="13"/>
        <v>171769.40979449562</v>
      </c>
      <c r="K152" s="73">
        <f>IF(AND('Inputs and Assumptions'!$H$11="Bridge", C152&lt;='Inputs and Assumptions'!$D$14),'Inputs and Assumptions'!$D$40/'Inputs and Assumptions'!$D$14, 0)</f>
        <v>0</v>
      </c>
      <c r="L152" s="74">
        <f t="shared" si="14"/>
        <v>30790705.441450704</v>
      </c>
    </row>
    <row r="153" spans="3:12">
      <c r="C153" s="20">
        <v>137</v>
      </c>
      <c r="D153" s="813">
        <f>IF(AND('Inputs and Assumptions'!$H$11="Bridge",'Debt Sizing'!$O$64="1 Mo Term SOFR"),IFERROR(INDEX('1 Month Term SOFR Forward Curve'!$D$5:$D$125,MATCH('Amo Schedule - Senior'!C153,'1 Month Term SOFR Forward Curve'!$C$5:$C$125,0))+$E$8,'Amo Schedule - Senior'!D152),'Amo Schedule - Senior'!$E$8)</f>
        <v>4.2300000000000004E-2</v>
      </c>
      <c r="E153" s="73">
        <f t="shared" si="11"/>
        <v>30790705.441450704</v>
      </c>
      <c r="F153" s="73">
        <f t="shared" si="12"/>
        <v>108537.23668111375</v>
      </c>
      <c r="G153" s="73"/>
      <c r="H153" s="73">
        <f t="shared" si="10"/>
        <v>63232.173113381868</v>
      </c>
      <c r="I153" s="73">
        <v>0</v>
      </c>
      <c r="J153" s="73">
        <f t="shared" si="13"/>
        <v>171769.40979449562</v>
      </c>
      <c r="K153" s="73">
        <f>IF(AND('Inputs and Assumptions'!$H$11="Bridge", C153&lt;='Inputs and Assumptions'!$D$14),'Inputs and Assumptions'!$D$40/'Inputs and Assumptions'!$D$14, 0)</f>
        <v>0</v>
      </c>
      <c r="L153" s="74">
        <f t="shared" si="14"/>
        <v>30727473.268337321</v>
      </c>
    </row>
    <row r="154" spans="3:12">
      <c r="C154" s="20">
        <v>138</v>
      </c>
      <c r="D154" s="813">
        <f>IF(AND('Inputs and Assumptions'!$H$11="Bridge",'Debt Sizing'!$O$64="1 Mo Term SOFR"),IFERROR(INDEX('1 Month Term SOFR Forward Curve'!$D$5:$D$125,MATCH('Amo Schedule - Senior'!C154,'1 Month Term SOFR Forward Curve'!$C$5:$C$125,0))+$E$8,'Amo Schedule - Senior'!D153),'Amo Schedule - Senior'!$E$8)</f>
        <v>4.2300000000000004E-2</v>
      </c>
      <c r="E154" s="73">
        <f t="shared" si="11"/>
        <v>30727473.268337321</v>
      </c>
      <c r="F154" s="73">
        <f t="shared" si="12"/>
        <v>108314.34327088906</v>
      </c>
      <c r="G154" s="73"/>
      <c r="H154" s="73">
        <f t="shared" si="10"/>
        <v>63455.066523606554</v>
      </c>
      <c r="I154" s="73">
        <v>0</v>
      </c>
      <c r="J154" s="73">
        <f t="shared" si="13"/>
        <v>171769.40979449562</v>
      </c>
      <c r="K154" s="73">
        <f>IF(AND('Inputs and Assumptions'!$H$11="Bridge", C154&lt;='Inputs and Assumptions'!$D$14),'Inputs and Assumptions'!$D$40/'Inputs and Assumptions'!$D$14, 0)</f>
        <v>0</v>
      </c>
      <c r="L154" s="74">
        <f t="shared" si="14"/>
        <v>30664018.201813713</v>
      </c>
    </row>
    <row r="155" spans="3:12">
      <c r="C155" s="20">
        <v>139</v>
      </c>
      <c r="D155" s="813">
        <f>IF(AND('Inputs and Assumptions'!$H$11="Bridge",'Debt Sizing'!$O$64="1 Mo Term SOFR"),IFERROR(INDEX('1 Month Term SOFR Forward Curve'!$D$5:$D$125,MATCH('Amo Schedule - Senior'!C155,'1 Month Term SOFR Forward Curve'!$C$5:$C$125,0))+$E$8,'Amo Schedule - Senior'!D154),'Amo Schedule - Senior'!$E$8)</f>
        <v>4.2300000000000004E-2</v>
      </c>
      <c r="E155" s="73">
        <f t="shared" si="11"/>
        <v>30664018.201813713</v>
      </c>
      <c r="F155" s="73">
        <f t="shared" si="12"/>
        <v>108090.66416139335</v>
      </c>
      <c r="G155" s="73"/>
      <c r="H155" s="73">
        <f t="shared" si="10"/>
        <v>63678.745633102269</v>
      </c>
      <c r="I155" s="73">
        <v>0</v>
      </c>
      <c r="J155" s="73">
        <f t="shared" si="13"/>
        <v>171769.40979449562</v>
      </c>
      <c r="K155" s="73">
        <f>IF(AND('Inputs and Assumptions'!$H$11="Bridge", C155&lt;='Inputs and Assumptions'!$D$14),'Inputs and Assumptions'!$D$40/'Inputs and Assumptions'!$D$14, 0)</f>
        <v>0</v>
      </c>
      <c r="L155" s="74">
        <f t="shared" si="14"/>
        <v>30600339.45618061</v>
      </c>
    </row>
    <row r="156" spans="3:12">
      <c r="C156" s="20">
        <v>140</v>
      </c>
      <c r="D156" s="813">
        <f>IF(AND('Inputs and Assumptions'!$H$11="Bridge",'Debt Sizing'!$O$64="1 Mo Term SOFR"),IFERROR(INDEX('1 Month Term SOFR Forward Curve'!$D$5:$D$125,MATCH('Amo Schedule - Senior'!C156,'1 Month Term SOFR Forward Curve'!$C$5:$C$125,0))+$E$8,'Amo Schedule - Senior'!D155),'Amo Schedule - Senior'!$E$8)</f>
        <v>4.2300000000000004E-2</v>
      </c>
      <c r="E156" s="73">
        <f t="shared" si="11"/>
        <v>30600339.45618061</v>
      </c>
      <c r="F156" s="73">
        <f t="shared" si="12"/>
        <v>107866.19658303665</v>
      </c>
      <c r="G156" s="73"/>
      <c r="H156" s="73">
        <f t="shared" si="10"/>
        <v>63903.213211458962</v>
      </c>
      <c r="I156" s="73">
        <v>0</v>
      </c>
      <c r="J156" s="73">
        <f t="shared" si="13"/>
        <v>171769.40979449562</v>
      </c>
      <c r="K156" s="73">
        <f>IF(AND('Inputs and Assumptions'!$H$11="Bridge", C156&lt;='Inputs and Assumptions'!$D$14),'Inputs and Assumptions'!$D$40/'Inputs and Assumptions'!$D$14, 0)</f>
        <v>0</v>
      </c>
      <c r="L156" s="74">
        <f t="shared" si="14"/>
        <v>30536436.242969152</v>
      </c>
    </row>
    <row r="157" spans="3:12">
      <c r="C157" s="20">
        <v>141</v>
      </c>
      <c r="D157" s="813">
        <f>IF(AND('Inputs and Assumptions'!$H$11="Bridge",'Debt Sizing'!$O$64="1 Mo Term SOFR"),IFERROR(INDEX('1 Month Term SOFR Forward Curve'!$D$5:$D$125,MATCH('Amo Schedule - Senior'!C157,'1 Month Term SOFR Forward Curve'!$C$5:$C$125,0))+$E$8,'Amo Schedule - Senior'!D156),'Amo Schedule - Senior'!$E$8)</f>
        <v>4.2300000000000004E-2</v>
      </c>
      <c r="E157" s="73">
        <f t="shared" si="11"/>
        <v>30536436.242969152</v>
      </c>
      <c r="F157" s="73">
        <f t="shared" si="12"/>
        <v>107640.93775646627</v>
      </c>
      <c r="G157" s="73"/>
      <c r="H157" s="73">
        <f t="shared" si="10"/>
        <v>64128.472038029344</v>
      </c>
      <c r="I157" s="73">
        <v>0</v>
      </c>
      <c r="J157" s="73">
        <f t="shared" si="13"/>
        <v>171769.40979449562</v>
      </c>
      <c r="K157" s="73">
        <f>IF(AND('Inputs and Assumptions'!$H$11="Bridge", C157&lt;='Inputs and Assumptions'!$D$14),'Inputs and Assumptions'!$D$40/'Inputs and Assumptions'!$D$14, 0)</f>
        <v>0</v>
      </c>
      <c r="L157" s="74">
        <f t="shared" si="14"/>
        <v>30472307.770931121</v>
      </c>
    </row>
    <row r="158" spans="3:12">
      <c r="C158" s="20">
        <v>142</v>
      </c>
      <c r="D158" s="813">
        <f>IF(AND('Inputs and Assumptions'!$H$11="Bridge",'Debt Sizing'!$O$64="1 Mo Term SOFR"),IFERROR(INDEX('1 Month Term SOFR Forward Curve'!$D$5:$D$125,MATCH('Amo Schedule - Senior'!C158,'1 Month Term SOFR Forward Curve'!$C$5:$C$125,0))+$E$8,'Amo Schedule - Senior'!D157),'Amo Schedule - Senior'!$E$8)</f>
        <v>4.2300000000000004E-2</v>
      </c>
      <c r="E158" s="73">
        <f t="shared" si="11"/>
        <v>30472307.770931121</v>
      </c>
      <c r="F158" s="73">
        <f t="shared" si="12"/>
        <v>107414.88489253221</v>
      </c>
      <c r="G158" s="73"/>
      <c r="H158" s="73">
        <f t="shared" si="10"/>
        <v>64354.524901963407</v>
      </c>
      <c r="I158" s="73">
        <v>0</v>
      </c>
      <c r="J158" s="73">
        <f t="shared" si="13"/>
        <v>171769.40979449562</v>
      </c>
      <c r="K158" s="73">
        <f>IF(AND('Inputs and Assumptions'!$H$11="Bridge", C158&lt;='Inputs and Assumptions'!$D$14),'Inputs and Assumptions'!$D$40/'Inputs and Assumptions'!$D$14, 0)</f>
        <v>0</v>
      </c>
      <c r="L158" s="74">
        <f t="shared" si="14"/>
        <v>30407953.246029157</v>
      </c>
    </row>
    <row r="159" spans="3:12">
      <c r="C159" s="20">
        <v>143</v>
      </c>
      <c r="D159" s="813">
        <f>IF(AND('Inputs and Assumptions'!$H$11="Bridge",'Debt Sizing'!$O$64="1 Mo Term SOFR"),IFERROR(INDEX('1 Month Term SOFR Forward Curve'!$D$5:$D$125,MATCH('Amo Schedule - Senior'!C159,'1 Month Term SOFR Forward Curve'!$C$5:$C$125,0))+$E$8,'Amo Schedule - Senior'!D158),'Amo Schedule - Senior'!$E$8)</f>
        <v>4.2300000000000004E-2</v>
      </c>
      <c r="E159" s="73">
        <f t="shared" si="11"/>
        <v>30407953.246029157</v>
      </c>
      <c r="F159" s="73">
        <f t="shared" si="12"/>
        <v>107188.03519225279</v>
      </c>
      <c r="G159" s="73"/>
      <c r="H159" s="73">
        <f t="shared" si="10"/>
        <v>64581.374602242824</v>
      </c>
      <c r="I159" s="73">
        <v>0</v>
      </c>
      <c r="J159" s="73">
        <f t="shared" si="13"/>
        <v>171769.40979449562</v>
      </c>
      <c r="K159" s="73">
        <f>IF(AND('Inputs and Assumptions'!$H$11="Bridge", C159&lt;='Inputs and Assumptions'!$D$14),'Inputs and Assumptions'!$D$40/'Inputs and Assumptions'!$D$14, 0)</f>
        <v>0</v>
      </c>
      <c r="L159" s="74">
        <f t="shared" si="14"/>
        <v>30343371.871426914</v>
      </c>
    </row>
    <row r="160" spans="3:12">
      <c r="C160" s="20">
        <v>144</v>
      </c>
      <c r="D160" s="813">
        <f>IF(AND('Inputs and Assumptions'!$H$11="Bridge",'Debt Sizing'!$O$64="1 Mo Term SOFR"),IFERROR(INDEX('1 Month Term SOFR Forward Curve'!$D$5:$D$125,MATCH('Amo Schedule - Senior'!C160,'1 Month Term SOFR Forward Curve'!$C$5:$C$125,0))+$E$8,'Amo Schedule - Senior'!D159),'Amo Schedule - Senior'!$E$8)</f>
        <v>4.2300000000000004E-2</v>
      </c>
      <c r="E160" s="73">
        <f t="shared" si="11"/>
        <v>30343371.871426914</v>
      </c>
      <c r="F160" s="73">
        <f t="shared" si="12"/>
        <v>106960.38584677989</v>
      </c>
      <c r="G160" s="73"/>
      <c r="H160" s="73">
        <f t="shared" si="10"/>
        <v>64809.02394771573</v>
      </c>
      <c r="I160" s="73">
        <v>0</v>
      </c>
      <c r="J160" s="73">
        <f t="shared" si="13"/>
        <v>171769.40979449562</v>
      </c>
      <c r="K160" s="73">
        <f>IF(AND('Inputs and Assumptions'!$H$11="Bridge", C160&lt;='Inputs and Assumptions'!$D$14),'Inputs and Assumptions'!$D$40/'Inputs and Assumptions'!$D$14, 0)</f>
        <v>0</v>
      </c>
      <c r="L160" s="74">
        <f t="shared" si="14"/>
        <v>30278562.847479198</v>
      </c>
    </row>
    <row r="161" spans="3:12">
      <c r="C161" s="20">
        <v>145</v>
      </c>
      <c r="D161" s="813">
        <f>IF(AND('Inputs and Assumptions'!$H$11="Bridge",'Debt Sizing'!$O$64="1 Mo Term SOFR"),IFERROR(INDEX('1 Month Term SOFR Forward Curve'!$D$5:$D$125,MATCH('Amo Schedule - Senior'!C161,'1 Month Term SOFR Forward Curve'!$C$5:$C$125,0))+$E$8,'Amo Schedule - Senior'!D160),'Amo Schedule - Senior'!$E$8)</f>
        <v>4.2300000000000004E-2</v>
      </c>
      <c r="E161" s="73">
        <f t="shared" si="11"/>
        <v>30278562.847479198</v>
      </c>
      <c r="F161" s="73">
        <f t="shared" si="12"/>
        <v>106731.93403736419</v>
      </c>
      <c r="G161" s="73"/>
      <c r="H161" s="73">
        <f t="shared" si="10"/>
        <v>65037.475757131426</v>
      </c>
      <c r="I161" s="73">
        <v>0</v>
      </c>
      <c r="J161" s="73">
        <f t="shared" si="13"/>
        <v>171769.40979449562</v>
      </c>
      <c r="K161" s="73">
        <f>IF(AND('Inputs and Assumptions'!$H$11="Bridge", C161&lt;='Inputs and Assumptions'!$D$14),'Inputs and Assumptions'!$D$40/'Inputs and Assumptions'!$D$14, 0)</f>
        <v>0</v>
      </c>
      <c r="L161" s="74">
        <f t="shared" si="14"/>
        <v>30213525.371722065</v>
      </c>
    </row>
    <row r="162" spans="3:12">
      <c r="C162" s="20">
        <v>146</v>
      </c>
      <c r="D162" s="813">
        <f>IF(AND('Inputs and Assumptions'!$H$11="Bridge",'Debt Sizing'!$O$64="1 Mo Term SOFR"),IFERROR(INDEX('1 Month Term SOFR Forward Curve'!$D$5:$D$125,MATCH('Amo Schedule - Senior'!C162,'1 Month Term SOFR Forward Curve'!$C$5:$C$125,0))+$E$8,'Amo Schedule - Senior'!D161),'Amo Schedule - Senior'!$E$8)</f>
        <v>4.2300000000000004E-2</v>
      </c>
      <c r="E162" s="73">
        <f t="shared" si="11"/>
        <v>30213525.371722065</v>
      </c>
      <c r="F162" s="73">
        <f t="shared" si="12"/>
        <v>106502.67693532028</v>
      </c>
      <c r="G162" s="73"/>
      <c r="H162" s="73">
        <f t="shared" si="10"/>
        <v>65266.732859175332</v>
      </c>
      <c r="I162" s="73">
        <v>0</v>
      </c>
      <c r="J162" s="73">
        <f t="shared" si="13"/>
        <v>171769.40979449562</v>
      </c>
      <c r="K162" s="73">
        <f>IF(AND('Inputs and Assumptions'!$H$11="Bridge", C162&lt;='Inputs and Assumptions'!$D$14),'Inputs and Assumptions'!$D$40/'Inputs and Assumptions'!$D$14, 0)</f>
        <v>0</v>
      </c>
      <c r="L162" s="74">
        <f t="shared" si="14"/>
        <v>30148258.638862889</v>
      </c>
    </row>
    <row r="163" spans="3:12">
      <c r="C163" s="20">
        <v>147</v>
      </c>
      <c r="D163" s="813">
        <f>IF(AND('Inputs and Assumptions'!$H$11="Bridge",'Debt Sizing'!$O$64="1 Mo Term SOFR"),IFERROR(INDEX('1 Month Term SOFR Forward Curve'!$D$5:$D$125,MATCH('Amo Schedule - Senior'!C163,'1 Month Term SOFR Forward Curve'!$C$5:$C$125,0))+$E$8,'Amo Schedule - Senior'!D162),'Amo Schedule - Senior'!$E$8)</f>
        <v>4.2300000000000004E-2</v>
      </c>
      <c r="E163" s="73">
        <f t="shared" si="11"/>
        <v>30148258.638862889</v>
      </c>
      <c r="F163" s="73">
        <f t="shared" si="12"/>
        <v>106272.6117019917</v>
      </c>
      <c r="G163" s="73"/>
      <c r="H163" s="73">
        <f t="shared" si="10"/>
        <v>65496.798092503916</v>
      </c>
      <c r="I163" s="73">
        <v>0</v>
      </c>
      <c r="J163" s="73">
        <f t="shared" si="13"/>
        <v>171769.40979449562</v>
      </c>
      <c r="K163" s="73">
        <f>IF(AND('Inputs and Assumptions'!$H$11="Bridge", C163&lt;='Inputs and Assumptions'!$D$14),'Inputs and Assumptions'!$D$40/'Inputs and Assumptions'!$D$14, 0)</f>
        <v>0</v>
      </c>
      <c r="L163" s="74">
        <f t="shared" si="14"/>
        <v>30082761.840770386</v>
      </c>
    </row>
    <row r="164" spans="3:12">
      <c r="C164" s="20">
        <v>148</v>
      </c>
      <c r="D164" s="813">
        <f>IF(AND('Inputs and Assumptions'!$H$11="Bridge",'Debt Sizing'!$O$64="1 Mo Term SOFR"),IFERROR(INDEX('1 Month Term SOFR Forward Curve'!$D$5:$D$125,MATCH('Amo Schedule - Senior'!C164,'1 Month Term SOFR Forward Curve'!$C$5:$C$125,0))+$E$8,'Amo Schedule - Senior'!D163),'Amo Schedule - Senior'!$E$8)</f>
        <v>4.2300000000000004E-2</v>
      </c>
      <c r="E164" s="73">
        <f t="shared" si="11"/>
        <v>30082761.840770386</v>
      </c>
      <c r="F164" s="73">
        <f t="shared" si="12"/>
        <v>106041.73548871563</v>
      </c>
      <c r="G164" s="73"/>
      <c r="H164" s="73">
        <f t="shared" si="10"/>
        <v>65727.67430577999</v>
      </c>
      <c r="I164" s="73">
        <v>0</v>
      </c>
      <c r="J164" s="73">
        <f t="shared" si="13"/>
        <v>171769.40979449562</v>
      </c>
      <c r="K164" s="73">
        <f>IF(AND('Inputs and Assumptions'!$H$11="Bridge", C164&lt;='Inputs and Assumptions'!$D$14),'Inputs and Assumptions'!$D$40/'Inputs and Assumptions'!$D$14, 0)</f>
        <v>0</v>
      </c>
      <c r="L164" s="74">
        <f t="shared" si="14"/>
        <v>30017034.166464604</v>
      </c>
    </row>
    <row r="165" spans="3:12">
      <c r="C165" s="20">
        <v>149</v>
      </c>
      <c r="D165" s="813">
        <f>IF(AND('Inputs and Assumptions'!$H$11="Bridge",'Debt Sizing'!$O$64="1 Mo Term SOFR"),IFERROR(INDEX('1 Month Term SOFR Forward Curve'!$D$5:$D$125,MATCH('Amo Schedule - Senior'!C165,'1 Month Term SOFR Forward Curve'!$C$5:$C$125,0))+$E$8,'Amo Schedule - Senior'!D164),'Amo Schedule - Senior'!$E$8)</f>
        <v>4.2300000000000004E-2</v>
      </c>
      <c r="E165" s="73">
        <f t="shared" si="11"/>
        <v>30017034.166464604</v>
      </c>
      <c r="F165" s="73">
        <f t="shared" si="12"/>
        <v>105810.04543678774</v>
      </c>
      <c r="G165" s="73"/>
      <c r="H165" s="73">
        <f t="shared" si="10"/>
        <v>65959.364357707876</v>
      </c>
      <c r="I165" s="73">
        <v>0</v>
      </c>
      <c r="J165" s="73">
        <f t="shared" si="13"/>
        <v>171769.40979449562</v>
      </c>
      <c r="K165" s="73">
        <f>IF(AND('Inputs and Assumptions'!$H$11="Bridge", C165&lt;='Inputs and Assumptions'!$D$14),'Inputs and Assumptions'!$D$40/'Inputs and Assumptions'!$D$14, 0)</f>
        <v>0</v>
      </c>
      <c r="L165" s="74">
        <f t="shared" si="14"/>
        <v>29951074.802106898</v>
      </c>
    </row>
    <row r="166" spans="3:12">
      <c r="C166" s="20">
        <v>150</v>
      </c>
      <c r="D166" s="813">
        <f>IF(AND('Inputs and Assumptions'!$H$11="Bridge",'Debt Sizing'!$O$64="1 Mo Term SOFR"),IFERROR(INDEX('1 Month Term SOFR Forward Curve'!$D$5:$D$125,MATCH('Amo Schedule - Senior'!C166,'1 Month Term SOFR Forward Curve'!$C$5:$C$125,0))+$E$8,'Amo Schedule - Senior'!D165),'Amo Schedule - Senior'!$E$8)</f>
        <v>4.2300000000000004E-2</v>
      </c>
      <c r="E166" s="73">
        <f t="shared" si="11"/>
        <v>29951074.802106898</v>
      </c>
      <c r="F166" s="73">
        <f t="shared" si="12"/>
        <v>105577.53867742683</v>
      </c>
      <c r="G166" s="73"/>
      <c r="H166" s="73">
        <f t="shared" si="10"/>
        <v>66191.871117068789</v>
      </c>
      <c r="I166" s="73">
        <v>0</v>
      </c>
      <c r="J166" s="73">
        <f t="shared" si="13"/>
        <v>171769.40979449562</v>
      </c>
      <c r="K166" s="73">
        <f>IF(AND('Inputs and Assumptions'!$H$11="Bridge", C166&lt;='Inputs and Assumptions'!$D$14),'Inputs and Assumptions'!$D$40/'Inputs and Assumptions'!$D$14, 0)</f>
        <v>0</v>
      </c>
      <c r="L166" s="74">
        <f t="shared" si="14"/>
        <v>29884882.930989828</v>
      </c>
    </row>
    <row r="167" spans="3:12">
      <c r="C167" s="20">
        <v>151</v>
      </c>
      <c r="D167" s="813">
        <f>IF(AND('Inputs and Assumptions'!$H$11="Bridge",'Debt Sizing'!$O$64="1 Mo Term SOFR"),IFERROR(INDEX('1 Month Term SOFR Forward Curve'!$D$5:$D$125,MATCH('Amo Schedule - Senior'!C167,'1 Month Term SOFR Forward Curve'!$C$5:$C$125,0))+$E$8,'Amo Schedule - Senior'!D166),'Amo Schedule - Senior'!$E$8)</f>
        <v>4.2300000000000004E-2</v>
      </c>
      <c r="E167" s="73">
        <f t="shared" si="11"/>
        <v>29884882.930989828</v>
      </c>
      <c r="F167" s="73">
        <f t="shared" si="12"/>
        <v>105344.21233173915</v>
      </c>
      <c r="G167" s="73"/>
      <c r="H167" s="73">
        <f t="shared" si="10"/>
        <v>66425.197462756463</v>
      </c>
      <c r="I167" s="73">
        <v>0</v>
      </c>
      <c r="J167" s="73">
        <f t="shared" si="13"/>
        <v>171769.40979449562</v>
      </c>
      <c r="K167" s="73">
        <f>IF(AND('Inputs and Assumptions'!$H$11="Bridge", C167&lt;='Inputs and Assumptions'!$D$14),'Inputs and Assumptions'!$D$40/'Inputs and Assumptions'!$D$14, 0)</f>
        <v>0</v>
      </c>
      <c r="L167" s="74">
        <f t="shared" si="14"/>
        <v>29818457.733527072</v>
      </c>
    </row>
    <row r="168" spans="3:12">
      <c r="C168" s="20">
        <v>152</v>
      </c>
      <c r="D168" s="813">
        <f>IF(AND('Inputs and Assumptions'!$H$11="Bridge",'Debt Sizing'!$O$64="1 Mo Term SOFR"),IFERROR(INDEX('1 Month Term SOFR Forward Curve'!$D$5:$D$125,MATCH('Amo Schedule - Senior'!C168,'1 Month Term SOFR Forward Curve'!$C$5:$C$125,0))+$E$8,'Amo Schedule - Senior'!D167),'Amo Schedule - Senior'!$E$8)</f>
        <v>4.2300000000000004E-2</v>
      </c>
      <c r="E168" s="73">
        <f t="shared" si="11"/>
        <v>29818457.733527072</v>
      </c>
      <c r="F168" s="73">
        <f t="shared" si="12"/>
        <v>105110.06351068294</v>
      </c>
      <c r="G168" s="73"/>
      <c r="H168" s="73">
        <f t="shared" si="10"/>
        <v>66659.346283812672</v>
      </c>
      <c r="I168" s="73">
        <v>0</v>
      </c>
      <c r="J168" s="73">
        <f t="shared" si="13"/>
        <v>171769.40979449562</v>
      </c>
      <c r="K168" s="73">
        <f>IF(AND('Inputs and Assumptions'!$H$11="Bridge", C168&lt;='Inputs and Assumptions'!$D$14),'Inputs and Assumptions'!$D$40/'Inputs and Assumptions'!$D$14, 0)</f>
        <v>0</v>
      </c>
      <c r="L168" s="74">
        <f t="shared" si="14"/>
        <v>29751798.38724326</v>
      </c>
    </row>
    <row r="169" spans="3:12">
      <c r="C169" s="20">
        <v>153</v>
      </c>
      <c r="D169" s="813">
        <f>IF(AND('Inputs and Assumptions'!$H$11="Bridge",'Debt Sizing'!$O$64="1 Mo Term SOFR"),IFERROR(INDEX('1 Month Term SOFR Forward Curve'!$D$5:$D$125,MATCH('Amo Schedule - Senior'!C169,'1 Month Term SOFR Forward Curve'!$C$5:$C$125,0))+$E$8,'Amo Schedule - Senior'!D168),'Amo Schedule - Senior'!$E$8)</f>
        <v>4.2300000000000004E-2</v>
      </c>
      <c r="E169" s="73">
        <f t="shared" si="11"/>
        <v>29751798.38724326</v>
      </c>
      <c r="F169" s="73">
        <f t="shared" si="12"/>
        <v>104875.0893150325</v>
      </c>
      <c r="G169" s="73"/>
      <c r="H169" s="73">
        <f t="shared" si="10"/>
        <v>66894.320479463116</v>
      </c>
      <c r="I169" s="73">
        <v>0</v>
      </c>
      <c r="J169" s="73">
        <f t="shared" si="13"/>
        <v>171769.40979449562</v>
      </c>
      <c r="K169" s="73">
        <f>IF(AND('Inputs and Assumptions'!$H$11="Bridge", C169&lt;='Inputs and Assumptions'!$D$14),'Inputs and Assumptions'!$D$40/'Inputs and Assumptions'!$D$14, 0)</f>
        <v>0</v>
      </c>
      <c r="L169" s="74">
        <f t="shared" si="14"/>
        <v>29684904.066763796</v>
      </c>
    </row>
    <row r="170" spans="3:12">
      <c r="C170" s="20">
        <v>154</v>
      </c>
      <c r="D170" s="813">
        <f>IF(AND('Inputs and Assumptions'!$H$11="Bridge",'Debt Sizing'!$O$64="1 Mo Term SOFR"),IFERROR(INDEX('1 Month Term SOFR Forward Curve'!$D$5:$D$125,MATCH('Amo Schedule - Senior'!C170,'1 Month Term SOFR Forward Curve'!$C$5:$C$125,0))+$E$8,'Amo Schedule - Senior'!D169),'Amo Schedule - Senior'!$E$8)</f>
        <v>4.2300000000000004E-2</v>
      </c>
      <c r="E170" s="73">
        <f t="shared" si="11"/>
        <v>29684904.066763796</v>
      </c>
      <c r="F170" s="73">
        <f t="shared" si="12"/>
        <v>104639.2868353424</v>
      </c>
      <c r="G170" s="73"/>
      <c r="H170" s="73">
        <f t="shared" si="10"/>
        <v>67130.122959153217</v>
      </c>
      <c r="I170" s="73">
        <v>0</v>
      </c>
      <c r="J170" s="73">
        <f t="shared" si="13"/>
        <v>171769.40979449562</v>
      </c>
      <c r="K170" s="73">
        <f>IF(AND('Inputs and Assumptions'!$H$11="Bridge", C170&lt;='Inputs and Assumptions'!$D$14),'Inputs and Assumptions'!$D$40/'Inputs and Assumptions'!$D$14, 0)</f>
        <v>0</v>
      </c>
      <c r="L170" s="74">
        <f t="shared" si="14"/>
        <v>29617773.943804644</v>
      </c>
    </row>
    <row r="171" spans="3:12">
      <c r="C171" s="20">
        <v>155</v>
      </c>
      <c r="D171" s="813">
        <f>IF(AND('Inputs and Assumptions'!$H$11="Bridge",'Debt Sizing'!$O$64="1 Mo Term SOFR"),IFERROR(INDEX('1 Month Term SOFR Forward Curve'!$D$5:$D$125,MATCH('Amo Schedule - Senior'!C171,'1 Month Term SOFR Forward Curve'!$C$5:$C$125,0))+$E$8,'Amo Schedule - Senior'!D170),'Amo Schedule - Senior'!$E$8)</f>
        <v>4.2300000000000004E-2</v>
      </c>
      <c r="E171" s="73">
        <f t="shared" si="11"/>
        <v>29617773.943804644</v>
      </c>
      <c r="F171" s="73">
        <f t="shared" si="12"/>
        <v>104402.65315191138</v>
      </c>
      <c r="G171" s="73"/>
      <c r="H171" s="73">
        <f t="shared" si="10"/>
        <v>67366.756642584238</v>
      </c>
      <c r="I171" s="73">
        <v>0</v>
      </c>
      <c r="J171" s="73">
        <f t="shared" si="13"/>
        <v>171769.40979449562</v>
      </c>
      <c r="K171" s="73">
        <f>IF(AND('Inputs and Assumptions'!$H$11="Bridge", C171&lt;='Inputs and Assumptions'!$D$14),'Inputs and Assumptions'!$D$40/'Inputs and Assumptions'!$D$14, 0)</f>
        <v>0</v>
      </c>
      <c r="L171" s="74">
        <f t="shared" si="14"/>
        <v>29550407.18716206</v>
      </c>
    </row>
    <row r="172" spans="3:12">
      <c r="C172" s="20">
        <v>156</v>
      </c>
      <c r="D172" s="813">
        <f>IF(AND('Inputs and Assumptions'!$H$11="Bridge",'Debt Sizing'!$O$64="1 Mo Term SOFR"),IFERROR(INDEX('1 Month Term SOFR Forward Curve'!$D$5:$D$125,MATCH('Amo Schedule - Senior'!C172,'1 Month Term SOFR Forward Curve'!$C$5:$C$125,0))+$E$8,'Amo Schedule - Senior'!D171),'Amo Schedule - Senior'!$E$8)</f>
        <v>4.2300000000000004E-2</v>
      </c>
      <c r="E172" s="73">
        <f t="shared" si="11"/>
        <v>29550407.18716206</v>
      </c>
      <c r="F172" s="73">
        <f t="shared" si="12"/>
        <v>104165.18533474627</v>
      </c>
      <c r="G172" s="73"/>
      <c r="H172" s="73">
        <f t="shared" si="10"/>
        <v>67604.224459749341</v>
      </c>
      <c r="I172" s="73">
        <v>0</v>
      </c>
      <c r="J172" s="73">
        <f t="shared" si="13"/>
        <v>171769.40979449562</v>
      </c>
      <c r="K172" s="73">
        <f>IF(AND('Inputs and Assumptions'!$H$11="Bridge", C172&lt;='Inputs and Assumptions'!$D$14),'Inputs and Assumptions'!$D$40/'Inputs and Assumptions'!$D$14, 0)</f>
        <v>0</v>
      </c>
      <c r="L172" s="74">
        <f t="shared" si="14"/>
        <v>29482802.962702312</v>
      </c>
    </row>
    <row r="173" spans="3:12">
      <c r="C173" s="20">
        <v>157</v>
      </c>
      <c r="D173" s="813">
        <f>IF(AND('Inputs and Assumptions'!$H$11="Bridge",'Debt Sizing'!$O$64="1 Mo Term SOFR"),IFERROR(INDEX('1 Month Term SOFR Forward Curve'!$D$5:$D$125,MATCH('Amo Schedule - Senior'!C173,'1 Month Term SOFR Forward Curve'!$C$5:$C$125,0))+$E$8,'Amo Schedule - Senior'!D172),'Amo Schedule - Senior'!$E$8)</f>
        <v>4.2300000000000004E-2</v>
      </c>
      <c r="E173" s="73">
        <f t="shared" si="11"/>
        <v>29482802.962702312</v>
      </c>
      <c r="F173" s="73">
        <f t="shared" si="12"/>
        <v>103926.88044352566</v>
      </c>
      <c r="G173" s="73"/>
      <c r="H173" s="73">
        <f t="shared" si="10"/>
        <v>67842.529350969955</v>
      </c>
      <c r="I173" s="73">
        <v>0</v>
      </c>
      <c r="J173" s="73">
        <f t="shared" si="13"/>
        <v>171769.40979449562</v>
      </c>
      <c r="K173" s="73">
        <f>IF(AND('Inputs and Assumptions'!$H$11="Bridge", C173&lt;='Inputs and Assumptions'!$D$14),'Inputs and Assumptions'!$D$40/'Inputs and Assumptions'!$D$14, 0)</f>
        <v>0</v>
      </c>
      <c r="L173" s="74">
        <f t="shared" si="14"/>
        <v>29414960.433351342</v>
      </c>
    </row>
    <row r="174" spans="3:12">
      <c r="C174" s="20">
        <v>158</v>
      </c>
      <c r="D174" s="813">
        <f>IF(AND('Inputs and Assumptions'!$H$11="Bridge",'Debt Sizing'!$O$64="1 Mo Term SOFR"),IFERROR(INDEX('1 Month Term SOFR Forward Curve'!$D$5:$D$125,MATCH('Amo Schedule - Senior'!C174,'1 Month Term SOFR Forward Curve'!$C$5:$C$125,0))+$E$8,'Amo Schedule - Senior'!D173),'Amo Schedule - Senior'!$E$8)</f>
        <v>4.2300000000000004E-2</v>
      </c>
      <c r="E174" s="73">
        <f t="shared" si="11"/>
        <v>29414960.433351342</v>
      </c>
      <c r="F174" s="73">
        <f t="shared" si="12"/>
        <v>103687.73552756349</v>
      </c>
      <c r="G174" s="73"/>
      <c r="H174" s="73">
        <f t="shared" si="10"/>
        <v>68081.674266932125</v>
      </c>
      <c r="I174" s="73">
        <v>0</v>
      </c>
      <c r="J174" s="73">
        <f t="shared" si="13"/>
        <v>171769.40979449562</v>
      </c>
      <c r="K174" s="73">
        <f>IF(AND('Inputs and Assumptions'!$H$11="Bridge", C174&lt;='Inputs and Assumptions'!$D$14),'Inputs and Assumptions'!$D$40/'Inputs and Assumptions'!$D$14, 0)</f>
        <v>0</v>
      </c>
      <c r="L174" s="74">
        <f t="shared" si="14"/>
        <v>29346878.759084411</v>
      </c>
    </row>
    <row r="175" spans="3:12">
      <c r="C175" s="20">
        <v>159</v>
      </c>
      <c r="D175" s="813">
        <f>IF(AND('Inputs and Assumptions'!$H$11="Bridge",'Debt Sizing'!$O$64="1 Mo Term SOFR"),IFERROR(INDEX('1 Month Term SOFR Forward Curve'!$D$5:$D$125,MATCH('Amo Schedule - Senior'!C175,'1 Month Term SOFR Forward Curve'!$C$5:$C$125,0))+$E$8,'Amo Schedule - Senior'!D174),'Amo Schedule - Senior'!$E$8)</f>
        <v>4.2300000000000004E-2</v>
      </c>
      <c r="E175" s="73">
        <f t="shared" si="11"/>
        <v>29346878.759084411</v>
      </c>
      <c r="F175" s="73">
        <f t="shared" si="12"/>
        <v>103447.74762577256</v>
      </c>
      <c r="G175" s="73"/>
      <c r="H175" s="73">
        <f t="shared" si="10"/>
        <v>68321.662168723051</v>
      </c>
      <c r="I175" s="73">
        <v>0</v>
      </c>
      <c r="J175" s="73">
        <f t="shared" si="13"/>
        <v>171769.40979449562</v>
      </c>
      <c r="K175" s="73">
        <f>IF(AND('Inputs and Assumptions'!$H$11="Bridge", C175&lt;='Inputs and Assumptions'!$D$14),'Inputs and Assumptions'!$D$40/'Inputs and Assumptions'!$D$14, 0)</f>
        <v>0</v>
      </c>
      <c r="L175" s="74">
        <f t="shared" si="14"/>
        <v>29278557.096915688</v>
      </c>
    </row>
    <row r="176" spans="3:12">
      <c r="C176" s="20">
        <v>160</v>
      </c>
      <c r="D176" s="813">
        <f>IF(AND('Inputs and Assumptions'!$H$11="Bridge",'Debt Sizing'!$O$64="1 Mo Term SOFR"),IFERROR(INDEX('1 Month Term SOFR Forward Curve'!$D$5:$D$125,MATCH('Amo Schedule - Senior'!C176,'1 Month Term SOFR Forward Curve'!$C$5:$C$125,0))+$E$8,'Amo Schedule - Senior'!D175),'Amo Schedule - Senior'!$E$8)</f>
        <v>4.2300000000000004E-2</v>
      </c>
      <c r="E176" s="73">
        <f t="shared" si="11"/>
        <v>29278557.096915688</v>
      </c>
      <c r="F176" s="73">
        <f t="shared" si="12"/>
        <v>103206.91376662781</v>
      </c>
      <c r="G176" s="73"/>
      <c r="H176" s="73">
        <f t="shared" si="10"/>
        <v>68562.496027867805</v>
      </c>
      <c r="I176" s="73">
        <v>0</v>
      </c>
      <c r="J176" s="73">
        <f t="shared" si="13"/>
        <v>171769.40979449562</v>
      </c>
      <c r="K176" s="73">
        <f>IF(AND('Inputs and Assumptions'!$H$11="Bridge", C176&lt;='Inputs and Assumptions'!$D$14),'Inputs and Assumptions'!$D$40/'Inputs and Assumptions'!$D$14, 0)</f>
        <v>0</v>
      </c>
      <c r="L176" s="74">
        <f t="shared" si="14"/>
        <v>29209994.60088782</v>
      </c>
    </row>
    <row r="177" spans="3:12">
      <c r="C177" s="20">
        <v>161</v>
      </c>
      <c r="D177" s="813">
        <f>IF(AND('Inputs and Assumptions'!$H$11="Bridge",'Debt Sizing'!$O$64="1 Mo Term SOFR"),IFERROR(INDEX('1 Month Term SOFR Forward Curve'!$D$5:$D$125,MATCH('Amo Schedule - Senior'!C177,'1 Month Term SOFR Forward Curve'!$C$5:$C$125,0))+$E$8,'Amo Schedule - Senior'!D176),'Amo Schedule - Senior'!$E$8)</f>
        <v>4.2300000000000004E-2</v>
      </c>
      <c r="E177" s="73">
        <f t="shared" si="11"/>
        <v>29209994.60088782</v>
      </c>
      <c r="F177" s="73">
        <f t="shared" si="12"/>
        <v>102965.23096812957</v>
      </c>
      <c r="G177" s="73"/>
      <c r="H177" s="73">
        <f t="shared" si="10"/>
        <v>68804.178826366042</v>
      </c>
      <c r="I177" s="73">
        <v>0</v>
      </c>
      <c r="J177" s="73">
        <f t="shared" si="13"/>
        <v>171769.40979449562</v>
      </c>
      <c r="K177" s="73">
        <f>IF(AND('Inputs and Assumptions'!$H$11="Bridge", C177&lt;='Inputs and Assumptions'!$D$14),'Inputs and Assumptions'!$D$40/'Inputs and Assumptions'!$D$14, 0)</f>
        <v>0</v>
      </c>
      <c r="L177" s="74">
        <f t="shared" si="14"/>
        <v>29141190.422061455</v>
      </c>
    </row>
    <row r="178" spans="3:12">
      <c r="C178" s="20">
        <v>162</v>
      </c>
      <c r="D178" s="813">
        <f>IF(AND('Inputs and Assumptions'!$H$11="Bridge",'Debt Sizing'!$O$64="1 Mo Term SOFR"),IFERROR(INDEX('1 Month Term SOFR Forward Curve'!$D$5:$D$125,MATCH('Amo Schedule - Senior'!C178,'1 Month Term SOFR Forward Curve'!$C$5:$C$125,0))+$E$8,'Amo Schedule - Senior'!D177),'Amo Schedule - Senior'!$E$8)</f>
        <v>4.2300000000000004E-2</v>
      </c>
      <c r="E178" s="73">
        <f t="shared" si="11"/>
        <v>29141190.422061455</v>
      </c>
      <c r="F178" s="73">
        <f t="shared" si="12"/>
        <v>102722.69623776664</v>
      </c>
      <c r="G178" s="73"/>
      <c r="H178" s="73">
        <f t="shared" si="10"/>
        <v>69046.713556728981</v>
      </c>
      <c r="I178" s="73">
        <v>0</v>
      </c>
      <c r="J178" s="73">
        <f t="shared" si="13"/>
        <v>171769.40979449562</v>
      </c>
      <c r="K178" s="73">
        <f>IF(AND('Inputs and Assumptions'!$H$11="Bridge", C178&lt;='Inputs and Assumptions'!$D$14),'Inputs and Assumptions'!$D$40/'Inputs and Assumptions'!$D$14, 0)</f>
        <v>0</v>
      </c>
      <c r="L178" s="74">
        <f t="shared" si="14"/>
        <v>29072143.708504725</v>
      </c>
    </row>
    <row r="179" spans="3:12">
      <c r="C179" s="20">
        <v>163</v>
      </c>
      <c r="D179" s="813">
        <f>IF(AND('Inputs and Assumptions'!$H$11="Bridge",'Debt Sizing'!$O$64="1 Mo Term SOFR"),IFERROR(INDEX('1 Month Term SOFR Forward Curve'!$D$5:$D$125,MATCH('Amo Schedule - Senior'!C179,'1 Month Term SOFR Forward Curve'!$C$5:$C$125,0))+$E$8,'Amo Schedule - Senior'!D178),'Amo Schedule - Senior'!$E$8)</f>
        <v>4.2300000000000004E-2</v>
      </c>
      <c r="E179" s="73">
        <f t="shared" si="11"/>
        <v>29072143.708504725</v>
      </c>
      <c r="F179" s="73">
        <f t="shared" si="12"/>
        <v>102479.30657247917</v>
      </c>
      <c r="G179" s="73"/>
      <c r="H179" s="73">
        <f t="shared" si="10"/>
        <v>69290.103222016449</v>
      </c>
      <c r="I179" s="73">
        <v>0</v>
      </c>
      <c r="J179" s="73">
        <f t="shared" si="13"/>
        <v>171769.40979449562</v>
      </c>
      <c r="K179" s="73">
        <f>IF(AND('Inputs and Assumptions'!$H$11="Bridge", C179&lt;='Inputs and Assumptions'!$D$14),'Inputs and Assumptions'!$D$40/'Inputs and Assumptions'!$D$14, 0)</f>
        <v>0</v>
      </c>
      <c r="L179" s="74">
        <f t="shared" si="14"/>
        <v>29002853.605282709</v>
      </c>
    </row>
    <row r="180" spans="3:12">
      <c r="C180" s="20">
        <v>164</v>
      </c>
      <c r="D180" s="813">
        <f>IF(AND('Inputs and Assumptions'!$H$11="Bridge",'Debt Sizing'!$O$64="1 Mo Term SOFR"),IFERROR(INDEX('1 Month Term SOFR Forward Curve'!$D$5:$D$125,MATCH('Amo Schedule - Senior'!C180,'1 Month Term SOFR Forward Curve'!$C$5:$C$125,0))+$E$8,'Amo Schedule - Senior'!D179),'Amo Schedule - Senior'!$E$8)</f>
        <v>4.2300000000000004E-2</v>
      </c>
      <c r="E180" s="73">
        <f t="shared" si="11"/>
        <v>29002853.605282709</v>
      </c>
      <c r="F180" s="73">
        <f t="shared" si="12"/>
        <v>102235.05895862156</v>
      </c>
      <c r="G180" s="73"/>
      <c r="H180" s="73">
        <f t="shared" si="10"/>
        <v>69534.350835874051</v>
      </c>
      <c r="I180" s="73">
        <v>0</v>
      </c>
      <c r="J180" s="73">
        <f t="shared" si="13"/>
        <v>171769.40979449562</v>
      </c>
      <c r="K180" s="73">
        <f>IF(AND('Inputs and Assumptions'!$H$11="Bridge", C180&lt;='Inputs and Assumptions'!$D$14),'Inputs and Assumptions'!$D$40/'Inputs and Assumptions'!$D$14, 0)</f>
        <v>0</v>
      </c>
      <c r="L180" s="74">
        <f t="shared" si="14"/>
        <v>28933319.254446834</v>
      </c>
    </row>
    <row r="181" spans="3:12">
      <c r="C181" s="20">
        <v>165</v>
      </c>
      <c r="D181" s="813">
        <f>IF(AND('Inputs and Assumptions'!$H$11="Bridge",'Debt Sizing'!$O$64="1 Mo Term SOFR"),IFERROR(INDEX('1 Month Term SOFR Forward Curve'!$D$5:$D$125,MATCH('Amo Schedule - Senior'!C181,'1 Month Term SOFR Forward Curve'!$C$5:$C$125,0))+$E$8,'Amo Schedule - Senior'!D180),'Amo Schedule - Senior'!$E$8)</f>
        <v>4.2300000000000004E-2</v>
      </c>
      <c r="E181" s="73">
        <f t="shared" si="11"/>
        <v>28933319.254446834</v>
      </c>
      <c r="F181" s="73">
        <f t="shared" si="12"/>
        <v>101989.95037192511</v>
      </c>
      <c r="G181" s="73"/>
      <c r="H181" s="73">
        <f t="shared" si="10"/>
        <v>69779.459422570508</v>
      </c>
      <c r="I181" s="73">
        <v>0</v>
      </c>
      <c r="J181" s="73">
        <f t="shared" si="13"/>
        <v>171769.40979449562</v>
      </c>
      <c r="K181" s="73">
        <f>IF(AND('Inputs and Assumptions'!$H$11="Bridge", C181&lt;='Inputs and Assumptions'!$D$14),'Inputs and Assumptions'!$D$40/'Inputs and Assumptions'!$D$14, 0)</f>
        <v>0</v>
      </c>
      <c r="L181" s="74">
        <f t="shared" si="14"/>
        <v>28863539.795024265</v>
      </c>
    </row>
    <row r="182" spans="3:12">
      <c r="C182" s="20">
        <v>166</v>
      </c>
      <c r="D182" s="813">
        <f>IF(AND('Inputs and Assumptions'!$H$11="Bridge",'Debt Sizing'!$O$64="1 Mo Term SOFR"),IFERROR(INDEX('1 Month Term SOFR Forward Curve'!$D$5:$D$125,MATCH('Amo Schedule - Senior'!C182,'1 Month Term SOFR Forward Curve'!$C$5:$C$125,0))+$E$8,'Amo Schedule - Senior'!D181),'Amo Schedule - Senior'!$E$8)</f>
        <v>4.2300000000000004E-2</v>
      </c>
      <c r="E182" s="73">
        <f t="shared" si="11"/>
        <v>28863539.795024265</v>
      </c>
      <c r="F182" s="73">
        <f t="shared" si="12"/>
        <v>101743.97777746055</v>
      </c>
      <c r="G182" s="73"/>
      <c r="H182" s="73">
        <f t="shared" si="10"/>
        <v>70025.432017035069</v>
      </c>
      <c r="I182" s="73">
        <v>0</v>
      </c>
      <c r="J182" s="73">
        <f t="shared" si="13"/>
        <v>171769.40979449562</v>
      </c>
      <c r="K182" s="73">
        <f>IF(AND('Inputs and Assumptions'!$H$11="Bridge", C182&lt;='Inputs and Assumptions'!$D$14),'Inputs and Assumptions'!$D$40/'Inputs and Assumptions'!$D$14, 0)</f>
        <v>0</v>
      </c>
      <c r="L182" s="74">
        <f t="shared" si="14"/>
        <v>28793514.363007229</v>
      </c>
    </row>
    <row r="183" spans="3:12">
      <c r="C183" s="20">
        <v>167</v>
      </c>
      <c r="D183" s="813">
        <f>IF(AND('Inputs and Assumptions'!$H$11="Bridge",'Debt Sizing'!$O$64="1 Mo Term SOFR"),IFERROR(INDEX('1 Month Term SOFR Forward Curve'!$D$5:$D$125,MATCH('Amo Schedule - Senior'!C183,'1 Month Term SOFR Forward Curve'!$C$5:$C$125,0))+$E$8,'Amo Schedule - Senior'!D182),'Amo Schedule - Senior'!$E$8)</f>
        <v>4.2300000000000004E-2</v>
      </c>
      <c r="E183" s="73">
        <f t="shared" si="11"/>
        <v>28793514.363007229</v>
      </c>
      <c r="F183" s="73">
        <f t="shared" si="12"/>
        <v>101497.1381296005</v>
      </c>
      <c r="G183" s="73"/>
      <c r="H183" s="73">
        <f t="shared" si="10"/>
        <v>70272.271664895117</v>
      </c>
      <c r="I183" s="73">
        <v>0</v>
      </c>
      <c r="J183" s="73">
        <f t="shared" si="13"/>
        <v>171769.40979449562</v>
      </c>
      <c r="K183" s="73">
        <f>IF(AND('Inputs and Assumptions'!$H$11="Bridge", C183&lt;='Inputs and Assumptions'!$D$14),'Inputs and Assumptions'!$D$40/'Inputs and Assumptions'!$D$14, 0)</f>
        <v>0</v>
      </c>
      <c r="L183" s="74">
        <f t="shared" si="14"/>
        <v>28723242.091342334</v>
      </c>
    </row>
    <row r="184" spans="3:12">
      <c r="C184" s="20">
        <v>168</v>
      </c>
      <c r="D184" s="813">
        <f>IF(AND('Inputs and Assumptions'!$H$11="Bridge",'Debt Sizing'!$O$64="1 Mo Term SOFR"),IFERROR(INDEX('1 Month Term SOFR Forward Curve'!$D$5:$D$125,MATCH('Amo Schedule - Senior'!C184,'1 Month Term SOFR Forward Curve'!$C$5:$C$125,0))+$E$8,'Amo Schedule - Senior'!D183),'Amo Schedule - Senior'!$E$8)</f>
        <v>4.2300000000000004E-2</v>
      </c>
      <c r="E184" s="73">
        <f t="shared" si="11"/>
        <v>28723242.091342334</v>
      </c>
      <c r="F184" s="73">
        <f t="shared" si="12"/>
        <v>101249.42837198173</v>
      </c>
      <c r="G184" s="73"/>
      <c r="H184" s="73">
        <f t="shared" si="10"/>
        <v>70519.981422513883</v>
      </c>
      <c r="I184" s="73">
        <v>0</v>
      </c>
      <c r="J184" s="73">
        <f t="shared" si="13"/>
        <v>171769.40979449562</v>
      </c>
      <c r="K184" s="73">
        <f>IF(AND('Inputs and Assumptions'!$H$11="Bridge", C184&lt;='Inputs and Assumptions'!$D$14),'Inputs and Assumptions'!$D$40/'Inputs and Assumptions'!$D$14, 0)</f>
        <v>0</v>
      </c>
      <c r="L184" s="74">
        <f t="shared" si="14"/>
        <v>28652722.10991982</v>
      </c>
    </row>
    <row r="185" spans="3:12">
      <c r="C185" s="20">
        <v>169</v>
      </c>
      <c r="D185" s="813">
        <f>IF(AND('Inputs and Assumptions'!$H$11="Bridge",'Debt Sizing'!$O$64="1 Mo Term SOFR"),IFERROR(INDEX('1 Month Term SOFR Forward Curve'!$D$5:$D$125,MATCH('Amo Schedule - Senior'!C185,'1 Month Term SOFR Forward Curve'!$C$5:$C$125,0))+$E$8,'Amo Schedule - Senior'!D184),'Amo Schedule - Senior'!$E$8)</f>
        <v>4.2300000000000004E-2</v>
      </c>
      <c r="E185" s="73">
        <f t="shared" si="11"/>
        <v>28652722.10991982</v>
      </c>
      <c r="F185" s="73">
        <f t="shared" si="12"/>
        <v>101000.84543746737</v>
      </c>
      <c r="G185" s="73"/>
      <c r="H185" s="73">
        <f t="shared" si="10"/>
        <v>70768.564357028241</v>
      </c>
      <c r="I185" s="73">
        <v>0</v>
      </c>
      <c r="J185" s="73">
        <f t="shared" si="13"/>
        <v>171769.40979449562</v>
      </c>
      <c r="K185" s="73">
        <f>IF(AND('Inputs and Assumptions'!$H$11="Bridge", C185&lt;='Inputs and Assumptions'!$D$14),'Inputs and Assumptions'!$D$40/'Inputs and Assumptions'!$D$14, 0)</f>
        <v>0</v>
      </c>
      <c r="L185" s="74">
        <f t="shared" si="14"/>
        <v>28581953.545562793</v>
      </c>
    </row>
    <row r="186" spans="3:12">
      <c r="C186" s="20">
        <v>170</v>
      </c>
      <c r="D186" s="813">
        <f>IF(AND('Inputs and Assumptions'!$H$11="Bridge",'Debt Sizing'!$O$64="1 Mo Term SOFR"),IFERROR(INDEX('1 Month Term SOFR Forward Curve'!$D$5:$D$125,MATCH('Amo Schedule - Senior'!C186,'1 Month Term SOFR Forward Curve'!$C$5:$C$125,0))+$E$8,'Amo Schedule - Senior'!D185),'Amo Schedule - Senior'!$E$8)</f>
        <v>4.2300000000000004E-2</v>
      </c>
      <c r="E186" s="73">
        <f t="shared" si="11"/>
        <v>28581953.545562793</v>
      </c>
      <c r="F186" s="73">
        <f t="shared" si="12"/>
        <v>100751.38624810886</v>
      </c>
      <c r="G186" s="73"/>
      <c r="H186" s="73">
        <f t="shared" si="10"/>
        <v>71018.023546386758</v>
      </c>
      <c r="I186" s="73">
        <v>0</v>
      </c>
      <c r="J186" s="73">
        <f t="shared" si="13"/>
        <v>171769.40979449562</v>
      </c>
      <c r="K186" s="73">
        <f>IF(AND('Inputs and Assumptions'!$H$11="Bridge", C186&lt;='Inputs and Assumptions'!$D$14),'Inputs and Assumptions'!$D$40/'Inputs and Assumptions'!$D$14, 0)</f>
        <v>0</v>
      </c>
      <c r="L186" s="74">
        <f t="shared" si="14"/>
        <v>28510935.522016406</v>
      </c>
    </row>
    <row r="187" spans="3:12">
      <c r="C187" s="20">
        <v>171</v>
      </c>
      <c r="D187" s="813">
        <f>IF(AND('Inputs and Assumptions'!$H$11="Bridge",'Debt Sizing'!$O$64="1 Mo Term SOFR"),IFERROR(INDEX('1 Month Term SOFR Forward Curve'!$D$5:$D$125,MATCH('Amo Schedule - Senior'!C187,'1 Month Term SOFR Forward Curve'!$C$5:$C$125,0))+$E$8,'Amo Schedule - Senior'!D186),'Amo Schedule - Senior'!$E$8)</f>
        <v>4.2300000000000004E-2</v>
      </c>
      <c r="E187" s="73">
        <f t="shared" si="11"/>
        <v>28510935.522016406</v>
      </c>
      <c r="F187" s="73">
        <f t="shared" si="12"/>
        <v>100501.04771510784</v>
      </c>
      <c r="G187" s="73"/>
      <c r="H187" s="73">
        <f t="shared" si="10"/>
        <v>71268.362079387778</v>
      </c>
      <c r="I187" s="73">
        <v>0</v>
      </c>
      <c r="J187" s="73">
        <f t="shared" si="13"/>
        <v>171769.40979449562</v>
      </c>
      <c r="K187" s="73">
        <f>IF(AND('Inputs and Assumptions'!$H$11="Bridge", C187&lt;='Inputs and Assumptions'!$D$14),'Inputs and Assumptions'!$D$40/'Inputs and Assumptions'!$D$14, 0)</f>
        <v>0</v>
      </c>
      <c r="L187" s="74">
        <f t="shared" si="14"/>
        <v>28439667.159937017</v>
      </c>
    </row>
    <row r="188" spans="3:12">
      <c r="C188" s="20">
        <v>172</v>
      </c>
      <c r="D188" s="813">
        <f>IF(AND('Inputs and Assumptions'!$H$11="Bridge",'Debt Sizing'!$O$64="1 Mo Term SOFR"),IFERROR(INDEX('1 Month Term SOFR Forward Curve'!$D$5:$D$125,MATCH('Amo Schedule - Senior'!C188,'1 Month Term SOFR Forward Curve'!$C$5:$C$125,0))+$E$8,'Amo Schedule - Senior'!D187),'Amo Schedule - Senior'!$E$8)</f>
        <v>4.2300000000000004E-2</v>
      </c>
      <c r="E188" s="73">
        <f t="shared" si="11"/>
        <v>28439667.159937017</v>
      </c>
      <c r="F188" s="73">
        <f t="shared" si="12"/>
        <v>100249.82673877799</v>
      </c>
      <c r="G188" s="73"/>
      <c r="H188" s="73">
        <f t="shared" si="10"/>
        <v>71519.583055717623</v>
      </c>
      <c r="I188" s="73">
        <v>0</v>
      </c>
      <c r="J188" s="73">
        <f t="shared" si="13"/>
        <v>171769.40979449562</v>
      </c>
      <c r="K188" s="73">
        <f>IF(AND('Inputs and Assumptions'!$H$11="Bridge", C188&lt;='Inputs and Assumptions'!$D$14),'Inputs and Assumptions'!$D$40/'Inputs and Assumptions'!$D$14, 0)</f>
        <v>0</v>
      </c>
      <c r="L188" s="74">
        <f t="shared" si="14"/>
        <v>28368147.576881301</v>
      </c>
    </row>
    <row r="189" spans="3:12">
      <c r="C189" s="20">
        <v>173</v>
      </c>
      <c r="D189" s="813">
        <f>IF(AND('Inputs and Assumptions'!$H$11="Bridge",'Debt Sizing'!$O$64="1 Mo Term SOFR"),IFERROR(INDEX('1 Month Term SOFR Forward Curve'!$D$5:$D$125,MATCH('Amo Schedule - Senior'!C189,'1 Month Term SOFR Forward Curve'!$C$5:$C$125,0))+$E$8,'Amo Schedule - Senior'!D188),'Amo Schedule - Senior'!$E$8)</f>
        <v>4.2300000000000004E-2</v>
      </c>
      <c r="E189" s="73">
        <f t="shared" si="11"/>
        <v>28368147.576881301</v>
      </c>
      <c r="F189" s="73">
        <f t="shared" si="12"/>
        <v>99997.720208506595</v>
      </c>
      <c r="G189" s="73"/>
      <c r="H189" s="73">
        <f t="shared" si="10"/>
        <v>71771.689585989021</v>
      </c>
      <c r="I189" s="73">
        <v>0</v>
      </c>
      <c r="J189" s="73">
        <f t="shared" si="13"/>
        <v>171769.40979449562</v>
      </c>
      <c r="K189" s="73">
        <f>IF(AND('Inputs and Assumptions'!$H$11="Bridge", C189&lt;='Inputs and Assumptions'!$D$14),'Inputs and Assumptions'!$D$40/'Inputs and Assumptions'!$D$14, 0)</f>
        <v>0</v>
      </c>
      <c r="L189" s="74">
        <f t="shared" si="14"/>
        <v>28296375.887295313</v>
      </c>
    </row>
    <row r="190" spans="3:12">
      <c r="C190" s="20">
        <v>174</v>
      </c>
      <c r="D190" s="813">
        <f>IF(AND('Inputs and Assumptions'!$H$11="Bridge",'Debt Sizing'!$O$64="1 Mo Term SOFR"),IFERROR(INDEX('1 Month Term SOFR Forward Curve'!$D$5:$D$125,MATCH('Amo Schedule - Senior'!C190,'1 Month Term SOFR Forward Curve'!$C$5:$C$125,0))+$E$8,'Amo Schedule - Senior'!D189),'Amo Schedule - Senior'!$E$8)</f>
        <v>4.2300000000000004E-2</v>
      </c>
      <c r="E190" s="73">
        <f t="shared" si="11"/>
        <v>28296375.887295313</v>
      </c>
      <c r="F190" s="73">
        <f t="shared" si="12"/>
        <v>99744.72500271599</v>
      </c>
      <c r="G190" s="73"/>
      <c r="H190" s="73">
        <f t="shared" si="10"/>
        <v>72024.684791779626</v>
      </c>
      <c r="I190" s="73">
        <v>0</v>
      </c>
      <c r="J190" s="73">
        <f t="shared" si="13"/>
        <v>171769.40979449562</v>
      </c>
      <c r="K190" s="73">
        <f>IF(AND('Inputs and Assumptions'!$H$11="Bridge", C190&lt;='Inputs and Assumptions'!$D$14),'Inputs and Assumptions'!$D$40/'Inputs and Assumptions'!$D$14, 0)</f>
        <v>0</v>
      </c>
      <c r="L190" s="74">
        <f t="shared" si="14"/>
        <v>28224351.202503532</v>
      </c>
    </row>
    <row r="191" spans="3:12">
      <c r="C191" s="20">
        <v>175</v>
      </c>
      <c r="D191" s="813">
        <f>IF(AND('Inputs and Assumptions'!$H$11="Bridge",'Debt Sizing'!$O$64="1 Mo Term SOFR"),IFERROR(INDEX('1 Month Term SOFR Forward Curve'!$D$5:$D$125,MATCH('Amo Schedule - Senior'!C191,'1 Month Term SOFR Forward Curve'!$C$5:$C$125,0))+$E$8,'Amo Schedule - Senior'!D190),'Amo Schedule - Senior'!$E$8)</f>
        <v>4.2300000000000004E-2</v>
      </c>
      <c r="E191" s="73">
        <f t="shared" si="11"/>
        <v>28224351.202503532</v>
      </c>
      <c r="F191" s="73">
        <f t="shared" si="12"/>
        <v>99490.837988824962</v>
      </c>
      <c r="G191" s="73"/>
      <c r="H191" s="73">
        <f t="shared" si="10"/>
        <v>72278.571805670654</v>
      </c>
      <c r="I191" s="73">
        <v>0</v>
      </c>
      <c r="J191" s="73">
        <f t="shared" si="13"/>
        <v>171769.40979449562</v>
      </c>
      <c r="K191" s="73">
        <f>IF(AND('Inputs and Assumptions'!$H$11="Bridge", C191&lt;='Inputs and Assumptions'!$D$14),'Inputs and Assumptions'!$D$40/'Inputs and Assumptions'!$D$14, 0)</f>
        <v>0</v>
      </c>
      <c r="L191" s="74">
        <f t="shared" si="14"/>
        <v>28152072.630697861</v>
      </c>
    </row>
    <row r="192" spans="3:12">
      <c r="C192" s="20">
        <v>176</v>
      </c>
      <c r="D192" s="813">
        <f>IF(AND('Inputs and Assumptions'!$H$11="Bridge",'Debt Sizing'!$O$64="1 Mo Term SOFR"),IFERROR(INDEX('1 Month Term SOFR Forward Curve'!$D$5:$D$125,MATCH('Amo Schedule - Senior'!C192,'1 Month Term SOFR Forward Curve'!$C$5:$C$125,0))+$E$8,'Amo Schedule - Senior'!D191),'Amo Schedule - Senior'!$E$8)</f>
        <v>4.2300000000000004E-2</v>
      </c>
      <c r="E192" s="73">
        <f t="shared" si="11"/>
        <v>28152072.630697861</v>
      </c>
      <c r="F192" s="73">
        <f t="shared" si="12"/>
        <v>99236.056023209967</v>
      </c>
      <c r="G192" s="73"/>
      <c r="H192" s="73">
        <f t="shared" si="10"/>
        <v>72533.353771285649</v>
      </c>
      <c r="I192" s="73">
        <v>0</v>
      </c>
      <c r="J192" s="73">
        <f t="shared" si="13"/>
        <v>171769.40979449562</v>
      </c>
      <c r="K192" s="73">
        <f>IF(AND('Inputs and Assumptions'!$H$11="Bridge", C192&lt;='Inputs and Assumptions'!$D$14),'Inputs and Assumptions'!$D$40/'Inputs and Assumptions'!$D$14, 0)</f>
        <v>0</v>
      </c>
      <c r="L192" s="74">
        <f t="shared" si="14"/>
        <v>28079539.276926577</v>
      </c>
    </row>
    <row r="193" spans="3:12">
      <c r="C193" s="20">
        <v>177</v>
      </c>
      <c r="D193" s="813">
        <f>IF(AND('Inputs and Assumptions'!$H$11="Bridge",'Debt Sizing'!$O$64="1 Mo Term SOFR"),IFERROR(INDEX('1 Month Term SOFR Forward Curve'!$D$5:$D$125,MATCH('Amo Schedule - Senior'!C193,'1 Month Term SOFR Forward Curve'!$C$5:$C$125,0))+$E$8,'Amo Schedule - Senior'!D192),'Amo Schedule - Senior'!$E$8)</f>
        <v>4.2300000000000004E-2</v>
      </c>
      <c r="E193" s="73">
        <f t="shared" si="11"/>
        <v>28079539.276926577</v>
      </c>
      <c r="F193" s="73">
        <f t="shared" si="12"/>
        <v>98980.375951166192</v>
      </c>
      <c r="G193" s="73"/>
      <c r="H193" s="73">
        <f t="shared" si="10"/>
        <v>72789.033843329424</v>
      </c>
      <c r="I193" s="73">
        <v>0</v>
      </c>
      <c r="J193" s="73">
        <f t="shared" si="13"/>
        <v>171769.40979449562</v>
      </c>
      <c r="K193" s="73">
        <f>IF(AND('Inputs and Assumptions'!$H$11="Bridge", C193&lt;='Inputs and Assumptions'!$D$14),'Inputs and Assumptions'!$D$40/'Inputs and Assumptions'!$D$14, 0)</f>
        <v>0</v>
      </c>
      <c r="L193" s="74">
        <f t="shared" si="14"/>
        <v>28006750.243083246</v>
      </c>
    </row>
    <row r="194" spans="3:12">
      <c r="C194" s="20">
        <v>178</v>
      </c>
      <c r="D194" s="813">
        <f>IF(AND('Inputs and Assumptions'!$H$11="Bridge",'Debt Sizing'!$O$64="1 Mo Term SOFR"),IFERROR(INDEX('1 Month Term SOFR Forward Curve'!$D$5:$D$125,MATCH('Amo Schedule - Senior'!C194,'1 Month Term SOFR Forward Curve'!$C$5:$C$125,0))+$E$8,'Amo Schedule - Senior'!D193),'Amo Schedule - Senior'!$E$8)</f>
        <v>4.2300000000000004E-2</v>
      </c>
      <c r="E194" s="73">
        <f t="shared" si="11"/>
        <v>28006750.243083246</v>
      </c>
      <c r="F194" s="73">
        <f t="shared" si="12"/>
        <v>98723.794606868454</v>
      </c>
      <c r="G194" s="73"/>
      <c r="H194" s="73">
        <f t="shared" si="10"/>
        <v>73045.615187627162</v>
      </c>
      <c r="I194" s="73">
        <v>0</v>
      </c>
      <c r="J194" s="73">
        <f t="shared" si="13"/>
        <v>171769.40979449562</v>
      </c>
      <c r="K194" s="73">
        <f>IF(AND('Inputs and Assumptions'!$H$11="Bridge", C194&lt;='Inputs and Assumptions'!$D$14),'Inputs and Assumptions'!$D$40/'Inputs and Assumptions'!$D$14, 0)</f>
        <v>0</v>
      </c>
      <c r="L194" s="74">
        <f t="shared" si="14"/>
        <v>27933704.62789562</v>
      </c>
    </row>
    <row r="195" spans="3:12">
      <c r="C195" s="20">
        <v>179</v>
      </c>
      <c r="D195" s="813">
        <f>IF(AND('Inputs and Assumptions'!$H$11="Bridge",'Debt Sizing'!$O$64="1 Mo Term SOFR"),IFERROR(INDEX('1 Month Term SOFR Forward Curve'!$D$5:$D$125,MATCH('Amo Schedule - Senior'!C195,'1 Month Term SOFR Forward Curve'!$C$5:$C$125,0))+$E$8,'Amo Schedule - Senior'!D194),'Amo Schedule - Senior'!$E$8)</f>
        <v>4.2300000000000004E-2</v>
      </c>
      <c r="E195" s="73">
        <f t="shared" si="11"/>
        <v>27933704.62789562</v>
      </c>
      <c r="F195" s="73">
        <f t="shared" si="12"/>
        <v>98466.308813332071</v>
      </c>
      <c r="G195" s="73"/>
      <c r="H195" s="73">
        <f t="shared" si="10"/>
        <v>73303.100981163545</v>
      </c>
      <c r="I195" s="73">
        <v>0</v>
      </c>
      <c r="J195" s="73">
        <f t="shared" si="13"/>
        <v>171769.40979449562</v>
      </c>
      <c r="K195" s="73">
        <f>IF(AND('Inputs and Assumptions'!$H$11="Bridge", C195&lt;='Inputs and Assumptions'!$D$14),'Inputs and Assumptions'!$D$40/'Inputs and Assumptions'!$D$14, 0)</f>
        <v>0</v>
      </c>
      <c r="L195" s="74">
        <f t="shared" si="14"/>
        <v>27860401.526914455</v>
      </c>
    </row>
    <row r="196" spans="3:12">
      <c r="C196" s="20">
        <v>180</v>
      </c>
      <c r="D196" s="813">
        <f>IF(AND('Inputs and Assumptions'!$H$11="Bridge",'Debt Sizing'!$O$64="1 Mo Term SOFR"),IFERROR(INDEX('1 Month Term SOFR Forward Curve'!$D$5:$D$125,MATCH('Amo Schedule - Senior'!C196,'1 Month Term SOFR Forward Curve'!$C$5:$C$125,0))+$E$8,'Amo Schedule - Senior'!D195),'Amo Schedule - Senior'!$E$8)</f>
        <v>4.2300000000000004E-2</v>
      </c>
      <c r="E196" s="73">
        <f t="shared" si="11"/>
        <v>27860401.526914455</v>
      </c>
      <c r="F196" s="73">
        <f t="shared" si="12"/>
        <v>98207.915382373467</v>
      </c>
      <c r="G196" s="73"/>
      <c r="H196" s="73">
        <f t="shared" si="10"/>
        <v>73561.494412122149</v>
      </c>
      <c r="I196" s="73">
        <v>0</v>
      </c>
      <c r="J196" s="73">
        <f t="shared" si="13"/>
        <v>171769.40979449562</v>
      </c>
      <c r="K196" s="73">
        <f>IF(AND('Inputs and Assumptions'!$H$11="Bridge", C196&lt;='Inputs and Assumptions'!$D$14),'Inputs and Assumptions'!$D$40/'Inputs and Assumptions'!$D$14, 0)</f>
        <v>0</v>
      </c>
      <c r="L196" s="74">
        <f t="shared" si="14"/>
        <v>27786840.032502335</v>
      </c>
    </row>
    <row r="197" spans="3:12">
      <c r="C197" s="20">
        <v>181</v>
      </c>
      <c r="D197" s="813">
        <f>IF(AND('Inputs and Assumptions'!$H$11="Bridge",'Debt Sizing'!$O$64="1 Mo Term SOFR"),IFERROR(INDEX('1 Month Term SOFR Forward Curve'!$D$5:$D$125,MATCH('Amo Schedule - Senior'!C197,'1 Month Term SOFR Forward Curve'!$C$5:$C$125,0))+$E$8,'Amo Schedule - Senior'!D196),'Amo Schedule - Senior'!$E$8)</f>
        <v>4.2300000000000004E-2</v>
      </c>
      <c r="E197" s="73">
        <f t="shared" si="11"/>
        <v>27786840.032502335</v>
      </c>
      <c r="F197" s="73">
        <f t="shared" si="12"/>
        <v>97948.61111457074</v>
      </c>
      <c r="G197" s="73"/>
      <c r="H197" s="73">
        <f t="shared" si="10"/>
        <v>73820.798679924876</v>
      </c>
      <c r="I197" s="73">
        <v>0</v>
      </c>
      <c r="J197" s="73">
        <f t="shared" si="13"/>
        <v>171769.40979449562</v>
      </c>
      <c r="K197" s="73">
        <f>IF(AND('Inputs and Assumptions'!$H$11="Bridge", C197&lt;='Inputs and Assumptions'!$D$14),'Inputs and Assumptions'!$D$40/'Inputs and Assumptions'!$D$14, 0)</f>
        <v>0</v>
      </c>
      <c r="L197" s="74">
        <f t="shared" si="14"/>
        <v>27713019.233822409</v>
      </c>
    </row>
    <row r="198" spans="3:12">
      <c r="C198" s="20">
        <v>182</v>
      </c>
      <c r="D198" s="813">
        <f>IF(AND('Inputs and Assumptions'!$H$11="Bridge",'Debt Sizing'!$O$64="1 Mo Term SOFR"),IFERROR(INDEX('1 Month Term SOFR Forward Curve'!$D$5:$D$125,MATCH('Amo Schedule - Senior'!C198,'1 Month Term SOFR Forward Curve'!$C$5:$C$125,0))+$E$8,'Amo Schedule - Senior'!D197),'Amo Schedule - Senior'!$E$8)</f>
        <v>4.2300000000000004E-2</v>
      </c>
      <c r="E198" s="73">
        <f t="shared" si="11"/>
        <v>27713019.233822409</v>
      </c>
      <c r="F198" s="73">
        <f t="shared" si="12"/>
        <v>97688.392799224006</v>
      </c>
      <c r="G198" s="73"/>
      <c r="H198" s="73">
        <f t="shared" si="10"/>
        <v>74081.01699527161</v>
      </c>
      <c r="I198" s="73">
        <v>0</v>
      </c>
      <c r="J198" s="73">
        <f t="shared" si="13"/>
        <v>171769.40979449562</v>
      </c>
      <c r="K198" s="73">
        <f>IF(AND('Inputs and Assumptions'!$H$11="Bridge", C198&lt;='Inputs and Assumptions'!$D$14),'Inputs and Assumptions'!$D$40/'Inputs and Assumptions'!$D$14, 0)</f>
        <v>0</v>
      </c>
      <c r="L198" s="74">
        <f t="shared" si="14"/>
        <v>27638938.216827139</v>
      </c>
    </row>
    <row r="199" spans="3:12">
      <c r="C199" s="20">
        <v>183</v>
      </c>
      <c r="D199" s="813">
        <f>IF(AND('Inputs and Assumptions'!$H$11="Bridge",'Debt Sizing'!$O$64="1 Mo Term SOFR"),IFERROR(INDEX('1 Month Term SOFR Forward Curve'!$D$5:$D$125,MATCH('Amo Schedule - Senior'!C199,'1 Month Term SOFR Forward Curve'!$C$5:$C$125,0))+$E$8,'Amo Schedule - Senior'!D198),'Amo Schedule - Senior'!$E$8)</f>
        <v>4.2300000000000004E-2</v>
      </c>
      <c r="E199" s="73">
        <f t="shared" si="11"/>
        <v>27638938.216827139</v>
      </c>
      <c r="F199" s="73">
        <f t="shared" si="12"/>
        <v>97427.257214315672</v>
      </c>
      <c r="G199" s="73"/>
      <c r="H199" s="73">
        <f t="shared" si="10"/>
        <v>74342.152580179943</v>
      </c>
      <c r="I199" s="73">
        <v>0</v>
      </c>
      <c r="J199" s="73">
        <f t="shared" si="13"/>
        <v>171769.40979449562</v>
      </c>
      <c r="K199" s="73">
        <f>IF(AND('Inputs and Assumptions'!$H$11="Bridge", C199&lt;='Inputs and Assumptions'!$D$14),'Inputs and Assumptions'!$D$40/'Inputs and Assumptions'!$D$14, 0)</f>
        <v>0</v>
      </c>
      <c r="L199" s="74">
        <f t="shared" si="14"/>
        <v>27564596.06424696</v>
      </c>
    </row>
    <row r="200" spans="3:12">
      <c r="C200" s="20">
        <v>184</v>
      </c>
      <c r="D200" s="813">
        <f>IF(AND('Inputs and Assumptions'!$H$11="Bridge",'Debt Sizing'!$O$64="1 Mo Term SOFR"),IFERROR(INDEX('1 Month Term SOFR Forward Curve'!$D$5:$D$125,MATCH('Amo Schedule - Senior'!C200,'1 Month Term SOFR Forward Curve'!$C$5:$C$125,0))+$E$8,'Amo Schedule - Senior'!D199),'Amo Schedule - Senior'!$E$8)</f>
        <v>4.2300000000000004E-2</v>
      </c>
      <c r="E200" s="73">
        <f t="shared" si="11"/>
        <v>27564596.06424696</v>
      </c>
      <c r="F200" s="73">
        <f t="shared" si="12"/>
        <v>97165.201126470551</v>
      </c>
      <c r="G200" s="73"/>
      <c r="H200" s="73">
        <f t="shared" si="10"/>
        <v>74604.208668025065</v>
      </c>
      <c r="I200" s="73">
        <v>0</v>
      </c>
      <c r="J200" s="73">
        <f t="shared" si="13"/>
        <v>171769.40979449562</v>
      </c>
      <c r="K200" s="73">
        <f>IF(AND('Inputs and Assumptions'!$H$11="Bridge", C200&lt;='Inputs and Assumptions'!$D$14),'Inputs and Assumptions'!$D$40/'Inputs and Assumptions'!$D$14, 0)</f>
        <v>0</v>
      </c>
      <c r="L200" s="74">
        <f t="shared" si="14"/>
        <v>27489991.855578937</v>
      </c>
    </row>
    <row r="201" spans="3:12">
      <c r="C201" s="20">
        <v>185</v>
      </c>
      <c r="D201" s="813">
        <f>IF(AND('Inputs and Assumptions'!$H$11="Bridge",'Debt Sizing'!$O$64="1 Mo Term SOFR"),IFERROR(INDEX('1 Month Term SOFR Forward Curve'!$D$5:$D$125,MATCH('Amo Schedule - Senior'!C201,'1 Month Term SOFR Forward Curve'!$C$5:$C$125,0))+$E$8,'Amo Schedule - Senior'!D200),'Amo Schedule - Senior'!$E$8)</f>
        <v>4.2300000000000004E-2</v>
      </c>
      <c r="E201" s="73">
        <f t="shared" si="11"/>
        <v>27489991.855578937</v>
      </c>
      <c r="F201" s="73">
        <f t="shared" si="12"/>
        <v>96902.221290915768</v>
      </c>
      <c r="G201" s="73"/>
      <c r="H201" s="73">
        <f t="shared" si="10"/>
        <v>74867.188503579848</v>
      </c>
      <c r="I201" s="73">
        <v>0</v>
      </c>
      <c r="J201" s="73">
        <f t="shared" si="13"/>
        <v>171769.40979449562</v>
      </c>
      <c r="K201" s="73">
        <f>IF(AND('Inputs and Assumptions'!$H$11="Bridge", C201&lt;='Inputs and Assumptions'!$D$14),'Inputs and Assumptions'!$D$40/'Inputs and Assumptions'!$D$14, 0)</f>
        <v>0</v>
      </c>
      <c r="L201" s="74">
        <f t="shared" si="14"/>
        <v>27415124.667075358</v>
      </c>
    </row>
    <row r="202" spans="3:12">
      <c r="C202" s="20">
        <v>186</v>
      </c>
      <c r="D202" s="813">
        <f>IF(AND('Inputs and Assumptions'!$H$11="Bridge",'Debt Sizing'!$O$64="1 Mo Term SOFR"),IFERROR(INDEX('1 Month Term SOFR Forward Curve'!$D$5:$D$125,MATCH('Amo Schedule - Senior'!C202,'1 Month Term SOFR Forward Curve'!$C$5:$C$125,0))+$E$8,'Amo Schedule - Senior'!D201),'Amo Schedule - Senior'!$E$8)</f>
        <v>4.2300000000000004E-2</v>
      </c>
      <c r="E202" s="73">
        <f t="shared" si="11"/>
        <v>27415124.667075358</v>
      </c>
      <c r="F202" s="73">
        <f t="shared" si="12"/>
        <v>96638.314451440645</v>
      </c>
      <c r="G202" s="73"/>
      <c r="H202" s="73">
        <f t="shared" si="10"/>
        <v>75131.095343054971</v>
      </c>
      <c r="I202" s="73">
        <v>0</v>
      </c>
      <c r="J202" s="73">
        <f t="shared" si="13"/>
        <v>171769.40979449562</v>
      </c>
      <c r="K202" s="73">
        <f>IF(AND('Inputs and Assumptions'!$H$11="Bridge", C202&lt;='Inputs and Assumptions'!$D$14),'Inputs and Assumptions'!$D$40/'Inputs and Assumptions'!$D$14, 0)</f>
        <v>0</v>
      </c>
      <c r="L202" s="74">
        <f t="shared" si="14"/>
        <v>27339993.571732305</v>
      </c>
    </row>
    <row r="203" spans="3:12">
      <c r="C203" s="20">
        <v>187</v>
      </c>
      <c r="D203" s="813">
        <f>IF(AND('Inputs and Assumptions'!$H$11="Bridge",'Debt Sizing'!$O$64="1 Mo Term SOFR"),IFERROR(INDEX('1 Month Term SOFR Forward Curve'!$D$5:$D$125,MATCH('Amo Schedule - Senior'!C203,'1 Month Term SOFR Forward Curve'!$C$5:$C$125,0))+$E$8,'Amo Schedule - Senior'!D202),'Amo Schedule - Senior'!$E$8)</f>
        <v>4.2300000000000004E-2</v>
      </c>
      <c r="E203" s="73">
        <f t="shared" si="11"/>
        <v>27339993.571732305</v>
      </c>
      <c r="F203" s="73">
        <f t="shared" si="12"/>
        <v>96373.477340356389</v>
      </c>
      <c r="G203" s="73"/>
      <c r="H203" s="73">
        <f t="shared" si="10"/>
        <v>75395.932454139227</v>
      </c>
      <c r="I203" s="73">
        <v>0</v>
      </c>
      <c r="J203" s="73">
        <f t="shared" si="13"/>
        <v>171769.40979449562</v>
      </c>
      <c r="K203" s="73">
        <f>IF(AND('Inputs and Assumptions'!$H$11="Bridge", C203&lt;='Inputs and Assumptions'!$D$14),'Inputs and Assumptions'!$D$40/'Inputs and Assumptions'!$D$14, 0)</f>
        <v>0</v>
      </c>
      <c r="L203" s="74">
        <f t="shared" si="14"/>
        <v>27264597.639278166</v>
      </c>
    </row>
    <row r="204" spans="3:12">
      <c r="C204" s="20">
        <v>188</v>
      </c>
      <c r="D204" s="813">
        <f>IF(AND('Inputs and Assumptions'!$H$11="Bridge",'Debt Sizing'!$O$64="1 Mo Term SOFR"),IFERROR(INDEX('1 Month Term SOFR Forward Curve'!$D$5:$D$125,MATCH('Amo Schedule - Senior'!C204,'1 Month Term SOFR Forward Curve'!$C$5:$C$125,0))+$E$8,'Amo Schedule - Senior'!D203),'Amo Schedule - Senior'!$E$8)</f>
        <v>4.2300000000000004E-2</v>
      </c>
      <c r="E204" s="73">
        <f t="shared" si="11"/>
        <v>27264597.639278166</v>
      </c>
      <c r="F204" s="73">
        <f t="shared" si="12"/>
        <v>96107.70667845555</v>
      </c>
      <c r="G204" s="73"/>
      <c r="H204" s="73">
        <f t="shared" si="10"/>
        <v>75661.703116040066</v>
      </c>
      <c r="I204" s="73">
        <v>0</v>
      </c>
      <c r="J204" s="73">
        <f t="shared" si="13"/>
        <v>171769.40979449562</v>
      </c>
      <c r="K204" s="73">
        <f>IF(AND('Inputs and Assumptions'!$H$11="Bridge", C204&lt;='Inputs and Assumptions'!$D$14),'Inputs and Assumptions'!$D$40/'Inputs and Assumptions'!$D$14, 0)</f>
        <v>0</v>
      </c>
      <c r="L204" s="74">
        <f t="shared" si="14"/>
        <v>27188935.936162125</v>
      </c>
    </row>
    <row r="205" spans="3:12">
      <c r="C205" s="20">
        <v>189</v>
      </c>
      <c r="D205" s="813">
        <f>IF(AND('Inputs and Assumptions'!$H$11="Bridge",'Debt Sizing'!$O$64="1 Mo Term SOFR"),IFERROR(INDEX('1 Month Term SOFR Forward Curve'!$D$5:$D$125,MATCH('Amo Schedule - Senior'!C205,'1 Month Term SOFR Forward Curve'!$C$5:$C$125,0))+$E$8,'Amo Schedule - Senior'!D204),'Amo Schedule - Senior'!$E$8)</f>
        <v>4.2300000000000004E-2</v>
      </c>
      <c r="E205" s="73">
        <f t="shared" si="11"/>
        <v>27188935.936162125</v>
      </c>
      <c r="F205" s="73">
        <f t="shared" si="12"/>
        <v>95840.999174971497</v>
      </c>
      <c r="G205" s="73"/>
      <c r="H205" s="73">
        <f t="shared" si="10"/>
        <v>75928.410619524118</v>
      </c>
      <c r="I205" s="73">
        <v>0</v>
      </c>
      <c r="J205" s="73">
        <f t="shared" si="13"/>
        <v>171769.40979449562</v>
      </c>
      <c r="K205" s="73">
        <f>IF(AND('Inputs and Assumptions'!$H$11="Bridge", C205&lt;='Inputs and Assumptions'!$D$14),'Inputs and Assumptions'!$D$40/'Inputs and Assumptions'!$D$14, 0)</f>
        <v>0</v>
      </c>
      <c r="L205" s="74">
        <f t="shared" si="14"/>
        <v>27113007.525542602</v>
      </c>
    </row>
    <row r="206" spans="3:12">
      <c r="C206" s="20">
        <v>190</v>
      </c>
      <c r="D206" s="813">
        <f>IF(AND('Inputs and Assumptions'!$H$11="Bridge",'Debt Sizing'!$O$64="1 Mo Term SOFR"),IFERROR(INDEX('1 Month Term SOFR Forward Curve'!$D$5:$D$125,MATCH('Amo Schedule - Senior'!C206,'1 Month Term SOFR Forward Curve'!$C$5:$C$125,0))+$E$8,'Amo Schedule - Senior'!D205),'Amo Schedule - Senior'!$E$8)</f>
        <v>4.2300000000000004E-2</v>
      </c>
      <c r="E206" s="73">
        <f t="shared" si="11"/>
        <v>27113007.525542602</v>
      </c>
      <c r="F206" s="73">
        <f t="shared" si="12"/>
        <v>95573.351527537685</v>
      </c>
      <c r="G206" s="73"/>
      <c r="H206" s="73">
        <f t="shared" si="10"/>
        <v>76196.058266957931</v>
      </c>
      <c r="I206" s="73">
        <v>0</v>
      </c>
      <c r="J206" s="73">
        <f t="shared" si="13"/>
        <v>171769.40979449562</v>
      </c>
      <c r="K206" s="73">
        <f>IF(AND('Inputs and Assumptions'!$H$11="Bridge", C206&lt;='Inputs and Assumptions'!$D$14),'Inputs and Assumptions'!$D$40/'Inputs and Assumptions'!$D$14, 0)</f>
        <v>0</v>
      </c>
      <c r="L206" s="74">
        <f t="shared" si="14"/>
        <v>27036811.467275646</v>
      </c>
    </row>
    <row r="207" spans="3:12">
      <c r="C207" s="20">
        <v>191</v>
      </c>
      <c r="D207" s="813">
        <f>IF(AND('Inputs and Assumptions'!$H$11="Bridge",'Debt Sizing'!$O$64="1 Mo Term SOFR"),IFERROR(INDEX('1 Month Term SOFR Forward Curve'!$D$5:$D$125,MATCH('Amo Schedule - Senior'!C207,'1 Month Term SOFR Forward Curve'!$C$5:$C$125,0))+$E$8,'Amo Schedule - Senior'!D206),'Amo Schedule - Senior'!$E$8)</f>
        <v>4.2300000000000004E-2</v>
      </c>
      <c r="E207" s="73">
        <f t="shared" si="11"/>
        <v>27036811.467275646</v>
      </c>
      <c r="F207" s="73">
        <f t="shared" si="12"/>
        <v>95304.760422146661</v>
      </c>
      <c r="G207" s="73"/>
      <c r="H207" s="73">
        <f t="shared" si="10"/>
        <v>76464.649372348955</v>
      </c>
      <c r="I207" s="73">
        <v>0</v>
      </c>
      <c r="J207" s="73">
        <f t="shared" si="13"/>
        <v>171769.40979449562</v>
      </c>
      <c r="K207" s="73">
        <f>IF(AND('Inputs and Assumptions'!$H$11="Bridge", C207&lt;='Inputs and Assumptions'!$D$14),'Inputs and Assumptions'!$D$40/'Inputs and Assumptions'!$D$14, 0)</f>
        <v>0</v>
      </c>
      <c r="L207" s="74">
        <f t="shared" si="14"/>
        <v>26960346.817903295</v>
      </c>
    </row>
    <row r="208" spans="3:12">
      <c r="C208" s="20">
        <v>192</v>
      </c>
      <c r="D208" s="813">
        <f>IF(AND('Inputs and Assumptions'!$H$11="Bridge",'Debt Sizing'!$O$64="1 Mo Term SOFR"),IFERROR(INDEX('1 Month Term SOFR Forward Curve'!$D$5:$D$125,MATCH('Amo Schedule - Senior'!C208,'1 Month Term SOFR Forward Curve'!$C$5:$C$125,0))+$E$8,'Amo Schedule - Senior'!D207),'Amo Schedule - Senior'!$E$8)</f>
        <v>4.2300000000000004E-2</v>
      </c>
      <c r="E208" s="73">
        <f t="shared" si="11"/>
        <v>26960346.817903295</v>
      </c>
      <c r="F208" s="73">
        <f t="shared" si="12"/>
        <v>95035.222533109132</v>
      </c>
      <c r="G208" s="73"/>
      <c r="H208" s="73">
        <f t="shared" si="10"/>
        <v>76734.187261386483</v>
      </c>
      <c r="I208" s="73">
        <v>0</v>
      </c>
      <c r="J208" s="73">
        <f t="shared" si="13"/>
        <v>171769.40979449562</v>
      </c>
      <c r="K208" s="73">
        <f>IF(AND('Inputs and Assumptions'!$H$11="Bridge", C208&lt;='Inputs and Assumptions'!$D$14),'Inputs and Assumptions'!$D$40/'Inputs and Assumptions'!$D$14, 0)</f>
        <v>0</v>
      </c>
      <c r="L208" s="74">
        <f t="shared" si="14"/>
        <v>26883612.630641907</v>
      </c>
    </row>
    <row r="209" spans="3:12">
      <c r="C209" s="20">
        <v>193</v>
      </c>
      <c r="D209" s="813">
        <f>IF(AND('Inputs and Assumptions'!$H$11="Bridge",'Debt Sizing'!$O$64="1 Mo Term SOFR"),IFERROR(INDEX('1 Month Term SOFR Forward Curve'!$D$5:$D$125,MATCH('Amo Schedule - Senior'!C209,'1 Month Term SOFR Forward Curve'!$C$5:$C$125,0))+$E$8,'Amo Schedule - Senior'!D208),'Amo Schedule - Senior'!$E$8)</f>
        <v>4.2300000000000004E-2</v>
      </c>
      <c r="E209" s="73">
        <f t="shared" si="11"/>
        <v>26883612.630641907</v>
      </c>
      <c r="F209" s="73">
        <f t="shared" si="12"/>
        <v>94764.734523012739</v>
      </c>
      <c r="G209" s="73"/>
      <c r="H209" s="73">
        <f t="shared" ref="H209:H272" si="15">+J209-I209-F209</f>
        <v>77004.675271482876</v>
      </c>
      <c r="I209" s="73">
        <v>0</v>
      </c>
      <c r="J209" s="73">
        <f t="shared" si="13"/>
        <v>171769.40979449562</v>
      </c>
      <c r="K209" s="73">
        <f>IF(AND('Inputs and Assumptions'!$H$11="Bridge", C209&lt;='Inputs and Assumptions'!$D$14),'Inputs and Assumptions'!$D$40/'Inputs and Assumptions'!$D$14, 0)</f>
        <v>0</v>
      </c>
      <c r="L209" s="74">
        <f t="shared" si="14"/>
        <v>26806607.955370426</v>
      </c>
    </row>
    <row r="210" spans="3:12">
      <c r="C210" s="20">
        <v>194</v>
      </c>
      <c r="D210" s="813">
        <f>IF(AND('Inputs and Assumptions'!$H$11="Bridge",'Debt Sizing'!$O$64="1 Mo Term SOFR"),IFERROR(INDEX('1 Month Term SOFR Forward Curve'!$D$5:$D$125,MATCH('Amo Schedule - Senior'!C210,'1 Month Term SOFR Forward Curve'!$C$5:$C$125,0))+$E$8,'Amo Schedule - Senior'!D209),'Amo Schedule - Senior'!$E$8)</f>
        <v>4.2300000000000004E-2</v>
      </c>
      <c r="E210" s="73">
        <f t="shared" ref="E210:E273" si="16">L209</f>
        <v>26806607.955370426</v>
      </c>
      <c r="F210" s="73">
        <f t="shared" ref="F210:F273" si="17">E210*($D210/12)</f>
        <v>94493.293042680758</v>
      </c>
      <c r="G210" s="73"/>
      <c r="H210" s="73">
        <f t="shared" si="15"/>
        <v>77276.116751814858</v>
      </c>
      <c r="I210" s="73">
        <v>0</v>
      </c>
      <c r="J210" s="73">
        <f t="shared" ref="J210:J273" si="18">IF(C210&lt;=$E$9,F210,-PMT(D210/12,$E$10,$E$7))</f>
        <v>171769.40979449562</v>
      </c>
      <c r="K210" s="73">
        <f>IF(AND('Inputs and Assumptions'!$H$11="Bridge", C210&lt;='Inputs and Assumptions'!$D$14),'Inputs and Assumptions'!$D$40/'Inputs and Assumptions'!$D$14, 0)</f>
        <v>0</v>
      </c>
      <c r="L210" s="74">
        <f t="shared" ref="L210:L273" si="19">E210-H210-I210+K210</f>
        <v>26729331.83861861</v>
      </c>
    </row>
    <row r="211" spans="3:12">
      <c r="C211" s="20">
        <v>195</v>
      </c>
      <c r="D211" s="813">
        <f>IF(AND('Inputs and Assumptions'!$H$11="Bridge",'Debt Sizing'!$O$64="1 Mo Term SOFR"),IFERROR(INDEX('1 Month Term SOFR Forward Curve'!$D$5:$D$125,MATCH('Amo Schedule - Senior'!C211,'1 Month Term SOFR Forward Curve'!$C$5:$C$125,0))+$E$8,'Amo Schedule - Senior'!D210),'Amo Schedule - Senior'!$E$8)</f>
        <v>4.2300000000000004E-2</v>
      </c>
      <c r="E211" s="73">
        <f t="shared" si="16"/>
        <v>26729331.83861861</v>
      </c>
      <c r="F211" s="73">
        <f t="shared" si="17"/>
        <v>94220.894731130611</v>
      </c>
      <c r="G211" s="73"/>
      <c r="H211" s="73">
        <f t="shared" si="15"/>
        <v>77548.515063365005</v>
      </c>
      <c r="I211" s="73">
        <v>0</v>
      </c>
      <c r="J211" s="73">
        <f t="shared" si="18"/>
        <v>171769.40979449562</v>
      </c>
      <c r="K211" s="73">
        <f>IF(AND('Inputs and Assumptions'!$H$11="Bridge", C211&lt;='Inputs and Assumptions'!$D$14),'Inputs and Assumptions'!$D$40/'Inputs and Assumptions'!$D$14, 0)</f>
        <v>0</v>
      </c>
      <c r="L211" s="74">
        <f t="shared" si="19"/>
        <v>26651783.323555246</v>
      </c>
    </row>
    <row r="212" spans="3:12">
      <c r="C212" s="20">
        <v>196</v>
      </c>
      <c r="D212" s="813">
        <f>IF(AND('Inputs and Assumptions'!$H$11="Bridge",'Debt Sizing'!$O$64="1 Mo Term SOFR"),IFERROR(INDEX('1 Month Term SOFR Forward Curve'!$D$5:$D$125,MATCH('Amo Schedule - Senior'!C212,'1 Month Term SOFR Forward Curve'!$C$5:$C$125,0))+$E$8,'Amo Schedule - Senior'!D211),'Amo Schedule - Senior'!$E$8)</f>
        <v>4.2300000000000004E-2</v>
      </c>
      <c r="E212" s="73">
        <f t="shared" si="16"/>
        <v>26651783.323555246</v>
      </c>
      <c r="F212" s="73">
        <f t="shared" si="17"/>
        <v>93947.536215532251</v>
      </c>
      <c r="G212" s="73"/>
      <c r="H212" s="73">
        <f t="shared" si="15"/>
        <v>77821.873578963365</v>
      </c>
      <c r="I212" s="73">
        <v>0</v>
      </c>
      <c r="J212" s="73">
        <f t="shared" si="18"/>
        <v>171769.40979449562</v>
      </c>
      <c r="K212" s="73">
        <f>IF(AND('Inputs and Assumptions'!$H$11="Bridge", C212&lt;='Inputs and Assumptions'!$D$14),'Inputs and Assumptions'!$D$40/'Inputs and Assumptions'!$D$14, 0)</f>
        <v>0</v>
      </c>
      <c r="L212" s="74">
        <f t="shared" si="19"/>
        <v>26573961.449976284</v>
      </c>
    </row>
    <row r="213" spans="3:12">
      <c r="C213" s="20">
        <v>197</v>
      </c>
      <c r="D213" s="813">
        <f>IF(AND('Inputs and Assumptions'!$H$11="Bridge",'Debt Sizing'!$O$64="1 Mo Term SOFR"),IFERROR(INDEX('1 Month Term SOFR Forward Curve'!$D$5:$D$125,MATCH('Amo Schedule - Senior'!C213,'1 Month Term SOFR Forward Curve'!$C$5:$C$125,0))+$E$8,'Amo Schedule - Senior'!D212),'Amo Schedule - Senior'!$E$8)</f>
        <v>4.2300000000000004E-2</v>
      </c>
      <c r="E213" s="73">
        <f t="shared" si="16"/>
        <v>26573961.449976284</v>
      </c>
      <c r="F213" s="73">
        <f t="shared" si="17"/>
        <v>93673.21411116641</v>
      </c>
      <c r="G213" s="73"/>
      <c r="H213" s="73">
        <f t="shared" si="15"/>
        <v>78096.195683329206</v>
      </c>
      <c r="I213" s="73">
        <v>0</v>
      </c>
      <c r="J213" s="73">
        <f t="shared" si="18"/>
        <v>171769.40979449562</v>
      </c>
      <c r="K213" s="73">
        <f>IF(AND('Inputs and Assumptions'!$H$11="Bridge", C213&lt;='Inputs and Assumptions'!$D$14),'Inputs and Assumptions'!$D$40/'Inputs and Assumptions'!$D$14, 0)</f>
        <v>0</v>
      </c>
      <c r="L213" s="74">
        <f t="shared" si="19"/>
        <v>26495865.254292954</v>
      </c>
    </row>
    <row r="214" spans="3:12">
      <c r="C214" s="20">
        <v>198</v>
      </c>
      <c r="D214" s="813">
        <f>IF(AND('Inputs and Assumptions'!$H$11="Bridge",'Debt Sizing'!$O$64="1 Mo Term SOFR"),IFERROR(INDEX('1 Month Term SOFR Forward Curve'!$D$5:$D$125,MATCH('Amo Schedule - Senior'!C214,'1 Month Term SOFR Forward Curve'!$C$5:$C$125,0))+$E$8,'Amo Schedule - Senior'!D213),'Amo Schedule - Senior'!$E$8)</f>
        <v>4.2300000000000004E-2</v>
      </c>
      <c r="E214" s="73">
        <f t="shared" si="16"/>
        <v>26495865.254292954</v>
      </c>
      <c r="F214" s="73">
        <f t="shared" si="17"/>
        <v>93397.925021382674</v>
      </c>
      <c r="G214" s="73"/>
      <c r="H214" s="73">
        <f t="shared" si="15"/>
        <v>78371.484773112941</v>
      </c>
      <c r="I214" s="73">
        <v>0</v>
      </c>
      <c r="J214" s="73">
        <f t="shared" si="18"/>
        <v>171769.40979449562</v>
      </c>
      <c r="K214" s="73">
        <f>IF(AND('Inputs and Assumptions'!$H$11="Bridge", C214&lt;='Inputs and Assumptions'!$D$14),'Inputs and Assumptions'!$D$40/'Inputs and Assumptions'!$D$14, 0)</f>
        <v>0</v>
      </c>
      <c r="L214" s="74">
        <f t="shared" si="19"/>
        <v>26417493.769519839</v>
      </c>
    </row>
    <row r="215" spans="3:12">
      <c r="C215" s="20">
        <v>199</v>
      </c>
      <c r="D215" s="813">
        <f>IF(AND('Inputs and Assumptions'!$H$11="Bridge",'Debt Sizing'!$O$64="1 Mo Term SOFR"),IFERROR(INDEX('1 Month Term SOFR Forward Curve'!$D$5:$D$125,MATCH('Amo Schedule - Senior'!C215,'1 Month Term SOFR Forward Curve'!$C$5:$C$125,0))+$E$8,'Amo Schedule - Senior'!D214),'Amo Schedule - Senior'!$E$8)</f>
        <v>4.2300000000000004E-2</v>
      </c>
      <c r="E215" s="73">
        <f t="shared" si="16"/>
        <v>26417493.769519839</v>
      </c>
      <c r="F215" s="73">
        <f t="shared" si="17"/>
        <v>93121.665537557448</v>
      </c>
      <c r="G215" s="73"/>
      <c r="H215" s="73">
        <f t="shared" si="15"/>
        <v>78647.744256938167</v>
      </c>
      <c r="I215" s="73">
        <v>0</v>
      </c>
      <c r="J215" s="73">
        <f t="shared" si="18"/>
        <v>171769.40979449562</v>
      </c>
      <c r="K215" s="73">
        <f>IF(AND('Inputs and Assumptions'!$H$11="Bridge", C215&lt;='Inputs and Assumptions'!$D$14),'Inputs and Assumptions'!$D$40/'Inputs and Assumptions'!$D$14, 0)</f>
        <v>0</v>
      </c>
      <c r="L215" s="74">
        <f t="shared" si="19"/>
        <v>26338846.0252629</v>
      </c>
    </row>
    <row r="216" spans="3:12">
      <c r="C216" s="20">
        <v>200</v>
      </c>
      <c r="D216" s="813">
        <f>IF(AND('Inputs and Assumptions'!$H$11="Bridge",'Debt Sizing'!$O$64="1 Mo Term SOFR"),IFERROR(INDEX('1 Month Term SOFR Forward Curve'!$D$5:$D$125,MATCH('Amo Schedule - Senior'!C216,'1 Month Term SOFR Forward Curve'!$C$5:$C$125,0))+$E$8,'Amo Schedule - Senior'!D215),'Amo Schedule - Senior'!$E$8)</f>
        <v>4.2300000000000004E-2</v>
      </c>
      <c r="E216" s="73">
        <f t="shared" si="16"/>
        <v>26338846.0252629</v>
      </c>
      <c r="F216" s="73">
        <f t="shared" si="17"/>
        <v>92844.432239051734</v>
      </c>
      <c r="G216" s="73"/>
      <c r="H216" s="73">
        <f t="shared" si="15"/>
        <v>78924.977555443882</v>
      </c>
      <c r="I216" s="73">
        <v>0</v>
      </c>
      <c r="J216" s="73">
        <f t="shared" si="18"/>
        <v>171769.40979449562</v>
      </c>
      <c r="K216" s="73">
        <f>IF(AND('Inputs and Assumptions'!$H$11="Bridge", C216&lt;='Inputs and Assumptions'!$D$14),'Inputs and Assumptions'!$D$40/'Inputs and Assumptions'!$D$14, 0)</f>
        <v>0</v>
      </c>
      <c r="L216" s="74">
        <f t="shared" si="19"/>
        <v>26259921.047707457</v>
      </c>
    </row>
    <row r="217" spans="3:12">
      <c r="C217" s="20">
        <v>201</v>
      </c>
      <c r="D217" s="813">
        <f>IF(AND('Inputs and Assumptions'!$H$11="Bridge",'Debt Sizing'!$O$64="1 Mo Term SOFR"),IFERROR(INDEX('1 Month Term SOFR Forward Curve'!$D$5:$D$125,MATCH('Amo Schedule - Senior'!C217,'1 Month Term SOFR Forward Curve'!$C$5:$C$125,0))+$E$8,'Amo Schedule - Senior'!D216),'Amo Schedule - Senior'!$E$8)</f>
        <v>4.2300000000000004E-2</v>
      </c>
      <c r="E217" s="73">
        <f t="shared" si="16"/>
        <v>26259921.047707457</v>
      </c>
      <c r="F217" s="73">
        <f t="shared" si="17"/>
        <v>92566.221693168802</v>
      </c>
      <c r="G217" s="73"/>
      <c r="H217" s="73">
        <f t="shared" si="15"/>
        <v>79203.188101326814</v>
      </c>
      <c r="I217" s="73">
        <v>0</v>
      </c>
      <c r="J217" s="73">
        <f t="shared" si="18"/>
        <v>171769.40979449562</v>
      </c>
      <c r="K217" s="73">
        <f>IF(AND('Inputs and Assumptions'!$H$11="Bridge", C217&lt;='Inputs and Assumptions'!$D$14),'Inputs and Assumptions'!$D$40/'Inputs and Assumptions'!$D$14, 0)</f>
        <v>0</v>
      </c>
      <c r="L217" s="74">
        <f t="shared" si="19"/>
        <v>26180717.859606132</v>
      </c>
    </row>
    <row r="218" spans="3:12">
      <c r="C218" s="20">
        <v>202</v>
      </c>
      <c r="D218" s="813">
        <f>IF(AND('Inputs and Assumptions'!$H$11="Bridge",'Debt Sizing'!$O$64="1 Mo Term SOFR"),IFERROR(INDEX('1 Month Term SOFR Forward Curve'!$D$5:$D$125,MATCH('Amo Schedule - Senior'!C218,'1 Month Term SOFR Forward Curve'!$C$5:$C$125,0))+$E$8,'Amo Schedule - Senior'!D217),'Amo Schedule - Senior'!$E$8)</f>
        <v>4.2300000000000004E-2</v>
      </c>
      <c r="E218" s="73">
        <f t="shared" si="16"/>
        <v>26180717.859606132</v>
      </c>
      <c r="F218" s="73">
        <f t="shared" si="17"/>
        <v>92287.030455111628</v>
      </c>
      <c r="G218" s="73"/>
      <c r="H218" s="73">
        <f t="shared" si="15"/>
        <v>79482.379339383988</v>
      </c>
      <c r="I218" s="73">
        <v>0</v>
      </c>
      <c r="J218" s="73">
        <f t="shared" si="18"/>
        <v>171769.40979449562</v>
      </c>
      <c r="K218" s="73">
        <f>IF(AND('Inputs and Assumptions'!$H$11="Bridge", C218&lt;='Inputs and Assumptions'!$D$14),'Inputs and Assumptions'!$D$40/'Inputs and Assumptions'!$D$14, 0)</f>
        <v>0</v>
      </c>
      <c r="L218" s="74">
        <f t="shared" si="19"/>
        <v>26101235.480266746</v>
      </c>
    </row>
    <row r="219" spans="3:12">
      <c r="C219" s="20">
        <v>203</v>
      </c>
      <c r="D219" s="813">
        <f>IF(AND('Inputs and Assumptions'!$H$11="Bridge",'Debt Sizing'!$O$64="1 Mo Term SOFR"),IFERROR(INDEX('1 Month Term SOFR Forward Curve'!$D$5:$D$125,MATCH('Amo Schedule - Senior'!C219,'1 Month Term SOFR Forward Curve'!$C$5:$C$125,0))+$E$8,'Amo Schedule - Senior'!D218),'Amo Schedule - Senior'!$E$8)</f>
        <v>4.2300000000000004E-2</v>
      </c>
      <c r="E219" s="73">
        <f t="shared" si="16"/>
        <v>26101235.480266746</v>
      </c>
      <c r="F219" s="73">
        <f t="shared" si="17"/>
        <v>92006.855067940283</v>
      </c>
      <c r="G219" s="73"/>
      <c r="H219" s="73">
        <f t="shared" si="15"/>
        <v>79762.554726555332</v>
      </c>
      <c r="I219" s="73">
        <v>0</v>
      </c>
      <c r="J219" s="73">
        <f t="shared" si="18"/>
        <v>171769.40979449562</v>
      </c>
      <c r="K219" s="73">
        <f>IF(AND('Inputs and Assumptions'!$H$11="Bridge", C219&lt;='Inputs and Assumptions'!$D$14),'Inputs and Assumptions'!$D$40/'Inputs and Assumptions'!$D$14, 0)</f>
        <v>0</v>
      </c>
      <c r="L219" s="74">
        <f t="shared" si="19"/>
        <v>26021472.92554019</v>
      </c>
    </row>
    <row r="220" spans="3:12">
      <c r="C220" s="20">
        <v>204</v>
      </c>
      <c r="D220" s="820">
        <f>IF(AND('Inputs and Assumptions'!$H$11="Bridge",'Debt Sizing'!$O$64="1 Mo Term SOFR"),IFERROR(INDEX('1 Month Term SOFR Forward Curve'!$D$5:$D$125,MATCH('Amo Schedule - Senior'!C220,'1 Month Term SOFR Forward Curve'!$C$5:$C$125,0))+$E$8,'Amo Schedule - Senior'!D219),'Amo Schedule - Senior'!$E$8)</f>
        <v>4.2300000000000004E-2</v>
      </c>
      <c r="E220" s="80">
        <f t="shared" si="16"/>
        <v>26021472.92554019</v>
      </c>
      <c r="F220" s="80">
        <f t="shared" si="17"/>
        <v>91725.692062529182</v>
      </c>
      <c r="G220" s="80"/>
      <c r="H220" s="80">
        <f t="shared" si="15"/>
        <v>80043.717731966433</v>
      </c>
      <c r="I220" s="73">
        <v>0</v>
      </c>
      <c r="J220" s="80">
        <f t="shared" si="18"/>
        <v>171769.40979449562</v>
      </c>
      <c r="K220" s="73">
        <f>IF(AND('Inputs and Assumptions'!$H$11="Bridge", C220&lt;='Inputs and Assumptions'!$D$14),'Inputs and Assumptions'!$D$40/'Inputs and Assumptions'!$D$14, 0)</f>
        <v>0</v>
      </c>
      <c r="L220" s="74">
        <f t="shared" si="19"/>
        <v>25941429.207808223</v>
      </c>
    </row>
    <row r="221" spans="3:12">
      <c r="C221" s="20">
        <v>205</v>
      </c>
      <c r="D221" s="813">
        <f>IF(AND('Inputs and Assumptions'!$H$11="Bridge",'Debt Sizing'!$O$64="1 Mo Term SOFR"),IFERROR(INDEX('1 Month Term SOFR Forward Curve'!$D$5:$D$125,MATCH('Amo Schedule - Senior'!C221,'1 Month Term SOFR Forward Curve'!$C$5:$C$125,0))+$E$8,'Amo Schedule - Senior'!D220),'Amo Schedule - Senior'!$E$8)</f>
        <v>4.2300000000000004E-2</v>
      </c>
      <c r="E221" s="73">
        <f t="shared" si="16"/>
        <v>25941429.207808223</v>
      </c>
      <c r="F221" s="73">
        <f t="shared" si="17"/>
        <v>91443.537957523993</v>
      </c>
      <c r="G221" s="73"/>
      <c r="H221" s="73">
        <f t="shared" si="15"/>
        <v>80325.871836971623</v>
      </c>
      <c r="I221" s="73">
        <v>0</v>
      </c>
      <c r="J221" s="73">
        <f t="shared" si="18"/>
        <v>171769.40979449562</v>
      </c>
      <c r="K221" s="73">
        <f>IF(AND('Inputs and Assumptions'!$H$11="Bridge", C221&lt;='Inputs and Assumptions'!$D$14),'Inputs and Assumptions'!$D$40/'Inputs and Assumptions'!$D$14, 0)</f>
        <v>0</v>
      </c>
      <c r="L221" s="74">
        <f t="shared" si="19"/>
        <v>25861103.335971251</v>
      </c>
    </row>
    <row r="222" spans="3:12">
      <c r="C222" s="20">
        <v>206</v>
      </c>
      <c r="D222" s="813">
        <f>IF(AND('Inputs and Assumptions'!$H$11="Bridge",'Debt Sizing'!$O$64="1 Mo Term SOFR"),IFERROR(INDEX('1 Month Term SOFR Forward Curve'!$D$5:$D$125,MATCH('Amo Schedule - Senior'!C222,'1 Month Term SOFR Forward Curve'!$C$5:$C$125,0))+$E$8,'Amo Schedule - Senior'!D221),'Amo Schedule - Senior'!$E$8)</f>
        <v>4.2300000000000004E-2</v>
      </c>
      <c r="E222" s="73">
        <f t="shared" si="16"/>
        <v>25861103.335971251</v>
      </c>
      <c r="F222" s="73">
        <f t="shared" si="17"/>
        <v>91160.389259298667</v>
      </c>
      <c r="G222" s="73"/>
      <c r="H222" s="73">
        <f t="shared" si="15"/>
        <v>80609.020535196949</v>
      </c>
      <c r="I222" s="73">
        <v>0</v>
      </c>
      <c r="J222" s="73">
        <f t="shared" si="18"/>
        <v>171769.40979449562</v>
      </c>
      <c r="K222" s="73">
        <f>IF(AND('Inputs and Assumptions'!$H$11="Bridge", C222&lt;='Inputs and Assumptions'!$D$14),'Inputs and Assumptions'!$D$40/'Inputs and Assumptions'!$D$14, 0)</f>
        <v>0</v>
      </c>
      <c r="L222" s="74">
        <f t="shared" si="19"/>
        <v>25780494.315436054</v>
      </c>
    </row>
    <row r="223" spans="3:12">
      <c r="C223" s="20">
        <v>207</v>
      </c>
      <c r="D223" s="813">
        <f>IF(AND('Inputs and Assumptions'!$H$11="Bridge",'Debt Sizing'!$O$64="1 Mo Term SOFR"),IFERROR(INDEX('1 Month Term SOFR Forward Curve'!$D$5:$D$125,MATCH('Amo Schedule - Senior'!C223,'1 Month Term SOFR Forward Curve'!$C$5:$C$125,0))+$E$8,'Amo Schedule - Senior'!D222),'Amo Schedule - Senior'!$E$8)</f>
        <v>4.2300000000000004E-2</v>
      </c>
      <c r="E223" s="73">
        <f t="shared" si="16"/>
        <v>25780494.315436054</v>
      </c>
      <c r="F223" s="73">
        <f t="shared" si="17"/>
        <v>90876.242461912101</v>
      </c>
      <c r="G223" s="73"/>
      <c r="H223" s="73">
        <f t="shared" si="15"/>
        <v>80893.167332583515</v>
      </c>
      <c r="I223" s="73">
        <v>0</v>
      </c>
      <c r="J223" s="73">
        <f t="shared" si="18"/>
        <v>171769.40979449562</v>
      </c>
      <c r="K223" s="73">
        <f>IF(AND('Inputs and Assumptions'!$H$11="Bridge", C223&lt;='Inputs and Assumptions'!$D$14),'Inputs and Assumptions'!$D$40/'Inputs and Assumptions'!$D$14, 0)</f>
        <v>0</v>
      </c>
      <c r="L223" s="74">
        <f t="shared" si="19"/>
        <v>25699601.148103472</v>
      </c>
    </row>
    <row r="224" spans="3:12">
      <c r="C224" s="20">
        <v>208</v>
      </c>
      <c r="D224" s="813">
        <f>IF(AND('Inputs and Assumptions'!$H$11="Bridge",'Debt Sizing'!$O$64="1 Mo Term SOFR"),IFERROR(INDEX('1 Month Term SOFR Forward Curve'!$D$5:$D$125,MATCH('Amo Schedule - Senior'!C224,'1 Month Term SOFR Forward Curve'!$C$5:$C$125,0))+$E$8,'Amo Schedule - Senior'!D223),'Amo Schedule - Senior'!$E$8)</f>
        <v>4.2300000000000004E-2</v>
      </c>
      <c r="E224" s="73">
        <f t="shared" si="16"/>
        <v>25699601.148103472</v>
      </c>
      <c r="F224" s="73">
        <f t="shared" si="17"/>
        <v>90591.094047064747</v>
      </c>
      <c r="G224" s="73"/>
      <c r="H224" s="73">
        <f t="shared" si="15"/>
        <v>81178.315747430868</v>
      </c>
      <c r="I224" s="73">
        <v>0</v>
      </c>
      <c r="J224" s="73">
        <f t="shared" si="18"/>
        <v>171769.40979449562</v>
      </c>
      <c r="K224" s="73">
        <f>IF(AND('Inputs and Assumptions'!$H$11="Bridge", C224&lt;='Inputs and Assumptions'!$D$14),'Inputs and Assumptions'!$D$40/'Inputs and Assumptions'!$D$14, 0)</f>
        <v>0</v>
      </c>
      <c r="L224" s="74">
        <f t="shared" si="19"/>
        <v>25618422.832356039</v>
      </c>
    </row>
    <row r="225" spans="3:12">
      <c r="C225" s="20">
        <v>209</v>
      </c>
      <c r="D225" s="813">
        <f>IF(AND('Inputs and Assumptions'!$H$11="Bridge",'Debt Sizing'!$O$64="1 Mo Term SOFR"),IFERROR(INDEX('1 Month Term SOFR Forward Curve'!$D$5:$D$125,MATCH('Amo Schedule - Senior'!C225,'1 Month Term SOFR Forward Curve'!$C$5:$C$125,0))+$E$8,'Amo Schedule - Senior'!D224),'Amo Schedule - Senior'!$E$8)</f>
        <v>4.2300000000000004E-2</v>
      </c>
      <c r="E225" s="73">
        <f t="shared" si="16"/>
        <v>25618422.832356039</v>
      </c>
      <c r="F225" s="73">
        <f t="shared" si="17"/>
        <v>90304.940484055041</v>
      </c>
      <c r="G225" s="73"/>
      <c r="H225" s="73">
        <f t="shared" si="15"/>
        <v>81464.469310440574</v>
      </c>
      <c r="I225" s="73">
        <v>0</v>
      </c>
      <c r="J225" s="73">
        <f t="shared" si="18"/>
        <v>171769.40979449562</v>
      </c>
      <c r="K225" s="73">
        <f>IF(AND('Inputs and Assumptions'!$H$11="Bridge", C225&lt;='Inputs and Assumptions'!$D$14),'Inputs and Assumptions'!$D$40/'Inputs and Assumptions'!$D$14, 0)</f>
        <v>0</v>
      </c>
      <c r="L225" s="74">
        <f t="shared" si="19"/>
        <v>25536958.363045599</v>
      </c>
    </row>
    <row r="226" spans="3:12">
      <c r="C226" s="20">
        <v>210</v>
      </c>
      <c r="D226" s="813">
        <f>IF(AND('Inputs and Assumptions'!$H$11="Bridge",'Debt Sizing'!$O$64="1 Mo Term SOFR"),IFERROR(INDEX('1 Month Term SOFR Forward Curve'!$D$5:$D$125,MATCH('Amo Schedule - Senior'!C226,'1 Month Term SOFR Forward Curve'!$C$5:$C$125,0))+$E$8,'Amo Schedule - Senior'!D225),'Amo Schedule - Senior'!$E$8)</f>
        <v>4.2300000000000004E-2</v>
      </c>
      <c r="E226" s="73">
        <f t="shared" si="16"/>
        <v>25536958.363045599</v>
      </c>
      <c r="F226" s="73">
        <f t="shared" si="17"/>
        <v>90017.778229735748</v>
      </c>
      <c r="G226" s="73"/>
      <c r="H226" s="73">
        <f t="shared" si="15"/>
        <v>81751.631564759868</v>
      </c>
      <c r="I226" s="73">
        <v>0</v>
      </c>
      <c r="J226" s="73">
        <f t="shared" si="18"/>
        <v>171769.40979449562</v>
      </c>
      <c r="K226" s="73">
        <f>IF(AND('Inputs and Assumptions'!$H$11="Bridge", C226&lt;='Inputs and Assumptions'!$D$14),'Inputs and Assumptions'!$D$40/'Inputs and Assumptions'!$D$14, 0)</f>
        <v>0</v>
      </c>
      <c r="L226" s="74">
        <f t="shared" si="19"/>
        <v>25455206.731480841</v>
      </c>
    </row>
    <row r="227" spans="3:12">
      <c r="C227" s="20">
        <v>211</v>
      </c>
      <c r="D227" s="813">
        <f>IF(AND('Inputs and Assumptions'!$H$11="Bridge",'Debt Sizing'!$O$64="1 Mo Term SOFR"),IFERROR(INDEX('1 Month Term SOFR Forward Curve'!$D$5:$D$125,MATCH('Amo Schedule - Senior'!C227,'1 Month Term SOFR Forward Curve'!$C$5:$C$125,0))+$E$8,'Amo Schedule - Senior'!D226),'Amo Schedule - Senior'!$E$8)</f>
        <v>4.2300000000000004E-2</v>
      </c>
      <c r="E227" s="73">
        <f t="shared" si="16"/>
        <v>25455206.731480841</v>
      </c>
      <c r="F227" s="73">
        <f t="shared" si="17"/>
        <v>89729.603728469971</v>
      </c>
      <c r="G227" s="73"/>
      <c r="H227" s="73">
        <f t="shared" si="15"/>
        <v>82039.806066025645</v>
      </c>
      <c r="I227" s="73">
        <v>0</v>
      </c>
      <c r="J227" s="73">
        <f t="shared" si="18"/>
        <v>171769.40979449562</v>
      </c>
      <c r="K227" s="73">
        <f>IF(AND('Inputs and Assumptions'!$H$11="Bridge", C227&lt;='Inputs and Assumptions'!$D$14),'Inputs and Assumptions'!$D$40/'Inputs and Assumptions'!$D$14, 0)</f>
        <v>0</v>
      </c>
      <c r="L227" s="74">
        <f t="shared" si="19"/>
        <v>25373166.925414816</v>
      </c>
    </row>
    <row r="228" spans="3:12">
      <c r="C228" s="20">
        <v>212</v>
      </c>
      <c r="D228" s="813">
        <f>IF(AND('Inputs and Assumptions'!$H$11="Bridge",'Debt Sizing'!$O$64="1 Mo Term SOFR"),IFERROR(INDEX('1 Month Term SOFR Forward Curve'!$D$5:$D$125,MATCH('Amo Schedule - Senior'!C228,'1 Month Term SOFR Forward Curve'!$C$5:$C$125,0))+$E$8,'Amo Schedule - Senior'!D227),'Amo Schedule - Senior'!$E$8)</f>
        <v>4.2300000000000004E-2</v>
      </c>
      <c r="E228" s="73">
        <f t="shared" si="16"/>
        <v>25373166.925414816</v>
      </c>
      <c r="F228" s="73">
        <f t="shared" si="17"/>
        <v>89440.413412087233</v>
      </c>
      <c r="G228" s="73"/>
      <c r="H228" s="73">
        <f t="shared" si="15"/>
        <v>82328.996382408382</v>
      </c>
      <c r="I228" s="73">
        <v>0</v>
      </c>
      <c r="J228" s="73">
        <f t="shared" si="18"/>
        <v>171769.40979449562</v>
      </c>
      <c r="K228" s="73">
        <f>IF(AND('Inputs and Assumptions'!$H$11="Bridge", C228&lt;='Inputs and Assumptions'!$D$14),'Inputs and Assumptions'!$D$40/'Inputs and Assumptions'!$D$14, 0)</f>
        <v>0</v>
      </c>
      <c r="L228" s="74">
        <f t="shared" si="19"/>
        <v>25290837.929032408</v>
      </c>
    </row>
    <row r="229" spans="3:12">
      <c r="C229" s="20">
        <v>213</v>
      </c>
      <c r="D229" s="813">
        <f>IF(AND('Inputs and Assumptions'!$H$11="Bridge",'Debt Sizing'!$O$64="1 Mo Term SOFR"),IFERROR(INDEX('1 Month Term SOFR Forward Curve'!$D$5:$D$125,MATCH('Amo Schedule - Senior'!C229,'1 Month Term SOFR Forward Curve'!$C$5:$C$125,0))+$E$8,'Amo Schedule - Senior'!D228),'Amo Schedule - Senior'!$E$8)</f>
        <v>4.2300000000000004E-2</v>
      </c>
      <c r="E229" s="73">
        <f t="shared" si="16"/>
        <v>25290837.929032408</v>
      </c>
      <c r="F229" s="73">
        <f t="shared" si="17"/>
        <v>89150.203699839243</v>
      </c>
      <c r="G229" s="73"/>
      <c r="H229" s="73">
        <f t="shared" si="15"/>
        <v>82619.206094656372</v>
      </c>
      <c r="I229" s="73">
        <v>0</v>
      </c>
      <c r="J229" s="73">
        <f t="shared" si="18"/>
        <v>171769.40979449562</v>
      </c>
      <c r="K229" s="73">
        <f>IF(AND('Inputs and Assumptions'!$H$11="Bridge", C229&lt;='Inputs and Assumptions'!$D$14),'Inputs and Assumptions'!$D$40/'Inputs and Assumptions'!$D$14, 0)</f>
        <v>0</v>
      </c>
      <c r="L229" s="74">
        <f t="shared" si="19"/>
        <v>25208218.722937752</v>
      </c>
    </row>
    <row r="230" spans="3:12">
      <c r="C230" s="20">
        <v>214</v>
      </c>
      <c r="D230" s="813">
        <f>IF(AND('Inputs and Assumptions'!$H$11="Bridge",'Debt Sizing'!$O$64="1 Mo Term SOFR"),IFERROR(INDEX('1 Month Term SOFR Forward Curve'!$D$5:$D$125,MATCH('Amo Schedule - Senior'!C230,'1 Month Term SOFR Forward Curve'!$C$5:$C$125,0))+$E$8,'Amo Schedule - Senior'!D229),'Amo Schedule - Senior'!$E$8)</f>
        <v>4.2300000000000004E-2</v>
      </c>
      <c r="E230" s="73">
        <f t="shared" si="16"/>
        <v>25208218.722937752</v>
      </c>
      <c r="F230" s="73">
        <f t="shared" si="17"/>
        <v>88858.97099835558</v>
      </c>
      <c r="G230" s="73"/>
      <c r="H230" s="73">
        <f t="shared" si="15"/>
        <v>82910.438796140035</v>
      </c>
      <c r="I230" s="73">
        <v>0</v>
      </c>
      <c r="J230" s="73">
        <f t="shared" si="18"/>
        <v>171769.40979449562</v>
      </c>
      <c r="K230" s="73">
        <f>IF(AND('Inputs and Assumptions'!$H$11="Bridge", C230&lt;='Inputs and Assumptions'!$D$14),'Inputs and Assumptions'!$D$40/'Inputs and Assumptions'!$D$14, 0)</f>
        <v>0</v>
      </c>
      <c r="L230" s="74">
        <f t="shared" si="19"/>
        <v>25125308.284141611</v>
      </c>
    </row>
    <row r="231" spans="3:12">
      <c r="C231" s="20">
        <v>215</v>
      </c>
      <c r="D231" s="813">
        <f>IF(AND('Inputs and Assumptions'!$H$11="Bridge",'Debt Sizing'!$O$64="1 Mo Term SOFR"),IFERROR(INDEX('1 Month Term SOFR Forward Curve'!$D$5:$D$125,MATCH('Amo Schedule - Senior'!C231,'1 Month Term SOFR Forward Curve'!$C$5:$C$125,0))+$E$8,'Amo Schedule - Senior'!D230),'Amo Schedule - Senior'!$E$8)</f>
        <v>4.2300000000000004E-2</v>
      </c>
      <c r="E231" s="73">
        <f t="shared" si="16"/>
        <v>25125308.284141611</v>
      </c>
      <c r="F231" s="73">
        <f t="shared" si="17"/>
        <v>88566.711701599183</v>
      </c>
      <c r="G231" s="73"/>
      <c r="H231" s="73">
        <f t="shared" si="15"/>
        <v>83202.698092896433</v>
      </c>
      <c r="I231" s="73">
        <v>0</v>
      </c>
      <c r="J231" s="73">
        <f t="shared" si="18"/>
        <v>171769.40979449562</v>
      </c>
      <c r="K231" s="73">
        <f>IF(AND('Inputs and Assumptions'!$H$11="Bridge", C231&lt;='Inputs and Assumptions'!$D$14),'Inputs and Assumptions'!$D$40/'Inputs and Assumptions'!$D$14, 0)</f>
        <v>0</v>
      </c>
      <c r="L231" s="74">
        <f t="shared" si="19"/>
        <v>25042105.586048715</v>
      </c>
    </row>
    <row r="232" spans="3:12">
      <c r="C232" s="20">
        <v>216</v>
      </c>
      <c r="D232" s="813">
        <f>IF(AND('Inputs and Assumptions'!$H$11="Bridge",'Debt Sizing'!$O$64="1 Mo Term SOFR"),IFERROR(INDEX('1 Month Term SOFR Forward Curve'!$D$5:$D$125,MATCH('Amo Schedule - Senior'!C232,'1 Month Term SOFR Forward Curve'!$C$5:$C$125,0))+$E$8,'Amo Schedule - Senior'!D231),'Amo Schedule - Senior'!$E$8)</f>
        <v>4.2300000000000004E-2</v>
      </c>
      <c r="E232" s="73">
        <f t="shared" si="16"/>
        <v>25042105.586048715</v>
      </c>
      <c r="F232" s="73">
        <f t="shared" si="17"/>
        <v>88273.42219082173</v>
      </c>
      <c r="G232" s="73"/>
      <c r="H232" s="73">
        <f t="shared" si="15"/>
        <v>83495.987603673886</v>
      </c>
      <c r="I232" s="73">
        <v>0</v>
      </c>
      <c r="J232" s="73">
        <f t="shared" si="18"/>
        <v>171769.40979449562</v>
      </c>
      <c r="K232" s="73">
        <f>IF(AND('Inputs and Assumptions'!$H$11="Bridge", C232&lt;='Inputs and Assumptions'!$D$14),'Inputs and Assumptions'!$D$40/'Inputs and Assumptions'!$D$14, 0)</f>
        <v>0</v>
      </c>
      <c r="L232" s="74">
        <f t="shared" si="19"/>
        <v>24958609.598445039</v>
      </c>
    </row>
    <row r="233" spans="3:12">
      <c r="C233" s="20">
        <v>217</v>
      </c>
      <c r="D233" s="813">
        <f>IF(AND('Inputs and Assumptions'!$H$11="Bridge",'Debt Sizing'!$O$64="1 Mo Term SOFR"),IFERROR(INDEX('1 Month Term SOFR Forward Curve'!$D$5:$D$125,MATCH('Amo Schedule - Senior'!C233,'1 Month Term SOFR Forward Curve'!$C$5:$C$125,0))+$E$8,'Amo Schedule - Senior'!D232),'Amo Schedule - Senior'!$E$8)</f>
        <v>4.2300000000000004E-2</v>
      </c>
      <c r="E233" s="73">
        <f t="shared" si="16"/>
        <v>24958609.598445039</v>
      </c>
      <c r="F233" s="73">
        <f t="shared" si="17"/>
        <v>87979.098834518765</v>
      </c>
      <c r="G233" s="73"/>
      <c r="H233" s="73">
        <f t="shared" si="15"/>
        <v>83790.31095997685</v>
      </c>
      <c r="I233" s="73">
        <v>0</v>
      </c>
      <c r="J233" s="73">
        <f t="shared" si="18"/>
        <v>171769.40979449562</v>
      </c>
      <c r="K233" s="73">
        <f>IF(AND('Inputs and Assumptions'!$H$11="Bridge", C233&lt;='Inputs and Assumptions'!$D$14),'Inputs and Assumptions'!$D$40/'Inputs and Assumptions'!$D$14, 0)</f>
        <v>0</v>
      </c>
      <c r="L233" s="74">
        <f t="shared" si="19"/>
        <v>24874819.287485063</v>
      </c>
    </row>
    <row r="234" spans="3:12">
      <c r="C234" s="20">
        <v>218</v>
      </c>
      <c r="D234" s="813">
        <f>IF(AND('Inputs and Assumptions'!$H$11="Bridge",'Debt Sizing'!$O$64="1 Mo Term SOFR"),IFERROR(INDEX('1 Month Term SOFR Forward Curve'!$D$5:$D$125,MATCH('Amo Schedule - Senior'!C234,'1 Month Term SOFR Forward Curve'!$C$5:$C$125,0))+$E$8,'Amo Schedule - Senior'!D233),'Amo Schedule - Senior'!$E$8)</f>
        <v>4.2300000000000004E-2</v>
      </c>
      <c r="E234" s="73">
        <f t="shared" si="16"/>
        <v>24874819.287485063</v>
      </c>
      <c r="F234" s="73">
        <f t="shared" si="17"/>
        <v>87683.737988384863</v>
      </c>
      <c r="G234" s="73"/>
      <c r="H234" s="73">
        <f t="shared" si="15"/>
        <v>84085.671806110753</v>
      </c>
      <c r="I234" s="73">
        <v>0</v>
      </c>
      <c r="J234" s="73">
        <f t="shared" si="18"/>
        <v>171769.40979449562</v>
      </c>
      <c r="K234" s="73">
        <f>IF(AND('Inputs and Assumptions'!$H$11="Bridge", C234&lt;='Inputs and Assumptions'!$D$14),'Inputs and Assumptions'!$D$40/'Inputs and Assumptions'!$D$14, 0)</f>
        <v>0</v>
      </c>
      <c r="L234" s="74">
        <f t="shared" si="19"/>
        <v>24790733.615678951</v>
      </c>
    </row>
    <row r="235" spans="3:12">
      <c r="C235" s="20">
        <v>219</v>
      </c>
      <c r="D235" s="813">
        <f>IF(AND('Inputs and Assumptions'!$H$11="Bridge",'Debt Sizing'!$O$64="1 Mo Term SOFR"),IFERROR(INDEX('1 Month Term SOFR Forward Curve'!$D$5:$D$125,MATCH('Amo Schedule - Senior'!C235,'1 Month Term SOFR Forward Curve'!$C$5:$C$125,0))+$E$8,'Amo Schedule - Senior'!D234),'Amo Schedule - Senior'!$E$8)</f>
        <v>4.2300000000000004E-2</v>
      </c>
      <c r="E235" s="73">
        <f t="shared" si="16"/>
        <v>24790733.615678951</v>
      </c>
      <c r="F235" s="73">
        <f t="shared" si="17"/>
        <v>87387.335995268309</v>
      </c>
      <c r="G235" s="73"/>
      <c r="H235" s="73">
        <f t="shared" si="15"/>
        <v>84382.073799227306</v>
      </c>
      <c r="I235" s="73">
        <v>0</v>
      </c>
      <c r="J235" s="73">
        <f t="shared" si="18"/>
        <v>171769.40979449562</v>
      </c>
      <c r="K235" s="73">
        <f>IF(AND('Inputs and Assumptions'!$H$11="Bridge", C235&lt;='Inputs and Assumptions'!$D$14),'Inputs and Assumptions'!$D$40/'Inputs and Assumptions'!$D$14, 0)</f>
        <v>0</v>
      </c>
      <c r="L235" s="74">
        <f t="shared" si="19"/>
        <v>24706351.541879725</v>
      </c>
    </row>
    <row r="236" spans="3:12">
      <c r="C236" s="20">
        <v>220</v>
      </c>
      <c r="D236" s="813">
        <f>IF(AND('Inputs and Assumptions'!$H$11="Bridge",'Debt Sizing'!$O$64="1 Mo Term SOFR"),IFERROR(INDEX('1 Month Term SOFR Forward Curve'!$D$5:$D$125,MATCH('Amo Schedule - Senior'!C236,'1 Month Term SOFR Forward Curve'!$C$5:$C$125,0))+$E$8,'Amo Schedule - Senior'!D235),'Amo Schedule - Senior'!$E$8)</f>
        <v>4.2300000000000004E-2</v>
      </c>
      <c r="E236" s="73">
        <f t="shared" si="16"/>
        <v>24706351.541879725</v>
      </c>
      <c r="F236" s="73">
        <f t="shared" si="17"/>
        <v>87089.889185126041</v>
      </c>
      <c r="G236" s="73"/>
      <c r="H236" s="73">
        <f t="shared" si="15"/>
        <v>84679.520609369574</v>
      </c>
      <c r="I236" s="73">
        <v>0</v>
      </c>
      <c r="J236" s="73">
        <f t="shared" si="18"/>
        <v>171769.40979449562</v>
      </c>
      <c r="K236" s="73">
        <f>IF(AND('Inputs and Assumptions'!$H$11="Bridge", C236&lt;='Inputs and Assumptions'!$D$14),'Inputs and Assumptions'!$D$40/'Inputs and Assumptions'!$D$14, 0)</f>
        <v>0</v>
      </c>
      <c r="L236" s="74">
        <f t="shared" si="19"/>
        <v>24621672.021270353</v>
      </c>
    </row>
    <row r="237" spans="3:12">
      <c r="C237" s="20">
        <v>221</v>
      </c>
      <c r="D237" s="813">
        <f>IF(AND('Inputs and Assumptions'!$H$11="Bridge",'Debt Sizing'!$O$64="1 Mo Term SOFR"),IFERROR(INDEX('1 Month Term SOFR Forward Curve'!$D$5:$D$125,MATCH('Amo Schedule - Senior'!C237,'1 Month Term SOFR Forward Curve'!$C$5:$C$125,0))+$E$8,'Amo Schedule - Senior'!D236),'Amo Schedule - Senior'!$E$8)</f>
        <v>4.2300000000000004E-2</v>
      </c>
      <c r="E237" s="73">
        <f t="shared" si="16"/>
        <v>24621672.021270353</v>
      </c>
      <c r="F237" s="73">
        <f t="shared" si="17"/>
        <v>86791.393874978006</v>
      </c>
      <c r="G237" s="73"/>
      <c r="H237" s="73">
        <f t="shared" si="15"/>
        <v>84978.015919517609</v>
      </c>
      <c r="I237" s="73">
        <v>0</v>
      </c>
      <c r="J237" s="73">
        <f t="shared" si="18"/>
        <v>171769.40979449562</v>
      </c>
      <c r="K237" s="73">
        <f>IF(AND('Inputs and Assumptions'!$H$11="Bridge", C237&lt;='Inputs and Assumptions'!$D$14),'Inputs and Assumptions'!$D$40/'Inputs and Assumptions'!$D$14, 0)</f>
        <v>0</v>
      </c>
      <c r="L237" s="74">
        <f t="shared" si="19"/>
        <v>24536694.005350836</v>
      </c>
    </row>
    <row r="238" spans="3:12">
      <c r="C238" s="20">
        <v>222</v>
      </c>
      <c r="D238" s="813">
        <f>IF(AND('Inputs and Assumptions'!$H$11="Bridge",'Debt Sizing'!$O$64="1 Mo Term SOFR"),IFERROR(INDEX('1 Month Term SOFR Forward Curve'!$D$5:$D$125,MATCH('Amo Schedule - Senior'!C238,'1 Month Term SOFR Forward Curve'!$C$5:$C$125,0))+$E$8,'Amo Schedule - Senior'!D237),'Amo Schedule - Senior'!$E$8)</f>
        <v>4.2300000000000004E-2</v>
      </c>
      <c r="E238" s="73">
        <f t="shared" si="16"/>
        <v>24536694.005350836</v>
      </c>
      <c r="F238" s="73">
        <f t="shared" si="17"/>
        <v>86491.846368861705</v>
      </c>
      <c r="G238" s="73"/>
      <c r="H238" s="73">
        <f t="shared" si="15"/>
        <v>85277.563425633911</v>
      </c>
      <c r="I238" s="73">
        <v>0</v>
      </c>
      <c r="J238" s="73">
        <f t="shared" si="18"/>
        <v>171769.40979449562</v>
      </c>
      <c r="K238" s="73">
        <f>IF(AND('Inputs and Assumptions'!$H$11="Bridge", C238&lt;='Inputs and Assumptions'!$D$14),'Inputs and Assumptions'!$D$40/'Inputs and Assumptions'!$D$14, 0)</f>
        <v>0</v>
      </c>
      <c r="L238" s="74">
        <f t="shared" si="19"/>
        <v>24451416.441925202</v>
      </c>
    </row>
    <row r="239" spans="3:12">
      <c r="C239" s="20">
        <v>223</v>
      </c>
      <c r="D239" s="813">
        <f>IF(AND('Inputs and Assumptions'!$H$11="Bridge",'Debt Sizing'!$O$64="1 Mo Term SOFR"),IFERROR(INDEX('1 Month Term SOFR Forward Curve'!$D$5:$D$125,MATCH('Amo Schedule - Senior'!C239,'1 Month Term SOFR Forward Curve'!$C$5:$C$125,0))+$E$8,'Amo Schedule - Senior'!D238),'Amo Schedule - Senior'!$E$8)</f>
        <v>4.2300000000000004E-2</v>
      </c>
      <c r="E239" s="73">
        <f t="shared" si="16"/>
        <v>24451416.441925202</v>
      </c>
      <c r="F239" s="73">
        <f t="shared" si="17"/>
        <v>86191.242957786351</v>
      </c>
      <c r="G239" s="73"/>
      <c r="H239" s="73">
        <f t="shared" si="15"/>
        <v>85578.166836709264</v>
      </c>
      <c r="I239" s="73">
        <v>0</v>
      </c>
      <c r="J239" s="73">
        <f t="shared" si="18"/>
        <v>171769.40979449562</v>
      </c>
      <c r="K239" s="73">
        <f>IF(AND('Inputs and Assumptions'!$H$11="Bridge", C239&lt;='Inputs and Assumptions'!$D$14),'Inputs and Assumptions'!$D$40/'Inputs and Assumptions'!$D$14, 0)</f>
        <v>0</v>
      </c>
      <c r="L239" s="74">
        <f t="shared" si="19"/>
        <v>24365838.275088493</v>
      </c>
    </row>
    <row r="240" spans="3:12">
      <c r="C240" s="20">
        <v>224</v>
      </c>
      <c r="D240" s="813">
        <f>IF(AND('Inputs and Assumptions'!$H$11="Bridge",'Debt Sizing'!$O$64="1 Mo Term SOFR"),IFERROR(INDEX('1 Month Term SOFR Forward Curve'!$D$5:$D$125,MATCH('Amo Schedule - Senior'!C240,'1 Month Term SOFR Forward Curve'!$C$5:$C$125,0))+$E$8,'Amo Schedule - Senior'!D239),'Amo Schedule - Senior'!$E$8)</f>
        <v>4.2300000000000004E-2</v>
      </c>
      <c r="E240" s="73">
        <f t="shared" si="16"/>
        <v>24365838.275088493</v>
      </c>
      <c r="F240" s="73">
        <f t="shared" si="17"/>
        <v>85889.579919686948</v>
      </c>
      <c r="G240" s="73"/>
      <c r="H240" s="73">
        <f t="shared" si="15"/>
        <v>85879.829874808667</v>
      </c>
      <c r="I240" s="73">
        <v>0</v>
      </c>
      <c r="J240" s="73">
        <f t="shared" si="18"/>
        <v>171769.40979449562</v>
      </c>
      <c r="K240" s="73">
        <f>IF(AND('Inputs and Assumptions'!$H$11="Bridge", C240&lt;='Inputs and Assumptions'!$D$14),'Inputs and Assumptions'!$D$40/'Inputs and Assumptions'!$D$14, 0)</f>
        <v>0</v>
      </c>
      <c r="L240" s="74">
        <f t="shared" si="19"/>
        <v>24279958.445213683</v>
      </c>
    </row>
    <row r="241" spans="3:12">
      <c r="C241" s="20">
        <v>225</v>
      </c>
      <c r="D241" s="813">
        <f>IF(AND('Inputs and Assumptions'!$H$11="Bridge",'Debt Sizing'!$O$64="1 Mo Term SOFR"),IFERROR(INDEX('1 Month Term SOFR Forward Curve'!$D$5:$D$125,MATCH('Amo Schedule - Senior'!C241,'1 Month Term SOFR Forward Curve'!$C$5:$C$125,0))+$E$8,'Amo Schedule - Senior'!D240),'Amo Schedule - Senior'!$E$8)</f>
        <v>4.2300000000000004E-2</v>
      </c>
      <c r="E241" s="73">
        <f t="shared" si="16"/>
        <v>24279958.445213683</v>
      </c>
      <c r="F241" s="73">
        <f t="shared" si="17"/>
        <v>85586.853519378245</v>
      </c>
      <c r="G241" s="73"/>
      <c r="H241" s="73">
        <f t="shared" si="15"/>
        <v>86182.556275117371</v>
      </c>
      <c r="I241" s="73">
        <v>0</v>
      </c>
      <c r="J241" s="73">
        <f t="shared" si="18"/>
        <v>171769.40979449562</v>
      </c>
      <c r="K241" s="73">
        <f>IF(AND('Inputs and Assumptions'!$H$11="Bridge", C241&lt;='Inputs and Assumptions'!$D$14),'Inputs and Assumptions'!$D$40/'Inputs and Assumptions'!$D$14, 0)</f>
        <v>0</v>
      </c>
      <c r="L241" s="74">
        <f t="shared" si="19"/>
        <v>24193775.888938565</v>
      </c>
    </row>
    <row r="242" spans="3:12">
      <c r="C242" s="20">
        <v>226</v>
      </c>
      <c r="D242" s="813">
        <f>IF(AND('Inputs and Assumptions'!$H$11="Bridge",'Debt Sizing'!$O$64="1 Mo Term SOFR"),IFERROR(INDEX('1 Month Term SOFR Forward Curve'!$D$5:$D$125,MATCH('Amo Schedule - Senior'!C242,'1 Month Term SOFR Forward Curve'!$C$5:$C$125,0))+$E$8,'Amo Schedule - Senior'!D241),'Amo Schedule - Senior'!$E$8)</f>
        <v>4.2300000000000004E-2</v>
      </c>
      <c r="E242" s="73">
        <f t="shared" si="16"/>
        <v>24193775.888938565</v>
      </c>
      <c r="F242" s="73">
        <f t="shared" si="17"/>
        <v>85283.060008508444</v>
      </c>
      <c r="G242" s="73"/>
      <c r="H242" s="73">
        <f t="shared" si="15"/>
        <v>86486.349785987171</v>
      </c>
      <c r="I242" s="73">
        <v>0</v>
      </c>
      <c r="J242" s="73">
        <f t="shared" si="18"/>
        <v>171769.40979449562</v>
      </c>
      <c r="K242" s="73">
        <f>IF(AND('Inputs and Assumptions'!$H$11="Bridge", C242&lt;='Inputs and Assumptions'!$D$14),'Inputs and Assumptions'!$D$40/'Inputs and Assumptions'!$D$14, 0)</f>
        <v>0</v>
      </c>
      <c r="L242" s="74">
        <f t="shared" si="19"/>
        <v>24107289.539152578</v>
      </c>
    </row>
    <row r="243" spans="3:12">
      <c r="C243" s="20">
        <v>227</v>
      </c>
      <c r="D243" s="813">
        <f>IF(AND('Inputs and Assumptions'!$H$11="Bridge",'Debt Sizing'!$O$64="1 Mo Term SOFR"),IFERROR(INDEX('1 Month Term SOFR Forward Curve'!$D$5:$D$125,MATCH('Amo Schedule - Senior'!C243,'1 Month Term SOFR Forward Curve'!$C$5:$C$125,0))+$E$8,'Amo Schedule - Senior'!D242),'Amo Schedule - Senior'!$E$8)</f>
        <v>4.2300000000000004E-2</v>
      </c>
      <c r="E243" s="73">
        <f t="shared" si="16"/>
        <v>24107289.539152578</v>
      </c>
      <c r="F243" s="73">
        <f t="shared" si="17"/>
        <v>84978.195625512846</v>
      </c>
      <c r="G243" s="73"/>
      <c r="H243" s="73">
        <f t="shared" si="15"/>
        <v>86791.214168982769</v>
      </c>
      <c r="I243" s="73">
        <v>0</v>
      </c>
      <c r="J243" s="73">
        <f t="shared" si="18"/>
        <v>171769.40979449562</v>
      </c>
      <c r="K243" s="73">
        <f>IF(AND('Inputs and Assumptions'!$H$11="Bridge", C243&lt;='Inputs and Assumptions'!$D$14),'Inputs and Assumptions'!$D$40/'Inputs and Assumptions'!$D$14, 0)</f>
        <v>0</v>
      </c>
      <c r="L243" s="74">
        <f t="shared" si="19"/>
        <v>24020498.324983593</v>
      </c>
    </row>
    <row r="244" spans="3:12">
      <c r="C244" s="20">
        <v>228</v>
      </c>
      <c r="D244" s="813">
        <f>IF(AND('Inputs and Assumptions'!$H$11="Bridge",'Debt Sizing'!$O$64="1 Mo Term SOFR"),IFERROR(INDEX('1 Month Term SOFR Forward Curve'!$D$5:$D$125,MATCH('Amo Schedule - Senior'!C244,'1 Month Term SOFR Forward Curve'!$C$5:$C$125,0))+$E$8,'Amo Schedule - Senior'!D243),'Amo Schedule - Senior'!$E$8)</f>
        <v>4.2300000000000004E-2</v>
      </c>
      <c r="E244" s="73">
        <f t="shared" si="16"/>
        <v>24020498.324983593</v>
      </c>
      <c r="F244" s="73">
        <f t="shared" si="17"/>
        <v>84672.256595567174</v>
      </c>
      <c r="G244" s="73"/>
      <c r="H244" s="73">
        <f t="shared" si="15"/>
        <v>87097.153198928441</v>
      </c>
      <c r="I244" s="73">
        <v>0</v>
      </c>
      <c r="J244" s="73">
        <f t="shared" si="18"/>
        <v>171769.40979449562</v>
      </c>
      <c r="K244" s="73">
        <f>IF(AND('Inputs and Assumptions'!$H$11="Bridge", C244&lt;='Inputs and Assumptions'!$D$14),'Inputs and Assumptions'!$D$40/'Inputs and Assumptions'!$D$14, 0)</f>
        <v>0</v>
      </c>
      <c r="L244" s="74">
        <f t="shared" si="19"/>
        <v>23933401.171784665</v>
      </c>
    </row>
    <row r="245" spans="3:12">
      <c r="C245" s="20">
        <v>229</v>
      </c>
      <c r="D245" s="813">
        <f>IF(AND('Inputs and Assumptions'!$H$11="Bridge",'Debt Sizing'!$O$64="1 Mo Term SOFR"),IFERROR(INDEX('1 Month Term SOFR Forward Curve'!$D$5:$D$125,MATCH('Amo Schedule - Senior'!C245,'1 Month Term SOFR Forward Curve'!$C$5:$C$125,0))+$E$8,'Amo Schedule - Senior'!D244),'Amo Schedule - Senior'!$E$8)</f>
        <v>4.2300000000000004E-2</v>
      </c>
      <c r="E245" s="73">
        <f t="shared" si="16"/>
        <v>23933401.171784665</v>
      </c>
      <c r="F245" s="73">
        <f t="shared" si="17"/>
        <v>84365.239130540955</v>
      </c>
      <c r="G245" s="73"/>
      <c r="H245" s="73">
        <f t="shared" si="15"/>
        <v>87404.170663954661</v>
      </c>
      <c r="I245" s="73">
        <v>0</v>
      </c>
      <c r="J245" s="73">
        <f t="shared" si="18"/>
        <v>171769.40979449562</v>
      </c>
      <c r="K245" s="73">
        <f>IF(AND('Inputs and Assumptions'!$H$11="Bridge", C245&lt;='Inputs and Assumptions'!$D$14),'Inputs and Assumptions'!$D$40/'Inputs and Assumptions'!$D$14, 0)</f>
        <v>0</v>
      </c>
      <c r="L245" s="74">
        <f t="shared" si="19"/>
        <v>23845997.001120713</v>
      </c>
    </row>
    <row r="246" spans="3:12">
      <c r="C246" s="20">
        <v>230</v>
      </c>
      <c r="D246" s="813">
        <f>IF(AND('Inputs and Assumptions'!$H$11="Bridge",'Debt Sizing'!$O$64="1 Mo Term SOFR"),IFERROR(INDEX('1 Month Term SOFR Forward Curve'!$D$5:$D$125,MATCH('Amo Schedule - Senior'!C246,'1 Month Term SOFR Forward Curve'!$C$5:$C$125,0))+$E$8,'Amo Schedule - Senior'!D245),'Amo Schedule - Senior'!$E$8)</f>
        <v>4.2300000000000004E-2</v>
      </c>
      <c r="E246" s="73">
        <f t="shared" si="16"/>
        <v>23845997.001120713</v>
      </c>
      <c r="F246" s="73">
        <f t="shared" si="17"/>
        <v>84057.139428950526</v>
      </c>
      <c r="G246" s="73"/>
      <c r="H246" s="73">
        <f t="shared" si="15"/>
        <v>87712.27036554509</v>
      </c>
      <c r="I246" s="73">
        <v>0</v>
      </c>
      <c r="J246" s="73">
        <f t="shared" si="18"/>
        <v>171769.40979449562</v>
      </c>
      <c r="K246" s="73">
        <f>IF(AND('Inputs and Assumptions'!$H$11="Bridge", C246&lt;='Inputs and Assumptions'!$D$14),'Inputs and Assumptions'!$D$40/'Inputs and Assumptions'!$D$14, 0)</f>
        <v>0</v>
      </c>
      <c r="L246" s="74">
        <f t="shared" si="19"/>
        <v>23758284.730755169</v>
      </c>
    </row>
    <row r="247" spans="3:12">
      <c r="C247" s="20">
        <v>231</v>
      </c>
      <c r="D247" s="813">
        <f>IF(AND('Inputs and Assumptions'!$H$11="Bridge",'Debt Sizing'!$O$64="1 Mo Term SOFR"),IFERROR(INDEX('1 Month Term SOFR Forward Curve'!$D$5:$D$125,MATCH('Amo Schedule - Senior'!C247,'1 Month Term SOFR Forward Curve'!$C$5:$C$125,0))+$E$8,'Amo Schedule - Senior'!D246),'Amo Schedule - Senior'!$E$8)</f>
        <v>4.2300000000000004E-2</v>
      </c>
      <c r="E247" s="73">
        <f t="shared" si="16"/>
        <v>23758284.730755169</v>
      </c>
      <c r="F247" s="73">
        <f t="shared" si="17"/>
        <v>83747.95367591198</v>
      </c>
      <c r="G247" s="73"/>
      <c r="H247" s="73">
        <f t="shared" si="15"/>
        <v>88021.456118583636</v>
      </c>
      <c r="I247" s="73">
        <v>0</v>
      </c>
      <c r="J247" s="73">
        <f t="shared" si="18"/>
        <v>171769.40979449562</v>
      </c>
      <c r="K247" s="73">
        <f>IF(AND('Inputs and Assumptions'!$H$11="Bridge", C247&lt;='Inputs and Assumptions'!$D$14),'Inputs and Assumptions'!$D$40/'Inputs and Assumptions'!$D$14, 0)</f>
        <v>0</v>
      </c>
      <c r="L247" s="74">
        <f t="shared" si="19"/>
        <v>23670263.274636585</v>
      </c>
    </row>
    <row r="248" spans="3:12">
      <c r="C248" s="20">
        <v>232</v>
      </c>
      <c r="D248" s="813">
        <f>IF(AND('Inputs and Assumptions'!$H$11="Bridge",'Debt Sizing'!$O$64="1 Mo Term SOFR"),IFERROR(INDEX('1 Month Term SOFR Forward Curve'!$D$5:$D$125,MATCH('Amo Schedule - Senior'!C248,'1 Month Term SOFR Forward Curve'!$C$5:$C$125,0))+$E$8,'Amo Schedule - Senior'!D247),'Amo Schedule - Senior'!$E$8)</f>
        <v>4.2300000000000004E-2</v>
      </c>
      <c r="E248" s="73">
        <f t="shared" si="16"/>
        <v>23670263.274636585</v>
      </c>
      <c r="F248" s="73">
        <f t="shared" si="17"/>
        <v>83437.678043093969</v>
      </c>
      <c r="G248" s="73"/>
      <c r="H248" s="73">
        <f t="shared" si="15"/>
        <v>88331.731751401647</v>
      </c>
      <c r="I248" s="73">
        <v>0</v>
      </c>
      <c r="J248" s="73">
        <f t="shared" si="18"/>
        <v>171769.40979449562</v>
      </c>
      <c r="K248" s="73">
        <f>IF(AND('Inputs and Assumptions'!$H$11="Bridge", C248&lt;='Inputs and Assumptions'!$D$14),'Inputs and Assumptions'!$D$40/'Inputs and Assumptions'!$D$14, 0)</f>
        <v>0</v>
      </c>
      <c r="L248" s="74">
        <f t="shared" si="19"/>
        <v>23581931.542885184</v>
      </c>
    </row>
    <row r="249" spans="3:12">
      <c r="C249" s="20">
        <v>233</v>
      </c>
      <c r="D249" s="813">
        <f>IF(AND('Inputs and Assumptions'!$H$11="Bridge",'Debt Sizing'!$O$64="1 Mo Term SOFR"),IFERROR(INDEX('1 Month Term SOFR Forward Curve'!$D$5:$D$125,MATCH('Amo Schedule - Senior'!C249,'1 Month Term SOFR Forward Curve'!$C$5:$C$125,0))+$E$8,'Amo Schedule - Senior'!D248),'Amo Schedule - Senior'!$E$8)</f>
        <v>4.2300000000000004E-2</v>
      </c>
      <c r="E249" s="73">
        <f t="shared" si="16"/>
        <v>23581931.542885184</v>
      </c>
      <c r="F249" s="73">
        <f t="shared" si="17"/>
        <v>83126.30868867028</v>
      </c>
      <c r="G249" s="73"/>
      <c r="H249" s="73">
        <f t="shared" si="15"/>
        <v>88643.101105825335</v>
      </c>
      <c r="I249" s="73">
        <v>0</v>
      </c>
      <c r="J249" s="73">
        <f t="shared" si="18"/>
        <v>171769.40979449562</v>
      </c>
      <c r="K249" s="73">
        <f>IF(AND('Inputs and Assumptions'!$H$11="Bridge", C249&lt;='Inputs and Assumptions'!$D$14),'Inputs and Assumptions'!$D$40/'Inputs and Assumptions'!$D$14, 0)</f>
        <v>0</v>
      </c>
      <c r="L249" s="74">
        <f t="shared" si="19"/>
        <v>23493288.44177936</v>
      </c>
    </row>
    <row r="250" spans="3:12">
      <c r="C250" s="20">
        <v>234</v>
      </c>
      <c r="D250" s="813">
        <f>IF(AND('Inputs and Assumptions'!$H$11="Bridge",'Debt Sizing'!$O$64="1 Mo Term SOFR"),IFERROR(INDEX('1 Month Term SOFR Forward Curve'!$D$5:$D$125,MATCH('Amo Schedule - Senior'!C250,'1 Month Term SOFR Forward Curve'!$C$5:$C$125,0))+$E$8,'Amo Schedule - Senior'!D249),'Amo Schedule - Senior'!$E$8)</f>
        <v>4.2300000000000004E-2</v>
      </c>
      <c r="E250" s="73">
        <f t="shared" si="16"/>
        <v>23493288.44177936</v>
      </c>
      <c r="F250" s="73">
        <f t="shared" si="17"/>
        <v>82813.841757272254</v>
      </c>
      <c r="G250" s="73"/>
      <c r="H250" s="73">
        <f t="shared" si="15"/>
        <v>88955.568037223362</v>
      </c>
      <c r="I250" s="73">
        <v>0</v>
      </c>
      <c r="J250" s="73">
        <f t="shared" si="18"/>
        <v>171769.40979449562</v>
      </c>
      <c r="K250" s="73">
        <f>IF(AND('Inputs and Assumptions'!$H$11="Bridge", C250&lt;='Inputs and Assumptions'!$D$14),'Inputs and Assumptions'!$D$40/'Inputs and Assumptions'!$D$14, 0)</f>
        <v>0</v>
      </c>
      <c r="L250" s="74">
        <f t="shared" si="19"/>
        <v>23404332.873742137</v>
      </c>
    </row>
    <row r="251" spans="3:12">
      <c r="C251" s="20">
        <v>235</v>
      </c>
      <c r="D251" s="813">
        <f>IF(AND('Inputs and Assumptions'!$H$11="Bridge",'Debt Sizing'!$O$64="1 Mo Term SOFR"),IFERROR(INDEX('1 Month Term SOFR Forward Curve'!$D$5:$D$125,MATCH('Amo Schedule - Senior'!C251,'1 Month Term SOFR Forward Curve'!$C$5:$C$125,0))+$E$8,'Amo Schedule - Senior'!D250),'Amo Schedule - Senior'!$E$8)</f>
        <v>4.2300000000000004E-2</v>
      </c>
      <c r="E251" s="73">
        <f t="shared" si="16"/>
        <v>23404332.873742137</v>
      </c>
      <c r="F251" s="73">
        <f t="shared" si="17"/>
        <v>82500.273379941034</v>
      </c>
      <c r="G251" s="73"/>
      <c r="H251" s="73">
        <f t="shared" si="15"/>
        <v>89269.136414554581</v>
      </c>
      <c r="I251" s="73">
        <v>0</v>
      </c>
      <c r="J251" s="73">
        <f t="shared" si="18"/>
        <v>171769.40979449562</v>
      </c>
      <c r="K251" s="73">
        <f>IF(AND('Inputs and Assumptions'!$H$11="Bridge", C251&lt;='Inputs and Assumptions'!$D$14),'Inputs and Assumptions'!$D$40/'Inputs and Assumptions'!$D$14, 0)</f>
        <v>0</v>
      </c>
      <c r="L251" s="74">
        <f t="shared" si="19"/>
        <v>23315063.737327583</v>
      </c>
    </row>
    <row r="252" spans="3:12">
      <c r="C252" s="20">
        <v>236</v>
      </c>
      <c r="D252" s="813">
        <f>IF(AND('Inputs and Assumptions'!$H$11="Bridge",'Debt Sizing'!$O$64="1 Mo Term SOFR"),IFERROR(INDEX('1 Month Term SOFR Forward Curve'!$D$5:$D$125,MATCH('Amo Schedule - Senior'!C252,'1 Month Term SOFR Forward Curve'!$C$5:$C$125,0))+$E$8,'Amo Schedule - Senior'!D251),'Amo Schedule - Senior'!$E$8)</f>
        <v>4.2300000000000004E-2</v>
      </c>
      <c r="E252" s="73">
        <f t="shared" si="16"/>
        <v>23315063.737327583</v>
      </c>
      <c r="F252" s="73">
        <f t="shared" si="17"/>
        <v>82185.599674079742</v>
      </c>
      <c r="G252" s="73"/>
      <c r="H252" s="73">
        <f t="shared" si="15"/>
        <v>89583.810120415874</v>
      </c>
      <c r="I252" s="73">
        <v>0</v>
      </c>
      <c r="J252" s="73">
        <f t="shared" si="18"/>
        <v>171769.40979449562</v>
      </c>
      <c r="K252" s="73">
        <f>IF(AND('Inputs and Assumptions'!$H$11="Bridge", C252&lt;='Inputs and Assumptions'!$D$14),'Inputs and Assumptions'!$D$40/'Inputs and Assumptions'!$D$14, 0)</f>
        <v>0</v>
      </c>
      <c r="L252" s="74">
        <f t="shared" si="19"/>
        <v>23225479.927207168</v>
      </c>
    </row>
    <row r="253" spans="3:12">
      <c r="C253" s="20">
        <v>237</v>
      </c>
      <c r="D253" s="813">
        <f>IF(AND('Inputs and Assumptions'!$H$11="Bridge",'Debt Sizing'!$O$64="1 Mo Term SOFR"),IFERROR(INDEX('1 Month Term SOFR Forward Curve'!$D$5:$D$125,MATCH('Amo Schedule - Senior'!C253,'1 Month Term SOFR Forward Curve'!$C$5:$C$125,0))+$E$8,'Amo Schedule - Senior'!D252),'Amo Schedule - Senior'!$E$8)</f>
        <v>4.2300000000000004E-2</v>
      </c>
      <c r="E253" s="73">
        <f t="shared" si="16"/>
        <v>23225479.927207168</v>
      </c>
      <c r="F253" s="73">
        <f t="shared" si="17"/>
        <v>81869.816743405274</v>
      </c>
      <c r="G253" s="73"/>
      <c r="H253" s="73">
        <f t="shared" si="15"/>
        <v>89899.593051090342</v>
      </c>
      <c r="I253" s="73">
        <v>0</v>
      </c>
      <c r="J253" s="73">
        <f t="shared" si="18"/>
        <v>171769.40979449562</v>
      </c>
      <c r="K253" s="73">
        <f>IF(AND('Inputs and Assumptions'!$H$11="Bridge", C253&lt;='Inputs and Assumptions'!$D$14),'Inputs and Assumptions'!$D$40/'Inputs and Assumptions'!$D$14, 0)</f>
        <v>0</v>
      </c>
      <c r="L253" s="74">
        <f t="shared" si="19"/>
        <v>23135580.334156077</v>
      </c>
    </row>
    <row r="254" spans="3:12">
      <c r="C254" s="20">
        <v>238</v>
      </c>
      <c r="D254" s="813">
        <f>IF(AND('Inputs and Assumptions'!$H$11="Bridge",'Debt Sizing'!$O$64="1 Mo Term SOFR"),IFERROR(INDEX('1 Month Term SOFR Forward Curve'!$D$5:$D$125,MATCH('Amo Schedule - Senior'!C254,'1 Month Term SOFR Forward Curve'!$C$5:$C$125,0))+$E$8,'Amo Schedule - Senior'!D253),'Amo Schedule - Senior'!$E$8)</f>
        <v>4.2300000000000004E-2</v>
      </c>
      <c r="E254" s="73">
        <f t="shared" si="16"/>
        <v>23135580.334156077</v>
      </c>
      <c r="F254" s="73">
        <f t="shared" si="17"/>
        <v>81552.920677900183</v>
      </c>
      <c r="G254" s="73"/>
      <c r="H254" s="73">
        <f t="shared" si="15"/>
        <v>90216.489116595432</v>
      </c>
      <c r="I254" s="73">
        <v>0</v>
      </c>
      <c r="J254" s="73">
        <f t="shared" si="18"/>
        <v>171769.40979449562</v>
      </c>
      <c r="K254" s="73">
        <f>IF(AND('Inputs and Assumptions'!$H$11="Bridge", C254&lt;='Inputs and Assumptions'!$D$14),'Inputs and Assumptions'!$D$40/'Inputs and Assumptions'!$D$14, 0)</f>
        <v>0</v>
      </c>
      <c r="L254" s="74">
        <f t="shared" si="19"/>
        <v>23045363.845039483</v>
      </c>
    </row>
    <row r="255" spans="3:12">
      <c r="C255" s="20">
        <v>239</v>
      </c>
      <c r="D255" s="820">
        <f>IF(AND('Inputs and Assumptions'!$H$11="Bridge",'Debt Sizing'!$O$64="1 Mo Term SOFR"),IFERROR(INDEX('1 Month Term SOFR Forward Curve'!$D$5:$D$125,MATCH('Amo Schedule - Senior'!C255,'1 Month Term SOFR Forward Curve'!$C$5:$C$125,0))+$E$8,'Amo Schedule - Senior'!D254),'Amo Schedule - Senior'!$E$8)</f>
        <v>4.2300000000000004E-2</v>
      </c>
      <c r="E255" s="80">
        <f t="shared" si="16"/>
        <v>23045363.845039483</v>
      </c>
      <c r="F255" s="80">
        <f t="shared" si="17"/>
        <v>81234.907553764191</v>
      </c>
      <c r="G255" s="80"/>
      <c r="H255" s="80">
        <f t="shared" si="15"/>
        <v>90534.502240731425</v>
      </c>
      <c r="I255" s="73">
        <v>0</v>
      </c>
      <c r="J255" s="80">
        <f t="shared" si="18"/>
        <v>171769.40979449562</v>
      </c>
      <c r="K255" s="73">
        <f>IF(AND('Inputs and Assumptions'!$H$11="Bridge", C255&lt;='Inputs and Assumptions'!$D$14),'Inputs and Assumptions'!$D$40/'Inputs and Assumptions'!$D$14, 0)</f>
        <v>0</v>
      </c>
      <c r="L255" s="74">
        <f t="shared" si="19"/>
        <v>22954829.342798751</v>
      </c>
    </row>
    <row r="256" spans="3:12">
      <c r="C256" s="20">
        <v>240</v>
      </c>
      <c r="D256" s="820">
        <f>IF(AND('Inputs and Assumptions'!$H$11="Bridge",'Debt Sizing'!$O$64="1 Mo Term SOFR"),IFERROR(INDEX('1 Month Term SOFR Forward Curve'!$D$5:$D$125,MATCH('Amo Schedule - Senior'!C256,'1 Month Term SOFR Forward Curve'!$C$5:$C$125,0))+$E$8,'Amo Schedule - Senior'!D255),'Amo Schedule - Senior'!$E$8)</f>
        <v>4.2300000000000004E-2</v>
      </c>
      <c r="E256" s="80">
        <f t="shared" si="16"/>
        <v>22954829.342798751</v>
      </c>
      <c r="F256" s="80">
        <f t="shared" si="17"/>
        <v>80915.773433365612</v>
      </c>
      <c r="G256" s="80"/>
      <c r="H256" s="80">
        <f t="shared" si="15"/>
        <v>90853.636361130004</v>
      </c>
      <c r="I256" s="73">
        <v>0</v>
      </c>
      <c r="J256" s="80">
        <f t="shared" si="18"/>
        <v>171769.40979449562</v>
      </c>
      <c r="K256" s="73">
        <f>IF(AND('Inputs and Assumptions'!$H$11="Bridge", C256&lt;='Inputs and Assumptions'!$D$14),'Inputs and Assumptions'!$D$40/'Inputs and Assumptions'!$D$14, 0)</f>
        <v>0</v>
      </c>
      <c r="L256" s="74">
        <f t="shared" si="19"/>
        <v>22863975.706437621</v>
      </c>
    </row>
    <row r="257" spans="3:12">
      <c r="C257" s="20">
        <v>241</v>
      </c>
      <c r="D257" s="813">
        <f>IF(AND('Inputs and Assumptions'!$H$11="Bridge",'Debt Sizing'!$O$64="1 Mo Term SOFR"),IFERROR(INDEX('1 Month Term SOFR Forward Curve'!$D$5:$D$125,MATCH('Amo Schedule - Senior'!C257,'1 Month Term SOFR Forward Curve'!$C$5:$C$125,0))+$E$8,'Amo Schedule - Senior'!D256),'Amo Schedule - Senior'!$E$8)</f>
        <v>4.2300000000000004E-2</v>
      </c>
      <c r="E257" s="73">
        <f t="shared" si="16"/>
        <v>22863975.706437621</v>
      </c>
      <c r="F257" s="73">
        <f t="shared" si="17"/>
        <v>80595.514365192619</v>
      </c>
      <c r="G257" s="73"/>
      <c r="H257" s="73">
        <f t="shared" si="15"/>
        <v>91173.895429302996</v>
      </c>
      <c r="I257" s="73">
        <v>0</v>
      </c>
      <c r="J257" s="73">
        <f t="shared" si="18"/>
        <v>171769.40979449562</v>
      </c>
      <c r="K257" s="73">
        <f>IF(AND('Inputs and Assumptions'!$H$11="Bridge", C257&lt;='Inputs and Assumptions'!$D$14),'Inputs and Assumptions'!$D$40/'Inputs and Assumptions'!$D$14, 0)</f>
        <v>0</v>
      </c>
      <c r="L257" s="74">
        <f t="shared" si="19"/>
        <v>22772801.811008319</v>
      </c>
    </row>
    <row r="258" spans="3:12">
      <c r="C258" s="20">
        <v>242</v>
      </c>
      <c r="D258" s="813">
        <f>IF(AND('Inputs and Assumptions'!$H$11="Bridge",'Debt Sizing'!$O$64="1 Mo Term SOFR"),IFERROR(INDEX('1 Month Term SOFR Forward Curve'!$D$5:$D$125,MATCH('Amo Schedule - Senior'!C258,'1 Month Term SOFR Forward Curve'!$C$5:$C$125,0))+$E$8,'Amo Schedule - Senior'!D257),'Amo Schedule - Senior'!$E$8)</f>
        <v>4.2300000000000004E-2</v>
      </c>
      <c r="E258" s="73">
        <f t="shared" si="16"/>
        <v>22772801.811008319</v>
      </c>
      <c r="F258" s="73">
        <f t="shared" si="17"/>
        <v>80274.126383804338</v>
      </c>
      <c r="G258" s="73"/>
      <c r="H258" s="73">
        <f t="shared" si="15"/>
        <v>91495.283410691278</v>
      </c>
      <c r="I258" s="73">
        <v>0</v>
      </c>
      <c r="J258" s="73">
        <f t="shared" si="18"/>
        <v>171769.40979449562</v>
      </c>
      <c r="K258" s="73">
        <f>IF(AND('Inputs and Assumptions'!$H$11="Bridge", C258&lt;='Inputs and Assumptions'!$D$14),'Inputs and Assumptions'!$D$40/'Inputs and Assumptions'!$D$14, 0)</f>
        <v>0</v>
      </c>
      <c r="L258" s="74">
        <f t="shared" si="19"/>
        <v>22681306.527597629</v>
      </c>
    </row>
    <row r="259" spans="3:12">
      <c r="C259" s="20">
        <v>243</v>
      </c>
      <c r="D259" s="813">
        <f>IF(AND('Inputs and Assumptions'!$H$11="Bridge",'Debt Sizing'!$O$64="1 Mo Term SOFR"),IFERROR(INDEX('1 Month Term SOFR Forward Curve'!$D$5:$D$125,MATCH('Amo Schedule - Senior'!C259,'1 Month Term SOFR Forward Curve'!$C$5:$C$125,0))+$E$8,'Amo Schedule - Senior'!D258),'Amo Schedule - Senior'!$E$8)</f>
        <v>4.2300000000000004E-2</v>
      </c>
      <c r="E259" s="73">
        <f t="shared" si="16"/>
        <v>22681306.527597629</v>
      </c>
      <c r="F259" s="73">
        <f t="shared" si="17"/>
        <v>79951.605509781642</v>
      </c>
      <c r="G259" s="73"/>
      <c r="H259" s="73">
        <f t="shared" si="15"/>
        <v>91817.804284713973</v>
      </c>
      <c r="I259" s="73">
        <v>0</v>
      </c>
      <c r="J259" s="73">
        <f t="shared" si="18"/>
        <v>171769.40979449562</v>
      </c>
      <c r="K259" s="73">
        <f>IF(AND('Inputs and Assumptions'!$H$11="Bridge", C259&lt;='Inputs and Assumptions'!$D$14),'Inputs and Assumptions'!$D$40/'Inputs and Assumptions'!$D$14, 0)</f>
        <v>0</v>
      </c>
      <c r="L259" s="74">
        <f t="shared" si="19"/>
        <v>22589488.723312914</v>
      </c>
    </row>
    <row r="260" spans="3:12">
      <c r="C260" s="20">
        <v>244</v>
      </c>
      <c r="D260" s="813">
        <f>IF(AND('Inputs and Assumptions'!$H$11="Bridge",'Debt Sizing'!$O$64="1 Mo Term SOFR"),IFERROR(INDEX('1 Month Term SOFR Forward Curve'!$D$5:$D$125,MATCH('Amo Schedule - Senior'!C260,'1 Month Term SOFR Forward Curve'!$C$5:$C$125,0))+$E$8,'Amo Schedule - Senior'!D259),'Amo Schedule - Senior'!$E$8)</f>
        <v>4.2300000000000004E-2</v>
      </c>
      <c r="E260" s="73">
        <f t="shared" si="16"/>
        <v>22589488.723312914</v>
      </c>
      <c r="F260" s="73">
        <f t="shared" si="17"/>
        <v>79627.947749678031</v>
      </c>
      <c r="G260" s="73"/>
      <c r="H260" s="73">
        <f t="shared" si="15"/>
        <v>92141.462044817585</v>
      </c>
      <c r="I260" s="73">
        <v>0</v>
      </c>
      <c r="J260" s="73">
        <f t="shared" si="18"/>
        <v>171769.40979449562</v>
      </c>
      <c r="K260" s="73">
        <f>IF(AND('Inputs and Assumptions'!$H$11="Bridge", C260&lt;='Inputs and Assumptions'!$D$14),'Inputs and Assumptions'!$D$40/'Inputs and Assumptions'!$D$14, 0)</f>
        <v>0</v>
      </c>
      <c r="L260" s="74">
        <f t="shared" si="19"/>
        <v>22497347.261268098</v>
      </c>
    </row>
    <row r="261" spans="3:12">
      <c r="C261" s="20">
        <v>245</v>
      </c>
      <c r="D261" s="813">
        <f>IF(AND('Inputs and Assumptions'!$H$11="Bridge",'Debt Sizing'!$O$64="1 Mo Term SOFR"),IFERROR(INDEX('1 Month Term SOFR Forward Curve'!$D$5:$D$125,MATCH('Amo Schedule - Senior'!C261,'1 Month Term SOFR Forward Curve'!$C$5:$C$125,0))+$E$8,'Amo Schedule - Senior'!D260),'Amo Schedule - Senior'!$E$8)</f>
        <v>4.2300000000000004E-2</v>
      </c>
      <c r="E261" s="73">
        <f t="shared" si="16"/>
        <v>22497347.261268098</v>
      </c>
      <c r="F261" s="73">
        <f t="shared" si="17"/>
        <v>79303.149095970046</v>
      </c>
      <c r="G261" s="73"/>
      <c r="H261" s="73">
        <f t="shared" si="15"/>
        <v>92466.26069852557</v>
      </c>
      <c r="I261" s="73">
        <v>0</v>
      </c>
      <c r="J261" s="73">
        <f t="shared" si="18"/>
        <v>171769.40979449562</v>
      </c>
      <c r="K261" s="73">
        <f>IF(AND('Inputs and Assumptions'!$H$11="Bridge", C261&lt;='Inputs and Assumptions'!$D$14),'Inputs and Assumptions'!$D$40/'Inputs and Assumptions'!$D$14, 0)</f>
        <v>0</v>
      </c>
      <c r="L261" s="74">
        <f t="shared" si="19"/>
        <v>22404881.000569571</v>
      </c>
    </row>
    <row r="262" spans="3:12">
      <c r="C262" s="20">
        <v>246</v>
      </c>
      <c r="D262" s="813">
        <f>IF(AND('Inputs and Assumptions'!$H$11="Bridge",'Debt Sizing'!$O$64="1 Mo Term SOFR"),IFERROR(INDEX('1 Month Term SOFR Forward Curve'!$D$5:$D$125,MATCH('Amo Schedule - Senior'!C262,'1 Month Term SOFR Forward Curve'!$C$5:$C$125,0))+$E$8,'Amo Schedule - Senior'!D261),'Amo Schedule - Senior'!$E$8)</f>
        <v>4.2300000000000004E-2</v>
      </c>
      <c r="E262" s="73">
        <f t="shared" si="16"/>
        <v>22404881.000569571</v>
      </c>
      <c r="F262" s="73">
        <f t="shared" si="17"/>
        <v>78977.20552700774</v>
      </c>
      <c r="G262" s="73"/>
      <c r="H262" s="73">
        <f t="shared" si="15"/>
        <v>92792.204267487876</v>
      </c>
      <c r="I262" s="73">
        <v>0</v>
      </c>
      <c r="J262" s="73">
        <f t="shared" si="18"/>
        <v>171769.40979449562</v>
      </c>
      <c r="K262" s="73">
        <f>IF(AND('Inputs and Assumptions'!$H$11="Bridge", C262&lt;='Inputs and Assumptions'!$D$14),'Inputs and Assumptions'!$D$40/'Inputs and Assumptions'!$D$14, 0)</f>
        <v>0</v>
      </c>
      <c r="L262" s="74">
        <f t="shared" si="19"/>
        <v>22312088.796302084</v>
      </c>
    </row>
    <row r="263" spans="3:12">
      <c r="C263" s="20">
        <v>247</v>
      </c>
      <c r="D263" s="813">
        <f>IF(AND('Inputs and Assumptions'!$H$11="Bridge",'Debt Sizing'!$O$64="1 Mo Term SOFR"),IFERROR(INDEX('1 Month Term SOFR Forward Curve'!$D$5:$D$125,MATCH('Amo Schedule - Senior'!C263,'1 Month Term SOFR Forward Curve'!$C$5:$C$125,0))+$E$8,'Amo Schedule - Senior'!D262),'Amo Schedule - Senior'!$E$8)</f>
        <v>4.2300000000000004E-2</v>
      </c>
      <c r="E263" s="73">
        <f t="shared" si="16"/>
        <v>22312088.796302084</v>
      </c>
      <c r="F263" s="73">
        <f t="shared" si="17"/>
        <v>78650.11300696485</v>
      </c>
      <c r="G263" s="73"/>
      <c r="H263" s="73">
        <f t="shared" si="15"/>
        <v>93119.296787530766</v>
      </c>
      <c r="I263" s="73">
        <v>0</v>
      </c>
      <c r="J263" s="73">
        <f t="shared" si="18"/>
        <v>171769.40979449562</v>
      </c>
      <c r="K263" s="73">
        <f>IF(AND('Inputs and Assumptions'!$H$11="Bridge", C263&lt;='Inputs and Assumptions'!$D$14),'Inputs and Assumptions'!$D$40/'Inputs and Assumptions'!$D$14, 0)</f>
        <v>0</v>
      </c>
      <c r="L263" s="74">
        <f t="shared" si="19"/>
        <v>22218969.499514554</v>
      </c>
    </row>
    <row r="264" spans="3:12">
      <c r="C264" s="20">
        <v>248</v>
      </c>
      <c r="D264" s="813">
        <f>IF(AND('Inputs and Assumptions'!$H$11="Bridge",'Debt Sizing'!$O$64="1 Mo Term SOFR"),IFERROR(INDEX('1 Month Term SOFR Forward Curve'!$D$5:$D$125,MATCH('Amo Schedule - Senior'!C264,'1 Month Term SOFR Forward Curve'!$C$5:$C$125,0))+$E$8,'Amo Schedule - Senior'!D263),'Amo Schedule - Senior'!$E$8)</f>
        <v>4.2300000000000004E-2</v>
      </c>
      <c r="E264" s="73">
        <f t="shared" si="16"/>
        <v>22218969.499514554</v>
      </c>
      <c r="F264" s="73">
        <f t="shared" si="17"/>
        <v>78321.867485788811</v>
      </c>
      <c r="G264" s="73"/>
      <c r="H264" s="73">
        <f t="shared" si="15"/>
        <v>93447.542308706805</v>
      </c>
      <c r="I264" s="73">
        <v>0</v>
      </c>
      <c r="J264" s="73">
        <f t="shared" si="18"/>
        <v>171769.40979449562</v>
      </c>
      <c r="K264" s="73">
        <f>IF(AND('Inputs and Assumptions'!$H$11="Bridge", C264&lt;='Inputs and Assumptions'!$D$14),'Inputs and Assumptions'!$D$40/'Inputs and Assumptions'!$D$14, 0)</f>
        <v>0</v>
      </c>
      <c r="L264" s="74">
        <f t="shared" si="19"/>
        <v>22125521.957205847</v>
      </c>
    </row>
    <row r="265" spans="3:12">
      <c r="C265" s="20">
        <v>249</v>
      </c>
      <c r="D265" s="813">
        <f>IF(AND('Inputs and Assumptions'!$H$11="Bridge",'Debt Sizing'!$O$64="1 Mo Term SOFR"),IFERROR(INDEX('1 Month Term SOFR Forward Curve'!$D$5:$D$125,MATCH('Amo Schedule - Senior'!C265,'1 Month Term SOFR Forward Curve'!$C$5:$C$125,0))+$E$8,'Amo Schedule - Senior'!D264),'Amo Schedule - Senior'!$E$8)</f>
        <v>4.2300000000000004E-2</v>
      </c>
      <c r="E265" s="73">
        <f t="shared" si="16"/>
        <v>22125521.957205847</v>
      </c>
      <c r="F265" s="73">
        <f t="shared" si="17"/>
        <v>77992.464899150611</v>
      </c>
      <c r="G265" s="73"/>
      <c r="H265" s="73">
        <f t="shared" si="15"/>
        <v>93776.944895345005</v>
      </c>
      <c r="I265" s="73">
        <v>0</v>
      </c>
      <c r="J265" s="73">
        <f t="shared" si="18"/>
        <v>171769.40979449562</v>
      </c>
      <c r="K265" s="73">
        <f>IF(AND('Inputs and Assumptions'!$H$11="Bridge", C265&lt;='Inputs and Assumptions'!$D$14),'Inputs and Assumptions'!$D$40/'Inputs and Assumptions'!$D$14, 0)</f>
        <v>0</v>
      </c>
      <c r="L265" s="74">
        <f t="shared" si="19"/>
        <v>22031745.012310501</v>
      </c>
    </row>
    <row r="266" spans="3:12">
      <c r="C266" s="20">
        <v>250</v>
      </c>
      <c r="D266" s="813">
        <f>IF(AND('Inputs and Assumptions'!$H$11="Bridge",'Debt Sizing'!$O$64="1 Mo Term SOFR"),IFERROR(INDEX('1 Month Term SOFR Forward Curve'!$D$5:$D$125,MATCH('Amo Schedule - Senior'!C266,'1 Month Term SOFR Forward Curve'!$C$5:$C$125,0))+$E$8,'Amo Schedule - Senior'!D265),'Amo Schedule - Senior'!$E$8)</f>
        <v>4.2300000000000004E-2</v>
      </c>
      <c r="E266" s="73">
        <f t="shared" si="16"/>
        <v>22031745.012310501</v>
      </c>
      <c r="F266" s="73">
        <f t="shared" si="17"/>
        <v>77661.901168394528</v>
      </c>
      <c r="G266" s="73"/>
      <c r="H266" s="73">
        <f t="shared" si="15"/>
        <v>94107.508626101087</v>
      </c>
      <c r="I266" s="73">
        <v>0</v>
      </c>
      <c r="J266" s="73">
        <f t="shared" si="18"/>
        <v>171769.40979449562</v>
      </c>
      <c r="K266" s="73">
        <f>IF(AND('Inputs and Assumptions'!$H$11="Bridge", C266&lt;='Inputs and Assumptions'!$D$14),'Inputs and Assumptions'!$D$40/'Inputs and Assumptions'!$D$14, 0)</f>
        <v>0</v>
      </c>
      <c r="L266" s="74">
        <f t="shared" si="19"/>
        <v>21937637.503684402</v>
      </c>
    </row>
    <row r="267" spans="3:12">
      <c r="C267" s="20">
        <v>251</v>
      </c>
      <c r="D267" s="813">
        <f>IF(AND('Inputs and Assumptions'!$H$11="Bridge",'Debt Sizing'!$O$64="1 Mo Term SOFR"),IFERROR(INDEX('1 Month Term SOFR Forward Curve'!$D$5:$D$125,MATCH('Amo Schedule - Senior'!C267,'1 Month Term SOFR Forward Curve'!$C$5:$C$125,0))+$E$8,'Amo Schedule - Senior'!D266),'Amo Schedule - Senior'!$E$8)</f>
        <v>4.2300000000000004E-2</v>
      </c>
      <c r="E267" s="73">
        <f t="shared" si="16"/>
        <v>21937637.503684402</v>
      </c>
      <c r="F267" s="73">
        <f t="shared" si="17"/>
        <v>77330.172200487519</v>
      </c>
      <c r="G267" s="73"/>
      <c r="H267" s="73">
        <f t="shared" si="15"/>
        <v>94439.237594008096</v>
      </c>
      <c r="I267" s="73">
        <v>0</v>
      </c>
      <c r="J267" s="73">
        <f t="shared" si="18"/>
        <v>171769.40979449562</v>
      </c>
      <c r="K267" s="73">
        <f>IF(AND('Inputs and Assumptions'!$H$11="Bridge", C267&lt;='Inputs and Assumptions'!$D$14),'Inputs and Assumptions'!$D$40/'Inputs and Assumptions'!$D$14, 0)</f>
        <v>0</v>
      </c>
      <c r="L267" s="74">
        <f t="shared" si="19"/>
        <v>21843198.266090393</v>
      </c>
    </row>
    <row r="268" spans="3:12">
      <c r="C268" s="20">
        <v>252</v>
      </c>
      <c r="D268" s="813">
        <f>IF(AND('Inputs and Assumptions'!$H$11="Bridge",'Debt Sizing'!$O$64="1 Mo Term SOFR"),IFERROR(INDEX('1 Month Term SOFR Forward Curve'!$D$5:$D$125,MATCH('Amo Schedule - Senior'!C268,'1 Month Term SOFR Forward Curve'!$C$5:$C$125,0))+$E$8,'Amo Schedule - Senior'!D267),'Amo Schedule - Senior'!$E$8)</f>
        <v>4.2300000000000004E-2</v>
      </c>
      <c r="E268" s="73">
        <f t="shared" si="16"/>
        <v>21843198.266090393</v>
      </c>
      <c r="F268" s="73">
        <f t="shared" si="17"/>
        <v>76997.273887968637</v>
      </c>
      <c r="G268" s="73"/>
      <c r="H268" s="73">
        <f t="shared" si="15"/>
        <v>94772.135906526979</v>
      </c>
      <c r="I268" s="73">
        <v>0</v>
      </c>
      <c r="J268" s="73">
        <f t="shared" si="18"/>
        <v>171769.40979449562</v>
      </c>
      <c r="K268" s="73">
        <f>IF(AND('Inputs and Assumptions'!$H$11="Bridge", C268&lt;='Inputs and Assumptions'!$D$14),'Inputs and Assumptions'!$D$40/'Inputs and Assumptions'!$D$14, 0)</f>
        <v>0</v>
      </c>
      <c r="L268" s="74">
        <f t="shared" si="19"/>
        <v>21748426.130183864</v>
      </c>
    </row>
    <row r="269" spans="3:12">
      <c r="C269" s="20">
        <v>253</v>
      </c>
      <c r="D269" s="813">
        <f>IF(AND('Inputs and Assumptions'!$H$11="Bridge",'Debt Sizing'!$O$64="1 Mo Term SOFR"),IFERROR(INDEX('1 Month Term SOFR Forward Curve'!$D$5:$D$125,MATCH('Amo Schedule - Senior'!C269,'1 Month Term SOFR Forward Curve'!$C$5:$C$125,0))+$E$8,'Amo Schedule - Senior'!D268),'Amo Schedule - Senior'!$E$8)</f>
        <v>4.2300000000000004E-2</v>
      </c>
      <c r="E269" s="73">
        <f t="shared" si="16"/>
        <v>21748426.130183864</v>
      </c>
      <c r="F269" s="73">
        <f t="shared" si="17"/>
        <v>76663.202108898127</v>
      </c>
      <c r="G269" s="73"/>
      <c r="H269" s="73">
        <f t="shared" si="15"/>
        <v>95106.207685597488</v>
      </c>
      <c r="I269" s="73">
        <v>0</v>
      </c>
      <c r="J269" s="73">
        <f t="shared" si="18"/>
        <v>171769.40979449562</v>
      </c>
      <c r="K269" s="73">
        <f>IF(AND('Inputs and Assumptions'!$H$11="Bridge", C269&lt;='Inputs and Assumptions'!$D$14),'Inputs and Assumptions'!$D$40/'Inputs and Assumptions'!$D$14, 0)</f>
        <v>0</v>
      </c>
      <c r="L269" s="74">
        <f t="shared" si="19"/>
        <v>21653319.922498267</v>
      </c>
    </row>
    <row r="270" spans="3:12">
      <c r="C270" s="20">
        <v>254</v>
      </c>
      <c r="D270" s="813">
        <f>IF(AND('Inputs and Assumptions'!$H$11="Bridge",'Debt Sizing'!$O$64="1 Mo Term SOFR"),IFERROR(INDEX('1 Month Term SOFR Forward Curve'!$D$5:$D$125,MATCH('Amo Schedule - Senior'!C270,'1 Month Term SOFR Forward Curve'!$C$5:$C$125,0))+$E$8,'Amo Schedule - Senior'!D269),'Amo Schedule - Senior'!$E$8)</f>
        <v>4.2300000000000004E-2</v>
      </c>
      <c r="E270" s="73">
        <f t="shared" si="16"/>
        <v>21653319.922498267</v>
      </c>
      <c r="F270" s="73">
        <f t="shared" si="17"/>
        <v>76327.952726806398</v>
      </c>
      <c r="G270" s="73"/>
      <c r="H270" s="73">
        <f t="shared" si="15"/>
        <v>95441.457067689218</v>
      </c>
      <c r="I270" s="73">
        <v>0</v>
      </c>
      <c r="J270" s="73">
        <f t="shared" si="18"/>
        <v>171769.40979449562</v>
      </c>
      <c r="K270" s="73">
        <f>IF(AND('Inputs and Assumptions'!$H$11="Bridge", C270&lt;='Inputs and Assumptions'!$D$14),'Inputs and Assumptions'!$D$40/'Inputs and Assumptions'!$D$14, 0)</f>
        <v>0</v>
      </c>
      <c r="L270" s="74">
        <f t="shared" si="19"/>
        <v>21557878.465430576</v>
      </c>
    </row>
    <row r="271" spans="3:12">
      <c r="C271" s="20">
        <v>255</v>
      </c>
      <c r="D271" s="813">
        <f>IF(AND('Inputs and Assumptions'!$H$11="Bridge",'Debt Sizing'!$O$64="1 Mo Term SOFR"),IFERROR(INDEX('1 Month Term SOFR Forward Curve'!$D$5:$D$125,MATCH('Amo Schedule - Senior'!C271,'1 Month Term SOFR Forward Curve'!$C$5:$C$125,0))+$E$8,'Amo Schedule - Senior'!D270),'Amo Schedule - Senior'!$E$8)</f>
        <v>4.2300000000000004E-2</v>
      </c>
      <c r="E271" s="73">
        <f t="shared" si="16"/>
        <v>21557878.465430576</v>
      </c>
      <c r="F271" s="73">
        <f t="shared" si="17"/>
        <v>75991.521590642791</v>
      </c>
      <c r="G271" s="73"/>
      <c r="H271" s="73">
        <f t="shared" si="15"/>
        <v>95777.888203852825</v>
      </c>
      <c r="I271" s="73">
        <v>0</v>
      </c>
      <c r="J271" s="73">
        <f t="shared" si="18"/>
        <v>171769.40979449562</v>
      </c>
      <c r="K271" s="73">
        <f>IF(AND('Inputs and Assumptions'!$H$11="Bridge", C271&lt;='Inputs and Assumptions'!$D$14),'Inputs and Assumptions'!$D$40/'Inputs and Assumptions'!$D$14, 0)</f>
        <v>0</v>
      </c>
      <c r="L271" s="74">
        <f t="shared" si="19"/>
        <v>21462100.577226724</v>
      </c>
    </row>
    <row r="272" spans="3:12">
      <c r="C272" s="20">
        <v>256</v>
      </c>
      <c r="D272" s="813">
        <f>IF(AND('Inputs and Assumptions'!$H$11="Bridge",'Debt Sizing'!$O$64="1 Mo Term SOFR"),IFERROR(INDEX('1 Month Term SOFR Forward Curve'!$D$5:$D$125,MATCH('Amo Schedule - Senior'!C272,'1 Month Term SOFR Forward Curve'!$C$5:$C$125,0))+$E$8,'Amo Schedule - Senior'!D271),'Amo Schedule - Senior'!$E$8)</f>
        <v>4.2300000000000004E-2</v>
      </c>
      <c r="E272" s="73">
        <f t="shared" si="16"/>
        <v>21462100.577226724</v>
      </c>
      <c r="F272" s="73">
        <f t="shared" si="17"/>
        <v>75653.904534724206</v>
      </c>
      <c r="G272" s="73"/>
      <c r="H272" s="73">
        <f t="shared" si="15"/>
        <v>96115.505259771409</v>
      </c>
      <c r="I272" s="73">
        <v>0</v>
      </c>
      <c r="J272" s="73">
        <f t="shared" si="18"/>
        <v>171769.40979449562</v>
      </c>
      <c r="K272" s="73">
        <f>IF(AND('Inputs and Assumptions'!$H$11="Bridge", C272&lt;='Inputs and Assumptions'!$D$14),'Inputs and Assumptions'!$D$40/'Inputs and Assumptions'!$D$14, 0)</f>
        <v>0</v>
      </c>
      <c r="L272" s="74">
        <f t="shared" si="19"/>
        <v>21365985.071966954</v>
      </c>
    </row>
    <row r="273" spans="3:12">
      <c r="C273" s="20">
        <v>257</v>
      </c>
      <c r="D273" s="813">
        <f>IF(AND('Inputs and Assumptions'!$H$11="Bridge",'Debt Sizing'!$O$64="1 Mo Term SOFR"),IFERROR(INDEX('1 Month Term SOFR Forward Curve'!$D$5:$D$125,MATCH('Amo Schedule - Senior'!C273,'1 Month Term SOFR Forward Curve'!$C$5:$C$125,0))+$E$8,'Amo Schedule - Senior'!D272),'Amo Schedule - Senior'!$E$8)</f>
        <v>4.2300000000000004E-2</v>
      </c>
      <c r="E273" s="73">
        <f t="shared" si="16"/>
        <v>21365985.071966954</v>
      </c>
      <c r="F273" s="73">
        <f t="shared" si="17"/>
        <v>75315.097378683524</v>
      </c>
      <c r="G273" s="73"/>
      <c r="H273" s="73">
        <f t="shared" ref="H273:H336" si="20">+J273-I273-F273</f>
        <v>96454.312415812092</v>
      </c>
      <c r="I273" s="73">
        <v>0</v>
      </c>
      <c r="J273" s="73">
        <f t="shared" si="18"/>
        <v>171769.40979449562</v>
      </c>
      <c r="K273" s="73">
        <f>IF(AND('Inputs and Assumptions'!$H$11="Bridge", C273&lt;='Inputs and Assumptions'!$D$14),'Inputs and Assumptions'!$D$40/'Inputs and Assumptions'!$D$14, 0)</f>
        <v>0</v>
      </c>
      <c r="L273" s="74">
        <f t="shared" si="19"/>
        <v>21269530.759551141</v>
      </c>
    </row>
    <row r="274" spans="3:12">
      <c r="C274" s="20">
        <v>258</v>
      </c>
      <c r="D274" s="813">
        <f>IF(AND('Inputs and Assumptions'!$H$11="Bridge",'Debt Sizing'!$O$64="1 Mo Term SOFR"),IFERROR(INDEX('1 Month Term SOFR Forward Curve'!$D$5:$D$125,MATCH('Amo Schedule - Senior'!C274,'1 Month Term SOFR Forward Curve'!$C$5:$C$125,0))+$E$8,'Amo Schedule - Senior'!D273),'Amo Schedule - Senior'!$E$8)</f>
        <v>4.2300000000000004E-2</v>
      </c>
      <c r="E274" s="73">
        <f t="shared" ref="E274:E337" si="21">L273</f>
        <v>21269530.759551141</v>
      </c>
      <c r="F274" s="73">
        <f t="shared" ref="F274:F337" si="22">E274*($D274/12)</f>
        <v>74975.095927417788</v>
      </c>
      <c r="G274" s="73"/>
      <c r="H274" s="73">
        <f t="shared" si="20"/>
        <v>96794.313867077828</v>
      </c>
      <c r="I274" s="73">
        <v>0</v>
      </c>
      <c r="J274" s="73">
        <f t="shared" ref="J274:J337" si="23">IF(C274&lt;=$E$9,F274,-PMT(D274/12,$E$10,$E$7))</f>
        <v>171769.40979449562</v>
      </c>
      <c r="K274" s="73">
        <f>IF(AND('Inputs and Assumptions'!$H$11="Bridge", C274&lt;='Inputs and Assumptions'!$D$14),'Inputs and Assumptions'!$D$40/'Inputs and Assumptions'!$D$14, 0)</f>
        <v>0</v>
      </c>
      <c r="L274" s="74">
        <f t="shared" ref="L274:L337" si="24">E274-H274-I274+K274</f>
        <v>21172736.445684064</v>
      </c>
    </row>
    <row r="275" spans="3:12">
      <c r="C275" s="20">
        <v>259</v>
      </c>
      <c r="D275" s="813">
        <f>IF(AND('Inputs and Assumptions'!$H$11="Bridge",'Debt Sizing'!$O$64="1 Mo Term SOFR"),IFERROR(INDEX('1 Month Term SOFR Forward Curve'!$D$5:$D$125,MATCH('Amo Schedule - Senior'!C275,'1 Month Term SOFR Forward Curve'!$C$5:$C$125,0))+$E$8,'Amo Schedule - Senior'!D274),'Amo Schedule - Senior'!$E$8)</f>
        <v>4.2300000000000004E-2</v>
      </c>
      <c r="E275" s="73">
        <f t="shared" si="21"/>
        <v>21172736.445684064</v>
      </c>
      <c r="F275" s="73">
        <f t="shared" si="22"/>
        <v>74633.895971036327</v>
      </c>
      <c r="G275" s="73"/>
      <c r="H275" s="73">
        <f t="shared" si="20"/>
        <v>97135.513823459289</v>
      </c>
      <c r="I275" s="73">
        <v>0</v>
      </c>
      <c r="J275" s="73">
        <f t="shared" si="23"/>
        <v>171769.40979449562</v>
      </c>
      <c r="K275" s="73">
        <f>IF(AND('Inputs and Assumptions'!$H$11="Bridge", C275&lt;='Inputs and Assumptions'!$D$14),'Inputs and Assumptions'!$D$40/'Inputs and Assumptions'!$D$14, 0)</f>
        <v>0</v>
      </c>
      <c r="L275" s="74">
        <f t="shared" si="24"/>
        <v>21075600.931860603</v>
      </c>
    </row>
    <row r="276" spans="3:12">
      <c r="C276" s="20">
        <v>260</v>
      </c>
      <c r="D276" s="813">
        <f>IF(AND('Inputs and Assumptions'!$H$11="Bridge",'Debt Sizing'!$O$64="1 Mo Term SOFR"),IFERROR(INDEX('1 Month Term SOFR Forward Curve'!$D$5:$D$125,MATCH('Amo Schedule - Senior'!C276,'1 Month Term SOFR Forward Curve'!$C$5:$C$125,0))+$E$8,'Amo Schedule - Senior'!D275),'Amo Schedule - Senior'!$E$8)</f>
        <v>4.2300000000000004E-2</v>
      </c>
      <c r="E276" s="73">
        <f t="shared" si="21"/>
        <v>21075600.931860603</v>
      </c>
      <c r="F276" s="73">
        <f t="shared" si="22"/>
        <v>74291.493284808632</v>
      </c>
      <c r="G276" s="73"/>
      <c r="H276" s="73">
        <f t="shared" si="20"/>
        <v>97477.916509686984</v>
      </c>
      <c r="I276" s="73">
        <v>0</v>
      </c>
      <c r="J276" s="73">
        <f t="shared" si="23"/>
        <v>171769.40979449562</v>
      </c>
      <c r="K276" s="73">
        <f>IF(AND('Inputs and Assumptions'!$H$11="Bridge", C276&lt;='Inputs and Assumptions'!$D$14),'Inputs and Assumptions'!$D$40/'Inputs and Assumptions'!$D$14, 0)</f>
        <v>0</v>
      </c>
      <c r="L276" s="74">
        <f t="shared" si="24"/>
        <v>20978123.015350915</v>
      </c>
    </row>
    <row r="277" spans="3:12">
      <c r="C277" s="20">
        <v>261</v>
      </c>
      <c r="D277" s="813">
        <f>IF(AND('Inputs and Assumptions'!$H$11="Bridge",'Debt Sizing'!$O$64="1 Mo Term SOFR"),IFERROR(INDEX('1 Month Term SOFR Forward Curve'!$D$5:$D$125,MATCH('Amo Schedule - Senior'!C277,'1 Month Term SOFR Forward Curve'!$C$5:$C$125,0))+$E$8,'Amo Schedule - Senior'!D276),'Amo Schedule - Senior'!$E$8)</f>
        <v>4.2300000000000004E-2</v>
      </c>
      <c r="E277" s="73">
        <f t="shared" si="21"/>
        <v>20978123.015350915</v>
      </c>
      <c r="F277" s="73">
        <f t="shared" si="22"/>
        <v>73947.883629111981</v>
      </c>
      <c r="G277" s="73"/>
      <c r="H277" s="73">
        <f t="shared" si="20"/>
        <v>97821.526165383635</v>
      </c>
      <c r="I277" s="73">
        <v>0</v>
      </c>
      <c r="J277" s="73">
        <f t="shared" si="23"/>
        <v>171769.40979449562</v>
      </c>
      <c r="K277" s="73">
        <f>IF(AND('Inputs and Assumptions'!$H$11="Bridge", C277&lt;='Inputs and Assumptions'!$D$14),'Inputs and Assumptions'!$D$40/'Inputs and Assumptions'!$D$14, 0)</f>
        <v>0</v>
      </c>
      <c r="L277" s="74">
        <f t="shared" si="24"/>
        <v>20880301.489185531</v>
      </c>
    </row>
    <row r="278" spans="3:12">
      <c r="C278" s="20">
        <v>262</v>
      </c>
      <c r="D278" s="813">
        <f>IF(AND('Inputs and Assumptions'!$H$11="Bridge",'Debt Sizing'!$O$64="1 Mo Term SOFR"),IFERROR(INDEX('1 Month Term SOFR Forward Curve'!$D$5:$D$125,MATCH('Amo Schedule - Senior'!C278,'1 Month Term SOFR Forward Curve'!$C$5:$C$125,0))+$E$8,'Amo Schedule - Senior'!D277),'Amo Schedule - Senior'!$E$8)</f>
        <v>4.2300000000000004E-2</v>
      </c>
      <c r="E278" s="73">
        <f t="shared" si="21"/>
        <v>20880301.489185531</v>
      </c>
      <c r="F278" s="73">
        <f t="shared" si="22"/>
        <v>73603.062749379009</v>
      </c>
      <c r="G278" s="73"/>
      <c r="H278" s="73">
        <f t="shared" si="20"/>
        <v>98166.347045116607</v>
      </c>
      <c r="I278" s="73">
        <v>0</v>
      </c>
      <c r="J278" s="73">
        <f t="shared" si="23"/>
        <v>171769.40979449562</v>
      </c>
      <c r="K278" s="73">
        <f>IF(AND('Inputs and Assumptions'!$H$11="Bridge", C278&lt;='Inputs and Assumptions'!$D$14),'Inputs and Assumptions'!$D$40/'Inputs and Assumptions'!$D$14, 0)</f>
        <v>0</v>
      </c>
      <c r="L278" s="74">
        <f t="shared" si="24"/>
        <v>20782135.142140415</v>
      </c>
    </row>
    <row r="279" spans="3:12">
      <c r="C279" s="20">
        <v>263</v>
      </c>
      <c r="D279" s="813">
        <f>IF(AND('Inputs and Assumptions'!$H$11="Bridge",'Debt Sizing'!$O$64="1 Mo Term SOFR"),IFERROR(INDEX('1 Month Term SOFR Forward Curve'!$D$5:$D$125,MATCH('Amo Schedule - Senior'!C279,'1 Month Term SOFR Forward Curve'!$C$5:$C$125,0))+$E$8,'Amo Schedule - Senior'!D278),'Amo Schedule - Senior'!$E$8)</f>
        <v>4.2300000000000004E-2</v>
      </c>
      <c r="E279" s="73">
        <f t="shared" si="21"/>
        <v>20782135.142140415</v>
      </c>
      <c r="F279" s="73">
        <f t="shared" si="22"/>
        <v>73257.026376044974</v>
      </c>
      <c r="G279" s="73"/>
      <c r="H279" s="73">
        <f t="shared" si="20"/>
        <v>98512.383418450641</v>
      </c>
      <c r="I279" s="73">
        <v>0</v>
      </c>
      <c r="J279" s="73">
        <f t="shared" si="23"/>
        <v>171769.40979449562</v>
      </c>
      <c r="K279" s="73">
        <f>IF(AND('Inputs and Assumptions'!$H$11="Bridge", C279&lt;='Inputs and Assumptions'!$D$14),'Inputs and Assumptions'!$D$40/'Inputs and Assumptions'!$D$14, 0)</f>
        <v>0</v>
      </c>
      <c r="L279" s="74">
        <f t="shared" si="24"/>
        <v>20683622.758721963</v>
      </c>
    </row>
    <row r="280" spans="3:12">
      <c r="C280" s="20">
        <v>264</v>
      </c>
      <c r="D280" s="813">
        <f>IF(AND('Inputs and Assumptions'!$H$11="Bridge",'Debt Sizing'!$O$64="1 Mo Term SOFR"),IFERROR(INDEX('1 Month Term SOFR Forward Curve'!$D$5:$D$125,MATCH('Amo Schedule - Senior'!C280,'1 Month Term SOFR Forward Curve'!$C$5:$C$125,0))+$E$8,'Amo Schedule - Senior'!D279),'Amo Schedule - Senior'!$E$8)</f>
        <v>4.2300000000000004E-2</v>
      </c>
      <c r="E280" s="73">
        <f t="shared" si="21"/>
        <v>20683622.758721963</v>
      </c>
      <c r="F280" s="73">
        <f t="shared" si="22"/>
        <v>72909.770224494932</v>
      </c>
      <c r="G280" s="73"/>
      <c r="H280" s="73">
        <f t="shared" si="20"/>
        <v>98859.639570000683</v>
      </c>
      <c r="I280" s="73">
        <v>0</v>
      </c>
      <c r="J280" s="73">
        <f t="shared" si="23"/>
        <v>171769.40979449562</v>
      </c>
      <c r="K280" s="73">
        <f>IF(AND('Inputs and Assumptions'!$H$11="Bridge", C280&lt;='Inputs and Assumptions'!$D$14),'Inputs and Assumptions'!$D$40/'Inputs and Assumptions'!$D$14, 0)</f>
        <v>0</v>
      </c>
      <c r="L280" s="74">
        <f t="shared" si="24"/>
        <v>20584763.119151961</v>
      </c>
    </row>
    <row r="281" spans="3:12">
      <c r="C281" s="20">
        <v>265</v>
      </c>
      <c r="D281" s="813">
        <f>IF(AND('Inputs and Assumptions'!$H$11="Bridge",'Debt Sizing'!$O$64="1 Mo Term SOFR"),IFERROR(INDEX('1 Month Term SOFR Forward Curve'!$D$5:$D$125,MATCH('Amo Schedule - Senior'!C281,'1 Month Term SOFR Forward Curve'!$C$5:$C$125,0))+$E$8,'Amo Schedule - Senior'!D280),'Amo Schedule - Senior'!$E$8)</f>
        <v>4.2300000000000004E-2</v>
      </c>
      <c r="E281" s="73">
        <f t="shared" si="21"/>
        <v>20584763.119151961</v>
      </c>
      <c r="F281" s="73">
        <f t="shared" si="22"/>
        <v>72561.289995010666</v>
      </c>
      <c r="G281" s="73"/>
      <c r="H281" s="73">
        <f t="shared" si="20"/>
        <v>99208.11979948495</v>
      </c>
      <c r="I281" s="73">
        <v>0</v>
      </c>
      <c r="J281" s="73">
        <f t="shared" si="23"/>
        <v>171769.40979449562</v>
      </c>
      <c r="K281" s="73">
        <f>IF(AND('Inputs and Assumptions'!$H$11="Bridge", C281&lt;='Inputs and Assumptions'!$D$14),'Inputs and Assumptions'!$D$40/'Inputs and Assumptions'!$D$14, 0)</f>
        <v>0</v>
      </c>
      <c r="L281" s="74">
        <f t="shared" si="24"/>
        <v>20485554.999352477</v>
      </c>
    </row>
    <row r="282" spans="3:12">
      <c r="C282" s="20">
        <v>266</v>
      </c>
      <c r="D282" s="813">
        <f>IF(AND('Inputs and Assumptions'!$H$11="Bridge",'Debt Sizing'!$O$64="1 Mo Term SOFR"),IFERROR(INDEX('1 Month Term SOFR Forward Curve'!$D$5:$D$125,MATCH('Amo Schedule - Senior'!C282,'1 Month Term SOFR Forward Curve'!$C$5:$C$125,0))+$E$8,'Amo Schedule - Senior'!D281),'Amo Schedule - Senior'!$E$8)</f>
        <v>4.2300000000000004E-2</v>
      </c>
      <c r="E282" s="73">
        <f t="shared" si="21"/>
        <v>20485554.999352477</v>
      </c>
      <c r="F282" s="73">
        <f t="shared" si="22"/>
        <v>72211.581372717497</v>
      </c>
      <c r="G282" s="73"/>
      <c r="H282" s="73">
        <f t="shared" si="20"/>
        <v>99557.828421778118</v>
      </c>
      <c r="I282" s="73">
        <v>0</v>
      </c>
      <c r="J282" s="73">
        <f t="shared" si="23"/>
        <v>171769.40979449562</v>
      </c>
      <c r="K282" s="73">
        <f>IF(AND('Inputs and Assumptions'!$H$11="Bridge", C282&lt;='Inputs and Assumptions'!$D$14),'Inputs and Assumptions'!$D$40/'Inputs and Assumptions'!$D$14, 0)</f>
        <v>0</v>
      </c>
      <c r="L282" s="74">
        <f t="shared" si="24"/>
        <v>20385997.170930699</v>
      </c>
    </row>
    <row r="283" spans="3:12">
      <c r="C283" s="20">
        <v>267</v>
      </c>
      <c r="D283" s="813">
        <f>IF(AND('Inputs and Assumptions'!$H$11="Bridge",'Debt Sizing'!$O$64="1 Mo Term SOFR"),IFERROR(INDEX('1 Month Term SOFR Forward Curve'!$D$5:$D$125,MATCH('Amo Schedule - Senior'!C283,'1 Month Term SOFR Forward Curve'!$C$5:$C$125,0))+$E$8,'Amo Schedule - Senior'!D282),'Amo Schedule - Senior'!$E$8)</f>
        <v>4.2300000000000004E-2</v>
      </c>
      <c r="E283" s="73">
        <f t="shared" si="21"/>
        <v>20385997.170930699</v>
      </c>
      <c r="F283" s="73">
        <f t="shared" si="22"/>
        <v>71860.640027530724</v>
      </c>
      <c r="G283" s="73"/>
      <c r="H283" s="73">
        <f t="shared" si="20"/>
        <v>99908.769766964891</v>
      </c>
      <c r="I283" s="73">
        <v>0</v>
      </c>
      <c r="J283" s="73">
        <f t="shared" si="23"/>
        <v>171769.40979449562</v>
      </c>
      <c r="K283" s="73">
        <f>IF(AND('Inputs and Assumptions'!$H$11="Bridge", C283&lt;='Inputs and Assumptions'!$D$14),'Inputs and Assumptions'!$D$40/'Inputs and Assumptions'!$D$14, 0)</f>
        <v>0</v>
      </c>
      <c r="L283" s="74">
        <f t="shared" si="24"/>
        <v>20286088.401163734</v>
      </c>
    </row>
    <row r="284" spans="3:12">
      <c r="C284" s="20">
        <v>268</v>
      </c>
      <c r="D284" s="813">
        <f>IF(AND('Inputs and Assumptions'!$H$11="Bridge",'Debt Sizing'!$O$64="1 Mo Term SOFR"),IFERROR(INDEX('1 Month Term SOFR Forward Curve'!$D$5:$D$125,MATCH('Amo Schedule - Senior'!C284,'1 Month Term SOFR Forward Curve'!$C$5:$C$125,0))+$E$8,'Amo Schedule - Senior'!D283),'Amo Schedule - Senior'!$E$8)</f>
        <v>4.2300000000000004E-2</v>
      </c>
      <c r="E284" s="73">
        <f t="shared" si="21"/>
        <v>20286088.401163734</v>
      </c>
      <c r="F284" s="73">
        <f t="shared" si="22"/>
        <v>71508.461614102169</v>
      </c>
      <c r="G284" s="73"/>
      <c r="H284" s="73">
        <f t="shared" si="20"/>
        <v>100260.94818039345</v>
      </c>
      <c r="I284" s="73">
        <v>0</v>
      </c>
      <c r="J284" s="73">
        <f t="shared" si="23"/>
        <v>171769.40979449562</v>
      </c>
      <c r="K284" s="73">
        <f>IF(AND('Inputs and Assumptions'!$H$11="Bridge", C284&lt;='Inputs and Assumptions'!$D$14),'Inputs and Assumptions'!$D$40/'Inputs and Assumptions'!$D$14, 0)</f>
        <v>0</v>
      </c>
      <c r="L284" s="74">
        <f t="shared" si="24"/>
        <v>20185827.452983342</v>
      </c>
    </row>
    <row r="285" spans="3:12">
      <c r="C285" s="20">
        <v>269</v>
      </c>
      <c r="D285" s="813">
        <f>IF(AND('Inputs and Assumptions'!$H$11="Bridge",'Debt Sizing'!$O$64="1 Mo Term SOFR"),IFERROR(INDEX('1 Month Term SOFR Forward Curve'!$D$5:$D$125,MATCH('Amo Schedule - Senior'!C285,'1 Month Term SOFR Forward Curve'!$C$5:$C$125,0))+$E$8,'Amo Schedule - Senior'!D284),'Amo Schedule - Senior'!$E$8)</f>
        <v>4.2300000000000004E-2</v>
      </c>
      <c r="E285" s="73">
        <f t="shared" si="21"/>
        <v>20185827.452983342</v>
      </c>
      <c r="F285" s="73">
        <f t="shared" si="22"/>
        <v>71155.041771766293</v>
      </c>
      <c r="G285" s="73"/>
      <c r="H285" s="73">
        <f t="shared" si="20"/>
        <v>100614.36802272932</v>
      </c>
      <c r="I285" s="73">
        <v>0</v>
      </c>
      <c r="J285" s="73">
        <f t="shared" si="23"/>
        <v>171769.40979449562</v>
      </c>
      <c r="K285" s="73">
        <f>IF(AND('Inputs and Assumptions'!$H$11="Bridge", C285&lt;='Inputs and Assumptions'!$D$14),'Inputs and Assumptions'!$D$40/'Inputs and Assumptions'!$D$14, 0)</f>
        <v>0</v>
      </c>
      <c r="L285" s="74">
        <f t="shared" si="24"/>
        <v>20085213.084960613</v>
      </c>
    </row>
    <row r="286" spans="3:12">
      <c r="C286" s="20">
        <v>270</v>
      </c>
      <c r="D286" s="813">
        <f>IF(AND('Inputs and Assumptions'!$H$11="Bridge",'Debt Sizing'!$O$64="1 Mo Term SOFR"),IFERROR(INDEX('1 Month Term SOFR Forward Curve'!$D$5:$D$125,MATCH('Amo Schedule - Senior'!C286,'1 Month Term SOFR Forward Curve'!$C$5:$C$125,0))+$E$8,'Amo Schedule - Senior'!D285),'Amo Schedule - Senior'!$E$8)</f>
        <v>4.2300000000000004E-2</v>
      </c>
      <c r="E286" s="73">
        <f t="shared" si="21"/>
        <v>20085213.084960613</v>
      </c>
      <c r="F286" s="73">
        <f t="shared" si="22"/>
        <v>70800.376124486167</v>
      </c>
      <c r="G286" s="73"/>
      <c r="H286" s="73">
        <f t="shared" si="20"/>
        <v>100969.03367000945</v>
      </c>
      <c r="I286" s="73">
        <v>0</v>
      </c>
      <c r="J286" s="73">
        <f t="shared" si="23"/>
        <v>171769.40979449562</v>
      </c>
      <c r="K286" s="73">
        <f>IF(AND('Inputs and Assumptions'!$H$11="Bridge", C286&lt;='Inputs and Assumptions'!$D$14),'Inputs and Assumptions'!$D$40/'Inputs and Assumptions'!$D$14, 0)</f>
        <v>0</v>
      </c>
      <c r="L286" s="74">
        <f t="shared" si="24"/>
        <v>19984244.051290605</v>
      </c>
    </row>
    <row r="287" spans="3:12">
      <c r="C287" s="20">
        <v>271</v>
      </c>
      <c r="D287" s="813">
        <f>IF(AND('Inputs and Assumptions'!$H$11="Bridge",'Debt Sizing'!$O$64="1 Mo Term SOFR"),IFERROR(INDEX('1 Month Term SOFR Forward Curve'!$D$5:$D$125,MATCH('Amo Schedule - Senior'!C287,'1 Month Term SOFR Forward Curve'!$C$5:$C$125,0))+$E$8,'Amo Schedule - Senior'!D286),'Amo Schedule - Senior'!$E$8)</f>
        <v>4.2300000000000004E-2</v>
      </c>
      <c r="E287" s="73">
        <f t="shared" si="21"/>
        <v>19984244.051290605</v>
      </c>
      <c r="F287" s="73">
        <f t="shared" si="22"/>
        <v>70444.460280799394</v>
      </c>
      <c r="G287" s="73"/>
      <c r="H287" s="73">
        <f t="shared" si="20"/>
        <v>101324.94951369622</v>
      </c>
      <c r="I287" s="73">
        <v>0</v>
      </c>
      <c r="J287" s="73">
        <f t="shared" si="23"/>
        <v>171769.40979449562</v>
      </c>
      <c r="K287" s="73">
        <f>IF(AND('Inputs and Assumptions'!$H$11="Bridge", C287&lt;='Inputs and Assumptions'!$D$14),'Inputs and Assumptions'!$D$40/'Inputs and Assumptions'!$D$14, 0)</f>
        <v>0</v>
      </c>
      <c r="L287" s="74">
        <f t="shared" si="24"/>
        <v>19882919.101776909</v>
      </c>
    </row>
    <row r="288" spans="3:12">
      <c r="C288" s="20">
        <v>272</v>
      </c>
      <c r="D288" s="813">
        <f>IF(AND('Inputs and Assumptions'!$H$11="Bridge",'Debt Sizing'!$O$64="1 Mo Term SOFR"),IFERROR(INDEX('1 Month Term SOFR Forward Curve'!$D$5:$D$125,MATCH('Amo Schedule - Senior'!C288,'1 Month Term SOFR Forward Curve'!$C$5:$C$125,0))+$E$8,'Amo Schedule - Senior'!D287),'Amo Schedule - Senior'!$E$8)</f>
        <v>4.2300000000000004E-2</v>
      </c>
      <c r="E288" s="73">
        <f t="shared" si="21"/>
        <v>19882919.101776909</v>
      </c>
      <c r="F288" s="73">
        <f t="shared" si="22"/>
        <v>70087.289833763614</v>
      </c>
      <c r="G288" s="73"/>
      <c r="H288" s="73">
        <f t="shared" si="20"/>
        <v>101682.119960732</v>
      </c>
      <c r="I288" s="73">
        <v>0</v>
      </c>
      <c r="J288" s="73">
        <f t="shared" si="23"/>
        <v>171769.40979449562</v>
      </c>
      <c r="K288" s="73">
        <f>IF(AND('Inputs and Assumptions'!$H$11="Bridge", C288&lt;='Inputs and Assumptions'!$D$14),'Inputs and Assumptions'!$D$40/'Inputs and Assumptions'!$D$14, 0)</f>
        <v>0</v>
      </c>
      <c r="L288" s="74">
        <f t="shared" si="24"/>
        <v>19781236.981816176</v>
      </c>
    </row>
    <row r="289" spans="3:12">
      <c r="C289" s="20">
        <v>273</v>
      </c>
      <c r="D289" s="813">
        <f>IF(AND('Inputs and Assumptions'!$H$11="Bridge",'Debt Sizing'!$O$64="1 Mo Term SOFR"),IFERROR(INDEX('1 Month Term SOFR Forward Curve'!$D$5:$D$125,MATCH('Amo Schedule - Senior'!C289,'1 Month Term SOFR Forward Curve'!$C$5:$C$125,0))+$E$8,'Amo Schedule - Senior'!D288),'Amo Schedule - Senior'!$E$8)</f>
        <v>4.2300000000000004E-2</v>
      </c>
      <c r="E289" s="73">
        <f t="shared" si="21"/>
        <v>19781236.981816176</v>
      </c>
      <c r="F289" s="73">
        <f t="shared" si="22"/>
        <v>69728.860360902036</v>
      </c>
      <c r="G289" s="73"/>
      <c r="H289" s="73">
        <f t="shared" si="20"/>
        <v>102040.54943359358</v>
      </c>
      <c r="I289" s="73">
        <v>0</v>
      </c>
      <c r="J289" s="73">
        <f t="shared" si="23"/>
        <v>171769.40979449562</v>
      </c>
      <c r="K289" s="73">
        <f>IF(AND('Inputs and Assumptions'!$H$11="Bridge", C289&lt;='Inputs and Assumptions'!$D$14),'Inputs and Assumptions'!$D$40/'Inputs and Assumptions'!$D$14, 0)</f>
        <v>0</v>
      </c>
      <c r="L289" s="74">
        <f t="shared" si="24"/>
        <v>19679196.432382584</v>
      </c>
    </row>
    <row r="290" spans="3:12">
      <c r="C290" s="20">
        <v>274</v>
      </c>
      <c r="D290" s="813">
        <f>IF(AND('Inputs and Assumptions'!$H$11="Bridge",'Debt Sizing'!$O$64="1 Mo Term SOFR"),IFERROR(INDEX('1 Month Term SOFR Forward Curve'!$D$5:$D$125,MATCH('Amo Schedule - Senior'!C290,'1 Month Term SOFR Forward Curve'!$C$5:$C$125,0))+$E$8,'Amo Schedule - Senior'!D289),'Amo Schedule - Senior'!$E$8)</f>
        <v>4.2300000000000004E-2</v>
      </c>
      <c r="E290" s="73">
        <f t="shared" si="21"/>
        <v>19679196.432382584</v>
      </c>
      <c r="F290" s="73">
        <f t="shared" si="22"/>
        <v>69369.167424148618</v>
      </c>
      <c r="G290" s="73"/>
      <c r="H290" s="73">
        <f t="shared" si="20"/>
        <v>102400.242370347</v>
      </c>
      <c r="I290" s="73">
        <v>0</v>
      </c>
      <c r="J290" s="73">
        <f t="shared" si="23"/>
        <v>171769.40979449562</v>
      </c>
      <c r="K290" s="73">
        <f>IF(AND('Inputs and Assumptions'!$H$11="Bridge", C290&lt;='Inputs and Assumptions'!$D$14),'Inputs and Assumptions'!$D$40/'Inputs and Assumptions'!$D$14, 0)</f>
        <v>0</v>
      </c>
      <c r="L290" s="74">
        <f t="shared" si="24"/>
        <v>19576796.190012235</v>
      </c>
    </row>
    <row r="291" spans="3:12">
      <c r="C291" s="20">
        <v>275</v>
      </c>
      <c r="D291" s="813">
        <f>IF(AND('Inputs and Assumptions'!$H$11="Bridge",'Debt Sizing'!$O$64="1 Mo Term SOFR"),IFERROR(INDEX('1 Month Term SOFR Forward Curve'!$D$5:$D$125,MATCH('Amo Schedule - Senior'!C291,'1 Month Term SOFR Forward Curve'!$C$5:$C$125,0))+$E$8,'Amo Schedule - Senior'!D290),'Amo Schedule - Senior'!$E$8)</f>
        <v>4.2300000000000004E-2</v>
      </c>
      <c r="E291" s="73">
        <f t="shared" si="21"/>
        <v>19576796.190012235</v>
      </c>
      <c r="F291" s="73">
        <f t="shared" si="22"/>
        <v>69008.206569793139</v>
      </c>
      <c r="G291" s="73"/>
      <c r="H291" s="73">
        <f t="shared" si="20"/>
        <v>102761.20322470248</v>
      </c>
      <c r="I291" s="73">
        <v>0</v>
      </c>
      <c r="J291" s="73">
        <f t="shared" si="23"/>
        <v>171769.40979449562</v>
      </c>
      <c r="K291" s="73">
        <f>IF(AND('Inputs and Assumptions'!$H$11="Bridge", C291&lt;='Inputs and Assumptions'!$D$14),'Inputs and Assumptions'!$D$40/'Inputs and Assumptions'!$D$14, 0)</f>
        <v>0</v>
      </c>
      <c r="L291" s="74">
        <f t="shared" si="24"/>
        <v>19474034.986787532</v>
      </c>
    </row>
    <row r="292" spans="3:12">
      <c r="C292" s="20">
        <v>276</v>
      </c>
      <c r="D292" s="813">
        <f>IF(AND('Inputs and Assumptions'!$H$11="Bridge",'Debt Sizing'!$O$64="1 Mo Term SOFR"),IFERROR(INDEX('1 Month Term SOFR Forward Curve'!$D$5:$D$125,MATCH('Amo Schedule - Senior'!C292,'1 Month Term SOFR Forward Curve'!$C$5:$C$125,0))+$E$8,'Amo Schedule - Senior'!D291),'Amo Schedule - Senior'!$E$8)</f>
        <v>4.2300000000000004E-2</v>
      </c>
      <c r="E292" s="73">
        <f t="shared" si="21"/>
        <v>19474034.986787532</v>
      </c>
      <c r="F292" s="73">
        <f t="shared" si="22"/>
        <v>68645.973328426058</v>
      </c>
      <c r="G292" s="73"/>
      <c r="H292" s="73">
        <f t="shared" si="20"/>
        <v>103123.43646606956</v>
      </c>
      <c r="I292" s="73">
        <v>0</v>
      </c>
      <c r="J292" s="73">
        <f t="shared" si="23"/>
        <v>171769.40979449562</v>
      </c>
      <c r="K292" s="73">
        <f>IF(AND('Inputs and Assumptions'!$H$11="Bridge", C292&lt;='Inputs and Assumptions'!$D$14),'Inputs and Assumptions'!$D$40/'Inputs and Assumptions'!$D$14, 0)</f>
        <v>0</v>
      </c>
      <c r="L292" s="74">
        <f t="shared" si="24"/>
        <v>19370911.550321463</v>
      </c>
    </row>
    <row r="293" spans="3:12">
      <c r="C293" s="20">
        <v>277</v>
      </c>
      <c r="D293" s="813">
        <f>IF(AND('Inputs and Assumptions'!$H$11="Bridge",'Debt Sizing'!$O$64="1 Mo Term SOFR"),IFERROR(INDEX('1 Month Term SOFR Forward Curve'!$D$5:$D$125,MATCH('Amo Schedule - Senior'!C293,'1 Month Term SOFR Forward Curve'!$C$5:$C$125,0))+$E$8,'Amo Schedule - Senior'!D292),'Amo Schedule - Senior'!$E$8)</f>
        <v>4.2300000000000004E-2</v>
      </c>
      <c r="E293" s="73">
        <f t="shared" si="21"/>
        <v>19370911.550321463</v>
      </c>
      <c r="F293" s="73">
        <f t="shared" si="22"/>
        <v>68282.463214883159</v>
      </c>
      <c r="G293" s="73"/>
      <c r="H293" s="73">
        <f t="shared" si="20"/>
        <v>103486.94657961246</v>
      </c>
      <c r="I293" s="73">
        <v>0</v>
      </c>
      <c r="J293" s="73">
        <f t="shared" si="23"/>
        <v>171769.40979449562</v>
      </c>
      <c r="K293" s="73">
        <f>IF(AND('Inputs and Assumptions'!$H$11="Bridge", C293&lt;='Inputs and Assumptions'!$D$14),'Inputs and Assumptions'!$D$40/'Inputs and Assumptions'!$D$14, 0)</f>
        <v>0</v>
      </c>
      <c r="L293" s="74">
        <f t="shared" si="24"/>
        <v>19267424.603741851</v>
      </c>
    </row>
    <row r="294" spans="3:12">
      <c r="C294" s="20">
        <v>278</v>
      </c>
      <c r="D294" s="813">
        <f>IF(AND('Inputs and Assumptions'!$H$11="Bridge",'Debt Sizing'!$O$64="1 Mo Term SOFR"),IFERROR(INDEX('1 Month Term SOFR Forward Curve'!$D$5:$D$125,MATCH('Amo Schedule - Senior'!C294,'1 Month Term SOFR Forward Curve'!$C$5:$C$125,0))+$E$8,'Amo Schedule - Senior'!D293),'Amo Schedule - Senior'!$E$8)</f>
        <v>4.2300000000000004E-2</v>
      </c>
      <c r="E294" s="73">
        <f t="shared" si="21"/>
        <v>19267424.603741851</v>
      </c>
      <c r="F294" s="73">
        <f t="shared" si="22"/>
        <v>67917.671728190035</v>
      </c>
      <c r="G294" s="73"/>
      <c r="H294" s="73">
        <f t="shared" si="20"/>
        <v>103851.73806630558</v>
      </c>
      <c r="I294" s="73">
        <v>0</v>
      </c>
      <c r="J294" s="73">
        <f t="shared" si="23"/>
        <v>171769.40979449562</v>
      </c>
      <c r="K294" s="73">
        <f>IF(AND('Inputs and Assumptions'!$H$11="Bridge", C294&lt;='Inputs and Assumptions'!$D$14),'Inputs and Assumptions'!$D$40/'Inputs and Assumptions'!$D$14, 0)</f>
        <v>0</v>
      </c>
      <c r="L294" s="74">
        <f t="shared" si="24"/>
        <v>19163572.865675546</v>
      </c>
    </row>
    <row r="295" spans="3:12">
      <c r="C295" s="20">
        <v>279</v>
      </c>
      <c r="D295" s="813">
        <f>IF(AND('Inputs and Assumptions'!$H$11="Bridge",'Debt Sizing'!$O$64="1 Mo Term SOFR"),IFERROR(INDEX('1 Month Term SOFR Forward Curve'!$D$5:$D$125,MATCH('Amo Schedule - Senior'!C295,'1 Month Term SOFR Forward Curve'!$C$5:$C$125,0))+$E$8,'Amo Schedule - Senior'!D294),'Amo Schedule - Senior'!$E$8)</f>
        <v>4.2300000000000004E-2</v>
      </c>
      <c r="E295" s="73">
        <f t="shared" si="21"/>
        <v>19163572.865675546</v>
      </c>
      <c r="F295" s="73">
        <f t="shared" si="22"/>
        <v>67551.594351506312</v>
      </c>
      <c r="G295" s="73"/>
      <c r="H295" s="73">
        <f t="shared" si="20"/>
        <v>104217.8154429893</v>
      </c>
      <c r="I295" s="73">
        <v>0</v>
      </c>
      <c r="J295" s="73">
        <f t="shared" si="23"/>
        <v>171769.40979449562</v>
      </c>
      <c r="K295" s="73">
        <f>IF(AND('Inputs and Assumptions'!$H$11="Bridge", C295&lt;='Inputs and Assumptions'!$D$14),'Inputs and Assumptions'!$D$40/'Inputs and Assumptions'!$D$14, 0)</f>
        <v>0</v>
      </c>
      <c r="L295" s="74">
        <f t="shared" si="24"/>
        <v>19059355.050232556</v>
      </c>
    </row>
    <row r="296" spans="3:12">
      <c r="C296" s="20">
        <v>280</v>
      </c>
      <c r="D296" s="813">
        <f>IF(AND('Inputs and Assumptions'!$H$11="Bridge",'Debt Sizing'!$O$64="1 Mo Term SOFR"),IFERROR(INDEX('1 Month Term SOFR Forward Curve'!$D$5:$D$125,MATCH('Amo Schedule - Senior'!C296,'1 Month Term SOFR Forward Curve'!$C$5:$C$125,0))+$E$8,'Amo Schedule - Senior'!D295),'Amo Schedule - Senior'!$E$8)</f>
        <v>4.2300000000000004E-2</v>
      </c>
      <c r="E296" s="73">
        <f t="shared" si="21"/>
        <v>19059355.050232556</v>
      </c>
      <c r="F296" s="73">
        <f t="shared" si="22"/>
        <v>67184.226552069769</v>
      </c>
      <c r="G296" s="73"/>
      <c r="H296" s="73">
        <f t="shared" si="20"/>
        <v>104585.18324242585</v>
      </c>
      <c r="I296" s="73">
        <v>0</v>
      </c>
      <c r="J296" s="73">
        <f t="shared" si="23"/>
        <v>171769.40979449562</v>
      </c>
      <c r="K296" s="73">
        <f>IF(AND('Inputs and Assumptions'!$H$11="Bridge", C296&lt;='Inputs and Assumptions'!$D$14),'Inputs and Assumptions'!$D$40/'Inputs and Assumptions'!$D$14, 0)</f>
        <v>0</v>
      </c>
      <c r="L296" s="74">
        <f t="shared" si="24"/>
        <v>18954769.86699013</v>
      </c>
    </row>
    <row r="297" spans="3:12">
      <c r="C297" s="20">
        <v>281</v>
      </c>
      <c r="D297" s="813">
        <f>IF(AND('Inputs and Assumptions'!$H$11="Bridge",'Debt Sizing'!$O$64="1 Mo Term SOFR"),IFERROR(INDEX('1 Month Term SOFR Forward Curve'!$D$5:$D$125,MATCH('Amo Schedule - Senior'!C297,'1 Month Term SOFR Forward Curve'!$C$5:$C$125,0))+$E$8,'Amo Schedule - Senior'!D296),'Amo Schedule - Senior'!$E$8)</f>
        <v>4.2300000000000004E-2</v>
      </c>
      <c r="E297" s="73">
        <f t="shared" si="21"/>
        <v>18954769.86699013</v>
      </c>
      <c r="F297" s="73">
        <f t="shared" si="22"/>
        <v>66815.563781140212</v>
      </c>
      <c r="G297" s="73"/>
      <c r="H297" s="73">
        <f t="shared" si="20"/>
        <v>104953.8460133554</v>
      </c>
      <c r="I297" s="73">
        <v>0</v>
      </c>
      <c r="J297" s="73">
        <f t="shared" si="23"/>
        <v>171769.40979449562</v>
      </c>
      <c r="K297" s="73">
        <f>IF(AND('Inputs and Assumptions'!$H$11="Bridge", C297&lt;='Inputs and Assumptions'!$D$14),'Inputs and Assumptions'!$D$40/'Inputs and Assumptions'!$D$14, 0)</f>
        <v>0</v>
      </c>
      <c r="L297" s="74">
        <f t="shared" si="24"/>
        <v>18849816.020976774</v>
      </c>
    </row>
    <row r="298" spans="3:12">
      <c r="C298" s="20">
        <v>282</v>
      </c>
      <c r="D298" s="813">
        <f>IF(AND('Inputs and Assumptions'!$H$11="Bridge",'Debt Sizing'!$O$64="1 Mo Term SOFR"),IFERROR(INDEX('1 Month Term SOFR Forward Curve'!$D$5:$D$125,MATCH('Amo Schedule - Senior'!C298,'1 Month Term SOFR Forward Curve'!$C$5:$C$125,0))+$E$8,'Amo Schedule - Senior'!D297),'Amo Schedule - Senior'!$E$8)</f>
        <v>4.2300000000000004E-2</v>
      </c>
      <c r="E298" s="73">
        <f t="shared" si="21"/>
        <v>18849816.020976774</v>
      </c>
      <c r="F298" s="73">
        <f t="shared" si="22"/>
        <v>66445.601473943141</v>
      </c>
      <c r="G298" s="73"/>
      <c r="H298" s="73">
        <f t="shared" si="20"/>
        <v>105323.80832055247</v>
      </c>
      <c r="I298" s="73">
        <v>0</v>
      </c>
      <c r="J298" s="73">
        <f t="shared" si="23"/>
        <v>171769.40979449562</v>
      </c>
      <c r="K298" s="73">
        <f>IF(AND('Inputs and Assumptions'!$H$11="Bridge", C298&lt;='Inputs and Assumptions'!$D$14),'Inputs and Assumptions'!$D$40/'Inputs and Assumptions'!$D$14, 0)</f>
        <v>0</v>
      </c>
      <c r="L298" s="74">
        <f t="shared" si="24"/>
        <v>18744492.212656222</v>
      </c>
    </row>
    <row r="299" spans="3:12">
      <c r="C299" s="20">
        <v>283</v>
      </c>
      <c r="D299" s="813">
        <f>IF(AND('Inputs and Assumptions'!$H$11="Bridge",'Debt Sizing'!$O$64="1 Mo Term SOFR"),IFERROR(INDEX('1 Month Term SOFR Forward Curve'!$D$5:$D$125,MATCH('Amo Schedule - Senior'!C299,'1 Month Term SOFR Forward Curve'!$C$5:$C$125,0))+$E$8,'Amo Schedule - Senior'!D298),'Amo Schedule - Senior'!$E$8)</f>
        <v>4.2300000000000004E-2</v>
      </c>
      <c r="E299" s="73">
        <f t="shared" si="21"/>
        <v>18744492.212656222</v>
      </c>
      <c r="F299" s="73">
        <f t="shared" si="22"/>
        <v>66074.33504961319</v>
      </c>
      <c r="G299" s="73"/>
      <c r="H299" s="73">
        <f t="shared" si="20"/>
        <v>105695.07474488243</v>
      </c>
      <c r="I299" s="73">
        <v>0</v>
      </c>
      <c r="J299" s="73">
        <f t="shared" si="23"/>
        <v>171769.40979449562</v>
      </c>
      <c r="K299" s="73">
        <f>IF(AND('Inputs and Assumptions'!$H$11="Bridge", C299&lt;='Inputs and Assumptions'!$D$14),'Inputs and Assumptions'!$D$40/'Inputs and Assumptions'!$D$14, 0)</f>
        <v>0</v>
      </c>
      <c r="L299" s="74">
        <f t="shared" si="24"/>
        <v>18638797.137911338</v>
      </c>
    </row>
    <row r="300" spans="3:12">
      <c r="C300" s="20">
        <v>284</v>
      </c>
      <c r="D300" s="813">
        <f>IF(AND('Inputs and Assumptions'!$H$11="Bridge",'Debt Sizing'!$O$64="1 Mo Term SOFR"),IFERROR(INDEX('1 Month Term SOFR Forward Curve'!$D$5:$D$125,MATCH('Amo Schedule - Senior'!C300,'1 Month Term SOFR Forward Curve'!$C$5:$C$125,0))+$E$8,'Amo Schedule - Senior'!D299),'Amo Schedule - Senior'!$E$8)</f>
        <v>4.2300000000000004E-2</v>
      </c>
      <c r="E300" s="73">
        <f t="shared" si="21"/>
        <v>18638797.137911338</v>
      </c>
      <c r="F300" s="73">
        <f t="shared" si="22"/>
        <v>65701.759911137473</v>
      </c>
      <c r="G300" s="73"/>
      <c r="H300" s="73">
        <f t="shared" si="20"/>
        <v>106067.64988335814</v>
      </c>
      <c r="I300" s="73">
        <v>0</v>
      </c>
      <c r="J300" s="73">
        <f t="shared" si="23"/>
        <v>171769.40979449562</v>
      </c>
      <c r="K300" s="73">
        <f>IF(AND('Inputs and Assumptions'!$H$11="Bridge", C300&lt;='Inputs and Assumptions'!$D$14),'Inputs and Assumptions'!$D$40/'Inputs and Assumptions'!$D$14, 0)</f>
        <v>0</v>
      </c>
      <c r="L300" s="74">
        <f t="shared" si="24"/>
        <v>18532729.488027979</v>
      </c>
    </row>
    <row r="301" spans="3:12">
      <c r="C301" s="20">
        <v>285</v>
      </c>
      <c r="D301" s="813">
        <f>IF(AND('Inputs and Assumptions'!$H$11="Bridge",'Debt Sizing'!$O$64="1 Mo Term SOFR"),IFERROR(INDEX('1 Month Term SOFR Forward Curve'!$D$5:$D$125,MATCH('Amo Schedule - Senior'!C301,'1 Month Term SOFR Forward Curve'!$C$5:$C$125,0))+$E$8,'Amo Schedule - Senior'!D300),'Amo Schedule - Senior'!$E$8)</f>
        <v>4.2300000000000004E-2</v>
      </c>
      <c r="E301" s="73">
        <f t="shared" si="21"/>
        <v>18532729.488027979</v>
      </c>
      <c r="F301" s="73">
        <f t="shared" si="22"/>
        <v>65327.871445298631</v>
      </c>
      <c r="G301" s="73"/>
      <c r="H301" s="73">
        <f t="shared" si="20"/>
        <v>106441.53834919698</v>
      </c>
      <c r="I301" s="73">
        <v>0</v>
      </c>
      <c r="J301" s="73">
        <f t="shared" si="23"/>
        <v>171769.40979449562</v>
      </c>
      <c r="K301" s="73">
        <f>IF(AND('Inputs and Assumptions'!$H$11="Bridge", C301&lt;='Inputs and Assumptions'!$D$14),'Inputs and Assumptions'!$D$40/'Inputs and Assumptions'!$D$14, 0)</f>
        <v>0</v>
      </c>
      <c r="L301" s="74">
        <f t="shared" si="24"/>
        <v>18426287.949678782</v>
      </c>
    </row>
    <row r="302" spans="3:12">
      <c r="C302" s="20">
        <v>286</v>
      </c>
      <c r="D302" s="813">
        <f>IF(AND('Inputs and Assumptions'!$H$11="Bridge",'Debt Sizing'!$O$64="1 Mo Term SOFR"),IFERROR(INDEX('1 Month Term SOFR Forward Curve'!$D$5:$D$125,MATCH('Amo Schedule - Senior'!C302,'1 Month Term SOFR Forward Curve'!$C$5:$C$125,0))+$E$8,'Amo Schedule - Senior'!D301),'Amo Schedule - Senior'!$E$8)</f>
        <v>4.2300000000000004E-2</v>
      </c>
      <c r="E302" s="73">
        <f t="shared" si="21"/>
        <v>18426287.949678782</v>
      </c>
      <c r="F302" s="73">
        <f t="shared" si="22"/>
        <v>64952.665022617715</v>
      </c>
      <c r="G302" s="73"/>
      <c r="H302" s="73">
        <f t="shared" si="20"/>
        <v>106816.7447718779</v>
      </c>
      <c r="I302" s="73">
        <v>0</v>
      </c>
      <c r="J302" s="73">
        <f t="shared" si="23"/>
        <v>171769.40979449562</v>
      </c>
      <c r="K302" s="73">
        <f>IF(AND('Inputs and Assumptions'!$H$11="Bridge", C302&lt;='Inputs and Assumptions'!$D$14),'Inputs and Assumptions'!$D$40/'Inputs and Assumptions'!$D$14, 0)</f>
        <v>0</v>
      </c>
      <c r="L302" s="74">
        <f t="shared" si="24"/>
        <v>18319471.204906903</v>
      </c>
    </row>
    <row r="303" spans="3:12">
      <c r="C303" s="20">
        <v>287</v>
      </c>
      <c r="D303" s="813">
        <f>IF(AND('Inputs and Assumptions'!$H$11="Bridge",'Debt Sizing'!$O$64="1 Mo Term SOFR"),IFERROR(INDEX('1 Month Term SOFR Forward Curve'!$D$5:$D$125,MATCH('Amo Schedule - Senior'!C303,'1 Month Term SOFR Forward Curve'!$C$5:$C$125,0))+$E$8,'Amo Schedule - Senior'!D302),'Amo Schedule - Senior'!$E$8)</f>
        <v>4.2300000000000004E-2</v>
      </c>
      <c r="E303" s="73">
        <f t="shared" si="21"/>
        <v>18319471.204906903</v>
      </c>
      <c r="F303" s="73">
        <f t="shared" si="22"/>
        <v>64576.135997296842</v>
      </c>
      <c r="G303" s="73"/>
      <c r="H303" s="73">
        <f t="shared" si="20"/>
        <v>107193.27379719878</v>
      </c>
      <c r="I303" s="73">
        <v>0</v>
      </c>
      <c r="J303" s="73">
        <f t="shared" si="23"/>
        <v>171769.40979449562</v>
      </c>
      <c r="K303" s="73">
        <f>IF(AND('Inputs and Assumptions'!$H$11="Bridge", C303&lt;='Inputs and Assumptions'!$D$14),'Inputs and Assumptions'!$D$40/'Inputs and Assumptions'!$D$14, 0)</f>
        <v>0</v>
      </c>
      <c r="L303" s="74">
        <f t="shared" si="24"/>
        <v>18212277.931109704</v>
      </c>
    </row>
    <row r="304" spans="3:12">
      <c r="C304" s="20">
        <v>288</v>
      </c>
      <c r="D304" s="813">
        <f>IF(AND('Inputs and Assumptions'!$H$11="Bridge",'Debt Sizing'!$O$64="1 Mo Term SOFR"),IFERROR(INDEX('1 Month Term SOFR Forward Curve'!$D$5:$D$125,MATCH('Amo Schedule - Senior'!C304,'1 Month Term SOFR Forward Curve'!$C$5:$C$125,0))+$E$8,'Amo Schedule - Senior'!D303),'Amo Schedule - Senior'!$E$8)</f>
        <v>4.2300000000000004E-2</v>
      </c>
      <c r="E304" s="73">
        <f t="shared" si="21"/>
        <v>18212277.931109704</v>
      </c>
      <c r="F304" s="73">
        <f t="shared" si="22"/>
        <v>64198.279707161717</v>
      </c>
      <c r="G304" s="73"/>
      <c r="H304" s="73">
        <f t="shared" si="20"/>
        <v>107571.13008733391</v>
      </c>
      <c r="I304" s="73">
        <v>0</v>
      </c>
      <c r="J304" s="73">
        <f t="shared" si="23"/>
        <v>171769.40979449562</v>
      </c>
      <c r="K304" s="73">
        <f>IF(AND('Inputs and Assumptions'!$H$11="Bridge", C304&lt;='Inputs and Assumptions'!$D$14),'Inputs and Assumptions'!$D$40/'Inputs and Assumptions'!$D$14, 0)</f>
        <v>0</v>
      </c>
      <c r="L304" s="74">
        <f t="shared" si="24"/>
        <v>18104706.801022369</v>
      </c>
    </row>
    <row r="305" spans="3:12">
      <c r="C305" s="20">
        <v>289</v>
      </c>
      <c r="D305" s="813">
        <f>IF(AND('Inputs and Assumptions'!$H$11="Bridge",'Debt Sizing'!$O$64="1 Mo Term SOFR"),IFERROR(INDEX('1 Month Term SOFR Forward Curve'!$D$5:$D$125,MATCH('Amo Schedule - Senior'!C305,'1 Month Term SOFR Forward Curve'!$C$5:$C$125,0))+$E$8,'Amo Schedule - Senior'!D304),'Amo Schedule - Senior'!$E$8)</f>
        <v>4.2300000000000004E-2</v>
      </c>
      <c r="E305" s="73">
        <f t="shared" si="21"/>
        <v>18104706.801022369</v>
      </c>
      <c r="F305" s="73">
        <f t="shared" si="22"/>
        <v>63819.091473603861</v>
      </c>
      <c r="G305" s="73"/>
      <c r="H305" s="73">
        <f t="shared" si="20"/>
        <v>107950.31832089176</v>
      </c>
      <c r="I305" s="73">
        <v>0</v>
      </c>
      <c r="J305" s="73">
        <f t="shared" si="23"/>
        <v>171769.40979449562</v>
      </c>
      <c r="K305" s="73">
        <f>IF(AND('Inputs and Assumptions'!$H$11="Bridge", C305&lt;='Inputs and Assumptions'!$D$14),'Inputs and Assumptions'!$D$40/'Inputs and Assumptions'!$D$14, 0)</f>
        <v>0</v>
      </c>
      <c r="L305" s="74">
        <f t="shared" si="24"/>
        <v>17996756.482701477</v>
      </c>
    </row>
    <row r="306" spans="3:12">
      <c r="C306" s="20">
        <v>290</v>
      </c>
      <c r="D306" s="813">
        <f>IF(AND('Inputs and Assumptions'!$H$11="Bridge",'Debt Sizing'!$O$64="1 Mo Term SOFR"),IFERROR(INDEX('1 Month Term SOFR Forward Curve'!$D$5:$D$125,MATCH('Amo Schedule - Senior'!C306,'1 Month Term SOFR Forward Curve'!$C$5:$C$125,0))+$E$8,'Amo Schedule - Senior'!D305),'Amo Schedule - Senior'!$E$8)</f>
        <v>4.2300000000000004E-2</v>
      </c>
      <c r="E306" s="73">
        <f t="shared" si="21"/>
        <v>17996756.482701477</v>
      </c>
      <c r="F306" s="73">
        <f t="shared" si="22"/>
        <v>63438.566601522711</v>
      </c>
      <c r="G306" s="73"/>
      <c r="H306" s="73">
        <f t="shared" si="20"/>
        <v>108330.84319297291</v>
      </c>
      <c r="I306" s="73">
        <v>0</v>
      </c>
      <c r="J306" s="73">
        <f t="shared" si="23"/>
        <v>171769.40979449562</v>
      </c>
      <c r="K306" s="73">
        <f>IF(AND('Inputs and Assumptions'!$H$11="Bridge", C306&lt;='Inputs and Assumptions'!$D$14),'Inputs and Assumptions'!$D$40/'Inputs and Assumptions'!$D$14, 0)</f>
        <v>0</v>
      </c>
      <c r="L306" s="74">
        <f t="shared" si="24"/>
        <v>17888425.639508504</v>
      </c>
    </row>
    <row r="307" spans="3:12">
      <c r="C307" s="20">
        <v>291</v>
      </c>
      <c r="D307" s="813">
        <f>IF(AND('Inputs and Assumptions'!$H$11="Bridge",'Debt Sizing'!$O$64="1 Mo Term SOFR"),IFERROR(INDEX('1 Month Term SOFR Forward Curve'!$D$5:$D$125,MATCH('Amo Schedule - Senior'!C307,'1 Month Term SOFR Forward Curve'!$C$5:$C$125,0))+$E$8,'Amo Schedule - Senior'!D306),'Amo Schedule - Senior'!$E$8)</f>
        <v>4.2300000000000004E-2</v>
      </c>
      <c r="E307" s="73">
        <f t="shared" si="21"/>
        <v>17888425.639508504</v>
      </c>
      <c r="F307" s="73">
        <f t="shared" si="22"/>
        <v>63056.700379267488</v>
      </c>
      <c r="G307" s="73"/>
      <c r="H307" s="73">
        <f t="shared" si="20"/>
        <v>108712.70941522814</v>
      </c>
      <c r="I307" s="73">
        <v>0</v>
      </c>
      <c r="J307" s="73">
        <f t="shared" si="23"/>
        <v>171769.40979449562</v>
      </c>
      <c r="K307" s="73">
        <f>IF(AND('Inputs and Assumptions'!$H$11="Bridge", C307&lt;='Inputs and Assumptions'!$D$14),'Inputs and Assumptions'!$D$40/'Inputs and Assumptions'!$D$14, 0)</f>
        <v>0</v>
      </c>
      <c r="L307" s="74">
        <f t="shared" si="24"/>
        <v>17779712.930093277</v>
      </c>
    </row>
    <row r="308" spans="3:12">
      <c r="C308" s="20">
        <v>292</v>
      </c>
      <c r="D308" s="813">
        <f>IF(AND('Inputs and Assumptions'!$H$11="Bridge",'Debt Sizing'!$O$64="1 Mo Term SOFR"),IFERROR(INDEX('1 Month Term SOFR Forward Curve'!$D$5:$D$125,MATCH('Amo Schedule - Senior'!C308,'1 Month Term SOFR Forward Curve'!$C$5:$C$125,0))+$E$8,'Amo Schedule - Senior'!D307),'Amo Schedule - Senior'!$E$8)</f>
        <v>4.2300000000000004E-2</v>
      </c>
      <c r="E308" s="73">
        <f t="shared" si="21"/>
        <v>17779712.930093277</v>
      </c>
      <c r="F308" s="73">
        <f t="shared" si="22"/>
        <v>62673.488078578812</v>
      </c>
      <c r="G308" s="73"/>
      <c r="H308" s="73">
        <f t="shared" si="20"/>
        <v>109095.9217159168</v>
      </c>
      <c r="I308" s="73">
        <v>0</v>
      </c>
      <c r="J308" s="73">
        <f t="shared" si="23"/>
        <v>171769.40979449562</v>
      </c>
      <c r="K308" s="73">
        <f>IF(AND('Inputs and Assumptions'!$H$11="Bridge", C308&lt;='Inputs and Assumptions'!$D$14),'Inputs and Assumptions'!$D$40/'Inputs and Assumptions'!$D$14, 0)</f>
        <v>0</v>
      </c>
      <c r="L308" s="74">
        <f t="shared" si="24"/>
        <v>17670617.008377362</v>
      </c>
    </row>
    <row r="309" spans="3:12">
      <c r="C309" s="20">
        <v>293</v>
      </c>
      <c r="D309" s="813">
        <f>IF(AND('Inputs and Assumptions'!$H$11="Bridge",'Debt Sizing'!$O$64="1 Mo Term SOFR"),IFERROR(INDEX('1 Month Term SOFR Forward Curve'!$D$5:$D$125,MATCH('Amo Schedule - Senior'!C309,'1 Month Term SOFR Forward Curve'!$C$5:$C$125,0))+$E$8,'Amo Schedule - Senior'!D308),'Amo Schedule - Senior'!$E$8)</f>
        <v>4.2300000000000004E-2</v>
      </c>
      <c r="E309" s="73">
        <f t="shared" si="21"/>
        <v>17670617.008377362</v>
      </c>
      <c r="F309" s="73">
        <f t="shared" si="22"/>
        <v>62288.924954530208</v>
      </c>
      <c r="G309" s="73"/>
      <c r="H309" s="73">
        <f t="shared" si="20"/>
        <v>109480.48483996541</v>
      </c>
      <c r="I309" s="73">
        <v>0</v>
      </c>
      <c r="J309" s="73">
        <f t="shared" si="23"/>
        <v>171769.40979449562</v>
      </c>
      <c r="K309" s="73">
        <f>IF(AND('Inputs and Assumptions'!$H$11="Bridge", C309&lt;='Inputs and Assumptions'!$D$14),'Inputs and Assumptions'!$D$40/'Inputs and Assumptions'!$D$14, 0)</f>
        <v>0</v>
      </c>
      <c r="L309" s="74">
        <f t="shared" si="24"/>
        <v>17561136.523537397</v>
      </c>
    </row>
    <row r="310" spans="3:12">
      <c r="C310" s="20">
        <v>294</v>
      </c>
      <c r="D310" s="813">
        <f>IF(AND('Inputs and Assumptions'!$H$11="Bridge",'Debt Sizing'!$O$64="1 Mo Term SOFR"),IFERROR(INDEX('1 Month Term SOFR Forward Curve'!$D$5:$D$125,MATCH('Amo Schedule - Senior'!C310,'1 Month Term SOFR Forward Curve'!$C$5:$C$125,0))+$E$8,'Amo Schedule - Senior'!D309),'Amo Schedule - Senior'!$E$8)</f>
        <v>4.2300000000000004E-2</v>
      </c>
      <c r="E310" s="73">
        <f t="shared" si="21"/>
        <v>17561136.523537397</v>
      </c>
      <c r="F310" s="73">
        <f t="shared" si="22"/>
        <v>61903.006245469332</v>
      </c>
      <c r="G310" s="73"/>
      <c r="H310" s="73">
        <f t="shared" si="20"/>
        <v>109866.40354902629</v>
      </c>
      <c r="I310" s="73">
        <v>0</v>
      </c>
      <c r="J310" s="73">
        <f t="shared" si="23"/>
        <v>171769.40979449562</v>
      </c>
      <c r="K310" s="73">
        <f>IF(AND('Inputs and Assumptions'!$H$11="Bridge", C310&lt;='Inputs and Assumptions'!$D$14),'Inputs and Assumptions'!$D$40/'Inputs and Assumptions'!$D$14, 0)</f>
        <v>0</v>
      </c>
      <c r="L310" s="74">
        <f t="shared" si="24"/>
        <v>17451270.119988371</v>
      </c>
    </row>
    <row r="311" spans="3:12">
      <c r="C311" s="20">
        <v>295</v>
      </c>
      <c r="D311" s="813">
        <f>IF(AND('Inputs and Assumptions'!$H$11="Bridge",'Debt Sizing'!$O$64="1 Mo Term SOFR"),IFERROR(INDEX('1 Month Term SOFR Forward Curve'!$D$5:$D$125,MATCH('Amo Schedule - Senior'!C311,'1 Month Term SOFR Forward Curve'!$C$5:$C$125,0))+$E$8,'Amo Schedule - Senior'!D310),'Amo Schedule - Senior'!$E$8)</f>
        <v>4.2300000000000004E-2</v>
      </c>
      <c r="E311" s="73">
        <f t="shared" si="21"/>
        <v>17451270.119988371</v>
      </c>
      <c r="F311" s="73">
        <f t="shared" si="22"/>
        <v>61515.727172959014</v>
      </c>
      <c r="G311" s="73"/>
      <c r="H311" s="73">
        <f t="shared" si="20"/>
        <v>110253.6826215366</v>
      </c>
      <c r="I311" s="73">
        <v>0</v>
      </c>
      <c r="J311" s="73">
        <f t="shared" si="23"/>
        <v>171769.40979449562</v>
      </c>
      <c r="K311" s="73">
        <f>IF(AND('Inputs and Assumptions'!$H$11="Bridge", C311&lt;='Inputs and Assumptions'!$D$14),'Inputs and Assumptions'!$D$40/'Inputs and Assumptions'!$D$14, 0)</f>
        <v>0</v>
      </c>
      <c r="L311" s="74">
        <f t="shared" si="24"/>
        <v>17341016.437366836</v>
      </c>
    </row>
    <row r="312" spans="3:12">
      <c r="C312" s="20">
        <v>296</v>
      </c>
      <c r="D312" s="813">
        <f>IF(AND('Inputs and Assumptions'!$H$11="Bridge",'Debt Sizing'!$O$64="1 Mo Term SOFR"),IFERROR(INDEX('1 Month Term SOFR Forward Curve'!$D$5:$D$125,MATCH('Amo Schedule - Senior'!C312,'1 Month Term SOFR Forward Curve'!$C$5:$C$125,0))+$E$8,'Amo Schedule - Senior'!D311),'Amo Schedule - Senior'!$E$8)</f>
        <v>4.2300000000000004E-2</v>
      </c>
      <c r="E312" s="73">
        <f t="shared" si="21"/>
        <v>17341016.437366836</v>
      </c>
      <c r="F312" s="73">
        <f t="shared" si="22"/>
        <v>61127.082941718101</v>
      </c>
      <c r="G312" s="73"/>
      <c r="H312" s="73">
        <f t="shared" si="20"/>
        <v>110642.32685277751</v>
      </c>
      <c r="I312" s="73">
        <v>0</v>
      </c>
      <c r="J312" s="73">
        <f t="shared" si="23"/>
        <v>171769.40979449562</v>
      </c>
      <c r="K312" s="73">
        <f>IF(AND('Inputs and Assumptions'!$H$11="Bridge", C312&lt;='Inputs and Assumptions'!$D$14),'Inputs and Assumptions'!$D$40/'Inputs and Assumptions'!$D$14, 0)</f>
        <v>0</v>
      </c>
      <c r="L312" s="74">
        <f t="shared" si="24"/>
        <v>17230374.11051406</v>
      </c>
    </row>
    <row r="313" spans="3:12">
      <c r="C313" s="20">
        <v>297</v>
      </c>
      <c r="D313" s="813">
        <f>IF(AND('Inputs and Assumptions'!$H$11="Bridge",'Debt Sizing'!$O$64="1 Mo Term SOFR"),IFERROR(INDEX('1 Month Term SOFR Forward Curve'!$D$5:$D$125,MATCH('Amo Schedule - Senior'!C313,'1 Month Term SOFR Forward Curve'!$C$5:$C$125,0))+$E$8,'Amo Schedule - Senior'!D312),'Amo Schedule - Senior'!$E$8)</f>
        <v>4.2300000000000004E-2</v>
      </c>
      <c r="E313" s="73">
        <f t="shared" si="21"/>
        <v>17230374.11051406</v>
      </c>
      <c r="F313" s="73">
        <f t="shared" si="22"/>
        <v>60737.06873956207</v>
      </c>
      <c r="G313" s="73"/>
      <c r="H313" s="73">
        <f t="shared" si="20"/>
        <v>111032.34105493355</v>
      </c>
      <c r="I313" s="73">
        <v>0</v>
      </c>
      <c r="J313" s="73">
        <f t="shared" si="23"/>
        <v>171769.40979449562</v>
      </c>
      <c r="K313" s="73">
        <f>IF(AND('Inputs and Assumptions'!$H$11="Bridge", C313&lt;='Inputs and Assumptions'!$D$14),'Inputs and Assumptions'!$D$40/'Inputs and Assumptions'!$D$14, 0)</f>
        <v>0</v>
      </c>
      <c r="L313" s="74">
        <f t="shared" si="24"/>
        <v>17119341.769459125</v>
      </c>
    </row>
    <row r="314" spans="3:12">
      <c r="C314" s="20">
        <v>298</v>
      </c>
      <c r="D314" s="813">
        <f>IF(AND('Inputs and Assumptions'!$H$11="Bridge",'Debt Sizing'!$O$64="1 Mo Term SOFR"),IFERROR(INDEX('1 Month Term SOFR Forward Curve'!$D$5:$D$125,MATCH('Amo Schedule - Senior'!C314,'1 Month Term SOFR Forward Curve'!$C$5:$C$125,0))+$E$8,'Amo Schedule - Senior'!D313),'Amo Schedule - Senior'!$E$8)</f>
        <v>4.2300000000000004E-2</v>
      </c>
      <c r="E314" s="73">
        <f t="shared" si="21"/>
        <v>17119341.769459125</v>
      </c>
      <c r="F314" s="73">
        <f t="shared" si="22"/>
        <v>60345.679737343424</v>
      </c>
      <c r="G314" s="73"/>
      <c r="H314" s="73">
        <f t="shared" si="20"/>
        <v>111423.73005715219</v>
      </c>
      <c r="I314" s="73">
        <v>0</v>
      </c>
      <c r="J314" s="73">
        <f t="shared" si="23"/>
        <v>171769.40979449562</v>
      </c>
      <c r="K314" s="73">
        <f>IF(AND('Inputs and Assumptions'!$H$11="Bridge", C314&lt;='Inputs and Assumptions'!$D$14),'Inputs and Assumptions'!$D$40/'Inputs and Assumptions'!$D$14, 0)</f>
        <v>0</v>
      </c>
      <c r="L314" s="74">
        <f t="shared" si="24"/>
        <v>17007918.039401971</v>
      </c>
    </row>
    <row r="315" spans="3:12">
      <c r="C315" s="20">
        <v>299</v>
      </c>
      <c r="D315" s="813">
        <f>IF(AND('Inputs and Assumptions'!$H$11="Bridge",'Debt Sizing'!$O$64="1 Mo Term SOFR"),IFERROR(INDEX('1 Month Term SOFR Forward Curve'!$D$5:$D$125,MATCH('Amo Schedule - Senior'!C315,'1 Month Term SOFR Forward Curve'!$C$5:$C$125,0))+$E$8,'Amo Schedule - Senior'!D314),'Amo Schedule - Senior'!$E$8)</f>
        <v>4.2300000000000004E-2</v>
      </c>
      <c r="E315" s="73">
        <f t="shared" si="21"/>
        <v>17007918.039401971</v>
      </c>
      <c r="F315" s="73">
        <f t="shared" si="22"/>
        <v>59952.911088891953</v>
      </c>
      <c r="G315" s="73"/>
      <c r="H315" s="73">
        <f t="shared" si="20"/>
        <v>111816.49870560366</v>
      </c>
      <c r="I315" s="73">
        <v>0</v>
      </c>
      <c r="J315" s="73">
        <f t="shared" si="23"/>
        <v>171769.40979449562</v>
      </c>
      <c r="K315" s="73">
        <f>IF(AND('Inputs and Assumptions'!$H$11="Bridge", C315&lt;='Inputs and Assumptions'!$D$14),'Inputs and Assumptions'!$D$40/'Inputs and Assumptions'!$D$14, 0)</f>
        <v>0</v>
      </c>
      <c r="L315" s="74">
        <f t="shared" si="24"/>
        <v>16896101.540696368</v>
      </c>
    </row>
    <row r="316" spans="3:12">
      <c r="C316" s="20">
        <v>300</v>
      </c>
      <c r="D316" s="813">
        <f>IF(AND('Inputs and Assumptions'!$H$11="Bridge",'Debt Sizing'!$O$64="1 Mo Term SOFR"),IFERROR(INDEX('1 Month Term SOFR Forward Curve'!$D$5:$D$125,MATCH('Amo Schedule - Senior'!C316,'1 Month Term SOFR Forward Curve'!$C$5:$C$125,0))+$E$8,'Amo Schedule - Senior'!D315),'Amo Schedule - Senior'!$E$8)</f>
        <v>4.2300000000000004E-2</v>
      </c>
      <c r="E316" s="73">
        <f t="shared" si="21"/>
        <v>16896101.540696368</v>
      </c>
      <c r="F316" s="73">
        <f t="shared" si="22"/>
        <v>59558.7579309547</v>
      </c>
      <c r="G316" s="73"/>
      <c r="H316" s="73">
        <f t="shared" si="20"/>
        <v>112210.65186354092</v>
      </c>
      <c r="I316" s="73">
        <v>0</v>
      </c>
      <c r="J316" s="73">
        <f t="shared" si="23"/>
        <v>171769.40979449562</v>
      </c>
      <c r="K316" s="73">
        <f>IF(AND('Inputs and Assumptions'!$H$11="Bridge", C316&lt;='Inputs and Assumptions'!$D$14),'Inputs and Assumptions'!$D$40/'Inputs and Assumptions'!$D$14, 0)</f>
        <v>0</v>
      </c>
      <c r="L316" s="74">
        <f t="shared" si="24"/>
        <v>16783890.888832826</v>
      </c>
    </row>
    <row r="317" spans="3:12">
      <c r="C317" s="20">
        <v>301</v>
      </c>
      <c r="D317" s="813">
        <f>IF(AND('Inputs and Assumptions'!$H$11="Bridge",'Debt Sizing'!$O$64="1 Mo Term SOFR"),IFERROR(INDEX('1 Month Term SOFR Forward Curve'!$D$5:$D$125,MATCH('Amo Schedule - Senior'!C317,'1 Month Term SOFR Forward Curve'!$C$5:$C$125,0))+$E$8,'Amo Schedule - Senior'!D316),'Amo Schedule - Senior'!$E$8)</f>
        <v>4.2300000000000004E-2</v>
      </c>
      <c r="E317" s="73">
        <f t="shared" si="21"/>
        <v>16783890.888832826</v>
      </c>
      <c r="F317" s="73">
        <f t="shared" si="22"/>
        <v>59163.215383135721</v>
      </c>
      <c r="G317" s="73"/>
      <c r="H317" s="73">
        <f t="shared" si="20"/>
        <v>112606.1944113599</v>
      </c>
      <c r="I317" s="73">
        <v>0</v>
      </c>
      <c r="J317" s="73">
        <f t="shared" si="23"/>
        <v>171769.40979449562</v>
      </c>
      <c r="K317" s="73">
        <f>IF(AND('Inputs and Assumptions'!$H$11="Bridge", C317&lt;='Inputs and Assumptions'!$D$14),'Inputs and Assumptions'!$D$40/'Inputs and Assumptions'!$D$14, 0)</f>
        <v>0</v>
      </c>
      <c r="L317" s="74">
        <f t="shared" si="24"/>
        <v>16671284.694421466</v>
      </c>
    </row>
    <row r="318" spans="3:12">
      <c r="C318" s="20">
        <v>302</v>
      </c>
      <c r="D318" s="813">
        <f>IF(AND('Inputs and Assumptions'!$H$11="Bridge",'Debt Sizing'!$O$64="1 Mo Term SOFR"),IFERROR(INDEX('1 Month Term SOFR Forward Curve'!$D$5:$D$125,MATCH('Amo Schedule - Senior'!C318,'1 Month Term SOFR Forward Curve'!$C$5:$C$125,0))+$E$8,'Amo Schedule - Senior'!D317),'Amo Schedule - Senior'!$E$8)</f>
        <v>4.2300000000000004E-2</v>
      </c>
      <c r="E318" s="73">
        <f t="shared" si="21"/>
        <v>16671284.694421466</v>
      </c>
      <c r="F318" s="73">
        <f t="shared" si="22"/>
        <v>58766.278547835675</v>
      </c>
      <c r="G318" s="73"/>
      <c r="H318" s="73">
        <f t="shared" si="20"/>
        <v>113003.13124665993</v>
      </c>
      <c r="I318" s="73">
        <v>0</v>
      </c>
      <c r="J318" s="73">
        <f t="shared" si="23"/>
        <v>171769.40979449562</v>
      </c>
      <c r="K318" s="73">
        <f>IF(AND('Inputs and Assumptions'!$H$11="Bridge", C318&lt;='Inputs and Assumptions'!$D$14),'Inputs and Assumptions'!$D$40/'Inputs and Assumptions'!$D$14, 0)</f>
        <v>0</v>
      </c>
      <c r="L318" s="74">
        <f t="shared" si="24"/>
        <v>16558281.563174807</v>
      </c>
    </row>
    <row r="319" spans="3:12">
      <c r="C319" s="20">
        <v>303</v>
      </c>
      <c r="D319" s="813">
        <f>IF(AND('Inputs and Assumptions'!$H$11="Bridge",'Debt Sizing'!$O$64="1 Mo Term SOFR"),IFERROR(INDEX('1 Month Term SOFR Forward Curve'!$D$5:$D$125,MATCH('Amo Schedule - Senior'!C319,'1 Month Term SOFR Forward Curve'!$C$5:$C$125,0))+$E$8,'Amo Schedule - Senior'!D318),'Amo Schedule - Senior'!$E$8)</f>
        <v>4.2300000000000004E-2</v>
      </c>
      <c r="E319" s="73">
        <f t="shared" si="21"/>
        <v>16558281.563174807</v>
      </c>
      <c r="F319" s="73">
        <f t="shared" si="22"/>
        <v>58367.942510191198</v>
      </c>
      <c r="G319" s="73"/>
      <c r="H319" s="73">
        <f t="shared" si="20"/>
        <v>113401.46728430441</v>
      </c>
      <c r="I319" s="73">
        <v>0</v>
      </c>
      <c r="J319" s="73">
        <f t="shared" si="23"/>
        <v>171769.40979449562</v>
      </c>
      <c r="K319" s="73">
        <f>IF(AND('Inputs and Assumptions'!$H$11="Bridge", C319&lt;='Inputs and Assumptions'!$D$14),'Inputs and Assumptions'!$D$40/'Inputs and Assumptions'!$D$14, 0)</f>
        <v>0</v>
      </c>
      <c r="L319" s="74">
        <f t="shared" si="24"/>
        <v>16444880.095890502</v>
      </c>
    </row>
    <row r="320" spans="3:12">
      <c r="C320" s="20">
        <v>304</v>
      </c>
      <c r="D320" s="813">
        <f>IF(AND('Inputs and Assumptions'!$H$11="Bridge",'Debt Sizing'!$O$64="1 Mo Term SOFR"),IFERROR(INDEX('1 Month Term SOFR Forward Curve'!$D$5:$D$125,MATCH('Amo Schedule - Senior'!C320,'1 Month Term SOFR Forward Curve'!$C$5:$C$125,0))+$E$8,'Amo Schedule - Senior'!D319),'Amo Schedule - Senior'!$E$8)</f>
        <v>4.2300000000000004E-2</v>
      </c>
      <c r="E320" s="73">
        <f t="shared" si="21"/>
        <v>16444880.095890502</v>
      </c>
      <c r="F320" s="73">
        <f t="shared" si="22"/>
        <v>57968.202338014024</v>
      </c>
      <c r="G320" s="73"/>
      <c r="H320" s="73">
        <f t="shared" si="20"/>
        <v>113801.20745648158</v>
      </c>
      <c r="I320" s="73">
        <v>0</v>
      </c>
      <c r="J320" s="73">
        <f t="shared" si="23"/>
        <v>171769.40979449562</v>
      </c>
      <c r="K320" s="73">
        <f>IF(AND('Inputs and Assumptions'!$H$11="Bridge", C320&lt;='Inputs and Assumptions'!$D$14),'Inputs and Assumptions'!$D$40/'Inputs and Assumptions'!$D$14, 0)</f>
        <v>0</v>
      </c>
      <c r="L320" s="74">
        <f t="shared" si="24"/>
        <v>16331078.888434021</v>
      </c>
    </row>
    <row r="321" spans="3:12">
      <c r="C321" s="20">
        <v>305</v>
      </c>
      <c r="D321" s="813">
        <f>IF(AND('Inputs and Assumptions'!$H$11="Bridge",'Debt Sizing'!$O$64="1 Mo Term SOFR"),IFERROR(INDEX('1 Month Term SOFR Forward Curve'!$D$5:$D$125,MATCH('Amo Schedule - Senior'!C321,'1 Month Term SOFR Forward Curve'!$C$5:$C$125,0))+$E$8,'Amo Schedule - Senior'!D320),'Amo Schedule - Senior'!$E$8)</f>
        <v>4.2300000000000004E-2</v>
      </c>
      <c r="E321" s="73">
        <f t="shared" si="21"/>
        <v>16331078.888434021</v>
      </c>
      <c r="F321" s="73">
        <f t="shared" si="22"/>
        <v>57567.05308172993</v>
      </c>
      <c r="G321" s="73"/>
      <c r="H321" s="73">
        <f t="shared" si="20"/>
        <v>114202.35671276569</v>
      </c>
      <c r="I321" s="73">
        <v>0</v>
      </c>
      <c r="J321" s="73">
        <f t="shared" si="23"/>
        <v>171769.40979449562</v>
      </c>
      <c r="K321" s="73">
        <f>IF(AND('Inputs and Assumptions'!$H$11="Bridge", C321&lt;='Inputs and Assumptions'!$D$14),'Inputs and Assumptions'!$D$40/'Inputs and Assumptions'!$D$14, 0)</f>
        <v>0</v>
      </c>
      <c r="L321" s="74">
        <f t="shared" si="24"/>
        <v>16216876.531721255</v>
      </c>
    </row>
    <row r="322" spans="3:12">
      <c r="C322" s="20">
        <v>306</v>
      </c>
      <c r="D322" s="813">
        <f>IF(AND('Inputs and Assumptions'!$H$11="Bridge",'Debt Sizing'!$O$64="1 Mo Term SOFR"),IFERROR(INDEX('1 Month Term SOFR Forward Curve'!$D$5:$D$125,MATCH('Amo Schedule - Senior'!C322,'1 Month Term SOFR Forward Curve'!$C$5:$C$125,0))+$E$8,'Amo Schedule - Senior'!D321),'Amo Schedule - Senior'!$E$8)</f>
        <v>4.2300000000000004E-2</v>
      </c>
      <c r="E322" s="73">
        <f t="shared" si="21"/>
        <v>16216876.531721255</v>
      </c>
      <c r="F322" s="73">
        <f t="shared" si="22"/>
        <v>57164.48977431743</v>
      </c>
      <c r="G322" s="73"/>
      <c r="H322" s="73">
        <f t="shared" si="20"/>
        <v>114604.92002017819</v>
      </c>
      <c r="I322" s="73">
        <v>0</v>
      </c>
      <c r="J322" s="73">
        <f t="shared" si="23"/>
        <v>171769.40979449562</v>
      </c>
      <c r="K322" s="73">
        <f>IF(AND('Inputs and Assumptions'!$H$11="Bridge", C322&lt;='Inputs and Assumptions'!$D$14),'Inputs and Assumptions'!$D$40/'Inputs and Assumptions'!$D$14, 0)</f>
        <v>0</v>
      </c>
      <c r="L322" s="74">
        <f t="shared" si="24"/>
        <v>16102271.611701077</v>
      </c>
    </row>
    <row r="323" spans="3:12">
      <c r="C323" s="20">
        <v>307</v>
      </c>
      <c r="D323" s="813">
        <f>IF(AND('Inputs and Assumptions'!$H$11="Bridge",'Debt Sizing'!$O$64="1 Mo Term SOFR"),IFERROR(INDEX('1 Month Term SOFR Forward Curve'!$D$5:$D$125,MATCH('Amo Schedule - Senior'!C323,'1 Month Term SOFR Forward Curve'!$C$5:$C$125,0))+$E$8,'Amo Schedule - Senior'!D322),'Amo Schedule - Senior'!$E$8)</f>
        <v>4.2300000000000004E-2</v>
      </c>
      <c r="E323" s="73">
        <f t="shared" si="21"/>
        <v>16102271.611701077</v>
      </c>
      <c r="F323" s="73">
        <f t="shared" si="22"/>
        <v>56760.507431246304</v>
      </c>
      <c r="G323" s="73"/>
      <c r="H323" s="73">
        <f t="shared" si="20"/>
        <v>115008.9023632493</v>
      </c>
      <c r="I323" s="73">
        <v>0</v>
      </c>
      <c r="J323" s="73">
        <f t="shared" si="23"/>
        <v>171769.40979449562</v>
      </c>
      <c r="K323" s="73">
        <f>IF(AND('Inputs and Assumptions'!$H$11="Bridge", C323&lt;='Inputs and Assumptions'!$D$14),'Inputs and Assumptions'!$D$40/'Inputs and Assumptions'!$D$14, 0)</f>
        <v>0</v>
      </c>
      <c r="L323" s="74">
        <f t="shared" si="24"/>
        <v>15987262.709337827</v>
      </c>
    </row>
    <row r="324" spans="3:12">
      <c r="C324" s="20">
        <v>308</v>
      </c>
      <c r="D324" s="813">
        <f>IF(AND('Inputs and Assumptions'!$H$11="Bridge",'Debt Sizing'!$O$64="1 Mo Term SOFR"),IFERROR(INDEX('1 Month Term SOFR Forward Curve'!$D$5:$D$125,MATCH('Amo Schedule - Senior'!C324,'1 Month Term SOFR Forward Curve'!$C$5:$C$125,0))+$E$8,'Amo Schedule - Senior'!D323),'Amo Schedule - Senior'!$E$8)</f>
        <v>4.2300000000000004E-2</v>
      </c>
      <c r="E324" s="73">
        <f t="shared" si="21"/>
        <v>15987262.709337827</v>
      </c>
      <c r="F324" s="73">
        <f t="shared" si="22"/>
        <v>56355.101050415848</v>
      </c>
      <c r="G324" s="73"/>
      <c r="H324" s="73">
        <f t="shared" si="20"/>
        <v>115414.30874407977</v>
      </c>
      <c r="I324" s="73">
        <v>0</v>
      </c>
      <c r="J324" s="73">
        <f t="shared" si="23"/>
        <v>171769.40979449562</v>
      </c>
      <c r="K324" s="73">
        <f>IF(AND('Inputs and Assumptions'!$H$11="Bridge", C324&lt;='Inputs and Assumptions'!$D$14),'Inputs and Assumptions'!$D$40/'Inputs and Assumptions'!$D$14, 0)</f>
        <v>0</v>
      </c>
      <c r="L324" s="74">
        <f t="shared" si="24"/>
        <v>15871848.400593746</v>
      </c>
    </row>
    <row r="325" spans="3:12">
      <c r="C325" s="20">
        <v>309</v>
      </c>
      <c r="D325" s="813">
        <f>IF(AND('Inputs and Assumptions'!$H$11="Bridge",'Debt Sizing'!$O$64="1 Mo Term SOFR"),IFERROR(INDEX('1 Month Term SOFR Forward Curve'!$D$5:$D$125,MATCH('Amo Schedule - Senior'!C325,'1 Month Term SOFR Forward Curve'!$C$5:$C$125,0))+$E$8,'Amo Schedule - Senior'!D324),'Amo Schedule - Senior'!$E$8)</f>
        <v>4.2300000000000004E-2</v>
      </c>
      <c r="E325" s="73">
        <f t="shared" si="21"/>
        <v>15871848.400593746</v>
      </c>
      <c r="F325" s="73">
        <f t="shared" si="22"/>
        <v>55948.265612092961</v>
      </c>
      <c r="G325" s="73"/>
      <c r="H325" s="73">
        <f t="shared" si="20"/>
        <v>115821.14418240266</v>
      </c>
      <c r="I325" s="73">
        <v>0</v>
      </c>
      <c r="J325" s="73">
        <f t="shared" si="23"/>
        <v>171769.40979449562</v>
      </c>
      <c r="K325" s="73">
        <f>IF(AND('Inputs and Assumptions'!$H$11="Bridge", C325&lt;='Inputs and Assumptions'!$D$14),'Inputs and Assumptions'!$D$40/'Inputs and Assumptions'!$D$14, 0)</f>
        <v>0</v>
      </c>
      <c r="L325" s="74">
        <f t="shared" si="24"/>
        <v>15756027.256411344</v>
      </c>
    </row>
    <row r="326" spans="3:12">
      <c r="C326" s="20">
        <v>310</v>
      </c>
      <c r="D326" s="813">
        <f>IF(AND('Inputs and Assumptions'!$H$11="Bridge",'Debt Sizing'!$O$64="1 Mo Term SOFR"),IFERROR(INDEX('1 Month Term SOFR Forward Curve'!$D$5:$D$125,MATCH('Amo Schedule - Senior'!C326,'1 Month Term SOFR Forward Curve'!$C$5:$C$125,0))+$E$8,'Amo Schedule - Senior'!D325),'Amo Schedule - Senior'!$E$8)</f>
        <v>4.2300000000000004E-2</v>
      </c>
      <c r="E326" s="73">
        <f t="shared" si="21"/>
        <v>15756027.256411344</v>
      </c>
      <c r="F326" s="73">
        <f t="shared" si="22"/>
        <v>55539.996078849996</v>
      </c>
      <c r="G326" s="73"/>
      <c r="H326" s="73">
        <f t="shared" si="20"/>
        <v>116229.41371564561</v>
      </c>
      <c r="I326" s="73">
        <v>0</v>
      </c>
      <c r="J326" s="73">
        <f t="shared" si="23"/>
        <v>171769.40979449562</v>
      </c>
      <c r="K326" s="73">
        <f>IF(AND('Inputs and Assumptions'!$H$11="Bridge", C326&lt;='Inputs and Assumptions'!$D$14),'Inputs and Assumptions'!$D$40/'Inputs and Assumptions'!$D$14, 0)</f>
        <v>0</v>
      </c>
      <c r="L326" s="74">
        <f t="shared" si="24"/>
        <v>15639797.842695698</v>
      </c>
    </row>
    <row r="327" spans="3:12">
      <c r="C327" s="20">
        <v>311</v>
      </c>
      <c r="D327" s="813">
        <f>IF(AND('Inputs and Assumptions'!$H$11="Bridge",'Debt Sizing'!$O$64="1 Mo Term SOFR"),IFERROR(INDEX('1 Month Term SOFR Forward Curve'!$D$5:$D$125,MATCH('Amo Schedule - Senior'!C327,'1 Month Term SOFR Forward Curve'!$C$5:$C$125,0))+$E$8,'Amo Schedule - Senior'!D326),'Amo Schedule - Senior'!$E$8)</f>
        <v>4.2300000000000004E-2</v>
      </c>
      <c r="E327" s="73">
        <f t="shared" si="21"/>
        <v>15639797.842695698</v>
      </c>
      <c r="F327" s="73">
        <f t="shared" si="22"/>
        <v>55130.287395502339</v>
      </c>
      <c r="G327" s="73"/>
      <c r="H327" s="73">
        <f t="shared" si="20"/>
        <v>116639.12239899328</v>
      </c>
      <c r="I327" s="73">
        <v>0</v>
      </c>
      <c r="J327" s="73">
        <f t="shared" si="23"/>
        <v>171769.40979449562</v>
      </c>
      <c r="K327" s="73">
        <f>IF(AND('Inputs and Assumptions'!$H$11="Bridge", C327&lt;='Inputs and Assumptions'!$D$14),'Inputs and Assumptions'!$D$40/'Inputs and Assumptions'!$D$14, 0)</f>
        <v>0</v>
      </c>
      <c r="L327" s="74">
        <f t="shared" si="24"/>
        <v>15523158.720296705</v>
      </c>
    </row>
    <row r="328" spans="3:12">
      <c r="C328" s="20">
        <v>312</v>
      </c>
      <c r="D328" s="813">
        <f>IF(AND('Inputs and Assumptions'!$H$11="Bridge",'Debt Sizing'!$O$64="1 Mo Term SOFR"),IFERROR(INDEX('1 Month Term SOFR Forward Curve'!$D$5:$D$125,MATCH('Amo Schedule - Senior'!C328,'1 Month Term SOFR Forward Curve'!$C$5:$C$125,0))+$E$8,'Amo Schedule - Senior'!D327),'Amo Schedule - Senior'!$E$8)</f>
        <v>4.2300000000000004E-2</v>
      </c>
      <c r="E328" s="73">
        <f t="shared" si="21"/>
        <v>15523158.720296705</v>
      </c>
      <c r="F328" s="73">
        <f t="shared" si="22"/>
        <v>54719.134489045893</v>
      </c>
      <c r="G328" s="73"/>
      <c r="H328" s="73">
        <f t="shared" si="20"/>
        <v>117050.27530544973</v>
      </c>
      <c r="I328" s="73">
        <v>0</v>
      </c>
      <c r="J328" s="73">
        <f t="shared" si="23"/>
        <v>171769.40979449562</v>
      </c>
      <c r="K328" s="73">
        <f>IF(AND('Inputs and Assumptions'!$H$11="Bridge", C328&lt;='Inputs and Assumptions'!$D$14),'Inputs and Assumptions'!$D$40/'Inputs and Assumptions'!$D$14, 0)</f>
        <v>0</v>
      </c>
      <c r="L328" s="74">
        <f t="shared" si="24"/>
        <v>15406108.444991255</v>
      </c>
    </row>
    <row r="329" spans="3:12">
      <c r="C329" s="20">
        <v>313</v>
      </c>
      <c r="D329" s="813">
        <f>IF(AND('Inputs and Assumptions'!$H$11="Bridge",'Debt Sizing'!$O$64="1 Mo Term SOFR"),IFERROR(INDEX('1 Month Term SOFR Forward Curve'!$D$5:$D$125,MATCH('Amo Schedule - Senior'!C329,'1 Month Term SOFR Forward Curve'!$C$5:$C$125,0))+$E$8,'Amo Schedule - Senior'!D328),'Amo Schedule - Senior'!$E$8)</f>
        <v>4.2300000000000004E-2</v>
      </c>
      <c r="E329" s="73">
        <f t="shared" si="21"/>
        <v>15406108.444991255</v>
      </c>
      <c r="F329" s="73">
        <f t="shared" si="22"/>
        <v>54306.532268594179</v>
      </c>
      <c r="G329" s="73"/>
      <c r="H329" s="73">
        <f t="shared" si="20"/>
        <v>117462.87752590144</v>
      </c>
      <c r="I329" s="73">
        <v>0</v>
      </c>
      <c r="J329" s="73">
        <f t="shared" si="23"/>
        <v>171769.40979449562</v>
      </c>
      <c r="K329" s="73">
        <f>IF(AND('Inputs and Assumptions'!$H$11="Bridge", C329&lt;='Inputs and Assumptions'!$D$14),'Inputs and Assumptions'!$D$40/'Inputs and Assumptions'!$D$14, 0)</f>
        <v>0</v>
      </c>
      <c r="L329" s="74">
        <f t="shared" si="24"/>
        <v>15288645.567465354</v>
      </c>
    </row>
    <row r="330" spans="3:12">
      <c r="C330" s="20">
        <v>314</v>
      </c>
      <c r="D330" s="813">
        <f>IF(AND('Inputs and Assumptions'!$H$11="Bridge",'Debt Sizing'!$O$64="1 Mo Term SOFR"),IFERROR(INDEX('1 Month Term SOFR Forward Curve'!$D$5:$D$125,MATCH('Amo Schedule - Senior'!C330,'1 Month Term SOFR Forward Curve'!$C$5:$C$125,0))+$E$8,'Amo Schedule - Senior'!D329),'Amo Schedule - Senior'!$E$8)</f>
        <v>4.2300000000000004E-2</v>
      </c>
      <c r="E330" s="73">
        <f t="shared" si="21"/>
        <v>15288645.567465354</v>
      </c>
      <c r="F330" s="73">
        <f t="shared" si="22"/>
        <v>53892.475625315376</v>
      </c>
      <c r="G330" s="73"/>
      <c r="H330" s="73">
        <f t="shared" si="20"/>
        <v>117876.93416918024</v>
      </c>
      <c r="I330" s="73">
        <v>0</v>
      </c>
      <c r="J330" s="73">
        <f t="shared" si="23"/>
        <v>171769.40979449562</v>
      </c>
      <c r="K330" s="73">
        <f>IF(AND('Inputs and Assumptions'!$H$11="Bridge", C330&lt;='Inputs and Assumptions'!$D$14),'Inputs and Assumptions'!$D$40/'Inputs and Assumptions'!$D$14, 0)</f>
        <v>0</v>
      </c>
      <c r="L330" s="74">
        <f t="shared" si="24"/>
        <v>15170768.633296173</v>
      </c>
    </row>
    <row r="331" spans="3:12">
      <c r="C331" s="20">
        <v>315</v>
      </c>
      <c r="D331" s="813">
        <f>IF(AND('Inputs and Assumptions'!$H$11="Bridge",'Debt Sizing'!$O$64="1 Mo Term SOFR"),IFERROR(INDEX('1 Month Term SOFR Forward Curve'!$D$5:$D$125,MATCH('Amo Schedule - Senior'!C331,'1 Month Term SOFR Forward Curve'!$C$5:$C$125,0))+$E$8,'Amo Schedule - Senior'!D330),'Amo Schedule - Senior'!$E$8)</f>
        <v>4.2300000000000004E-2</v>
      </c>
      <c r="E331" s="73">
        <f t="shared" si="21"/>
        <v>15170768.633296173</v>
      </c>
      <c r="F331" s="73">
        <f t="shared" si="22"/>
        <v>53476.959432369018</v>
      </c>
      <c r="G331" s="73"/>
      <c r="H331" s="73">
        <f t="shared" si="20"/>
        <v>118292.4503621266</v>
      </c>
      <c r="I331" s="73">
        <v>0</v>
      </c>
      <c r="J331" s="73">
        <f t="shared" si="23"/>
        <v>171769.40979449562</v>
      </c>
      <c r="K331" s="73">
        <f>IF(AND('Inputs and Assumptions'!$H$11="Bridge", C331&lt;='Inputs and Assumptions'!$D$14),'Inputs and Assumptions'!$D$40/'Inputs and Assumptions'!$D$14, 0)</f>
        <v>0</v>
      </c>
      <c r="L331" s="74">
        <f t="shared" si="24"/>
        <v>15052476.182934046</v>
      </c>
    </row>
    <row r="332" spans="3:12">
      <c r="C332" s="20">
        <v>316</v>
      </c>
      <c r="D332" s="813">
        <f>IF(AND('Inputs and Assumptions'!$H$11="Bridge",'Debt Sizing'!$O$64="1 Mo Term SOFR"),IFERROR(INDEX('1 Month Term SOFR Forward Curve'!$D$5:$D$125,MATCH('Amo Schedule - Senior'!C332,'1 Month Term SOFR Forward Curve'!$C$5:$C$125,0))+$E$8,'Amo Schedule - Senior'!D331),'Amo Schedule - Senior'!$E$8)</f>
        <v>4.2300000000000004E-2</v>
      </c>
      <c r="E332" s="73">
        <f t="shared" si="21"/>
        <v>15052476.182934046</v>
      </c>
      <c r="F332" s="73">
        <f t="shared" si="22"/>
        <v>53059.978544842517</v>
      </c>
      <c r="G332" s="73"/>
      <c r="H332" s="73">
        <f t="shared" si="20"/>
        <v>118709.43124965311</v>
      </c>
      <c r="I332" s="73">
        <v>0</v>
      </c>
      <c r="J332" s="73">
        <f t="shared" si="23"/>
        <v>171769.40979449562</v>
      </c>
      <c r="K332" s="73">
        <f>IF(AND('Inputs and Assumptions'!$H$11="Bridge", C332&lt;='Inputs and Assumptions'!$D$14),'Inputs and Assumptions'!$D$40/'Inputs and Assumptions'!$D$14, 0)</f>
        <v>0</v>
      </c>
      <c r="L332" s="74">
        <f t="shared" si="24"/>
        <v>14933766.751684392</v>
      </c>
    </row>
    <row r="333" spans="3:12">
      <c r="C333" s="20">
        <v>317</v>
      </c>
      <c r="D333" s="813">
        <f>IF(AND('Inputs and Assumptions'!$H$11="Bridge",'Debt Sizing'!$O$64="1 Mo Term SOFR"),IFERROR(INDEX('1 Month Term SOFR Forward Curve'!$D$5:$D$125,MATCH('Amo Schedule - Senior'!C333,'1 Month Term SOFR Forward Curve'!$C$5:$C$125,0))+$E$8,'Amo Schedule - Senior'!D332),'Amo Schedule - Senior'!$E$8)</f>
        <v>4.2300000000000004E-2</v>
      </c>
      <c r="E333" s="73">
        <f t="shared" si="21"/>
        <v>14933766.751684392</v>
      </c>
      <c r="F333" s="73">
        <f t="shared" si="22"/>
        <v>52641.527799687487</v>
      </c>
      <c r="G333" s="73"/>
      <c r="H333" s="73">
        <f t="shared" si="20"/>
        <v>119127.88199480812</v>
      </c>
      <c r="I333" s="73">
        <v>0</v>
      </c>
      <c r="J333" s="73">
        <f t="shared" si="23"/>
        <v>171769.40979449562</v>
      </c>
      <c r="K333" s="73">
        <f>IF(AND('Inputs and Assumptions'!$H$11="Bridge", C333&lt;='Inputs and Assumptions'!$D$14),'Inputs and Assumptions'!$D$40/'Inputs and Assumptions'!$D$14, 0)</f>
        <v>0</v>
      </c>
      <c r="L333" s="74">
        <f t="shared" si="24"/>
        <v>14814638.869689584</v>
      </c>
    </row>
    <row r="334" spans="3:12">
      <c r="C334" s="20">
        <v>318</v>
      </c>
      <c r="D334" s="813">
        <f>IF(AND('Inputs and Assumptions'!$H$11="Bridge",'Debt Sizing'!$O$64="1 Mo Term SOFR"),IFERROR(INDEX('1 Month Term SOFR Forward Curve'!$D$5:$D$125,MATCH('Amo Schedule - Senior'!C334,'1 Month Term SOFR Forward Curve'!$C$5:$C$125,0))+$E$8,'Amo Schedule - Senior'!D333),'Amo Schedule - Senior'!$E$8)</f>
        <v>4.2300000000000004E-2</v>
      </c>
      <c r="E334" s="73">
        <f t="shared" si="21"/>
        <v>14814638.869689584</v>
      </c>
      <c r="F334" s="73">
        <f t="shared" si="22"/>
        <v>52221.602015655786</v>
      </c>
      <c r="G334" s="73"/>
      <c r="H334" s="73">
        <f t="shared" si="20"/>
        <v>119547.80777883984</v>
      </c>
      <c r="I334" s="73">
        <v>0</v>
      </c>
      <c r="J334" s="73">
        <f t="shared" si="23"/>
        <v>171769.40979449562</v>
      </c>
      <c r="K334" s="73">
        <f>IF(AND('Inputs and Assumptions'!$H$11="Bridge", C334&lt;='Inputs and Assumptions'!$D$14),'Inputs and Assumptions'!$D$40/'Inputs and Assumptions'!$D$14, 0)</f>
        <v>0</v>
      </c>
      <c r="L334" s="74">
        <f t="shared" si="24"/>
        <v>14695091.061910745</v>
      </c>
    </row>
    <row r="335" spans="3:12">
      <c r="C335" s="20">
        <v>319</v>
      </c>
      <c r="D335" s="813">
        <f>IF(AND('Inputs and Assumptions'!$H$11="Bridge",'Debt Sizing'!$O$64="1 Mo Term SOFR"),IFERROR(INDEX('1 Month Term SOFR Forward Curve'!$D$5:$D$125,MATCH('Amo Schedule - Senior'!C335,'1 Month Term SOFR Forward Curve'!$C$5:$C$125,0))+$E$8,'Amo Schedule - Senior'!D334),'Amo Schedule - Senior'!$E$8)</f>
        <v>4.2300000000000004E-2</v>
      </c>
      <c r="E335" s="73">
        <f t="shared" si="21"/>
        <v>14695091.061910745</v>
      </c>
      <c r="F335" s="73">
        <f t="shared" si="22"/>
        <v>51800.195993235378</v>
      </c>
      <c r="G335" s="73"/>
      <c r="H335" s="73">
        <f t="shared" si="20"/>
        <v>119969.21380126024</v>
      </c>
      <c r="I335" s="73">
        <v>0</v>
      </c>
      <c r="J335" s="73">
        <f t="shared" si="23"/>
        <v>171769.40979449562</v>
      </c>
      <c r="K335" s="73">
        <f>IF(AND('Inputs and Assumptions'!$H$11="Bridge", C335&lt;='Inputs and Assumptions'!$D$14),'Inputs and Assumptions'!$D$40/'Inputs and Assumptions'!$D$14, 0)</f>
        <v>0</v>
      </c>
      <c r="L335" s="74">
        <f t="shared" si="24"/>
        <v>14575121.848109484</v>
      </c>
    </row>
    <row r="336" spans="3:12">
      <c r="C336" s="20">
        <v>320</v>
      </c>
      <c r="D336" s="813">
        <f>IF(AND('Inputs and Assumptions'!$H$11="Bridge",'Debt Sizing'!$O$64="1 Mo Term SOFR"),IFERROR(INDEX('1 Month Term SOFR Forward Curve'!$D$5:$D$125,MATCH('Amo Schedule - Senior'!C336,'1 Month Term SOFR Forward Curve'!$C$5:$C$125,0))+$E$8,'Amo Schedule - Senior'!D335),'Amo Schedule - Senior'!$E$8)</f>
        <v>4.2300000000000004E-2</v>
      </c>
      <c r="E336" s="73">
        <f t="shared" si="21"/>
        <v>14575121.848109484</v>
      </c>
      <c r="F336" s="73">
        <f t="shared" si="22"/>
        <v>51377.304514585936</v>
      </c>
      <c r="G336" s="73"/>
      <c r="H336" s="73">
        <f t="shared" si="20"/>
        <v>120392.10527990968</v>
      </c>
      <c r="I336" s="73">
        <v>0</v>
      </c>
      <c r="J336" s="73">
        <f t="shared" si="23"/>
        <v>171769.40979449562</v>
      </c>
      <c r="K336" s="73">
        <f>IF(AND('Inputs and Assumptions'!$H$11="Bridge", C336&lt;='Inputs and Assumptions'!$D$14),'Inputs and Assumptions'!$D$40/'Inputs and Assumptions'!$D$14, 0)</f>
        <v>0</v>
      </c>
      <c r="L336" s="74">
        <f t="shared" si="24"/>
        <v>14454729.742829574</v>
      </c>
    </row>
    <row r="337" spans="3:12">
      <c r="C337" s="20">
        <v>321</v>
      </c>
      <c r="D337" s="813">
        <f>IF(AND('Inputs and Assumptions'!$H$11="Bridge",'Debt Sizing'!$O$64="1 Mo Term SOFR"),IFERROR(INDEX('1 Month Term SOFR Forward Curve'!$D$5:$D$125,MATCH('Amo Schedule - Senior'!C337,'1 Month Term SOFR Forward Curve'!$C$5:$C$125,0))+$E$8,'Amo Schedule - Senior'!D336),'Amo Schedule - Senior'!$E$8)</f>
        <v>4.2300000000000004E-2</v>
      </c>
      <c r="E337" s="73">
        <f t="shared" si="21"/>
        <v>14454729.742829574</v>
      </c>
      <c r="F337" s="73">
        <f t="shared" si="22"/>
        <v>50952.922343474253</v>
      </c>
      <c r="G337" s="73"/>
      <c r="H337" s="73">
        <f t="shared" ref="H337:H376" si="25">+J337-I337-F337</f>
        <v>120816.48745102136</v>
      </c>
      <c r="I337" s="73">
        <v>0</v>
      </c>
      <c r="J337" s="73">
        <f t="shared" si="23"/>
        <v>171769.40979449562</v>
      </c>
      <c r="K337" s="73">
        <f>IF(AND('Inputs and Assumptions'!$H$11="Bridge", C337&lt;='Inputs and Assumptions'!$D$14),'Inputs and Assumptions'!$D$40/'Inputs and Assumptions'!$D$14, 0)</f>
        <v>0</v>
      </c>
      <c r="L337" s="74">
        <f t="shared" si="24"/>
        <v>14333913.255378554</v>
      </c>
    </row>
    <row r="338" spans="3:12">
      <c r="C338" s="20">
        <v>322</v>
      </c>
      <c r="D338" s="813">
        <f>IF(AND('Inputs and Assumptions'!$H$11="Bridge",'Debt Sizing'!$O$64="1 Mo Term SOFR"),IFERROR(INDEX('1 Month Term SOFR Forward Curve'!$D$5:$D$125,MATCH('Amo Schedule - Senior'!C338,'1 Month Term SOFR Forward Curve'!$C$5:$C$125,0))+$E$8,'Amo Schedule - Senior'!D337),'Amo Schedule - Senior'!$E$8)</f>
        <v>4.2300000000000004E-2</v>
      </c>
      <c r="E338" s="73">
        <f t="shared" ref="E338:E376" si="26">L337</f>
        <v>14333913.255378554</v>
      </c>
      <c r="F338" s="73">
        <f t="shared" ref="F338:F376" si="27">E338*($D338/12)</f>
        <v>50527.044225209407</v>
      </c>
      <c r="G338" s="73"/>
      <c r="H338" s="73">
        <f t="shared" si="25"/>
        <v>121242.36556928621</v>
      </c>
      <c r="I338" s="73">
        <v>0</v>
      </c>
      <c r="J338" s="73">
        <f t="shared" ref="J338:J376" si="28">IF(C338&lt;=$E$9,F338,-PMT(D338/12,$E$10,$E$7))</f>
        <v>171769.40979449562</v>
      </c>
      <c r="K338" s="73">
        <f>IF(AND('Inputs and Assumptions'!$H$11="Bridge", C338&lt;='Inputs and Assumptions'!$D$14),'Inputs and Assumptions'!$D$40/'Inputs and Assumptions'!$D$14, 0)</f>
        <v>0</v>
      </c>
      <c r="L338" s="74">
        <f t="shared" ref="L338:L376" si="29">E338-H338-I338+K338</f>
        <v>14212670.889809268</v>
      </c>
    </row>
    <row r="339" spans="3:12">
      <c r="C339" s="20">
        <v>323</v>
      </c>
      <c r="D339" s="813">
        <f>IF(AND('Inputs and Assumptions'!$H$11="Bridge",'Debt Sizing'!$O$64="1 Mo Term SOFR"),IFERROR(INDEX('1 Month Term SOFR Forward Curve'!$D$5:$D$125,MATCH('Amo Schedule - Senior'!C339,'1 Month Term SOFR Forward Curve'!$C$5:$C$125,0))+$E$8,'Amo Schedule - Senior'!D338),'Amo Schedule - Senior'!$E$8)</f>
        <v>4.2300000000000004E-2</v>
      </c>
      <c r="E339" s="73">
        <f t="shared" si="26"/>
        <v>14212670.889809268</v>
      </c>
      <c r="F339" s="73">
        <f t="shared" si="27"/>
        <v>50099.664886577673</v>
      </c>
      <c r="G339" s="73"/>
      <c r="H339" s="73">
        <f t="shared" si="25"/>
        <v>121669.74490791795</v>
      </c>
      <c r="I339" s="73">
        <v>0</v>
      </c>
      <c r="J339" s="73">
        <f t="shared" si="28"/>
        <v>171769.40979449562</v>
      </c>
      <c r="K339" s="73">
        <f>IF(AND('Inputs and Assumptions'!$H$11="Bridge", C339&lt;='Inputs and Assumptions'!$D$14),'Inputs and Assumptions'!$D$40/'Inputs and Assumptions'!$D$14, 0)</f>
        <v>0</v>
      </c>
      <c r="L339" s="74">
        <f t="shared" si="29"/>
        <v>14091001.14490135</v>
      </c>
    </row>
    <row r="340" spans="3:12">
      <c r="C340" s="20">
        <v>324</v>
      </c>
      <c r="D340" s="813">
        <f>IF(AND('Inputs and Assumptions'!$H$11="Bridge",'Debt Sizing'!$O$64="1 Mo Term SOFR"),IFERROR(INDEX('1 Month Term SOFR Forward Curve'!$D$5:$D$125,MATCH('Amo Schedule - Senior'!C340,'1 Month Term SOFR Forward Curve'!$C$5:$C$125,0))+$E$8,'Amo Schedule - Senior'!D339),'Amo Schedule - Senior'!$E$8)</f>
        <v>4.2300000000000004E-2</v>
      </c>
      <c r="E340" s="73">
        <f t="shared" si="26"/>
        <v>14091001.14490135</v>
      </c>
      <c r="F340" s="73">
        <f t="shared" si="27"/>
        <v>49670.779035777261</v>
      </c>
      <c r="G340" s="73"/>
      <c r="H340" s="73">
        <f t="shared" si="25"/>
        <v>122098.63075871835</v>
      </c>
      <c r="I340" s="73">
        <v>0</v>
      </c>
      <c r="J340" s="73">
        <f t="shared" si="28"/>
        <v>171769.40979449562</v>
      </c>
      <c r="K340" s="73">
        <f>IF(AND('Inputs and Assumptions'!$H$11="Bridge", C340&lt;='Inputs and Assumptions'!$D$14),'Inputs and Assumptions'!$D$40/'Inputs and Assumptions'!$D$14, 0)</f>
        <v>0</v>
      </c>
      <c r="L340" s="74">
        <f t="shared" si="29"/>
        <v>13968902.514142632</v>
      </c>
    </row>
    <row r="341" spans="3:12">
      <c r="C341" s="20">
        <v>325</v>
      </c>
      <c r="D341" s="813">
        <f>IF(AND('Inputs and Assumptions'!$H$11="Bridge",'Debt Sizing'!$O$64="1 Mo Term SOFR"),IFERROR(INDEX('1 Month Term SOFR Forward Curve'!$D$5:$D$125,MATCH('Amo Schedule - Senior'!C341,'1 Month Term SOFR Forward Curve'!$C$5:$C$125,0))+$E$8,'Amo Schedule - Senior'!D340),'Amo Schedule - Senior'!$E$8)</f>
        <v>4.2300000000000004E-2</v>
      </c>
      <c r="E341" s="73">
        <f t="shared" si="26"/>
        <v>13968902.514142632</v>
      </c>
      <c r="F341" s="73">
        <f t="shared" si="27"/>
        <v>49240.381362352782</v>
      </c>
      <c r="G341" s="73"/>
      <c r="H341" s="73">
        <f t="shared" si="25"/>
        <v>122529.02843214283</v>
      </c>
      <c r="I341" s="73">
        <v>0</v>
      </c>
      <c r="J341" s="73">
        <f t="shared" si="28"/>
        <v>171769.40979449562</v>
      </c>
      <c r="K341" s="73">
        <f>IF(AND('Inputs and Assumptions'!$H$11="Bridge", C341&lt;='Inputs and Assumptions'!$D$14),'Inputs and Assumptions'!$D$40/'Inputs and Assumptions'!$D$14, 0)</f>
        <v>0</v>
      </c>
      <c r="L341" s="74">
        <f t="shared" si="29"/>
        <v>13846373.48571049</v>
      </c>
    </row>
    <row r="342" spans="3:12">
      <c r="C342" s="20">
        <v>326</v>
      </c>
      <c r="D342" s="813">
        <f>IF(AND('Inputs and Assumptions'!$H$11="Bridge",'Debt Sizing'!$O$64="1 Mo Term SOFR"),IFERROR(INDEX('1 Month Term SOFR Forward Curve'!$D$5:$D$125,MATCH('Amo Schedule - Senior'!C342,'1 Month Term SOFR Forward Curve'!$C$5:$C$125,0))+$E$8,'Amo Schedule - Senior'!D341),'Amo Schedule - Senior'!$E$8)</f>
        <v>4.2300000000000004E-2</v>
      </c>
      <c r="E342" s="73">
        <f t="shared" si="26"/>
        <v>13846373.48571049</v>
      </c>
      <c r="F342" s="73">
        <f t="shared" si="27"/>
        <v>48808.466537129483</v>
      </c>
      <c r="G342" s="73"/>
      <c r="H342" s="73">
        <f t="shared" si="25"/>
        <v>122960.94325736613</v>
      </c>
      <c r="I342" s="73">
        <v>0</v>
      </c>
      <c r="J342" s="73">
        <f t="shared" si="28"/>
        <v>171769.40979449562</v>
      </c>
      <c r="K342" s="73">
        <f>IF(AND('Inputs and Assumptions'!$H$11="Bridge", C342&lt;='Inputs and Assumptions'!$D$14),'Inputs and Assumptions'!$D$40/'Inputs and Assumptions'!$D$14, 0)</f>
        <v>0</v>
      </c>
      <c r="L342" s="74">
        <f t="shared" si="29"/>
        <v>13723412.542453125</v>
      </c>
    </row>
    <row r="343" spans="3:12">
      <c r="C343" s="20">
        <v>327</v>
      </c>
      <c r="D343" s="813">
        <f>IF(AND('Inputs and Assumptions'!$H$11="Bridge",'Debt Sizing'!$O$64="1 Mo Term SOFR"),IFERROR(INDEX('1 Month Term SOFR Forward Curve'!$D$5:$D$125,MATCH('Amo Schedule - Senior'!C343,'1 Month Term SOFR Forward Curve'!$C$5:$C$125,0))+$E$8,'Amo Schedule - Senior'!D342),'Amo Schedule - Senior'!$E$8)</f>
        <v>4.2300000000000004E-2</v>
      </c>
      <c r="E343" s="73">
        <f t="shared" si="26"/>
        <v>13723412.542453125</v>
      </c>
      <c r="F343" s="73">
        <f t="shared" si="27"/>
        <v>48375.029212147274</v>
      </c>
      <c r="G343" s="73"/>
      <c r="H343" s="73">
        <f t="shared" si="25"/>
        <v>123394.38058234834</v>
      </c>
      <c r="I343" s="73">
        <v>0</v>
      </c>
      <c r="J343" s="73">
        <f t="shared" si="28"/>
        <v>171769.40979449562</v>
      </c>
      <c r="K343" s="73">
        <f>IF(AND('Inputs and Assumptions'!$H$11="Bridge", C343&lt;='Inputs and Assumptions'!$D$14),'Inputs and Assumptions'!$D$40/'Inputs and Assumptions'!$D$14, 0)</f>
        <v>0</v>
      </c>
      <c r="L343" s="74">
        <f t="shared" si="29"/>
        <v>13600018.161870778</v>
      </c>
    </row>
    <row r="344" spans="3:12">
      <c r="C344" s="20">
        <v>328</v>
      </c>
      <c r="D344" s="813">
        <f>IF(AND('Inputs and Assumptions'!$H$11="Bridge",'Debt Sizing'!$O$64="1 Mo Term SOFR"),IFERROR(INDEX('1 Month Term SOFR Forward Curve'!$D$5:$D$125,MATCH('Amo Schedule - Senior'!C344,'1 Month Term SOFR Forward Curve'!$C$5:$C$125,0))+$E$8,'Amo Schedule - Senior'!D343),'Amo Schedule - Senior'!$E$8)</f>
        <v>4.2300000000000004E-2</v>
      </c>
      <c r="E344" s="73">
        <f t="shared" si="26"/>
        <v>13600018.161870778</v>
      </c>
      <c r="F344" s="73">
        <f t="shared" si="27"/>
        <v>47940.064020594495</v>
      </c>
      <c r="G344" s="73"/>
      <c r="H344" s="73">
        <f t="shared" si="25"/>
        <v>123829.34577390112</v>
      </c>
      <c r="I344" s="73">
        <v>0</v>
      </c>
      <c r="J344" s="73">
        <f t="shared" si="28"/>
        <v>171769.40979449562</v>
      </c>
      <c r="K344" s="73">
        <f>IF(AND('Inputs and Assumptions'!$H$11="Bridge", C344&lt;='Inputs and Assumptions'!$D$14),'Inputs and Assumptions'!$D$40/'Inputs and Assumptions'!$D$14, 0)</f>
        <v>0</v>
      </c>
      <c r="L344" s="74">
        <f t="shared" si="29"/>
        <v>13476188.816096876</v>
      </c>
    </row>
    <row r="345" spans="3:12">
      <c r="C345" s="20">
        <v>329</v>
      </c>
      <c r="D345" s="813">
        <f>IF(AND('Inputs and Assumptions'!$H$11="Bridge",'Debt Sizing'!$O$64="1 Mo Term SOFR"),IFERROR(INDEX('1 Month Term SOFR Forward Curve'!$D$5:$D$125,MATCH('Amo Schedule - Senior'!C345,'1 Month Term SOFR Forward Curve'!$C$5:$C$125,0))+$E$8,'Amo Schedule - Senior'!D344),'Amo Schedule - Senior'!$E$8)</f>
        <v>4.2300000000000004E-2</v>
      </c>
      <c r="E345" s="73">
        <f t="shared" si="26"/>
        <v>13476188.816096876</v>
      </c>
      <c r="F345" s="73">
        <f t="shared" si="27"/>
        <v>47503.565576741494</v>
      </c>
      <c r="G345" s="73"/>
      <c r="H345" s="73">
        <f t="shared" si="25"/>
        <v>124265.84421775411</v>
      </c>
      <c r="I345" s="73">
        <v>0</v>
      </c>
      <c r="J345" s="73">
        <f t="shared" si="28"/>
        <v>171769.40979449562</v>
      </c>
      <c r="K345" s="73">
        <f>IF(AND('Inputs and Assumptions'!$H$11="Bridge", C345&lt;='Inputs and Assumptions'!$D$14),'Inputs and Assumptions'!$D$40/'Inputs and Assumptions'!$D$14, 0)</f>
        <v>0</v>
      </c>
      <c r="L345" s="74">
        <f t="shared" si="29"/>
        <v>13351922.971879121</v>
      </c>
    </row>
    <row r="346" spans="3:12">
      <c r="C346" s="20">
        <v>330</v>
      </c>
      <c r="D346" s="813">
        <f>IF(AND('Inputs and Assumptions'!$H$11="Bridge",'Debt Sizing'!$O$64="1 Mo Term SOFR"),IFERROR(INDEX('1 Month Term SOFR Forward Curve'!$D$5:$D$125,MATCH('Amo Schedule - Senior'!C346,'1 Month Term SOFR Forward Curve'!$C$5:$C$125,0))+$E$8,'Amo Schedule - Senior'!D345),'Amo Schedule - Senior'!$E$8)</f>
        <v>4.2300000000000004E-2</v>
      </c>
      <c r="E346" s="73">
        <f t="shared" si="26"/>
        <v>13351922.971879121</v>
      </c>
      <c r="F346" s="73">
        <f t="shared" si="27"/>
        <v>47065.528475873907</v>
      </c>
      <c r="G346" s="73"/>
      <c r="H346" s="73">
        <f t="shared" si="25"/>
        <v>124703.88131862172</v>
      </c>
      <c r="I346" s="73">
        <v>0</v>
      </c>
      <c r="J346" s="73">
        <f t="shared" si="28"/>
        <v>171769.40979449562</v>
      </c>
      <c r="K346" s="73">
        <f>IF(AND('Inputs and Assumptions'!$H$11="Bridge", C346&lt;='Inputs and Assumptions'!$D$14),'Inputs and Assumptions'!$D$40/'Inputs and Assumptions'!$D$14, 0)</f>
        <v>0</v>
      </c>
      <c r="L346" s="74">
        <f t="shared" si="29"/>
        <v>13227219.0905605</v>
      </c>
    </row>
    <row r="347" spans="3:12">
      <c r="C347" s="20">
        <v>331</v>
      </c>
      <c r="D347" s="813">
        <f>IF(AND('Inputs and Assumptions'!$H$11="Bridge",'Debt Sizing'!$O$64="1 Mo Term SOFR"),IFERROR(INDEX('1 Month Term SOFR Forward Curve'!$D$5:$D$125,MATCH('Amo Schedule - Senior'!C347,'1 Month Term SOFR Forward Curve'!$C$5:$C$125,0))+$E$8,'Amo Schedule - Senior'!D346),'Amo Schedule - Senior'!$E$8)</f>
        <v>4.2300000000000004E-2</v>
      </c>
      <c r="E347" s="73">
        <f t="shared" si="26"/>
        <v>13227219.0905605</v>
      </c>
      <c r="F347" s="73">
        <f t="shared" si="27"/>
        <v>46625.947294225763</v>
      </c>
      <c r="G347" s="73"/>
      <c r="H347" s="73">
        <f t="shared" si="25"/>
        <v>125143.46250026984</v>
      </c>
      <c r="I347" s="73">
        <v>0</v>
      </c>
      <c r="J347" s="73">
        <f t="shared" si="28"/>
        <v>171769.40979449562</v>
      </c>
      <c r="K347" s="73">
        <f>IF(AND('Inputs and Assumptions'!$H$11="Bridge", C347&lt;='Inputs and Assumptions'!$D$14),'Inputs and Assumptions'!$D$40/'Inputs and Assumptions'!$D$14, 0)</f>
        <v>0</v>
      </c>
      <c r="L347" s="74">
        <f t="shared" si="29"/>
        <v>13102075.628060229</v>
      </c>
    </row>
    <row r="348" spans="3:12">
      <c r="C348" s="20">
        <v>332</v>
      </c>
      <c r="D348" s="813">
        <f>IF(AND('Inputs and Assumptions'!$H$11="Bridge",'Debt Sizing'!$O$64="1 Mo Term SOFR"),IFERROR(INDEX('1 Month Term SOFR Forward Curve'!$D$5:$D$125,MATCH('Amo Schedule - Senior'!C348,'1 Month Term SOFR Forward Curve'!$C$5:$C$125,0))+$E$8,'Amo Schedule - Senior'!D347),'Amo Schedule - Senior'!$E$8)</f>
        <v>4.2300000000000004E-2</v>
      </c>
      <c r="E348" s="73">
        <f t="shared" si="26"/>
        <v>13102075.628060229</v>
      </c>
      <c r="F348" s="73">
        <f t="shared" si="27"/>
        <v>46184.816588912312</v>
      </c>
      <c r="G348" s="73"/>
      <c r="H348" s="73">
        <f t="shared" si="25"/>
        <v>125584.59320558331</v>
      </c>
      <c r="I348" s="73">
        <v>0</v>
      </c>
      <c r="J348" s="73">
        <f t="shared" si="28"/>
        <v>171769.40979449562</v>
      </c>
      <c r="K348" s="73">
        <f>IF(AND('Inputs and Assumptions'!$H$11="Bridge", C348&lt;='Inputs and Assumptions'!$D$14),'Inputs and Assumptions'!$D$40/'Inputs and Assumptions'!$D$14, 0)</f>
        <v>0</v>
      </c>
      <c r="L348" s="74">
        <f t="shared" si="29"/>
        <v>12976491.034854645</v>
      </c>
    </row>
    <row r="349" spans="3:12">
      <c r="C349" s="20">
        <v>333</v>
      </c>
      <c r="D349" s="813">
        <f>IF(AND('Inputs and Assumptions'!$H$11="Bridge",'Debt Sizing'!$O$64="1 Mo Term SOFR"),IFERROR(INDEX('1 Month Term SOFR Forward Curve'!$D$5:$D$125,MATCH('Amo Schedule - Senior'!C349,'1 Month Term SOFR Forward Curve'!$C$5:$C$125,0))+$E$8,'Amo Schedule - Senior'!D348),'Amo Schedule - Senior'!$E$8)</f>
        <v>4.2300000000000004E-2</v>
      </c>
      <c r="E349" s="73">
        <f t="shared" si="26"/>
        <v>12976491.034854645</v>
      </c>
      <c r="F349" s="73">
        <f t="shared" si="27"/>
        <v>45742.130897862626</v>
      </c>
      <c r="G349" s="73"/>
      <c r="H349" s="73">
        <f t="shared" si="25"/>
        <v>126027.27889663298</v>
      </c>
      <c r="I349" s="73">
        <v>0</v>
      </c>
      <c r="J349" s="73">
        <f t="shared" si="28"/>
        <v>171769.40979449562</v>
      </c>
      <c r="K349" s="73">
        <f>IF(AND('Inputs and Assumptions'!$H$11="Bridge", C349&lt;='Inputs and Assumptions'!$D$14),'Inputs and Assumptions'!$D$40/'Inputs and Assumptions'!$D$14, 0)</f>
        <v>0</v>
      </c>
      <c r="L349" s="74">
        <f t="shared" si="29"/>
        <v>12850463.755958011</v>
      </c>
    </row>
    <row r="350" spans="3:12">
      <c r="C350" s="20">
        <v>334</v>
      </c>
      <c r="D350" s="813">
        <f>IF(AND('Inputs and Assumptions'!$H$11="Bridge",'Debt Sizing'!$O$64="1 Mo Term SOFR"),IFERROR(INDEX('1 Month Term SOFR Forward Curve'!$D$5:$D$125,MATCH('Amo Schedule - Senior'!C350,'1 Month Term SOFR Forward Curve'!$C$5:$C$125,0))+$E$8,'Amo Schedule - Senior'!D349),'Amo Schedule - Senior'!$E$8)</f>
        <v>4.2300000000000004E-2</v>
      </c>
      <c r="E350" s="73">
        <f t="shared" si="26"/>
        <v>12850463.755958011</v>
      </c>
      <c r="F350" s="73">
        <f t="shared" si="27"/>
        <v>45297.884739751993</v>
      </c>
      <c r="G350" s="73"/>
      <c r="H350" s="73">
        <f t="shared" si="25"/>
        <v>126471.52505474363</v>
      </c>
      <c r="I350" s="73">
        <v>0</v>
      </c>
      <c r="J350" s="73">
        <f t="shared" si="28"/>
        <v>171769.40979449562</v>
      </c>
      <c r="K350" s="73">
        <f>IF(AND('Inputs and Assumptions'!$H$11="Bridge", C350&lt;='Inputs and Assumptions'!$D$14),'Inputs and Assumptions'!$D$40/'Inputs and Assumptions'!$D$14, 0)</f>
        <v>0</v>
      </c>
      <c r="L350" s="74">
        <f t="shared" si="29"/>
        <v>12723992.230903268</v>
      </c>
    </row>
    <row r="351" spans="3:12">
      <c r="C351" s="20">
        <v>335</v>
      </c>
      <c r="D351" s="813">
        <f>IF(AND('Inputs and Assumptions'!$H$11="Bridge",'Debt Sizing'!$O$64="1 Mo Term SOFR"),IFERROR(INDEX('1 Month Term SOFR Forward Curve'!$D$5:$D$125,MATCH('Amo Schedule - Senior'!C351,'1 Month Term SOFR Forward Curve'!$C$5:$C$125,0))+$E$8,'Amo Schedule - Senior'!D350),'Amo Schedule - Senior'!$E$8)</f>
        <v>4.2300000000000004E-2</v>
      </c>
      <c r="E351" s="73">
        <f t="shared" si="26"/>
        <v>12723992.230903268</v>
      </c>
      <c r="F351" s="73">
        <f t="shared" si="27"/>
        <v>44852.072613934026</v>
      </c>
      <c r="G351" s="73"/>
      <c r="H351" s="73">
        <f t="shared" si="25"/>
        <v>126917.33718056159</v>
      </c>
      <c r="I351" s="73">
        <v>0</v>
      </c>
      <c r="J351" s="73">
        <f t="shared" si="28"/>
        <v>171769.40979449562</v>
      </c>
      <c r="K351" s="73">
        <f>IF(AND('Inputs and Assumptions'!$H$11="Bridge", C351&lt;='Inputs and Assumptions'!$D$14),'Inputs and Assumptions'!$D$40/'Inputs and Assumptions'!$D$14, 0)</f>
        <v>0</v>
      </c>
      <c r="L351" s="74">
        <f t="shared" si="29"/>
        <v>12597074.893722706</v>
      </c>
    </row>
    <row r="352" spans="3:12">
      <c r="C352" s="20">
        <v>336</v>
      </c>
      <c r="D352" s="813">
        <f>IF(AND('Inputs and Assumptions'!$H$11="Bridge",'Debt Sizing'!$O$64="1 Mo Term SOFR"),IFERROR(INDEX('1 Month Term SOFR Forward Curve'!$D$5:$D$125,MATCH('Amo Schedule - Senior'!C352,'1 Month Term SOFR Forward Curve'!$C$5:$C$125,0))+$E$8,'Amo Schedule - Senior'!D351),'Amo Schedule - Senior'!$E$8)</f>
        <v>4.2300000000000004E-2</v>
      </c>
      <c r="E352" s="73">
        <f t="shared" si="26"/>
        <v>12597074.893722706</v>
      </c>
      <c r="F352" s="73">
        <f t="shared" si="27"/>
        <v>44404.689000372542</v>
      </c>
      <c r="G352" s="73"/>
      <c r="H352" s="73">
        <f t="shared" si="25"/>
        <v>127364.72079412307</v>
      </c>
      <c r="I352" s="73">
        <v>0</v>
      </c>
      <c r="J352" s="73">
        <f t="shared" si="28"/>
        <v>171769.40979449562</v>
      </c>
      <c r="K352" s="73">
        <f>IF(AND('Inputs and Assumptions'!$H$11="Bridge", C352&lt;='Inputs and Assumptions'!$D$14),'Inputs and Assumptions'!$D$40/'Inputs and Assumptions'!$D$14, 0)</f>
        <v>0</v>
      </c>
      <c r="L352" s="74">
        <f t="shared" si="29"/>
        <v>12469710.172928583</v>
      </c>
    </row>
    <row r="353" spans="3:12">
      <c r="C353" s="20">
        <v>337</v>
      </c>
      <c r="D353" s="813">
        <f>IF(AND('Inputs and Assumptions'!$H$11="Bridge",'Debt Sizing'!$O$64="1 Mo Term SOFR"),IFERROR(INDEX('1 Month Term SOFR Forward Curve'!$D$5:$D$125,MATCH('Amo Schedule - Senior'!C353,'1 Month Term SOFR Forward Curve'!$C$5:$C$125,0))+$E$8,'Amo Schedule - Senior'!D352),'Amo Schedule - Senior'!$E$8)</f>
        <v>4.2300000000000004E-2</v>
      </c>
      <c r="E353" s="73">
        <f t="shared" si="26"/>
        <v>12469710.172928583</v>
      </c>
      <c r="F353" s="73">
        <f t="shared" si="27"/>
        <v>43955.728359573259</v>
      </c>
      <c r="G353" s="73"/>
      <c r="H353" s="73">
        <f t="shared" si="25"/>
        <v>127813.68143492236</v>
      </c>
      <c r="I353" s="73">
        <v>0</v>
      </c>
      <c r="J353" s="73">
        <f t="shared" si="28"/>
        <v>171769.40979449562</v>
      </c>
      <c r="K353" s="73">
        <f>IF(AND('Inputs and Assumptions'!$H$11="Bridge", C353&lt;='Inputs and Assumptions'!$D$14),'Inputs and Assumptions'!$D$40/'Inputs and Assumptions'!$D$14, 0)</f>
        <v>0</v>
      </c>
      <c r="L353" s="74">
        <f t="shared" si="29"/>
        <v>12341896.491493661</v>
      </c>
    </row>
    <row r="354" spans="3:12">
      <c r="C354" s="20">
        <v>338</v>
      </c>
      <c r="D354" s="813">
        <f>IF(AND('Inputs and Assumptions'!$H$11="Bridge",'Debt Sizing'!$O$64="1 Mo Term SOFR"),IFERROR(INDEX('1 Month Term SOFR Forward Curve'!$D$5:$D$125,MATCH('Amo Schedule - Senior'!C354,'1 Month Term SOFR Forward Curve'!$C$5:$C$125,0))+$E$8,'Amo Schedule - Senior'!D353),'Amo Schedule - Senior'!$E$8)</f>
        <v>4.2300000000000004E-2</v>
      </c>
      <c r="E354" s="73">
        <f t="shared" si="26"/>
        <v>12341896.491493661</v>
      </c>
      <c r="F354" s="73">
        <f t="shared" si="27"/>
        <v>43505.185132515158</v>
      </c>
      <c r="G354" s="73"/>
      <c r="H354" s="73">
        <f t="shared" si="25"/>
        <v>128264.22466198046</v>
      </c>
      <c r="I354" s="73">
        <v>0</v>
      </c>
      <c r="J354" s="73">
        <f t="shared" si="28"/>
        <v>171769.40979449562</v>
      </c>
      <c r="K354" s="73">
        <f>IF(AND('Inputs and Assumptions'!$H$11="Bridge", C354&lt;='Inputs and Assumptions'!$D$14),'Inputs and Assumptions'!$D$40/'Inputs and Assumptions'!$D$14, 0)</f>
        <v>0</v>
      </c>
      <c r="L354" s="74">
        <f t="shared" si="29"/>
        <v>12213632.266831681</v>
      </c>
    </row>
    <row r="355" spans="3:12">
      <c r="C355" s="20">
        <v>339</v>
      </c>
      <c r="D355" s="813">
        <f>IF(AND('Inputs and Assumptions'!$H$11="Bridge",'Debt Sizing'!$O$64="1 Mo Term SOFR"),IFERROR(INDEX('1 Month Term SOFR Forward Curve'!$D$5:$D$125,MATCH('Amo Schedule - Senior'!C355,'1 Month Term SOFR Forward Curve'!$C$5:$C$125,0))+$E$8,'Amo Schedule - Senior'!D354),'Amo Schedule - Senior'!$E$8)</f>
        <v>4.2300000000000004E-2</v>
      </c>
      <c r="E355" s="73">
        <f t="shared" si="26"/>
        <v>12213632.266831681</v>
      </c>
      <c r="F355" s="73">
        <f t="shared" si="27"/>
        <v>43053.053740581679</v>
      </c>
      <c r="G355" s="73"/>
      <c r="H355" s="73">
        <f t="shared" si="25"/>
        <v>128716.35605391394</v>
      </c>
      <c r="I355" s="73">
        <v>0</v>
      </c>
      <c r="J355" s="73">
        <f t="shared" si="28"/>
        <v>171769.40979449562</v>
      </c>
      <c r="K355" s="73">
        <f>IF(AND('Inputs and Assumptions'!$H$11="Bridge", C355&lt;='Inputs and Assumptions'!$D$14),'Inputs and Assumptions'!$D$40/'Inputs and Assumptions'!$D$14, 0)</f>
        <v>0</v>
      </c>
      <c r="L355" s="74">
        <f t="shared" si="29"/>
        <v>12084915.910777766</v>
      </c>
    </row>
    <row r="356" spans="3:12">
      <c r="C356" s="20">
        <v>340</v>
      </c>
      <c r="D356" s="813">
        <f>IF(AND('Inputs and Assumptions'!$H$11="Bridge",'Debt Sizing'!$O$64="1 Mo Term SOFR"),IFERROR(INDEX('1 Month Term SOFR Forward Curve'!$D$5:$D$125,MATCH('Amo Schedule - Senior'!C356,'1 Month Term SOFR Forward Curve'!$C$5:$C$125,0))+$E$8,'Amo Schedule - Senior'!D355),'Amo Schedule - Senior'!$E$8)</f>
        <v>4.2300000000000004E-2</v>
      </c>
      <c r="E356" s="73">
        <f t="shared" si="26"/>
        <v>12084915.910777766</v>
      </c>
      <c r="F356" s="73">
        <f t="shared" si="27"/>
        <v>42599.328585491632</v>
      </c>
      <c r="G356" s="73"/>
      <c r="H356" s="73">
        <f t="shared" si="25"/>
        <v>129170.08120900398</v>
      </c>
      <c r="I356" s="73">
        <v>0</v>
      </c>
      <c r="J356" s="73">
        <f t="shared" si="28"/>
        <v>171769.40979449562</v>
      </c>
      <c r="K356" s="73">
        <f>IF(AND('Inputs and Assumptions'!$H$11="Bridge", C356&lt;='Inputs and Assumptions'!$D$14),'Inputs and Assumptions'!$D$40/'Inputs and Assumptions'!$D$14, 0)</f>
        <v>0</v>
      </c>
      <c r="L356" s="74">
        <f t="shared" si="29"/>
        <v>11955745.829568762</v>
      </c>
    </row>
    <row r="357" spans="3:12">
      <c r="C357" s="20">
        <v>341</v>
      </c>
      <c r="D357" s="813">
        <f>IF(AND('Inputs and Assumptions'!$H$11="Bridge",'Debt Sizing'!$O$64="1 Mo Term SOFR"),IFERROR(INDEX('1 Month Term SOFR Forward Curve'!$D$5:$D$125,MATCH('Amo Schedule - Senior'!C357,'1 Month Term SOFR Forward Curve'!$C$5:$C$125,0))+$E$8,'Amo Schedule - Senior'!D356),'Amo Schedule - Senior'!$E$8)</f>
        <v>4.2300000000000004E-2</v>
      </c>
      <c r="E357" s="73">
        <f t="shared" si="26"/>
        <v>11955745.829568762</v>
      </c>
      <c r="F357" s="73">
        <f t="shared" si="27"/>
        <v>42144.004049229894</v>
      </c>
      <c r="G357" s="73"/>
      <c r="H357" s="73">
        <f t="shared" si="25"/>
        <v>129625.40574526571</v>
      </c>
      <c r="I357" s="73">
        <v>0</v>
      </c>
      <c r="J357" s="73">
        <f t="shared" si="28"/>
        <v>171769.40979449562</v>
      </c>
      <c r="K357" s="73">
        <f>IF(AND('Inputs and Assumptions'!$H$11="Bridge", C357&lt;='Inputs and Assumptions'!$D$14),'Inputs and Assumptions'!$D$40/'Inputs and Assumptions'!$D$14, 0)</f>
        <v>0</v>
      </c>
      <c r="L357" s="74">
        <f t="shared" si="29"/>
        <v>11826120.423823496</v>
      </c>
    </row>
    <row r="358" spans="3:12">
      <c r="C358" s="20">
        <v>342</v>
      </c>
      <c r="D358" s="813">
        <f>IF(AND('Inputs and Assumptions'!$H$11="Bridge",'Debt Sizing'!$O$64="1 Mo Term SOFR"),IFERROR(INDEX('1 Month Term SOFR Forward Curve'!$D$5:$D$125,MATCH('Amo Schedule - Senior'!C358,'1 Month Term SOFR Forward Curve'!$C$5:$C$125,0))+$E$8,'Amo Schedule - Senior'!D357),'Amo Schedule - Senior'!$E$8)</f>
        <v>4.2300000000000004E-2</v>
      </c>
      <c r="E358" s="73">
        <f t="shared" si="26"/>
        <v>11826120.423823496</v>
      </c>
      <c r="F358" s="73">
        <f t="shared" si="27"/>
        <v>41687.074493977831</v>
      </c>
      <c r="G358" s="73"/>
      <c r="H358" s="73">
        <f t="shared" si="25"/>
        <v>130082.33530051779</v>
      </c>
      <c r="I358" s="73">
        <v>0</v>
      </c>
      <c r="J358" s="73">
        <f t="shared" si="28"/>
        <v>171769.40979449562</v>
      </c>
      <c r="K358" s="73">
        <f>IF(AND('Inputs and Assumptions'!$H$11="Bridge", C358&lt;='Inputs and Assumptions'!$D$14),'Inputs and Assumptions'!$D$40/'Inputs and Assumptions'!$D$14, 0)</f>
        <v>0</v>
      </c>
      <c r="L358" s="74">
        <f t="shared" si="29"/>
        <v>11696038.088522978</v>
      </c>
    </row>
    <row r="359" spans="3:12">
      <c r="C359" s="20">
        <v>343</v>
      </c>
      <c r="D359" s="813">
        <f>IF(AND('Inputs and Assumptions'!$H$11="Bridge",'Debt Sizing'!$O$64="1 Mo Term SOFR"),IFERROR(INDEX('1 Month Term SOFR Forward Curve'!$D$5:$D$125,MATCH('Amo Schedule - Senior'!C359,'1 Month Term SOFR Forward Curve'!$C$5:$C$125,0))+$E$8,'Amo Schedule - Senior'!D358),'Amo Schedule - Senior'!$E$8)</f>
        <v>4.2300000000000004E-2</v>
      </c>
      <c r="E359" s="73">
        <f t="shared" si="26"/>
        <v>11696038.088522978</v>
      </c>
      <c r="F359" s="73">
        <f t="shared" si="27"/>
        <v>41228.534262043504</v>
      </c>
      <c r="G359" s="73"/>
      <c r="H359" s="73">
        <f t="shared" si="25"/>
        <v>130540.8755324521</v>
      </c>
      <c r="I359" s="73">
        <v>0</v>
      </c>
      <c r="J359" s="73">
        <f t="shared" si="28"/>
        <v>171769.40979449562</v>
      </c>
      <c r="K359" s="73">
        <f>IF(AND('Inputs and Assumptions'!$H$11="Bridge", C359&lt;='Inputs and Assumptions'!$D$14),'Inputs and Assumptions'!$D$40/'Inputs and Assumptions'!$D$14, 0)</f>
        <v>0</v>
      </c>
      <c r="L359" s="74">
        <f t="shared" si="29"/>
        <v>11565497.212990526</v>
      </c>
    </row>
    <row r="360" spans="3:12">
      <c r="C360" s="20">
        <v>344</v>
      </c>
      <c r="D360" s="813">
        <f>IF(AND('Inputs and Assumptions'!$H$11="Bridge",'Debt Sizing'!$O$64="1 Mo Term SOFR"),IFERROR(INDEX('1 Month Term SOFR Forward Curve'!$D$5:$D$125,MATCH('Amo Schedule - Senior'!C360,'1 Month Term SOFR Forward Curve'!$C$5:$C$125,0))+$E$8,'Amo Schedule - Senior'!D359),'Amo Schedule - Senior'!$E$8)</f>
        <v>4.2300000000000004E-2</v>
      </c>
      <c r="E360" s="73">
        <f t="shared" si="26"/>
        <v>11565497.212990526</v>
      </c>
      <c r="F360" s="73">
        <f t="shared" si="27"/>
        <v>40768.377675791606</v>
      </c>
      <c r="G360" s="73"/>
      <c r="H360" s="73">
        <f t="shared" si="25"/>
        <v>131001.03211870401</v>
      </c>
      <c r="I360" s="73">
        <v>0</v>
      </c>
      <c r="J360" s="73">
        <f t="shared" si="28"/>
        <v>171769.40979449562</v>
      </c>
      <c r="K360" s="73">
        <f>IF(AND('Inputs and Assumptions'!$H$11="Bridge", C360&lt;='Inputs and Assumptions'!$D$14),'Inputs and Assumptions'!$D$40/'Inputs and Assumptions'!$D$14, 0)</f>
        <v>0</v>
      </c>
      <c r="L360" s="74">
        <f t="shared" si="29"/>
        <v>11434496.180871822</v>
      </c>
    </row>
    <row r="361" spans="3:12">
      <c r="C361" s="20">
        <v>345</v>
      </c>
      <c r="D361" s="813">
        <f>IF(AND('Inputs and Assumptions'!$H$11="Bridge",'Debt Sizing'!$O$64="1 Mo Term SOFR"),IFERROR(INDEX('1 Month Term SOFR Forward Curve'!$D$5:$D$125,MATCH('Amo Schedule - Senior'!C361,'1 Month Term SOFR Forward Curve'!$C$5:$C$125,0))+$E$8,'Amo Schedule - Senior'!D360),'Amo Schedule - Senior'!$E$8)</f>
        <v>4.2300000000000004E-2</v>
      </c>
      <c r="E361" s="73">
        <f t="shared" si="26"/>
        <v>11434496.180871822</v>
      </c>
      <c r="F361" s="73">
        <f t="shared" si="27"/>
        <v>40306.599037573178</v>
      </c>
      <c r="G361" s="73"/>
      <c r="H361" s="73">
        <f t="shared" si="25"/>
        <v>131462.81075692244</v>
      </c>
      <c r="I361" s="73">
        <v>0</v>
      </c>
      <c r="J361" s="73">
        <f t="shared" si="28"/>
        <v>171769.40979449562</v>
      </c>
      <c r="K361" s="73">
        <f>IF(AND('Inputs and Assumptions'!$H$11="Bridge", C361&lt;='Inputs and Assumptions'!$D$14),'Inputs and Assumptions'!$D$40/'Inputs and Assumptions'!$D$14, 0)</f>
        <v>0</v>
      </c>
      <c r="L361" s="74">
        <f t="shared" si="29"/>
        <v>11303033.3701149</v>
      </c>
    </row>
    <row r="362" spans="3:12">
      <c r="C362" s="20">
        <v>346</v>
      </c>
      <c r="D362" s="813">
        <f>IF(AND('Inputs and Assumptions'!$H$11="Bridge",'Debt Sizing'!$O$64="1 Mo Term SOFR"),IFERROR(INDEX('1 Month Term SOFR Forward Curve'!$D$5:$D$125,MATCH('Amo Schedule - Senior'!C362,'1 Month Term SOFR Forward Curve'!$C$5:$C$125,0))+$E$8,'Amo Schedule - Senior'!D361),'Amo Schedule - Senior'!$E$8)</f>
        <v>4.2300000000000004E-2</v>
      </c>
      <c r="E362" s="73">
        <f t="shared" si="26"/>
        <v>11303033.3701149</v>
      </c>
      <c r="F362" s="73">
        <f t="shared" si="27"/>
        <v>39843.19262965503</v>
      </c>
      <c r="G362" s="73"/>
      <c r="H362" s="73">
        <f t="shared" si="25"/>
        <v>131926.21716484058</v>
      </c>
      <c r="I362" s="73">
        <v>0</v>
      </c>
      <c r="J362" s="73">
        <f t="shared" si="28"/>
        <v>171769.40979449562</v>
      </c>
      <c r="K362" s="73">
        <f>IF(AND('Inputs and Assumptions'!$H$11="Bridge", C362&lt;='Inputs and Assumptions'!$D$14),'Inputs and Assumptions'!$D$40/'Inputs and Assumptions'!$D$14, 0)</f>
        <v>0</v>
      </c>
      <c r="L362" s="74">
        <f t="shared" si="29"/>
        <v>11171107.15295006</v>
      </c>
    </row>
    <row r="363" spans="3:12">
      <c r="C363" s="20">
        <v>347</v>
      </c>
      <c r="D363" s="813">
        <f>IF(AND('Inputs and Assumptions'!$H$11="Bridge",'Debt Sizing'!$O$64="1 Mo Term SOFR"),IFERROR(INDEX('1 Month Term SOFR Forward Curve'!$D$5:$D$125,MATCH('Amo Schedule - Senior'!C363,'1 Month Term SOFR Forward Curve'!$C$5:$C$125,0))+$E$8,'Amo Schedule - Senior'!D362),'Amo Schedule - Senior'!$E$8)</f>
        <v>4.2300000000000004E-2</v>
      </c>
      <c r="E363" s="73">
        <f t="shared" si="26"/>
        <v>11171107.15295006</v>
      </c>
      <c r="F363" s="73">
        <f t="shared" si="27"/>
        <v>39378.152714148964</v>
      </c>
      <c r="G363" s="73"/>
      <c r="H363" s="73">
        <f t="shared" si="25"/>
        <v>132391.25708034664</v>
      </c>
      <c r="I363" s="73">
        <v>0</v>
      </c>
      <c r="J363" s="73">
        <f t="shared" si="28"/>
        <v>171769.40979449562</v>
      </c>
      <c r="K363" s="73">
        <f>IF(AND('Inputs and Assumptions'!$H$11="Bridge", C363&lt;='Inputs and Assumptions'!$D$14),'Inputs and Assumptions'!$D$40/'Inputs and Assumptions'!$D$14, 0)</f>
        <v>0</v>
      </c>
      <c r="L363" s="74">
        <f t="shared" si="29"/>
        <v>11038715.895869713</v>
      </c>
    </row>
    <row r="364" spans="3:12">
      <c r="C364" s="20">
        <v>348</v>
      </c>
      <c r="D364" s="813">
        <f>IF(AND('Inputs and Assumptions'!$H$11="Bridge",'Debt Sizing'!$O$64="1 Mo Term SOFR"),IFERROR(INDEX('1 Month Term SOFR Forward Curve'!$D$5:$D$125,MATCH('Amo Schedule - Senior'!C364,'1 Month Term SOFR Forward Curve'!$C$5:$C$125,0))+$E$8,'Amo Schedule - Senior'!D363),'Amo Schedule - Senior'!$E$8)</f>
        <v>4.2300000000000004E-2</v>
      </c>
      <c r="E364" s="73">
        <f t="shared" si="26"/>
        <v>11038715.895869713</v>
      </c>
      <c r="F364" s="73">
        <f t="shared" si="27"/>
        <v>38911.473532940741</v>
      </c>
      <c r="G364" s="73"/>
      <c r="H364" s="73">
        <f t="shared" si="25"/>
        <v>132857.93626155489</v>
      </c>
      <c r="I364" s="73">
        <v>0</v>
      </c>
      <c r="J364" s="73">
        <f t="shared" si="28"/>
        <v>171769.40979449562</v>
      </c>
      <c r="K364" s="73">
        <f>IF(AND('Inputs and Assumptions'!$H$11="Bridge", C364&lt;='Inputs and Assumptions'!$D$14),'Inputs and Assumptions'!$D$40/'Inputs and Assumptions'!$D$14, 0)</f>
        <v>0</v>
      </c>
      <c r="L364" s="74">
        <f t="shared" si="29"/>
        <v>10905857.959608158</v>
      </c>
    </row>
    <row r="365" spans="3:12">
      <c r="C365" s="20">
        <v>349</v>
      </c>
      <c r="D365" s="813">
        <f>IF(AND('Inputs and Assumptions'!$H$11="Bridge",'Debt Sizing'!$O$64="1 Mo Term SOFR"),IFERROR(INDEX('1 Month Term SOFR Forward Curve'!$D$5:$D$125,MATCH('Amo Schedule - Senior'!C365,'1 Month Term SOFR Forward Curve'!$C$5:$C$125,0))+$E$8,'Amo Schedule - Senior'!D364),'Amo Schedule - Senior'!$E$8)</f>
        <v>4.2300000000000004E-2</v>
      </c>
      <c r="E365" s="73">
        <f t="shared" si="26"/>
        <v>10905857.959608158</v>
      </c>
      <c r="F365" s="73">
        <f t="shared" si="27"/>
        <v>38443.149307618762</v>
      </c>
      <c r="G365" s="73"/>
      <c r="H365" s="73">
        <f t="shared" si="25"/>
        <v>133326.26048687685</v>
      </c>
      <c r="I365" s="73">
        <v>0</v>
      </c>
      <c r="J365" s="73">
        <f t="shared" si="28"/>
        <v>171769.40979449562</v>
      </c>
      <c r="K365" s="73">
        <f>IF(AND('Inputs and Assumptions'!$H$11="Bridge", C365&lt;='Inputs and Assumptions'!$D$14),'Inputs and Assumptions'!$D$40/'Inputs and Assumptions'!$D$14, 0)</f>
        <v>0</v>
      </c>
      <c r="L365" s="74">
        <f t="shared" si="29"/>
        <v>10772531.699121282</v>
      </c>
    </row>
    <row r="366" spans="3:12">
      <c r="C366" s="20">
        <v>350</v>
      </c>
      <c r="D366" s="813">
        <f>IF(AND('Inputs and Assumptions'!$H$11="Bridge",'Debt Sizing'!$O$64="1 Mo Term SOFR"),IFERROR(INDEX('1 Month Term SOFR Forward Curve'!$D$5:$D$125,MATCH('Amo Schedule - Senior'!C366,'1 Month Term SOFR Forward Curve'!$C$5:$C$125,0))+$E$8,'Amo Schedule - Senior'!D365),'Amo Schedule - Senior'!$E$8)</f>
        <v>4.2300000000000004E-2</v>
      </c>
      <c r="E366" s="73">
        <f t="shared" si="26"/>
        <v>10772531.699121282</v>
      </c>
      <c r="F366" s="73">
        <f t="shared" si="27"/>
        <v>37973.17423940252</v>
      </c>
      <c r="G366" s="73"/>
      <c r="H366" s="73">
        <f t="shared" si="25"/>
        <v>133796.2355550931</v>
      </c>
      <c r="I366" s="73">
        <v>0</v>
      </c>
      <c r="J366" s="73">
        <f t="shared" si="28"/>
        <v>171769.40979449562</v>
      </c>
      <c r="K366" s="73">
        <f>IF(AND('Inputs and Assumptions'!$H$11="Bridge", C366&lt;='Inputs and Assumptions'!$D$14),'Inputs and Assumptions'!$D$40/'Inputs and Assumptions'!$D$14, 0)</f>
        <v>0</v>
      </c>
      <c r="L366" s="74">
        <f t="shared" si="29"/>
        <v>10638735.463566188</v>
      </c>
    </row>
    <row r="367" spans="3:12">
      <c r="C367" s="20">
        <v>351</v>
      </c>
      <c r="D367" s="813">
        <f>IF(AND('Inputs and Assumptions'!$H$11="Bridge",'Debt Sizing'!$O$64="1 Mo Term SOFR"),IFERROR(INDEX('1 Month Term SOFR Forward Curve'!$D$5:$D$125,MATCH('Amo Schedule - Senior'!C367,'1 Month Term SOFR Forward Curve'!$C$5:$C$125,0))+$E$8,'Amo Schedule - Senior'!D366),'Amo Schedule - Senior'!$E$8)</f>
        <v>4.2300000000000004E-2</v>
      </c>
      <c r="E367" s="73">
        <f t="shared" si="26"/>
        <v>10638735.463566188</v>
      </c>
      <c r="F367" s="73">
        <f t="shared" si="27"/>
        <v>37501.542509070816</v>
      </c>
      <c r="G367" s="73"/>
      <c r="H367" s="73">
        <f t="shared" si="25"/>
        <v>134267.86728542479</v>
      </c>
      <c r="I367" s="73">
        <v>0</v>
      </c>
      <c r="J367" s="73">
        <f t="shared" si="28"/>
        <v>171769.40979449562</v>
      </c>
      <c r="K367" s="73">
        <f>IF(AND('Inputs and Assumptions'!$H$11="Bridge", C367&lt;='Inputs and Assumptions'!$D$14),'Inputs and Assumptions'!$D$40/'Inputs and Assumptions'!$D$14, 0)</f>
        <v>0</v>
      </c>
      <c r="L367" s="74">
        <f t="shared" si="29"/>
        <v>10504467.596280763</v>
      </c>
    </row>
    <row r="368" spans="3:12">
      <c r="C368" s="20">
        <v>352</v>
      </c>
      <c r="D368" s="813">
        <f>IF(AND('Inputs and Assumptions'!$H$11="Bridge",'Debt Sizing'!$O$64="1 Mo Term SOFR"),IFERROR(INDEX('1 Month Term SOFR Forward Curve'!$D$5:$D$125,MATCH('Amo Schedule - Senior'!C368,'1 Month Term SOFR Forward Curve'!$C$5:$C$125,0))+$E$8,'Amo Schedule - Senior'!D367),'Amo Schedule - Senior'!$E$8)</f>
        <v>4.2300000000000004E-2</v>
      </c>
      <c r="E368" s="73">
        <f t="shared" si="26"/>
        <v>10504467.596280763</v>
      </c>
      <c r="F368" s="73">
        <f t="shared" si="27"/>
        <v>37028.248276889695</v>
      </c>
      <c r="G368" s="73"/>
      <c r="H368" s="73">
        <f t="shared" si="25"/>
        <v>134741.16151760591</v>
      </c>
      <c r="I368" s="73">
        <v>0</v>
      </c>
      <c r="J368" s="73">
        <f t="shared" si="28"/>
        <v>171769.40979449562</v>
      </c>
      <c r="K368" s="73">
        <f>IF(AND('Inputs and Assumptions'!$H$11="Bridge", C368&lt;='Inputs and Assumptions'!$D$14),'Inputs and Assumptions'!$D$40/'Inputs and Assumptions'!$D$14, 0)</f>
        <v>0</v>
      </c>
      <c r="L368" s="74">
        <f t="shared" si="29"/>
        <v>10369726.434763158</v>
      </c>
    </row>
    <row r="369" spans="3:12">
      <c r="C369" s="20">
        <v>353</v>
      </c>
      <c r="D369" s="813">
        <f>IF(AND('Inputs and Assumptions'!$H$11="Bridge",'Debt Sizing'!$O$64="1 Mo Term SOFR"),IFERROR(INDEX('1 Month Term SOFR Forward Curve'!$D$5:$D$125,MATCH('Amo Schedule - Senior'!C369,'1 Month Term SOFR Forward Curve'!$C$5:$C$125,0))+$E$8,'Amo Schedule - Senior'!D368),'Amo Schedule - Senior'!$E$8)</f>
        <v>4.2300000000000004E-2</v>
      </c>
      <c r="E369" s="73">
        <f t="shared" si="26"/>
        <v>10369726.434763158</v>
      </c>
      <c r="F369" s="73">
        <f t="shared" si="27"/>
        <v>36553.285682540132</v>
      </c>
      <c r="G369" s="73"/>
      <c r="H369" s="73">
        <f t="shared" si="25"/>
        <v>135216.12411195549</v>
      </c>
      <c r="I369" s="73">
        <v>0</v>
      </c>
      <c r="J369" s="73">
        <f t="shared" si="28"/>
        <v>171769.40979449562</v>
      </c>
      <c r="K369" s="73">
        <f>IF(AND('Inputs and Assumptions'!$H$11="Bridge", C369&lt;='Inputs and Assumptions'!$D$14),'Inputs and Assumptions'!$D$40/'Inputs and Assumptions'!$D$14, 0)</f>
        <v>0</v>
      </c>
      <c r="L369" s="74">
        <f t="shared" si="29"/>
        <v>10234510.310651202</v>
      </c>
    </row>
    <row r="370" spans="3:12">
      <c r="C370" s="20">
        <v>354</v>
      </c>
      <c r="D370" s="813">
        <f>IF(AND('Inputs and Assumptions'!$H$11="Bridge",'Debt Sizing'!$O$64="1 Mo Term SOFR"),IFERROR(INDEX('1 Month Term SOFR Forward Curve'!$D$5:$D$125,MATCH('Amo Schedule - Senior'!C370,'1 Month Term SOFR Forward Curve'!$C$5:$C$125,0))+$E$8,'Amo Schedule - Senior'!D369),'Amo Schedule - Senior'!$E$8)</f>
        <v>4.2300000000000004E-2</v>
      </c>
      <c r="E370" s="73">
        <f t="shared" si="26"/>
        <v>10234510.310651202</v>
      </c>
      <c r="F370" s="73">
        <f t="shared" si="27"/>
        <v>36076.648845045493</v>
      </c>
      <c r="G370" s="73"/>
      <c r="H370" s="73">
        <f t="shared" si="25"/>
        <v>135692.76094945014</v>
      </c>
      <c r="I370" s="73">
        <v>0</v>
      </c>
      <c r="J370" s="73">
        <f t="shared" si="28"/>
        <v>171769.40979449562</v>
      </c>
      <c r="K370" s="73">
        <f>IF(AND('Inputs and Assumptions'!$H$11="Bridge", C370&lt;='Inputs and Assumptions'!$D$14),'Inputs and Assumptions'!$D$40/'Inputs and Assumptions'!$D$14, 0)</f>
        <v>0</v>
      </c>
      <c r="L370" s="74">
        <f t="shared" si="29"/>
        <v>10098817.549701752</v>
      </c>
    </row>
    <row r="371" spans="3:12">
      <c r="C371" s="20">
        <v>355</v>
      </c>
      <c r="D371" s="813">
        <f>IF(AND('Inputs and Assumptions'!$H$11="Bridge",'Debt Sizing'!$O$64="1 Mo Term SOFR"),IFERROR(INDEX('1 Month Term SOFR Forward Curve'!$D$5:$D$125,MATCH('Amo Schedule - Senior'!C371,'1 Month Term SOFR Forward Curve'!$C$5:$C$125,0))+$E$8,'Amo Schedule - Senior'!D370),'Amo Schedule - Senior'!$E$8)</f>
        <v>4.2300000000000004E-2</v>
      </c>
      <c r="E371" s="73">
        <f t="shared" si="26"/>
        <v>10098817.549701752</v>
      </c>
      <c r="F371" s="73">
        <f t="shared" si="27"/>
        <v>35598.33186269868</v>
      </c>
      <c r="G371" s="73"/>
      <c r="H371" s="73">
        <f t="shared" si="25"/>
        <v>136171.07793179693</v>
      </c>
      <c r="I371" s="73">
        <v>0</v>
      </c>
      <c r="J371" s="73">
        <f t="shared" si="28"/>
        <v>171769.40979449562</v>
      </c>
      <c r="K371" s="73">
        <f>IF(AND('Inputs and Assumptions'!$H$11="Bridge", C371&lt;='Inputs and Assumptions'!$D$14),'Inputs and Assumptions'!$D$40/'Inputs and Assumptions'!$D$14, 0)</f>
        <v>0</v>
      </c>
      <c r="L371" s="74">
        <f t="shared" si="29"/>
        <v>9962646.471769955</v>
      </c>
    </row>
    <row r="372" spans="3:12">
      <c r="C372" s="20">
        <v>356</v>
      </c>
      <c r="D372" s="813">
        <f>IF(AND('Inputs and Assumptions'!$H$11="Bridge",'Debt Sizing'!$O$64="1 Mo Term SOFR"),IFERROR(INDEX('1 Month Term SOFR Forward Curve'!$D$5:$D$125,MATCH('Amo Schedule - Senior'!C372,'1 Month Term SOFR Forward Curve'!$C$5:$C$125,0))+$E$8,'Amo Schedule - Senior'!D371),'Amo Schedule - Senior'!$E$8)</f>
        <v>4.2300000000000004E-2</v>
      </c>
      <c r="E372" s="73">
        <f t="shared" si="26"/>
        <v>9962646.471769955</v>
      </c>
      <c r="F372" s="73">
        <f t="shared" si="27"/>
        <v>35118.328812989093</v>
      </c>
      <c r="G372" s="73"/>
      <c r="H372" s="73">
        <f t="shared" si="25"/>
        <v>136651.08098150653</v>
      </c>
      <c r="I372" s="73">
        <v>0</v>
      </c>
      <c r="J372" s="73">
        <f t="shared" si="28"/>
        <v>171769.40979449562</v>
      </c>
      <c r="K372" s="73">
        <f>IF(AND('Inputs and Assumptions'!$H$11="Bridge", C372&lt;='Inputs and Assumptions'!$D$14),'Inputs and Assumptions'!$D$40/'Inputs and Assumptions'!$D$14, 0)</f>
        <v>0</v>
      </c>
      <c r="L372" s="74">
        <f t="shared" si="29"/>
        <v>9825995.390788449</v>
      </c>
    </row>
    <row r="373" spans="3:12">
      <c r="C373" s="20">
        <v>357</v>
      </c>
      <c r="D373" s="813">
        <f>IF(AND('Inputs and Assumptions'!$H$11="Bridge",'Debt Sizing'!$O$64="1 Mo Term SOFR"),IFERROR(INDEX('1 Month Term SOFR Forward Curve'!$D$5:$D$125,MATCH('Amo Schedule - Senior'!C373,'1 Month Term SOFR Forward Curve'!$C$5:$C$125,0))+$E$8,'Amo Schedule - Senior'!D372),'Amo Schedule - Senior'!$E$8)</f>
        <v>4.2300000000000004E-2</v>
      </c>
      <c r="E373" s="73">
        <f t="shared" si="26"/>
        <v>9825995.390788449</v>
      </c>
      <c r="F373" s="73">
        <f t="shared" si="27"/>
        <v>34636.633752529284</v>
      </c>
      <c r="G373" s="73"/>
      <c r="H373" s="73">
        <f t="shared" si="25"/>
        <v>137132.77604196634</v>
      </c>
      <c r="I373" s="73">
        <v>0</v>
      </c>
      <c r="J373" s="73">
        <f t="shared" si="28"/>
        <v>171769.40979449562</v>
      </c>
      <c r="K373" s="73">
        <f>IF(AND('Inputs and Assumptions'!$H$11="Bridge", C373&lt;='Inputs and Assumptions'!$D$14),'Inputs and Assumptions'!$D$40/'Inputs and Assumptions'!$D$14, 0)</f>
        <v>0</v>
      </c>
      <c r="L373" s="74">
        <f t="shared" si="29"/>
        <v>9688862.614746483</v>
      </c>
    </row>
    <row r="374" spans="3:12">
      <c r="C374" s="20">
        <v>358</v>
      </c>
      <c r="D374" s="813">
        <f>IF(AND('Inputs and Assumptions'!$H$11="Bridge",'Debt Sizing'!$O$64="1 Mo Term SOFR"),IFERROR(INDEX('1 Month Term SOFR Forward Curve'!$D$5:$D$125,MATCH('Amo Schedule - Senior'!C374,'1 Month Term SOFR Forward Curve'!$C$5:$C$125,0))+$E$8,'Amo Schedule - Senior'!D373),'Amo Schedule - Senior'!$E$8)</f>
        <v>4.2300000000000004E-2</v>
      </c>
      <c r="E374" s="73">
        <f t="shared" si="26"/>
        <v>9688862.614746483</v>
      </c>
      <c r="F374" s="73">
        <f t="shared" si="27"/>
        <v>34153.24071698136</v>
      </c>
      <c r="G374" s="73"/>
      <c r="H374" s="73">
        <f t="shared" si="25"/>
        <v>137616.16907751426</v>
      </c>
      <c r="I374" s="73">
        <v>0</v>
      </c>
      <c r="J374" s="73">
        <f t="shared" si="28"/>
        <v>171769.40979449562</v>
      </c>
      <c r="K374" s="73">
        <f>IF(AND('Inputs and Assumptions'!$H$11="Bridge", C374&lt;='Inputs and Assumptions'!$D$14),'Inputs and Assumptions'!$D$40/'Inputs and Assumptions'!$D$14, 0)</f>
        <v>0</v>
      </c>
      <c r="L374" s="74">
        <f t="shared" si="29"/>
        <v>9551246.4456689693</v>
      </c>
    </row>
    <row r="375" spans="3:12">
      <c r="C375" s="20">
        <v>359</v>
      </c>
      <c r="D375" s="813">
        <f>IF(AND('Inputs and Assumptions'!$H$11="Bridge",'Debt Sizing'!$O$64="1 Mo Term SOFR"),IFERROR(INDEX('1 Month Term SOFR Forward Curve'!$D$5:$D$125,MATCH('Amo Schedule - Senior'!C375,'1 Month Term SOFR Forward Curve'!$C$5:$C$125,0))+$E$8,'Amo Schedule - Senior'!D374),'Amo Schedule - Senior'!$E$8)</f>
        <v>4.2300000000000004E-2</v>
      </c>
      <c r="E375" s="73">
        <f t="shared" si="26"/>
        <v>9551246.4456689693</v>
      </c>
      <c r="F375" s="73">
        <f t="shared" si="27"/>
        <v>33668.14372098312</v>
      </c>
      <c r="G375" s="73"/>
      <c r="H375" s="73">
        <f t="shared" si="25"/>
        <v>138101.2660735125</v>
      </c>
      <c r="I375" s="73">
        <v>0</v>
      </c>
      <c r="J375" s="73">
        <f t="shared" si="28"/>
        <v>171769.40979449562</v>
      </c>
      <c r="K375" s="73">
        <f>IF(AND('Inputs and Assumptions'!$H$11="Bridge", C375&lt;='Inputs and Assumptions'!$D$14),'Inputs and Assumptions'!$D$40/'Inputs and Assumptions'!$D$14, 0)</f>
        <v>0</v>
      </c>
      <c r="L375" s="74">
        <f t="shared" si="29"/>
        <v>9413145.1795954574</v>
      </c>
    </row>
    <row r="376" spans="3:12">
      <c r="C376" s="20">
        <v>360</v>
      </c>
      <c r="D376" s="813">
        <f>IF(AND('Inputs and Assumptions'!$H$11="Bridge",'Debt Sizing'!$O$64="1 Mo Term SOFR"),IFERROR(INDEX('1 Month Term SOFR Forward Curve'!$D$5:$D$125,MATCH('Amo Schedule - Senior'!C376,'1 Month Term SOFR Forward Curve'!$C$5:$C$125,0))+$E$8,'Amo Schedule - Senior'!D375),'Amo Schedule - Senior'!$E$8)</f>
        <v>4.2300000000000004E-2</v>
      </c>
      <c r="E376" s="73">
        <f t="shared" si="26"/>
        <v>9413145.1795954574</v>
      </c>
      <c r="F376" s="73">
        <f t="shared" si="27"/>
        <v>33181.336758073994</v>
      </c>
      <c r="G376" s="73"/>
      <c r="H376" s="73">
        <f t="shared" si="25"/>
        <v>138588.07303642161</v>
      </c>
      <c r="I376" s="73">
        <v>0</v>
      </c>
      <c r="J376" s="73">
        <f t="shared" si="28"/>
        <v>171769.40979449562</v>
      </c>
      <c r="K376" s="73">
        <f>IF(AND('Inputs and Assumptions'!$H$11="Bridge", C376&lt;='Inputs and Assumptions'!$D$14),'Inputs and Assumptions'!$D$40/'Inputs and Assumptions'!$D$14, 0)</f>
        <v>0</v>
      </c>
      <c r="L376" s="74">
        <f t="shared" si="29"/>
        <v>9274557.1065590363</v>
      </c>
    </row>
    <row r="377" spans="3:12">
      <c r="E377" s="42"/>
      <c r="F377" s="42"/>
      <c r="G377" s="42"/>
      <c r="H377" s="42"/>
      <c r="I377" s="42"/>
      <c r="J377" s="42"/>
      <c r="K377" s="42"/>
      <c r="L377" s="42"/>
    </row>
    <row r="378" spans="3:12">
      <c r="F378" s="67"/>
      <c r="H378" s="67"/>
    </row>
    <row r="380" spans="3:12">
      <c r="J380" s="68"/>
      <c r="K380" s="68"/>
    </row>
    <row r="381" spans="3:12">
      <c r="J381" s="69"/>
      <c r="K381" s="69"/>
    </row>
    <row r="382" spans="3:12">
      <c r="J382" s="68"/>
      <c r="K382" s="68"/>
    </row>
  </sheetData>
  <printOptions horizontalCentered="1"/>
  <pageMargins left="0.5" right="0.5" top="0.75" bottom="1" header="0.5" footer="0.5"/>
  <pageSetup scale="87"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theme="9" tint="-0.249977111117893"/>
  </sheetPr>
  <dimension ref="A1:J380"/>
  <sheetViews>
    <sheetView workbookViewId="0">
      <selection activeCell="H70" sqref="H70"/>
    </sheetView>
  </sheetViews>
  <sheetFormatPr defaultColWidth="8.81640625" defaultRowHeight="13" outlineLevelRow="1"/>
  <cols>
    <col min="1" max="1" width="8.81640625" style="20"/>
    <col min="2" max="2" width="2" style="20" customWidth="1"/>
    <col min="3" max="3" width="9" style="20" customWidth="1"/>
    <col min="4" max="4" width="15.1796875" style="20" customWidth="1"/>
    <col min="5" max="5" width="14.7265625" style="20" customWidth="1"/>
    <col min="6" max="6" width="2.26953125" style="20" customWidth="1"/>
    <col min="7" max="7" width="22.26953125" style="20" customWidth="1"/>
    <col min="8" max="9" width="14.7265625" style="20" customWidth="1"/>
    <col min="10" max="10" width="18.1796875" style="20" customWidth="1"/>
    <col min="11" max="16384" width="8.81640625" style="20"/>
  </cols>
  <sheetData>
    <row r="1" spans="1:10" s="19" customFormat="1" ht="18.5">
      <c r="B1" s="19" t="s">
        <v>195</v>
      </c>
    </row>
    <row r="3" spans="1:10">
      <c r="B3" s="21"/>
      <c r="C3" s="21"/>
      <c r="D3" s="22"/>
      <c r="E3" s="22"/>
      <c r="F3" s="22"/>
    </row>
    <row r="4" spans="1:10" ht="15.75" customHeight="1">
      <c r="B4" s="21"/>
      <c r="C4" s="23" t="s">
        <v>210</v>
      </c>
      <c r="D4" s="24"/>
      <c r="E4" s="71" t="str">
        <f>'Inputs and Assumptions'!L9</f>
        <v>NA</v>
      </c>
      <c r="F4" s="21"/>
      <c r="G4" s="25"/>
      <c r="H4" s="25"/>
      <c r="I4" s="26"/>
      <c r="J4" s="26"/>
    </row>
    <row r="5" spans="1:10">
      <c r="B5" s="21"/>
      <c r="C5" s="23" t="s">
        <v>198</v>
      </c>
      <c r="D5" s="24"/>
      <c r="E5" s="71" t="str">
        <f>'Inputs and Assumptions'!L13</f>
        <v>NA</v>
      </c>
      <c r="F5" s="27"/>
      <c r="G5" s="28"/>
      <c r="H5" s="29"/>
      <c r="I5" s="30"/>
      <c r="J5" s="26"/>
    </row>
    <row r="6" spans="1:10" ht="13.5" customHeight="1">
      <c r="B6" s="21"/>
      <c r="C6" s="23" t="s">
        <v>131</v>
      </c>
      <c r="D6" s="24"/>
      <c r="E6" s="70">
        <f>'Inputs and Assumptions'!L15</f>
        <v>0</v>
      </c>
      <c r="F6" s="31"/>
      <c r="G6" s="32"/>
      <c r="H6" s="33"/>
      <c r="I6" s="30"/>
      <c r="J6" s="34"/>
    </row>
    <row r="7" spans="1:10">
      <c r="B7" s="21"/>
      <c r="C7" s="23" t="s">
        <v>50</v>
      </c>
      <c r="D7" s="24"/>
      <c r="E7" s="35">
        <f>'Inputs and Assumptions'!L16</f>
        <v>0</v>
      </c>
      <c r="F7" s="31"/>
      <c r="G7" s="32"/>
      <c r="H7" s="33"/>
      <c r="I7" s="30"/>
      <c r="J7" s="34"/>
    </row>
    <row r="8" spans="1:10">
      <c r="B8" s="21"/>
      <c r="C8" s="23" t="s">
        <v>51</v>
      </c>
      <c r="D8" s="24"/>
      <c r="E8" s="72">
        <f>'Inputs and Assumptions'!L17</f>
        <v>0</v>
      </c>
      <c r="F8" s="27"/>
      <c r="G8" s="36"/>
      <c r="H8" s="26"/>
      <c r="I8" s="30"/>
      <c r="J8" s="37"/>
    </row>
    <row r="9" spans="1:10">
      <c r="B9" s="21"/>
      <c r="C9" s="23" t="s">
        <v>200</v>
      </c>
      <c r="D9" s="24"/>
      <c r="E9" s="38" t="e">
        <f>-PMT(E6/12,E8,E5)</f>
        <v>#VALUE!</v>
      </c>
      <c r="F9" s="22"/>
      <c r="G9" s="39"/>
      <c r="H9" s="40"/>
      <c r="I9" s="41"/>
      <c r="J9" s="26"/>
    </row>
    <row r="10" spans="1:10">
      <c r="B10" s="21"/>
      <c r="C10" s="23" t="s">
        <v>201</v>
      </c>
      <c r="D10" s="24"/>
      <c r="E10" s="38" t="e">
        <f>E5*(E6/12)</f>
        <v>#VALUE!</v>
      </c>
      <c r="F10" s="22"/>
      <c r="G10" s="39"/>
      <c r="H10" s="40"/>
      <c r="I10" s="41"/>
      <c r="J10" s="26"/>
    </row>
    <row r="11" spans="1:10">
      <c r="B11" s="21"/>
      <c r="C11" s="23"/>
      <c r="D11" s="24"/>
      <c r="E11" s="38"/>
      <c r="F11" s="22"/>
      <c r="G11" s="39"/>
      <c r="H11" s="40"/>
      <c r="I11" s="41"/>
      <c r="J11" s="26"/>
    </row>
    <row r="12" spans="1:10">
      <c r="B12" s="21"/>
      <c r="C12" s="21"/>
      <c r="D12" s="22"/>
      <c r="E12" s="22"/>
      <c r="F12" s="22"/>
      <c r="G12" s="42"/>
      <c r="H12" s="42"/>
      <c r="I12" s="43"/>
      <c r="J12" s="43"/>
    </row>
    <row r="13" spans="1:10">
      <c r="D13" s="42"/>
      <c r="E13" s="42"/>
      <c r="F13" s="42"/>
      <c r="G13" s="42"/>
      <c r="H13" s="42"/>
      <c r="I13" s="43"/>
      <c r="J13" s="43"/>
    </row>
    <row r="14" spans="1:10" s="47" customFormat="1">
      <c r="A14" s="44" t="s">
        <v>202</v>
      </c>
      <c r="B14" s="44"/>
      <c r="C14" s="44" t="s">
        <v>203</v>
      </c>
      <c r="D14" s="45" t="s">
        <v>204</v>
      </c>
      <c r="E14" s="45" t="s">
        <v>205</v>
      </c>
      <c r="F14" s="45"/>
      <c r="G14" s="45" t="s">
        <v>206</v>
      </c>
      <c r="H14" s="45" t="s">
        <v>211</v>
      </c>
      <c r="I14" s="45" t="s">
        <v>208</v>
      </c>
      <c r="J14" s="46" t="s">
        <v>209</v>
      </c>
    </row>
    <row r="15" spans="1:10">
      <c r="A15" s="20">
        <v>1</v>
      </c>
      <c r="C15" s="20">
        <v>1</v>
      </c>
      <c r="D15" s="43" t="str">
        <f>E5</f>
        <v>NA</v>
      </c>
      <c r="E15" s="42" t="e">
        <f t="shared" ref="E15:E78" si="0">D15*($E$6/12)</f>
        <v>#VALUE!</v>
      </c>
      <c r="F15" s="42"/>
      <c r="G15" s="42" t="e">
        <f t="shared" ref="G15:G78" si="1">+I15-H15-E15</f>
        <v>#VALUE!</v>
      </c>
      <c r="H15" s="42">
        <v>0</v>
      </c>
      <c r="I15" s="42" t="e">
        <f t="shared" ref="I15:I78" si="2">IF(C15&lt;=$E$7,E15,$E$9)</f>
        <v>#VALUE!</v>
      </c>
      <c r="J15" s="48" t="e">
        <f t="shared" ref="J15:J78" si="3">D15-G15-H15</f>
        <v>#VALUE!</v>
      </c>
    </row>
    <row r="16" spans="1:10">
      <c r="A16" s="20">
        <v>1</v>
      </c>
      <c r="C16" s="20">
        <v>2</v>
      </c>
      <c r="D16" s="42" t="e">
        <f t="shared" ref="D16:D79" si="4">J15</f>
        <v>#VALUE!</v>
      </c>
      <c r="E16" s="42" t="e">
        <f t="shared" si="0"/>
        <v>#VALUE!</v>
      </c>
      <c r="F16" s="42"/>
      <c r="G16" s="42" t="e">
        <f t="shared" si="1"/>
        <v>#VALUE!</v>
      </c>
      <c r="H16" s="42">
        <f t="shared" ref="H16:H79" si="5">+H15</f>
        <v>0</v>
      </c>
      <c r="I16" s="42" t="e">
        <f t="shared" si="2"/>
        <v>#VALUE!</v>
      </c>
      <c r="J16" s="48" t="e">
        <f t="shared" si="3"/>
        <v>#VALUE!</v>
      </c>
    </row>
    <row r="17" spans="1:10">
      <c r="A17" s="20">
        <v>1</v>
      </c>
      <c r="C17" s="20">
        <v>3</v>
      </c>
      <c r="D17" s="42" t="e">
        <f t="shared" si="4"/>
        <v>#VALUE!</v>
      </c>
      <c r="E17" s="42" t="e">
        <f t="shared" si="0"/>
        <v>#VALUE!</v>
      </c>
      <c r="F17" s="42"/>
      <c r="G17" s="42" t="e">
        <f t="shared" si="1"/>
        <v>#VALUE!</v>
      </c>
      <c r="H17" s="42">
        <f t="shared" si="5"/>
        <v>0</v>
      </c>
      <c r="I17" s="42" t="e">
        <f t="shared" si="2"/>
        <v>#VALUE!</v>
      </c>
      <c r="J17" s="48" t="e">
        <f t="shared" si="3"/>
        <v>#VALUE!</v>
      </c>
    </row>
    <row r="18" spans="1:10">
      <c r="A18" s="20">
        <v>1</v>
      </c>
      <c r="C18" s="20">
        <v>4</v>
      </c>
      <c r="D18" s="42" t="e">
        <f t="shared" si="4"/>
        <v>#VALUE!</v>
      </c>
      <c r="E18" s="42" t="e">
        <f t="shared" si="0"/>
        <v>#VALUE!</v>
      </c>
      <c r="F18" s="42"/>
      <c r="G18" s="42" t="e">
        <f t="shared" si="1"/>
        <v>#VALUE!</v>
      </c>
      <c r="H18" s="42">
        <f t="shared" si="5"/>
        <v>0</v>
      </c>
      <c r="I18" s="42" t="e">
        <f t="shared" si="2"/>
        <v>#VALUE!</v>
      </c>
      <c r="J18" s="48" t="e">
        <f t="shared" si="3"/>
        <v>#VALUE!</v>
      </c>
    </row>
    <row r="19" spans="1:10">
      <c r="A19" s="20">
        <v>1</v>
      </c>
      <c r="C19" s="20">
        <v>5</v>
      </c>
      <c r="D19" s="42" t="e">
        <f t="shared" si="4"/>
        <v>#VALUE!</v>
      </c>
      <c r="E19" s="42" t="e">
        <f t="shared" si="0"/>
        <v>#VALUE!</v>
      </c>
      <c r="F19" s="42"/>
      <c r="G19" s="42" t="e">
        <f t="shared" si="1"/>
        <v>#VALUE!</v>
      </c>
      <c r="H19" s="42">
        <f t="shared" si="5"/>
        <v>0</v>
      </c>
      <c r="I19" s="42" t="e">
        <f t="shared" si="2"/>
        <v>#VALUE!</v>
      </c>
      <c r="J19" s="48" t="e">
        <f t="shared" si="3"/>
        <v>#VALUE!</v>
      </c>
    </row>
    <row r="20" spans="1:10">
      <c r="A20" s="20">
        <v>1</v>
      </c>
      <c r="C20" s="20">
        <v>6</v>
      </c>
      <c r="D20" s="42" t="e">
        <f t="shared" si="4"/>
        <v>#VALUE!</v>
      </c>
      <c r="E20" s="42" t="e">
        <f t="shared" si="0"/>
        <v>#VALUE!</v>
      </c>
      <c r="F20" s="42"/>
      <c r="G20" s="42" t="e">
        <f t="shared" si="1"/>
        <v>#VALUE!</v>
      </c>
      <c r="H20" s="42">
        <f t="shared" si="5"/>
        <v>0</v>
      </c>
      <c r="I20" s="42" t="e">
        <f t="shared" si="2"/>
        <v>#VALUE!</v>
      </c>
      <c r="J20" s="48" t="e">
        <f t="shared" si="3"/>
        <v>#VALUE!</v>
      </c>
    </row>
    <row r="21" spans="1:10">
      <c r="A21" s="20">
        <v>1</v>
      </c>
      <c r="C21" s="20">
        <v>7</v>
      </c>
      <c r="D21" s="42" t="e">
        <f t="shared" si="4"/>
        <v>#VALUE!</v>
      </c>
      <c r="E21" s="42" t="e">
        <f t="shared" si="0"/>
        <v>#VALUE!</v>
      </c>
      <c r="F21" s="42"/>
      <c r="G21" s="42" t="e">
        <f t="shared" si="1"/>
        <v>#VALUE!</v>
      </c>
      <c r="H21" s="42">
        <f t="shared" si="5"/>
        <v>0</v>
      </c>
      <c r="I21" s="42" t="e">
        <f t="shared" si="2"/>
        <v>#VALUE!</v>
      </c>
      <c r="J21" s="48" t="e">
        <f t="shared" si="3"/>
        <v>#VALUE!</v>
      </c>
    </row>
    <row r="22" spans="1:10">
      <c r="A22" s="20">
        <v>1</v>
      </c>
      <c r="C22" s="20">
        <v>8</v>
      </c>
      <c r="D22" s="42" t="e">
        <f t="shared" si="4"/>
        <v>#VALUE!</v>
      </c>
      <c r="E22" s="42" t="e">
        <f t="shared" si="0"/>
        <v>#VALUE!</v>
      </c>
      <c r="F22" s="42"/>
      <c r="G22" s="42" t="e">
        <f t="shared" si="1"/>
        <v>#VALUE!</v>
      </c>
      <c r="H22" s="42">
        <f t="shared" si="5"/>
        <v>0</v>
      </c>
      <c r="I22" s="42" t="e">
        <f t="shared" si="2"/>
        <v>#VALUE!</v>
      </c>
      <c r="J22" s="48" t="e">
        <f t="shared" si="3"/>
        <v>#VALUE!</v>
      </c>
    </row>
    <row r="23" spans="1:10">
      <c r="A23" s="20">
        <v>1</v>
      </c>
      <c r="C23" s="20">
        <v>9</v>
      </c>
      <c r="D23" s="42" t="e">
        <f t="shared" si="4"/>
        <v>#VALUE!</v>
      </c>
      <c r="E23" s="42" t="e">
        <f t="shared" si="0"/>
        <v>#VALUE!</v>
      </c>
      <c r="F23" s="42"/>
      <c r="G23" s="42" t="e">
        <f t="shared" si="1"/>
        <v>#VALUE!</v>
      </c>
      <c r="H23" s="42">
        <f t="shared" si="5"/>
        <v>0</v>
      </c>
      <c r="I23" s="42" t="e">
        <f t="shared" si="2"/>
        <v>#VALUE!</v>
      </c>
      <c r="J23" s="48" t="e">
        <f t="shared" si="3"/>
        <v>#VALUE!</v>
      </c>
    </row>
    <row r="24" spans="1:10">
      <c r="A24" s="20">
        <v>1</v>
      </c>
      <c r="C24" s="20">
        <v>10</v>
      </c>
      <c r="D24" s="42" t="e">
        <f t="shared" si="4"/>
        <v>#VALUE!</v>
      </c>
      <c r="E24" s="42" t="e">
        <f t="shared" si="0"/>
        <v>#VALUE!</v>
      </c>
      <c r="F24" s="42"/>
      <c r="G24" s="42" t="e">
        <f t="shared" si="1"/>
        <v>#VALUE!</v>
      </c>
      <c r="H24" s="42">
        <f t="shared" si="5"/>
        <v>0</v>
      </c>
      <c r="I24" s="42" t="e">
        <f t="shared" si="2"/>
        <v>#VALUE!</v>
      </c>
      <c r="J24" s="48" t="e">
        <f t="shared" si="3"/>
        <v>#VALUE!</v>
      </c>
    </row>
    <row r="25" spans="1:10">
      <c r="A25" s="20">
        <v>1</v>
      </c>
      <c r="C25" s="20">
        <v>11</v>
      </c>
      <c r="D25" s="42" t="e">
        <f t="shared" si="4"/>
        <v>#VALUE!</v>
      </c>
      <c r="E25" s="42" t="e">
        <f t="shared" si="0"/>
        <v>#VALUE!</v>
      </c>
      <c r="F25" s="42"/>
      <c r="G25" s="42" t="e">
        <f t="shared" si="1"/>
        <v>#VALUE!</v>
      </c>
      <c r="H25" s="42">
        <f t="shared" si="5"/>
        <v>0</v>
      </c>
      <c r="I25" s="42" t="e">
        <f t="shared" si="2"/>
        <v>#VALUE!</v>
      </c>
      <c r="J25" s="48" t="e">
        <f t="shared" si="3"/>
        <v>#VALUE!</v>
      </c>
    </row>
    <row r="26" spans="1:10">
      <c r="A26" s="20">
        <v>1</v>
      </c>
      <c r="C26" s="49">
        <v>12</v>
      </c>
      <c r="D26" s="50" t="e">
        <f t="shared" si="4"/>
        <v>#VALUE!</v>
      </c>
      <c r="E26" s="50" t="e">
        <f t="shared" si="0"/>
        <v>#VALUE!</v>
      </c>
      <c r="F26" s="50"/>
      <c r="G26" s="50" t="e">
        <f t="shared" si="1"/>
        <v>#VALUE!</v>
      </c>
      <c r="H26" s="50">
        <f t="shared" si="5"/>
        <v>0</v>
      </c>
      <c r="I26" s="50" t="e">
        <f t="shared" si="2"/>
        <v>#VALUE!</v>
      </c>
      <c r="J26" s="51" t="e">
        <f t="shared" si="3"/>
        <v>#VALUE!</v>
      </c>
    </row>
    <row r="27" spans="1:10" ht="12.75" customHeight="1" outlineLevel="1">
      <c r="A27" s="20">
        <v>2</v>
      </c>
      <c r="C27" s="20">
        <v>13</v>
      </c>
      <c r="D27" s="42" t="e">
        <f t="shared" si="4"/>
        <v>#VALUE!</v>
      </c>
      <c r="E27" s="42" t="e">
        <f t="shared" si="0"/>
        <v>#VALUE!</v>
      </c>
      <c r="F27" s="42"/>
      <c r="G27" s="42" t="e">
        <f t="shared" si="1"/>
        <v>#VALUE!</v>
      </c>
      <c r="H27" s="42">
        <f t="shared" si="5"/>
        <v>0</v>
      </c>
      <c r="I27" s="42" t="e">
        <f t="shared" si="2"/>
        <v>#VALUE!</v>
      </c>
      <c r="J27" s="48" t="e">
        <f t="shared" si="3"/>
        <v>#VALUE!</v>
      </c>
    </row>
    <row r="28" spans="1:10" outlineLevel="1">
      <c r="A28" s="20">
        <v>2</v>
      </c>
      <c r="C28" s="20">
        <v>14</v>
      </c>
      <c r="D28" s="42" t="e">
        <f t="shared" si="4"/>
        <v>#VALUE!</v>
      </c>
      <c r="E28" s="42" t="e">
        <f t="shared" si="0"/>
        <v>#VALUE!</v>
      </c>
      <c r="F28" s="42"/>
      <c r="G28" s="42" t="e">
        <f t="shared" si="1"/>
        <v>#VALUE!</v>
      </c>
      <c r="H28" s="42">
        <f t="shared" si="5"/>
        <v>0</v>
      </c>
      <c r="I28" s="42" t="e">
        <f t="shared" si="2"/>
        <v>#VALUE!</v>
      </c>
      <c r="J28" s="48" t="e">
        <f t="shared" si="3"/>
        <v>#VALUE!</v>
      </c>
    </row>
    <row r="29" spans="1:10" outlineLevel="1">
      <c r="A29" s="20">
        <v>2</v>
      </c>
      <c r="C29" s="20">
        <v>15</v>
      </c>
      <c r="D29" s="42" t="e">
        <f t="shared" si="4"/>
        <v>#VALUE!</v>
      </c>
      <c r="E29" s="42" t="e">
        <f t="shared" si="0"/>
        <v>#VALUE!</v>
      </c>
      <c r="F29" s="42"/>
      <c r="G29" s="42" t="e">
        <f t="shared" si="1"/>
        <v>#VALUE!</v>
      </c>
      <c r="H29" s="42">
        <f t="shared" si="5"/>
        <v>0</v>
      </c>
      <c r="I29" s="42" t="e">
        <f t="shared" si="2"/>
        <v>#VALUE!</v>
      </c>
      <c r="J29" s="48" t="e">
        <f t="shared" si="3"/>
        <v>#VALUE!</v>
      </c>
    </row>
    <row r="30" spans="1:10" outlineLevel="1">
      <c r="A30" s="20">
        <v>2</v>
      </c>
      <c r="C30" s="20">
        <v>16</v>
      </c>
      <c r="D30" s="42" t="e">
        <f t="shared" si="4"/>
        <v>#VALUE!</v>
      </c>
      <c r="E30" s="42" t="e">
        <f t="shared" si="0"/>
        <v>#VALUE!</v>
      </c>
      <c r="F30" s="42"/>
      <c r="G30" s="42" t="e">
        <f t="shared" si="1"/>
        <v>#VALUE!</v>
      </c>
      <c r="H30" s="42">
        <f t="shared" si="5"/>
        <v>0</v>
      </c>
      <c r="I30" s="42" t="e">
        <f t="shared" si="2"/>
        <v>#VALUE!</v>
      </c>
      <c r="J30" s="48" t="e">
        <f t="shared" si="3"/>
        <v>#VALUE!</v>
      </c>
    </row>
    <row r="31" spans="1:10" outlineLevel="1">
      <c r="A31" s="20">
        <v>2</v>
      </c>
      <c r="C31" s="20">
        <v>17</v>
      </c>
      <c r="D31" s="42" t="e">
        <f t="shared" si="4"/>
        <v>#VALUE!</v>
      </c>
      <c r="E31" s="42" t="e">
        <f t="shared" si="0"/>
        <v>#VALUE!</v>
      </c>
      <c r="F31" s="42"/>
      <c r="G31" s="42" t="e">
        <f t="shared" si="1"/>
        <v>#VALUE!</v>
      </c>
      <c r="H31" s="42">
        <f t="shared" si="5"/>
        <v>0</v>
      </c>
      <c r="I31" s="42" t="e">
        <f t="shared" si="2"/>
        <v>#VALUE!</v>
      </c>
      <c r="J31" s="48" t="e">
        <f t="shared" si="3"/>
        <v>#VALUE!</v>
      </c>
    </row>
    <row r="32" spans="1:10" outlineLevel="1">
      <c r="A32" s="20">
        <v>2</v>
      </c>
      <c r="C32" s="20">
        <v>18</v>
      </c>
      <c r="D32" s="42" t="e">
        <f t="shared" si="4"/>
        <v>#VALUE!</v>
      </c>
      <c r="E32" s="42" t="e">
        <f t="shared" si="0"/>
        <v>#VALUE!</v>
      </c>
      <c r="F32" s="42"/>
      <c r="G32" s="42" t="e">
        <f t="shared" si="1"/>
        <v>#VALUE!</v>
      </c>
      <c r="H32" s="42">
        <f t="shared" si="5"/>
        <v>0</v>
      </c>
      <c r="I32" s="42" t="e">
        <f t="shared" si="2"/>
        <v>#VALUE!</v>
      </c>
      <c r="J32" s="48" t="e">
        <f t="shared" si="3"/>
        <v>#VALUE!</v>
      </c>
    </row>
    <row r="33" spans="1:10" outlineLevel="1">
      <c r="A33" s="20">
        <v>2</v>
      </c>
      <c r="C33" s="20">
        <v>19</v>
      </c>
      <c r="D33" s="42" t="e">
        <f t="shared" si="4"/>
        <v>#VALUE!</v>
      </c>
      <c r="E33" s="42" t="e">
        <f t="shared" si="0"/>
        <v>#VALUE!</v>
      </c>
      <c r="F33" s="42"/>
      <c r="G33" s="42" t="e">
        <f t="shared" si="1"/>
        <v>#VALUE!</v>
      </c>
      <c r="H33" s="42">
        <f t="shared" si="5"/>
        <v>0</v>
      </c>
      <c r="I33" s="42" t="e">
        <f t="shared" si="2"/>
        <v>#VALUE!</v>
      </c>
      <c r="J33" s="48" t="e">
        <f t="shared" si="3"/>
        <v>#VALUE!</v>
      </c>
    </row>
    <row r="34" spans="1:10" outlineLevel="1">
      <c r="A34" s="20">
        <v>2</v>
      </c>
      <c r="C34" s="20">
        <v>20</v>
      </c>
      <c r="D34" s="42" t="e">
        <f t="shared" si="4"/>
        <v>#VALUE!</v>
      </c>
      <c r="E34" s="42" t="e">
        <f t="shared" si="0"/>
        <v>#VALUE!</v>
      </c>
      <c r="F34" s="42"/>
      <c r="G34" s="42" t="e">
        <f t="shared" si="1"/>
        <v>#VALUE!</v>
      </c>
      <c r="H34" s="42">
        <f t="shared" si="5"/>
        <v>0</v>
      </c>
      <c r="I34" s="42" t="e">
        <f t="shared" si="2"/>
        <v>#VALUE!</v>
      </c>
      <c r="J34" s="48" t="e">
        <f t="shared" si="3"/>
        <v>#VALUE!</v>
      </c>
    </row>
    <row r="35" spans="1:10" outlineLevel="1">
      <c r="A35" s="20">
        <v>2</v>
      </c>
      <c r="C35" s="20">
        <v>21</v>
      </c>
      <c r="D35" s="42" t="e">
        <f t="shared" si="4"/>
        <v>#VALUE!</v>
      </c>
      <c r="E35" s="42" t="e">
        <f t="shared" si="0"/>
        <v>#VALUE!</v>
      </c>
      <c r="F35" s="42"/>
      <c r="G35" s="42" t="e">
        <f t="shared" si="1"/>
        <v>#VALUE!</v>
      </c>
      <c r="H35" s="42">
        <f t="shared" si="5"/>
        <v>0</v>
      </c>
      <c r="I35" s="42" t="e">
        <f t="shared" si="2"/>
        <v>#VALUE!</v>
      </c>
      <c r="J35" s="48" t="e">
        <f t="shared" si="3"/>
        <v>#VALUE!</v>
      </c>
    </row>
    <row r="36" spans="1:10" outlineLevel="1">
      <c r="A36" s="20">
        <v>2</v>
      </c>
      <c r="C36" s="20">
        <v>22</v>
      </c>
      <c r="D36" s="42" t="e">
        <f t="shared" si="4"/>
        <v>#VALUE!</v>
      </c>
      <c r="E36" s="42" t="e">
        <f t="shared" si="0"/>
        <v>#VALUE!</v>
      </c>
      <c r="F36" s="42"/>
      <c r="G36" s="42" t="e">
        <f t="shared" si="1"/>
        <v>#VALUE!</v>
      </c>
      <c r="H36" s="42">
        <f t="shared" si="5"/>
        <v>0</v>
      </c>
      <c r="I36" s="42" t="e">
        <f t="shared" si="2"/>
        <v>#VALUE!</v>
      </c>
      <c r="J36" s="48" t="e">
        <f t="shared" si="3"/>
        <v>#VALUE!</v>
      </c>
    </row>
    <row r="37" spans="1:10" outlineLevel="1">
      <c r="A37" s="20">
        <v>2</v>
      </c>
      <c r="C37" s="20">
        <v>23</v>
      </c>
      <c r="D37" s="42" t="e">
        <f t="shared" si="4"/>
        <v>#VALUE!</v>
      </c>
      <c r="E37" s="42" t="e">
        <f t="shared" si="0"/>
        <v>#VALUE!</v>
      </c>
      <c r="F37" s="42"/>
      <c r="G37" s="42" t="e">
        <f t="shared" si="1"/>
        <v>#VALUE!</v>
      </c>
      <c r="H37" s="42">
        <f t="shared" si="5"/>
        <v>0</v>
      </c>
      <c r="I37" s="42" t="e">
        <f t="shared" si="2"/>
        <v>#VALUE!</v>
      </c>
      <c r="J37" s="48" t="e">
        <f t="shared" si="3"/>
        <v>#VALUE!</v>
      </c>
    </row>
    <row r="38" spans="1:10" outlineLevel="1">
      <c r="A38" s="20">
        <v>2</v>
      </c>
      <c r="C38" s="49">
        <v>24</v>
      </c>
      <c r="D38" s="50" t="e">
        <f t="shared" si="4"/>
        <v>#VALUE!</v>
      </c>
      <c r="E38" s="50" t="e">
        <f t="shared" si="0"/>
        <v>#VALUE!</v>
      </c>
      <c r="F38" s="50"/>
      <c r="G38" s="50" t="e">
        <f t="shared" si="1"/>
        <v>#VALUE!</v>
      </c>
      <c r="H38" s="50">
        <f t="shared" si="5"/>
        <v>0</v>
      </c>
      <c r="I38" s="50" t="e">
        <f t="shared" si="2"/>
        <v>#VALUE!</v>
      </c>
      <c r="J38" s="51" t="e">
        <f t="shared" si="3"/>
        <v>#VALUE!</v>
      </c>
    </row>
    <row r="39" spans="1:10" outlineLevel="1">
      <c r="A39" s="20">
        <v>3</v>
      </c>
      <c r="C39" s="20">
        <v>25</v>
      </c>
      <c r="D39" s="42" t="e">
        <f t="shared" si="4"/>
        <v>#VALUE!</v>
      </c>
      <c r="E39" s="42" t="e">
        <f t="shared" si="0"/>
        <v>#VALUE!</v>
      </c>
      <c r="F39" s="42"/>
      <c r="G39" s="42" t="e">
        <f t="shared" si="1"/>
        <v>#VALUE!</v>
      </c>
      <c r="H39" s="42">
        <f t="shared" si="5"/>
        <v>0</v>
      </c>
      <c r="I39" s="52" t="e">
        <f t="shared" si="2"/>
        <v>#VALUE!</v>
      </c>
      <c r="J39" s="48" t="e">
        <f t="shared" si="3"/>
        <v>#VALUE!</v>
      </c>
    </row>
    <row r="40" spans="1:10" outlineLevel="1">
      <c r="A40" s="20">
        <v>3</v>
      </c>
      <c r="C40" s="20">
        <v>26</v>
      </c>
      <c r="D40" s="42" t="e">
        <f t="shared" si="4"/>
        <v>#VALUE!</v>
      </c>
      <c r="E40" s="42" t="e">
        <f t="shared" si="0"/>
        <v>#VALUE!</v>
      </c>
      <c r="F40" s="42"/>
      <c r="G40" s="42" t="e">
        <f t="shared" si="1"/>
        <v>#VALUE!</v>
      </c>
      <c r="H40" s="42">
        <f t="shared" si="5"/>
        <v>0</v>
      </c>
      <c r="I40" s="42" t="e">
        <f t="shared" si="2"/>
        <v>#VALUE!</v>
      </c>
      <c r="J40" s="48" t="e">
        <f t="shared" si="3"/>
        <v>#VALUE!</v>
      </c>
    </row>
    <row r="41" spans="1:10" outlineLevel="1">
      <c r="A41" s="20">
        <v>3</v>
      </c>
      <c r="C41" s="20">
        <v>27</v>
      </c>
      <c r="D41" s="42" t="e">
        <f t="shared" si="4"/>
        <v>#VALUE!</v>
      </c>
      <c r="E41" s="42" t="e">
        <f t="shared" si="0"/>
        <v>#VALUE!</v>
      </c>
      <c r="F41" s="42"/>
      <c r="G41" s="42" t="e">
        <f t="shared" si="1"/>
        <v>#VALUE!</v>
      </c>
      <c r="H41" s="42">
        <f t="shared" si="5"/>
        <v>0</v>
      </c>
      <c r="I41" s="42" t="e">
        <f t="shared" si="2"/>
        <v>#VALUE!</v>
      </c>
      <c r="J41" s="48" t="e">
        <f t="shared" si="3"/>
        <v>#VALUE!</v>
      </c>
    </row>
    <row r="42" spans="1:10" outlineLevel="1">
      <c r="A42" s="20">
        <v>3</v>
      </c>
      <c r="C42" s="20">
        <v>28</v>
      </c>
      <c r="D42" s="42" t="e">
        <f t="shared" si="4"/>
        <v>#VALUE!</v>
      </c>
      <c r="E42" s="42" t="e">
        <f t="shared" si="0"/>
        <v>#VALUE!</v>
      </c>
      <c r="F42" s="42"/>
      <c r="G42" s="42" t="e">
        <f t="shared" si="1"/>
        <v>#VALUE!</v>
      </c>
      <c r="H42" s="42">
        <f t="shared" si="5"/>
        <v>0</v>
      </c>
      <c r="I42" s="42" t="e">
        <f t="shared" si="2"/>
        <v>#VALUE!</v>
      </c>
      <c r="J42" s="48" t="e">
        <f t="shared" si="3"/>
        <v>#VALUE!</v>
      </c>
    </row>
    <row r="43" spans="1:10" outlineLevel="1">
      <c r="A43" s="20">
        <v>3</v>
      </c>
      <c r="C43" s="20">
        <v>29</v>
      </c>
      <c r="D43" s="42" t="e">
        <f t="shared" si="4"/>
        <v>#VALUE!</v>
      </c>
      <c r="E43" s="42" t="e">
        <f t="shared" si="0"/>
        <v>#VALUE!</v>
      </c>
      <c r="F43" s="42"/>
      <c r="G43" s="42" t="e">
        <f t="shared" si="1"/>
        <v>#VALUE!</v>
      </c>
      <c r="H43" s="42">
        <f t="shared" si="5"/>
        <v>0</v>
      </c>
      <c r="I43" s="42" t="e">
        <f t="shared" si="2"/>
        <v>#VALUE!</v>
      </c>
      <c r="J43" s="48" t="e">
        <f t="shared" si="3"/>
        <v>#VALUE!</v>
      </c>
    </row>
    <row r="44" spans="1:10" outlineLevel="1">
      <c r="A44" s="20">
        <v>3</v>
      </c>
      <c r="C44" s="20">
        <v>30</v>
      </c>
      <c r="D44" s="42" t="e">
        <f t="shared" si="4"/>
        <v>#VALUE!</v>
      </c>
      <c r="E44" s="42" t="e">
        <f t="shared" si="0"/>
        <v>#VALUE!</v>
      </c>
      <c r="F44" s="42"/>
      <c r="G44" s="42" t="e">
        <f t="shared" si="1"/>
        <v>#VALUE!</v>
      </c>
      <c r="H44" s="42">
        <f t="shared" si="5"/>
        <v>0</v>
      </c>
      <c r="I44" s="42" t="e">
        <f t="shared" si="2"/>
        <v>#VALUE!</v>
      </c>
      <c r="J44" s="48" t="e">
        <f t="shared" si="3"/>
        <v>#VALUE!</v>
      </c>
    </row>
    <row r="45" spans="1:10" outlineLevel="1">
      <c r="A45" s="20">
        <v>3</v>
      </c>
      <c r="C45" s="20">
        <v>31</v>
      </c>
      <c r="D45" s="42" t="e">
        <f t="shared" si="4"/>
        <v>#VALUE!</v>
      </c>
      <c r="E45" s="42" t="e">
        <f t="shared" si="0"/>
        <v>#VALUE!</v>
      </c>
      <c r="F45" s="42"/>
      <c r="G45" s="42" t="e">
        <f t="shared" si="1"/>
        <v>#VALUE!</v>
      </c>
      <c r="H45" s="42">
        <f t="shared" si="5"/>
        <v>0</v>
      </c>
      <c r="I45" s="42" t="e">
        <f t="shared" si="2"/>
        <v>#VALUE!</v>
      </c>
      <c r="J45" s="48" t="e">
        <f t="shared" si="3"/>
        <v>#VALUE!</v>
      </c>
    </row>
    <row r="46" spans="1:10" outlineLevel="1">
      <c r="A46" s="20">
        <v>3</v>
      </c>
      <c r="C46" s="20">
        <v>32</v>
      </c>
      <c r="D46" s="42" t="e">
        <f t="shared" si="4"/>
        <v>#VALUE!</v>
      </c>
      <c r="E46" s="42" t="e">
        <f t="shared" si="0"/>
        <v>#VALUE!</v>
      </c>
      <c r="F46" s="42"/>
      <c r="G46" s="42" t="e">
        <f t="shared" si="1"/>
        <v>#VALUE!</v>
      </c>
      <c r="H46" s="42">
        <f t="shared" si="5"/>
        <v>0</v>
      </c>
      <c r="I46" s="42" t="e">
        <f t="shared" si="2"/>
        <v>#VALUE!</v>
      </c>
      <c r="J46" s="48" t="e">
        <f t="shared" si="3"/>
        <v>#VALUE!</v>
      </c>
    </row>
    <row r="47" spans="1:10" outlineLevel="1">
      <c r="A47" s="20">
        <v>3</v>
      </c>
      <c r="C47" s="20">
        <v>33</v>
      </c>
      <c r="D47" s="42" t="e">
        <f t="shared" si="4"/>
        <v>#VALUE!</v>
      </c>
      <c r="E47" s="42" t="e">
        <f t="shared" si="0"/>
        <v>#VALUE!</v>
      </c>
      <c r="F47" s="42"/>
      <c r="G47" s="42" t="e">
        <f t="shared" si="1"/>
        <v>#VALUE!</v>
      </c>
      <c r="H47" s="42">
        <f t="shared" si="5"/>
        <v>0</v>
      </c>
      <c r="I47" s="42" t="e">
        <f t="shared" si="2"/>
        <v>#VALUE!</v>
      </c>
      <c r="J47" s="48" t="e">
        <f t="shared" si="3"/>
        <v>#VALUE!</v>
      </c>
    </row>
    <row r="48" spans="1:10" outlineLevel="1">
      <c r="A48" s="20">
        <v>3</v>
      </c>
      <c r="C48" s="20">
        <v>34</v>
      </c>
      <c r="D48" s="42" t="e">
        <f t="shared" si="4"/>
        <v>#VALUE!</v>
      </c>
      <c r="E48" s="42" t="e">
        <f t="shared" si="0"/>
        <v>#VALUE!</v>
      </c>
      <c r="F48" s="42"/>
      <c r="G48" s="42" t="e">
        <f t="shared" si="1"/>
        <v>#VALUE!</v>
      </c>
      <c r="H48" s="42">
        <f t="shared" si="5"/>
        <v>0</v>
      </c>
      <c r="I48" s="42" t="e">
        <f t="shared" si="2"/>
        <v>#VALUE!</v>
      </c>
      <c r="J48" s="48" t="e">
        <f t="shared" si="3"/>
        <v>#VALUE!</v>
      </c>
    </row>
    <row r="49" spans="1:10" outlineLevel="1">
      <c r="A49" s="20">
        <v>3</v>
      </c>
      <c r="C49" s="20">
        <v>35</v>
      </c>
      <c r="D49" s="42" t="e">
        <f t="shared" si="4"/>
        <v>#VALUE!</v>
      </c>
      <c r="E49" s="42" t="e">
        <f t="shared" si="0"/>
        <v>#VALUE!</v>
      </c>
      <c r="F49" s="42"/>
      <c r="G49" s="42" t="e">
        <f t="shared" si="1"/>
        <v>#VALUE!</v>
      </c>
      <c r="H49" s="42">
        <f t="shared" si="5"/>
        <v>0</v>
      </c>
      <c r="I49" s="42" t="e">
        <f t="shared" si="2"/>
        <v>#VALUE!</v>
      </c>
      <c r="J49" s="48" t="e">
        <f t="shared" si="3"/>
        <v>#VALUE!</v>
      </c>
    </row>
    <row r="50" spans="1:10" outlineLevel="1">
      <c r="A50" s="20">
        <v>3</v>
      </c>
      <c r="C50" s="49">
        <v>36</v>
      </c>
      <c r="D50" s="50" t="e">
        <f t="shared" si="4"/>
        <v>#VALUE!</v>
      </c>
      <c r="E50" s="50" t="e">
        <f t="shared" si="0"/>
        <v>#VALUE!</v>
      </c>
      <c r="F50" s="50"/>
      <c r="G50" s="50" t="e">
        <f t="shared" si="1"/>
        <v>#VALUE!</v>
      </c>
      <c r="H50" s="50">
        <f t="shared" si="5"/>
        <v>0</v>
      </c>
      <c r="I50" s="50" t="e">
        <f t="shared" si="2"/>
        <v>#VALUE!</v>
      </c>
      <c r="J50" s="51" t="e">
        <f t="shared" si="3"/>
        <v>#VALUE!</v>
      </c>
    </row>
    <row r="51" spans="1:10" ht="15.75" customHeight="1" outlineLevel="1">
      <c r="A51" s="20">
        <v>4</v>
      </c>
      <c r="C51" s="20">
        <v>37</v>
      </c>
      <c r="D51" s="42" t="e">
        <f t="shared" si="4"/>
        <v>#VALUE!</v>
      </c>
      <c r="E51" s="42" t="e">
        <f t="shared" si="0"/>
        <v>#VALUE!</v>
      </c>
      <c r="F51" s="42"/>
      <c r="G51" s="42" t="e">
        <f t="shared" si="1"/>
        <v>#VALUE!</v>
      </c>
      <c r="H51" s="42">
        <f t="shared" si="5"/>
        <v>0</v>
      </c>
      <c r="I51" s="42" t="e">
        <f t="shared" si="2"/>
        <v>#VALUE!</v>
      </c>
      <c r="J51" s="48" t="e">
        <f t="shared" si="3"/>
        <v>#VALUE!</v>
      </c>
    </row>
    <row r="52" spans="1:10" outlineLevel="1">
      <c r="A52" s="20">
        <v>4</v>
      </c>
      <c r="C52" s="20">
        <v>38</v>
      </c>
      <c r="D52" s="42" t="e">
        <f t="shared" si="4"/>
        <v>#VALUE!</v>
      </c>
      <c r="E52" s="42" t="e">
        <f t="shared" si="0"/>
        <v>#VALUE!</v>
      </c>
      <c r="F52" s="42"/>
      <c r="G52" s="42" t="e">
        <f t="shared" si="1"/>
        <v>#VALUE!</v>
      </c>
      <c r="H52" s="42">
        <f t="shared" si="5"/>
        <v>0</v>
      </c>
      <c r="I52" s="42" t="e">
        <f t="shared" si="2"/>
        <v>#VALUE!</v>
      </c>
      <c r="J52" s="48" t="e">
        <f t="shared" si="3"/>
        <v>#VALUE!</v>
      </c>
    </row>
    <row r="53" spans="1:10" outlineLevel="1">
      <c r="A53" s="20">
        <v>4</v>
      </c>
      <c r="C53" s="20">
        <v>39</v>
      </c>
      <c r="D53" s="42" t="e">
        <f t="shared" si="4"/>
        <v>#VALUE!</v>
      </c>
      <c r="E53" s="42" t="e">
        <f t="shared" si="0"/>
        <v>#VALUE!</v>
      </c>
      <c r="F53" s="42"/>
      <c r="G53" s="42" t="e">
        <f t="shared" si="1"/>
        <v>#VALUE!</v>
      </c>
      <c r="H53" s="42">
        <f t="shared" si="5"/>
        <v>0</v>
      </c>
      <c r="I53" s="42" t="e">
        <f t="shared" si="2"/>
        <v>#VALUE!</v>
      </c>
      <c r="J53" s="48" t="e">
        <f t="shared" si="3"/>
        <v>#VALUE!</v>
      </c>
    </row>
    <row r="54" spans="1:10" outlineLevel="1">
      <c r="A54" s="20">
        <v>4</v>
      </c>
      <c r="C54" s="20">
        <v>40</v>
      </c>
      <c r="D54" s="42" t="e">
        <f t="shared" si="4"/>
        <v>#VALUE!</v>
      </c>
      <c r="E54" s="42" t="e">
        <f t="shared" si="0"/>
        <v>#VALUE!</v>
      </c>
      <c r="F54" s="42"/>
      <c r="G54" s="42" t="e">
        <f t="shared" si="1"/>
        <v>#VALUE!</v>
      </c>
      <c r="H54" s="42">
        <f t="shared" si="5"/>
        <v>0</v>
      </c>
      <c r="I54" s="42" t="e">
        <f t="shared" si="2"/>
        <v>#VALUE!</v>
      </c>
      <c r="J54" s="48" t="e">
        <f t="shared" si="3"/>
        <v>#VALUE!</v>
      </c>
    </row>
    <row r="55" spans="1:10" outlineLevel="1">
      <c r="A55" s="20">
        <v>4</v>
      </c>
      <c r="C55" s="20">
        <v>41</v>
      </c>
      <c r="D55" s="42" t="e">
        <f t="shared" si="4"/>
        <v>#VALUE!</v>
      </c>
      <c r="E55" s="42" t="e">
        <f t="shared" si="0"/>
        <v>#VALUE!</v>
      </c>
      <c r="F55" s="42"/>
      <c r="G55" s="42" t="e">
        <f t="shared" si="1"/>
        <v>#VALUE!</v>
      </c>
      <c r="H55" s="42">
        <f t="shared" si="5"/>
        <v>0</v>
      </c>
      <c r="I55" s="42" t="e">
        <f t="shared" si="2"/>
        <v>#VALUE!</v>
      </c>
      <c r="J55" s="48" t="e">
        <f t="shared" si="3"/>
        <v>#VALUE!</v>
      </c>
    </row>
    <row r="56" spans="1:10" outlineLevel="1">
      <c r="A56" s="20">
        <v>4</v>
      </c>
      <c r="C56" s="20">
        <v>42</v>
      </c>
      <c r="D56" s="42" t="e">
        <f t="shared" si="4"/>
        <v>#VALUE!</v>
      </c>
      <c r="E56" s="42" t="e">
        <f t="shared" si="0"/>
        <v>#VALUE!</v>
      </c>
      <c r="F56" s="42"/>
      <c r="G56" s="42" t="e">
        <f t="shared" si="1"/>
        <v>#VALUE!</v>
      </c>
      <c r="H56" s="42">
        <f t="shared" si="5"/>
        <v>0</v>
      </c>
      <c r="I56" s="42" t="e">
        <f t="shared" si="2"/>
        <v>#VALUE!</v>
      </c>
      <c r="J56" s="48" t="e">
        <f t="shared" si="3"/>
        <v>#VALUE!</v>
      </c>
    </row>
    <row r="57" spans="1:10" outlineLevel="1">
      <c r="A57" s="20">
        <v>4</v>
      </c>
      <c r="C57" s="20">
        <v>43</v>
      </c>
      <c r="D57" s="42" t="e">
        <f t="shared" si="4"/>
        <v>#VALUE!</v>
      </c>
      <c r="E57" s="42" t="e">
        <f t="shared" si="0"/>
        <v>#VALUE!</v>
      </c>
      <c r="F57" s="42"/>
      <c r="G57" s="42" t="e">
        <f t="shared" si="1"/>
        <v>#VALUE!</v>
      </c>
      <c r="H57" s="42">
        <f t="shared" si="5"/>
        <v>0</v>
      </c>
      <c r="I57" s="42" t="e">
        <f t="shared" si="2"/>
        <v>#VALUE!</v>
      </c>
      <c r="J57" s="48" t="e">
        <f t="shared" si="3"/>
        <v>#VALUE!</v>
      </c>
    </row>
    <row r="58" spans="1:10" outlineLevel="1">
      <c r="A58" s="20">
        <v>4</v>
      </c>
      <c r="C58" s="20">
        <v>44</v>
      </c>
      <c r="D58" s="42" t="e">
        <f t="shared" si="4"/>
        <v>#VALUE!</v>
      </c>
      <c r="E58" s="42" t="e">
        <f t="shared" si="0"/>
        <v>#VALUE!</v>
      </c>
      <c r="F58" s="42"/>
      <c r="G58" s="42" t="e">
        <f t="shared" si="1"/>
        <v>#VALUE!</v>
      </c>
      <c r="H58" s="42">
        <f t="shared" si="5"/>
        <v>0</v>
      </c>
      <c r="I58" s="42" t="e">
        <f t="shared" si="2"/>
        <v>#VALUE!</v>
      </c>
      <c r="J58" s="48" t="e">
        <f t="shared" si="3"/>
        <v>#VALUE!</v>
      </c>
    </row>
    <row r="59" spans="1:10" outlineLevel="1">
      <c r="A59" s="20">
        <v>4</v>
      </c>
      <c r="C59" s="20">
        <v>45</v>
      </c>
      <c r="D59" s="42" t="e">
        <f t="shared" si="4"/>
        <v>#VALUE!</v>
      </c>
      <c r="E59" s="42" t="e">
        <f t="shared" si="0"/>
        <v>#VALUE!</v>
      </c>
      <c r="F59" s="42"/>
      <c r="G59" s="42" t="e">
        <f t="shared" si="1"/>
        <v>#VALUE!</v>
      </c>
      <c r="H59" s="42">
        <f t="shared" si="5"/>
        <v>0</v>
      </c>
      <c r="I59" s="42" t="e">
        <f t="shared" si="2"/>
        <v>#VALUE!</v>
      </c>
      <c r="J59" s="48" t="e">
        <f t="shared" si="3"/>
        <v>#VALUE!</v>
      </c>
    </row>
    <row r="60" spans="1:10" outlineLevel="1">
      <c r="A60" s="20">
        <v>4</v>
      </c>
      <c r="C60" s="20">
        <v>46</v>
      </c>
      <c r="D60" s="42" t="e">
        <f t="shared" si="4"/>
        <v>#VALUE!</v>
      </c>
      <c r="E60" s="42" t="e">
        <f t="shared" si="0"/>
        <v>#VALUE!</v>
      </c>
      <c r="F60" s="42"/>
      <c r="G60" s="42" t="e">
        <f t="shared" si="1"/>
        <v>#VALUE!</v>
      </c>
      <c r="H60" s="42">
        <f t="shared" si="5"/>
        <v>0</v>
      </c>
      <c r="I60" s="42" t="e">
        <f t="shared" si="2"/>
        <v>#VALUE!</v>
      </c>
      <c r="J60" s="48" t="e">
        <f t="shared" si="3"/>
        <v>#VALUE!</v>
      </c>
    </row>
    <row r="61" spans="1:10" outlineLevel="1">
      <c r="A61" s="20">
        <v>4</v>
      </c>
      <c r="C61" s="20">
        <v>47</v>
      </c>
      <c r="D61" s="42" t="e">
        <f t="shared" si="4"/>
        <v>#VALUE!</v>
      </c>
      <c r="E61" s="42" t="e">
        <f t="shared" si="0"/>
        <v>#VALUE!</v>
      </c>
      <c r="F61" s="42"/>
      <c r="G61" s="42" t="e">
        <f t="shared" si="1"/>
        <v>#VALUE!</v>
      </c>
      <c r="H61" s="42">
        <f t="shared" si="5"/>
        <v>0</v>
      </c>
      <c r="I61" s="42" t="e">
        <f t="shared" si="2"/>
        <v>#VALUE!</v>
      </c>
      <c r="J61" s="48" t="e">
        <f t="shared" si="3"/>
        <v>#VALUE!</v>
      </c>
    </row>
    <row r="62" spans="1:10" outlineLevel="1">
      <c r="A62" s="20">
        <v>4</v>
      </c>
      <c r="C62" s="53">
        <v>48</v>
      </c>
      <c r="D62" s="54" t="e">
        <f t="shared" si="4"/>
        <v>#VALUE!</v>
      </c>
      <c r="E62" s="54" t="e">
        <f t="shared" si="0"/>
        <v>#VALUE!</v>
      </c>
      <c r="F62" s="54"/>
      <c r="G62" s="54" t="e">
        <f t="shared" si="1"/>
        <v>#VALUE!</v>
      </c>
      <c r="H62" s="54">
        <f t="shared" si="5"/>
        <v>0</v>
      </c>
      <c r="I62" s="54" t="e">
        <f t="shared" si="2"/>
        <v>#VALUE!</v>
      </c>
      <c r="J62" s="55" t="e">
        <f t="shared" si="3"/>
        <v>#VALUE!</v>
      </c>
    </row>
    <row r="63" spans="1:10" ht="12.75" customHeight="1" outlineLevel="1">
      <c r="A63" s="20">
        <v>5</v>
      </c>
      <c r="C63" s="20">
        <v>49</v>
      </c>
      <c r="D63" s="42" t="e">
        <f t="shared" si="4"/>
        <v>#VALUE!</v>
      </c>
      <c r="E63" s="42" t="e">
        <f t="shared" si="0"/>
        <v>#VALUE!</v>
      </c>
      <c r="F63" s="42"/>
      <c r="G63" s="42" t="e">
        <f t="shared" si="1"/>
        <v>#VALUE!</v>
      </c>
      <c r="H63" s="42">
        <f t="shared" si="5"/>
        <v>0</v>
      </c>
      <c r="I63" s="42" t="e">
        <f t="shared" si="2"/>
        <v>#VALUE!</v>
      </c>
      <c r="J63" s="48" t="e">
        <f t="shared" si="3"/>
        <v>#VALUE!</v>
      </c>
    </row>
    <row r="64" spans="1:10" outlineLevel="1">
      <c r="A64" s="20">
        <v>5</v>
      </c>
      <c r="C64" s="20">
        <v>50</v>
      </c>
      <c r="D64" s="42" t="e">
        <f t="shared" si="4"/>
        <v>#VALUE!</v>
      </c>
      <c r="E64" s="42" t="e">
        <f t="shared" si="0"/>
        <v>#VALUE!</v>
      </c>
      <c r="F64" s="42"/>
      <c r="G64" s="42" t="e">
        <f t="shared" si="1"/>
        <v>#VALUE!</v>
      </c>
      <c r="H64" s="42">
        <f t="shared" si="5"/>
        <v>0</v>
      </c>
      <c r="I64" s="42" t="e">
        <f t="shared" si="2"/>
        <v>#VALUE!</v>
      </c>
      <c r="J64" s="48" t="e">
        <f t="shared" si="3"/>
        <v>#VALUE!</v>
      </c>
    </row>
    <row r="65" spans="1:10" outlineLevel="1">
      <c r="A65" s="20">
        <v>5</v>
      </c>
      <c r="C65" s="20">
        <v>51</v>
      </c>
      <c r="D65" s="42" t="e">
        <f t="shared" si="4"/>
        <v>#VALUE!</v>
      </c>
      <c r="E65" s="42" t="e">
        <f t="shared" si="0"/>
        <v>#VALUE!</v>
      </c>
      <c r="F65" s="42"/>
      <c r="G65" s="42" t="e">
        <f t="shared" si="1"/>
        <v>#VALUE!</v>
      </c>
      <c r="H65" s="42">
        <f t="shared" si="5"/>
        <v>0</v>
      </c>
      <c r="I65" s="42" t="e">
        <f t="shared" si="2"/>
        <v>#VALUE!</v>
      </c>
      <c r="J65" s="48" t="e">
        <f t="shared" si="3"/>
        <v>#VALUE!</v>
      </c>
    </row>
    <row r="66" spans="1:10" outlineLevel="1">
      <c r="A66" s="20">
        <v>5</v>
      </c>
      <c r="C66" s="20">
        <v>52</v>
      </c>
      <c r="D66" s="42" t="e">
        <f t="shared" si="4"/>
        <v>#VALUE!</v>
      </c>
      <c r="E66" s="42" t="e">
        <f t="shared" si="0"/>
        <v>#VALUE!</v>
      </c>
      <c r="F66" s="42"/>
      <c r="G66" s="42" t="e">
        <f t="shared" si="1"/>
        <v>#VALUE!</v>
      </c>
      <c r="H66" s="42">
        <f t="shared" si="5"/>
        <v>0</v>
      </c>
      <c r="I66" s="42" t="e">
        <f t="shared" si="2"/>
        <v>#VALUE!</v>
      </c>
      <c r="J66" s="48" t="e">
        <f t="shared" si="3"/>
        <v>#VALUE!</v>
      </c>
    </row>
    <row r="67" spans="1:10" outlineLevel="1">
      <c r="A67" s="20">
        <v>5</v>
      </c>
      <c r="C67" s="20">
        <v>53</v>
      </c>
      <c r="D67" s="42" t="e">
        <f t="shared" si="4"/>
        <v>#VALUE!</v>
      </c>
      <c r="E67" s="42" t="e">
        <f t="shared" si="0"/>
        <v>#VALUE!</v>
      </c>
      <c r="F67" s="42"/>
      <c r="G67" s="42" t="e">
        <f t="shared" si="1"/>
        <v>#VALUE!</v>
      </c>
      <c r="H67" s="42">
        <f t="shared" si="5"/>
        <v>0</v>
      </c>
      <c r="I67" s="42" t="e">
        <f t="shared" si="2"/>
        <v>#VALUE!</v>
      </c>
      <c r="J67" s="48" t="e">
        <f t="shared" si="3"/>
        <v>#VALUE!</v>
      </c>
    </row>
    <row r="68" spans="1:10" outlineLevel="1">
      <c r="A68" s="20">
        <v>5</v>
      </c>
      <c r="C68" s="20">
        <v>54</v>
      </c>
      <c r="D68" s="42" t="e">
        <f t="shared" si="4"/>
        <v>#VALUE!</v>
      </c>
      <c r="E68" s="42" t="e">
        <f t="shared" si="0"/>
        <v>#VALUE!</v>
      </c>
      <c r="F68" s="42"/>
      <c r="G68" s="42" t="e">
        <f t="shared" si="1"/>
        <v>#VALUE!</v>
      </c>
      <c r="H68" s="42">
        <f t="shared" si="5"/>
        <v>0</v>
      </c>
      <c r="I68" s="42" t="e">
        <f t="shared" si="2"/>
        <v>#VALUE!</v>
      </c>
      <c r="J68" s="48" t="e">
        <f t="shared" si="3"/>
        <v>#VALUE!</v>
      </c>
    </row>
    <row r="69" spans="1:10" outlineLevel="1">
      <c r="A69" s="20">
        <v>5</v>
      </c>
      <c r="C69" s="20">
        <v>55</v>
      </c>
      <c r="D69" s="42" t="e">
        <f t="shared" si="4"/>
        <v>#VALUE!</v>
      </c>
      <c r="E69" s="42" t="e">
        <f t="shared" si="0"/>
        <v>#VALUE!</v>
      </c>
      <c r="F69" s="42"/>
      <c r="G69" s="42" t="e">
        <f t="shared" si="1"/>
        <v>#VALUE!</v>
      </c>
      <c r="H69" s="42">
        <f t="shared" si="5"/>
        <v>0</v>
      </c>
      <c r="I69" s="42" t="e">
        <f t="shared" si="2"/>
        <v>#VALUE!</v>
      </c>
      <c r="J69" s="48" t="e">
        <f t="shared" si="3"/>
        <v>#VALUE!</v>
      </c>
    </row>
    <row r="70" spans="1:10" outlineLevel="1">
      <c r="A70" s="20">
        <v>5</v>
      </c>
      <c r="C70" s="20">
        <v>56</v>
      </c>
      <c r="D70" s="42" t="e">
        <f t="shared" si="4"/>
        <v>#VALUE!</v>
      </c>
      <c r="E70" s="42" t="e">
        <f t="shared" si="0"/>
        <v>#VALUE!</v>
      </c>
      <c r="F70" s="42"/>
      <c r="G70" s="42" t="e">
        <f t="shared" si="1"/>
        <v>#VALUE!</v>
      </c>
      <c r="H70" s="42">
        <f t="shared" si="5"/>
        <v>0</v>
      </c>
      <c r="I70" s="42" t="e">
        <f t="shared" si="2"/>
        <v>#VALUE!</v>
      </c>
      <c r="J70" s="48" t="e">
        <f t="shared" si="3"/>
        <v>#VALUE!</v>
      </c>
    </row>
    <row r="71" spans="1:10" outlineLevel="1">
      <c r="A71" s="20">
        <v>5</v>
      </c>
      <c r="C71" s="20">
        <v>57</v>
      </c>
      <c r="D71" s="42" t="e">
        <f t="shared" si="4"/>
        <v>#VALUE!</v>
      </c>
      <c r="E71" s="42" t="e">
        <f t="shared" si="0"/>
        <v>#VALUE!</v>
      </c>
      <c r="F71" s="42"/>
      <c r="G71" s="42" t="e">
        <f t="shared" si="1"/>
        <v>#VALUE!</v>
      </c>
      <c r="H71" s="42">
        <f t="shared" si="5"/>
        <v>0</v>
      </c>
      <c r="I71" s="42" t="e">
        <f t="shared" si="2"/>
        <v>#VALUE!</v>
      </c>
      <c r="J71" s="48" t="e">
        <f t="shared" si="3"/>
        <v>#VALUE!</v>
      </c>
    </row>
    <row r="72" spans="1:10" outlineLevel="1">
      <c r="A72" s="20">
        <v>5</v>
      </c>
      <c r="C72" s="20">
        <v>58</v>
      </c>
      <c r="D72" s="42" t="e">
        <f t="shared" si="4"/>
        <v>#VALUE!</v>
      </c>
      <c r="E72" s="42" t="e">
        <f t="shared" si="0"/>
        <v>#VALUE!</v>
      </c>
      <c r="F72" s="42"/>
      <c r="G72" s="42" t="e">
        <f t="shared" si="1"/>
        <v>#VALUE!</v>
      </c>
      <c r="H72" s="42">
        <f t="shared" si="5"/>
        <v>0</v>
      </c>
      <c r="I72" s="42" t="e">
        <f t="shared" si="2"/>
        <v>#VALUE!</v>
      </c>
      <c r="J72" s="48" t="e">
        <f t="shared" si="3"/>
        <v>#VALUE!</v>
      </c>
    </row>
    <row r="73" spans="1:10" outlineLevel="1">
      <c r="A73" s="20">
        <v>5</v>
      </c>
      <c r="C73" s="20">
        <v>59</v>
      </c>
      <c r="D73" s="42" t="e">
        <f t="shared" si="4"/>
        <v>#VALUE!</v>
      </c>
      <c r="E73" s="42" t="e">
        <f t="shared" si="0"/>
        <v>#VALUE!</v>
      </c>
      <c r="F73" s="42"/>
      <c r="G73" s="42" t="e">
        <f t="shared" si="1"/>
        <v>#VALUE!</v>
      </c>
      <c r="H73" s="42">
        <f t="shared" si="5"/>
        <v>0</v>
      </c>
      <c r="I73" s="42" t="e">
        <f t="shared" si="2"/>
        <v>#VALUE!</v>
      </c>
      <c r="J73" s="48" t="e">
        <f t="shared" si="3"/>
        <v>#VALUE!</v>
      </c>
    </row>
    <row r="74" spans="1:10" outlineLevel="1">
      <c r="A74" s="20">
        <v>5</v>
      </c>
      <c r="C74" s="49">
        <v>60</v>
      </c>
      <c r="D74" s="50" t="e">
        <f t="shared" si="4"/>
        <v>#VALUE!</v>
      </c>
      <c r="E74" s="50" t="e">
        <f t="shared" si="0"/>
        <v>#VALUE!</v>
      </c>
      <c r="F74" s="50"/>
      <c r="G74" s="50" t="e">
        <f t="shared" si="1"/>
        <v>#VALUE!</v>
      </c>
      <c r="H74" s="50">
        <f t="shared" si="5"/>
        <v>0</v>
      </c>
      <c r="I74" s="50" t="e">
        <f t="shared" si="2"/>
        <v>#VALUE!</v>
      </c>
      <c r="J74" s="51" t="e">
        <f t="shared" si="3"/>
        <v>#VALUE!</v>
      </c>
    </row>
    <row r="75" spans="1:10" outlineLevel="1">
      <c r="A75" s="20">
        <v>6</v>
      </c>
      <c r="C75" s="56">
        <v>61</v>
      </c>
      <c r="D75" s="57" t="e">
        <f t="shared" si="4"/>
        <v>#VALUE!</v>
      </c>
      <c r="E75" s="57" t="e">
        <f t="shared" si="0"/>
        <v>#VALUE!</v>
      </c>
      <c r="F75" s="57"/>
      <c r="G75" s="57" t="e">
        <f t="shared" si="1"/>
        <v>#VALUE!</v>
      </c>
      <c r="H75" s="57">
        <f t="shared" si="5"/>
        <v>0</v>
      </c>
      <c r="I75" s="57" t="e">
        <f t="shared" si="2"/>
        <v>#VALUE!</v>
      </c>
      <c r="J75" s="48" t="e">
        <f t="shared" si="3"/>
        <v>#VALUE!</v>
      </c>
    </row>
    <row r="76" spans="1:10" outlineLevel="1">
      <c r="A76" s="20">
        <v>6</v>
      </c>
      <c r="C76" s="20">
        <v>62</v>
      </c>
      <c r="D76" s="58" t="e">
        <f t="shared" si="4"/>
        <v>#VALUE!</v>
      </c>
      <c r="E76" s="58" t="e">
        <f t="shared" si="0"/>
        <v>#VALUE!</v>
      </c>
      <c r="F76" s="58"/>
      <c r="G76" s="58" t="e">
        <f t="shared" si="1"/>
        <v>#VALUE!</v>
      </c>
      <c r="H76" s="58">
        <f t="shared" si="5"/>
        <v>0</v>
      </c>
      <c r="I76" s="58" t="e">
        <f t="shared" si="2"/>
        <v>#VALUE!</v>
      </c>
      <c r="J76" s="48" t="e">
        <f t="shared" si="3"/>
        <v>#VALUE!</v>
      </c>
    </row>
    <row r="77" spans="1:10" outlineLevel="1">
      <c r="A77" s="20">
        <v>6</v>
      </c>
      <c r="C77" s="20">
        <v>63</v>
      </c>
      <c r="D77" s="58" t="e">
        <f t="shared" si="4"/>
        <v>#VALUE!</v>
      </c>
      <c r="E77" s="58" t="e">
        <f t="shared" si="0"/>
        <v>#VALUE!</v>
      </c>
      <c r="F77" s="58"/>
      <c r="G77" s="58" t="e">
        <f t="shared" si="1"/>
        <v>#VALUE!</v>
      </c>
      <c r="H77" s="58">
        <f t="shared" si="5"/>
        <v>0</v>
      </c>
      <c r="I77" s="58" t="e">
        <f t="shared" si="2"/>
        <v>#VALUE!</v>
      </c>
      <c r="J77" s="48" t="e">
        <f t="shared" si="3"/>
        <v>#VALUE!</v>
      </c>
    </row>
    <row r="78" spans="1:10" outlineLevel="1">
      <c r="A78" s="20">
        <v>6</v>
      </c>
      <c r="C78" s="20">
        <v>64</v>
      </c>
      <c r="D78" s="58" t="e">
        <f t="shared" si="4"/>
        <v>#VALUE!</v>
      </c>
      <c r="E78" s="58" t="e">
        <f t="shared" si="0"/>
        <v>#VALUE!</v>
      </c>
      <c r="F78" s="58"/>
      <c r="G78" s="58" t="e">
        <f t="shared" si="1"/>
        <v>#VALUE!</v>
      </c>
      <c r="H78" s="58">
        <f t="shared" si="5"/>
        <v>0</v>
      </c>
      <c r="I78" s="58" t="e">
        <f t="shared" si="2"/>
        <v>#VALUE!</v>
      </c>
      <c r="J78" s="48" t="e">
        <f t="shared" si="3"/>
        <v>#VALUE!</v>
      </c>
    </row>
    <row r="79" spans="1:10" outlineLevel="1">
      <c r="A79" s="20">
        <v>6</v>
      </c>
      <c r="C79" s="20">
        <v>65</v>
      </c>
      <c r="D79" s="58" t="e">
        <f t="shared" si="4"/>
        <v>#VALUE!</v>
      </c>
      <c r="E79" s="58" t="e">
        <f t="shared" ref="E79:E142" si="6">D79*($E$6/12)</f>
        <v>#VALUE!</v>
      </c>
      <c r="F79" s="58"/>
      <c r="G79" s="58" t="e">
        <f t="shared" ref="G79:G142" si="7">+I79-H79-E79</f>
        <v>#VALUE!</v>
      </c>
      <c r="H79" s="58">
        <f t="shared" si="5"/>
        <v>0</v>
      </c>
      <c r="I79" s="58" t="e">
        <f t="shared" ref="I79:I142" si="8">IF(C79&lt;=$E$7,E79,$E$9)</f>
        <v>#VALUE!</v>
      </c>
      <c r="J79" s="48" t="e">
        <f t="shared" ref="J79:J142" si="9">D79-G79-H79</f>
        <v>#VALUE!</v>
      </c>
    </row>
    <row r="80" spans="1:10" outlineLevel="1">
      <c r="A80" s="20">
        <v>6</v>
      </c>
      <c r="C80" s="20">
        <v>66</v>
      </c>
      <c r="D80" s="58" t="e">
        <f t="shared" ref="D80:D143" si="10">J79</f>
        <v>#VALUE!</v>
      </c>
      <c r="E80" s="58" t="e">
        <f t="shared" si="6"/>
        <v>#VALUE!</v>
      </c>
      <c r="F80" s="58"/>
      <c r="G80" s="58" t="e">
        <f t="shared" si="7"/>
        <v>#VALUE!</v>
      </c>
      <c r="H80" s="58">
        <f t="shared" ref="H80:H143" si="11">+H79</f>
        <v>0</v>
      </c>
      <c r="I80" s="58" t="e">
        <f t="shared" si="8"/>
        <v>#VALUE!</v>
      </c>
      <c r="J80" s="48" t="e">
        <f t="shared" si="9"/>
        <v>#VALUE!</v>
      </c>
    </row>
    <row r="81" spans="1:10" outlineLevel="1">
      <c r="A81" s="20">
        <v>6</v>
      </c>
      <c r="C81" s="20">
        <v>67</v>
      </c>
      <c r="D81" s="58" t="e">
        <f t="shared" si="10"/>
        <v>#VALUE!</v>
      </c>
      <c r="E81" s="58" t="e">
        <f t="shared" si="6"/>
        <v>#VALUE!</v>
      </c>
      <c r="F81" s="58"/>
      <c r="G81" s="58" t="e">
        <f t="shared" si="7"/>
        <v>#VALUE!</v>
      </c>
      <c r="H81" s="58">
        <f t="shared" si="11"/>
        <v>0</v>
      </c>
      <c r="I81" s="58" t="e">
        <f t="shared" si="8"/>
        <v>#VALUE!</v>
      </c>
      <c r="J81" s="48" t="e">
        <f t="shared" si="9"/>
        <v>#VALUE!</v>
      </c>
    </row>
    <row r="82" spans="1:10" outlineLevel="1">
      <c r="A82" s="20">
        <v>6</v>
      </c>
      <c r="C82" s="20">
        <v>68</v>
      </c>
      <c r="D82" s="58" t="e">
        <f t="shared" si="10"/>
        <v>#VALUE!</v>
      </c>
      <c r="E82" s="58" t="e">
        <f t="shared" si="6"/>
        <v>#VALUE!</v>
      </c>
      <c r="F82" s="58"/>
      <c r="G82" s="58" t="e">
        <f t="shared" si="7"/>
        <v>#VALUE!</v>
      </c>
      <c r="H82" s="58">
        <f t="shared" si="11"/>
        <v>0</v>
      </c>
      <c r="I82" s="58" t="e">
        <f t="shared" si="8"/>
        <v>#VALUE!</v>
      </c>
      <c r="J82" s="48" t="e">
        <f t="shared" si="9"/>
        <v>#VALUE!</v>
      </c>
    </row>
    <row r="83" spans="1:10" outlineLevel="1">
      <c r="A83" s="20">
        <v>6</v>
      </c>
      <c r="C83" s="20">
        <v>69</v>
      </c>
      <c r="D83" s="58" t="e">
        <f t="shared" si="10"/>
        <v>#VALUE!</v>
      </c>
      <c r="E83" s="58" t="e">
        <f t="shared" si="6"/>
        <v>#VALUE!</v>
      </c>
      <c r="F83" s="58"/>
      <c r="G83" s="58" t="e">
        <f t="shared" si="7"/>
        <v>#VALUE!</v>
      </c>
      <c r="H83" s="58">
        <f t="shared" si="11"/>
        <v>0</v>
      </c>
      <c r="I83" s="58" t="e">
        <f t="shared" si="8"/>
        <v>#VALUE!</v>
      </c>
      <c r="J83" s="48" t="e">
        <f t="shared" si="9"/>
        <v>#VALUE!</v>
      </c>
    </row>
    <row r="84" spans="1:10" outlineLevel="1">
      <c r="A84" s="20">
        <v>6</v>
      </c>
      <c r="C84" s="20">
        <v>70</v>
      </c>
      <c r="D84" s="58" t="e">
        <f t="shared" si="10"/>
        <v>#VALUE!</v>
      </c>
      <c r="E84" s="58" t="e">
        <f t="shared" si="6"/>
        <v>#VALUE!</v>
      </c>
      <c r="F84" s="58"/>
      <c r="G84" s="58" t="e">
        <f t="shared" si="7"/>
        <v>#VALUE!</v>
      </c>
      <c r="H84" s="58">
        <f t="shared" si="11"/>
        <v>0</v>
      </c>
      <c r="I84" s="58" t="e">
        <f t="shared" si="8"/>
        <v>#VALUE!</v>
      </c>
      <c r="J84" s="48" t="e">
        <f t="shared" si="9"/>
        <v>#VALUE!</v>
      </c>
    </row>
    <row r="85" spans="1:10" outlineLevel="1">
      <c r="A85" s="20">
        <v>6</v>
      </c>
      <c r="C85" s="20">
        <v>71</v>
      </c>
      <c r="D85" s="58" t="e">
        <f t="shared" si="10"/>
        <v>#VALUE!</v>
      </c>
      <c r="E85" s="58" t="e">
        <f t="shared" si="6"/>
        <v>#VALUE!</v>
      </c>
      <c r="F85" s="58"/>
      <c r="G85" s="58" t="e">
        <f t="shared" si="7"/>
        <v>#VALUE!</v>
      </c>
      <c r="H85" s="58">
        <f t="shared" si="11"/>
        <v>0</v>
      </c>
      <c r="I85" s="58" t="e">
        <f t="shared" si="8"/>
        <v>#VALUE!</v>
      </c>
      <c r="J85" s="48" t="e">
        <f t="shared" si="9"/>
        <v>#VALUE!</v>
      </c>
    </row>
    <row r="86" spans="1:10" outlineLevel="1">
      <c r="A86" s="20">
        <v>6</v>
      </c>
      <c r="C86" s="49">
        <v>72</v>
      </c>
      <c r="D86" s="50" t="e">
        <f t="shared" si="10"/>
        <v>#VALUE!</v>
      </c>
      <c r="E86" s="50" t="e">
        <f t="shared" si="6"/>
        <v>#VALUE!</v>
      </c>
      <c r="F86" s="50"/>
      <c r="G86" s="50" t="e">
        <f t="shared" si="7"/>
        <v>#VALUE!</v>
      </c>
      <c r="H86" s="50">
        <f t="shared" si="11"/>
        <v>0</v>
      </c>
      <c r="I86" s="50" t="e">
        <f t="shared" si="8"/>
        <v>#VALUE!</v>
      </c>
      <c r="J86" s="51" t="e">
        <f t="shared" si="9"/>
        <v>#VALUE!</v>
      </c>
    </row>
    <row r="87" spans="1:10" outlineLevel="1">
      <c r="A87" s="20">
        <v>7</v>
      </c>
      <c r="C87" s="20">
        <v>73</v>
      </c>
      <c r="D87" s="42" t="e">
        <f t="shared" si="10"/>
        <v>#VALUE!</v>
      </c>
      <c r="E87" s="42" t="e">
        <f t="shared" si="6"/>
        <v>#VALUE!</v>
      </c>
      <c r="F87" s="42"/>
      <c r="G87" s="42" t="e">
        <f t="shared" si="7"/>
        <v>#VALUE!</v>
      </c>
      <c r="H87" s="42">
        <f t="shared" si="11"/>
        <v>0</v>
      </c>
      <c r="I87" s="42" t="e">
        <f t="shared" si="8"/>
        <v>#VALUE!</v>
      </c>
      <c r="J87" s="48" t="e">
        <f t="shared" si="9"/>
        <v>#VALUE!</v>
      </c>
    </row>
    <row r="88" spans="1:10" ht="15.75" customHeight="1" outlineLevel="1">
      <c r="A88" s="20">
        <v>7</v>
      </c>
      <c r="C88" s="20">
        <v>74</v>
      </c>
      <c r="D88" s="42" t="e">
        <f t="shared" si="10"/>
        <v>#VALUE!</v>
      </c>
      <c r="E88" s="42" t="e">
        <f t="shared" si="6"/>
        <v>#VALUE!</v>
      </c>
      <c r="F88" s="42"/>
      <c r="G88" s="42" t="e">
        <f t="shared" si="7"/>
        <v>#VALUE!</v>
      </c>
      <c r="H88" s="42">
        <f t="shared" si="11"/>
        <v>0</v>
      </c>
      <c r="I88" s="42" t="e">
        <f t="shared" si="8"/>
        <v>#VALUE!</v>
      </c>
      <c r="J88" s="48" t="e">
        <f t="shared" si="9"/>
        <v>#VALUE!</v>
      </c>
    </row>
    <row r="89" spans="1:10" ht="15.75" customHeight="1" outlineLevel="1">
      <c r="A89" s="20">
        <v>7</v>
      </c>
      <c r="C89" s="20">
        <v>75</v>
      </c>
      <c r="D89" s="42" t="e">
        <f t="shared" si="10"/>
        <v>#VALUE!</v>
      </c>
      <c r="E89" s="42" t="e">
        <f t="shared" si="6"/>
        <v>#VALUE!</v>
      </c>
      <c r="F89" s="42"/>
      <c r="G89" s="42" t="e">
        <f t="shared" si="7"/>
        <v>#VALUE!</v>
      </c>
      <c r="H89" s="42">
        <f t="shared" si="11"/>
        <v>0</v>
      </c>
      <c r="I89" s="42" t="e">
        <f t="shared" si="8"/>
        <v>#VALUE!</v>
      </c>
      <c r="J89" s="48" t="e">
        <f t="shared" si="9"/>
        <v>#VALUE!</v>
      </c>
    </row>
    <row r="90" spans="1:10" ht="15.75" customHeight="1" outlineLevel="1">
      <c r="A90" s="20">
        <v>7</v>
      </c>
      <c r="C90" s="20">
        <v>76</v>
      </c>
      <c r="D90" s="42" t="e">
        <f t="shared" si="10"/>
        <v>#VALUE!</v>
      </c>
      <c r="E90" s="42" t="e">
        <f t="shared" si="6"/>
        <v>#VALUE!</v>
      </c>
      <c r="F90" s="42"/>
      <c r="G90" s="42" t="e">
        <f t="shared" si="7"/>
        <v>#VALUE!</v>
      </c>
      <c r="H90" s="42">
        <f t="shared" si="11"/>
        <v>0</v>
      </c>
      <c r="I90" s="42" t="e">
        <f t="shared" si="8"/>
        <v>#VALUE!</v>
      </c>
      <c r="J90" s="48" t="e">
        <f t="shared" si="9"/>
        <v>#VALUE!</v>
      </c>
    </row>
    <row r="91" spans="1:10" ht="15.75" customHeight="1" outlineLevel="1">
      <c r="A91" s="20">
        <v>7</v>
      </c>
      <c r="C91" s="20">
        <v>77</v>
      </c>
      <c r="D91" s="42" t="e">
        <f t="shared" si="10"/>
        <v>#VALUE!</v>
      </c>
      <c r="E91" s="42" t="e">
        <f t="shared" si="6"/>
        <v>#VALUE!</v>
      </c>
      <c r="F91" s="42"/>
      <c r="G91" s="42" t="e">
        <f t="shared" si="7"/>
        <v>#VALUE!</v>
      </c>
      <c r="H91" s="42">
        <f t="shared" si="11"/>
        <v>0</v>
      </c>
      <c r="I91" s="42" t="e">
        <f t="shared" si="8"/>
        <v>#VALUE!</v>
      </c>
      <c r="J91" s="48" t="e">
        <f t="shared" si="9"/>
        <v>#VALUE!</v>
      </c>
    </row>
    <row r="92" spans="1:10" ht="15.75" customHeight="1" outlineLevel="1">
      <c r="A92" s="20">
        <v>7</v>
      </c>
      <c r="C92" s="20">
        <v>78</v>
      </c>
      <c r="D92" s="42" t="e">
        <f t="shared" si="10"/>
        <v>#VALUE!</v>
      </c>
      <c r="E92" s="42" t="e">
        <f t="shared" si="6"/>
        <v>#VALUE!</v>
      </c>
      <c r="F92" s="42"/>
      <c r="G92" s="42" t="e">
        <f t="shared" si="7"/>
        <v>#VALUE!</v>
      </c>
      <c r="H92" s="42">
        <f t="shared" si="11"/>
        <v>0</v>
      </c>
      <c r="I92" s="42" t="e">
        <f t="shared" si="8"/>
        <v>#VALUE!</v>
      </c>
      <c r="J92" s="48" t="e">
        <f t="shared" si="9"/>
        <v>#VALUE!</v>
      </c>
    </row>
    <row r="93" spans="1:10" ht="15.75" customHeight="1" outlineLevel="1">
      <c r="A93" s="20">
        <v>7</v>
      </c>
      <c r="C93" s="20">
        <v>79</v>
      </c>
      <c r="D93" s="42" t="e">
        <f t="shared" si="10"/>
        <v>#VALUE!</v>
      </c>
      <c r="E93" s="42" t="e">
        <f t="shared" si="6"/>
        <v>#VALUE!</v>
      </c>
      <c r="F93" s="42"/>
      <c r="G93" s="42" t="e">
        <f t="shared" si="7"/>
        <v>#VALUE!</v>
      </c>
      <c r="H93" s="42">
        <f t="shared" si="11"/>
        <v>0</v>
      </c>
      <c r="I93" s="42" t="e">
        <f t="shared" si="8"/>
        <v>#VALUE!</v>
      </c>
      <c r="J93" s="48" t="e">
        <f t="shared" si="9"/>
        <v>#VALUE!</v>
      </c>
    </row>
    <row r="94" spans="1:10" ht="15.75" customHeight="1" outlineLevel="1">
      <c r="A94" s="20">
        <v>7</v>
      </c>
      <c r="C94" s="20">
        <v>80</v>
      </c>
      <c r="D94" s="42" t="e">
        <f t="shared" si="10"/>
        <v>#VALUE!</v>
      </c>
      <c r="E94" s="42" t="e">
        <f t="shared" si="6"/>
        <v>#VALUE!</v>
      </c>
      <c r="F94" s="42"/>
      <c r="G94" s="42" t="e">
        <f t="shared" si="7"/>
        <v>#VALUE!</v>
      </c>
      <c r="H94" s="42">
        <f t="shared" si="11"/>
        <v>0</v>
      </c>
      <c r="I94" s="42" t="e">
        <f t="shared" si="8"/>
        <v>#VALUE!</v>
      </c>
      <c r="J94" s="48" t="e">
        <f t="shared" si="9"/>
        <v>#VALUE!</v>
      </c>
    </row>
    <row r="95" spans="1:10" ht="15.75" customHeight="1" outlineLevel="1">
      <c r="A95" s="20">
        <v>7</v>
      </c>
      <c r="C95" s="20">
        <v>81</v>
      </c>
      <c r="D95" s="42" t="e">
        <f t="shared" si="10"/>
        <v>#VALUE!</v>
      </c>
      <c r="E95" s="42" t="e">
        <f t="shared" si="6"/>
        <v>#VALUE!</v>
      </c>
      <c r="F95" s="42"/>
      <c r="G95" s="42" t="e">
        <f t="shared" si="7"/>
        <v>#VALUE!</v>
      </c>
      <c r="H95" s="42">
        <f t="shared" si="11"/>
        <v>0</v>
      </c>
      <c r="I95" s="42" t="e">
        <f t="shared" si="8"/>
        <v>#VALUE!</v>
      </c>
      <c r="J95" s="48" t="e">
        <f t="shared" si="9"/>
        <v>#VALUE!</v>
      </c>
    </row>
    <row r="96" spans="1:10" ht="15.75" customHeight="1" outlineLevel="1">
      <c r="A96" s="20">
        <v>7</v>
      </c>
      <c r="C96" s="20">
        <v>82</v>
      </c>
      <c r="D96" s="58" t="e">
        <f t="shared" si="10"/>
        <v>#VALUE!</v>
      </c>
      <c r="E96" s="58" t="e">
        <f t="shared" si="6"/>
        <v>#VALUE!</v>
      </c>
      <c r="F96" s="58"/>
      <c r="G96" s="58" t="e">
        <f t="shared" si="7"/>
        <v>#VALUE!</v>
      </c>
      <c r="H96" s="58">
        <f t="shared" si="11"/>
        <v>0</v>
      </c>
      <c r="I96" s="58" t="e">
        <f t="shared" si="8"/>
        <v>#VALUE!</v>
      </c>
      <c r="J96" s="48" t="e">
        <f t="shared" si="9"/>
        <v>#VALUE!</v>
      </c>
    </row>
    <row r="97" spans="1:10" ht="15.75" customHeight="1" outlineLevel="1">
      <c r="A97" s="20">
        <v>7</v>
      </c>
      <c r="C97" s="20">
        <v>83</v>
      </c>
      <c r="D97" s="58" t="e">
        <f t="shared" si="10"/>
        <v>#VALUE!</v>
      </c>
      <c r="E97" s="58" t="e">
        <f t="shared" si="6"/>
        <v>#VALUE!</v>
      </c>
      <c r="F97" s="58"/>
      <c r="G97" s="58" t="e">
        <f t="shared" si="7"/>
        <v>#VALUE!</v>
      </c>
      <c r="H97" s="58">
        <f t="shared" si="11"/>
        <v>0</v>
      </c>
      <c r="I97" s="58" t="e">
        <f t="shared" si="8"/>
        <v>#VALUE!</v>
      </c>
      <c r="J97" s="48" t="e">
        <f t="shared" si="9"/>
        <v>#VALUE!</v>
      </c>
    </row>
    <row r="98" spans="1:10" s="59" customFormat="1" ht="16.5" customHeight="1" outlineLevel="1" thickBot="1">
      <c r="A98" s="20">
        <v>7</v>
      </c>
      <c r="C98" s="49">
        <v>84</v>
      </c>
      <c r="D98" s="50" t="e">
        <f t="shared" si="10"/>
        <v>#VALUE!</v>
      </c>
      <c r="E98" s="50" t="e">
        <f t="shared" si="6"/>
        <v>#VALUE!</v>
      </c>
      <c r="F98" s="50"/>
      <c r="G98" s="50" t="e">
        <f t="shared" si="7"/>
        <v>#VALUE!</v>
      </c>
      <c r="H98" s="50">
        <f t="shared" si="11"/>
        <v>0</v>
      </c>
      <c r="I98" s="50" t="e">
        <f t="shared" si="8"/>
        <v>#VALUE!</v>
      </c>
      <c r="J98" s="60" t="e">
        <f t="shared" si="9"/>
        <v>#VALUE!</v>
      </c>
    </row>
    <row r="99" spans="1:10" outlineLevel="1">
      <c r="A99" s="20">
        <v>8</v>
      </c>
      <c r="C99" s="20">
        <v>85</v>
      </c>
      <c r="D99" s="42" t="e">
        <f t="shared" si="10"/>
        <v>#VALUE!</v>
      </c>
      <c r="E99" s="42" t="e">
        <f t="shared" si="6"/>
        <v>#VALUE!</v>
      </c>
      <c r="F99" s="42"/>
      <c r="G99" s="42" t="e">
        <f t="shared" si="7"/>
        <v>#VALUE!</v>
      </c>
      <c r="H99" s="42">
        <f t="shared" si="11"/>
        <v>0</v>
      </c>
      <c r="I99" s="42" t="e">
        <f t="shared" si="8"/>
        <v>#VALUE!</v>
      </c>
      <c r="J99" s="48" t="e">
        <f t="shared" si="9"/>
        <v>#VALUE!</v>
      </c>
    </row>
    <row r="100" spans="1:10" outlineLevel="1">
      <c r="A100" s="20">
        <v>8</v>
      </c>
      <c r="C100" s="20">
        <v>86</v>
      </c>
      <c r="D100" s="42" t="e">
        <f t="shared" si="10"/>
        <v>#VALUE!</v>
      </c>
      <c r="E100" s="42" t="e">
        <f t="shared" si="6"/>
        <v>#VALUE!</v>
      </c>
      <c r="F100" s="42"/>
      <c r="G100" s="42" t="e">
        <f t="shared" si="7"/>
        <v>#VALUE!</v>
      </c>
      <c r="H100" s="42">
        <f t="shared" si="11"/>
        <v>0</v>
      </c>
      <c r="I100" s="42" t="e">
        <f t="shared" si="8"/>
        <v>#VALUE!</v>
      </c>
      <c r="J100" s="48" t="e">
        <f t="shared" si="9"/>
        <v>#VALUE!</v>
      </c>
    </row>
    <row r="101" spans="1:10" outlineLevel="1">
      <c r="A101" s="20">
        <v>8</v>
      </c>
      <c r="C101" s="20">
        <v>87</v>
      </c>
      <c r="D101" s="42" t="e">
        <f t="shared" si="10"/>
        <v>#VALUE!</v>
      </c>
      <c r="E101" s="42" t="e">
        <f t="shared" si="6"/>
        <v>#VALUE!</v>
      </c>
      <c r="F101" s="42"/>
      <c r="G101" s="42" t="e">
        <f t="shared" si="7"/>
        <v>#VALUE!</v>
      </c>
      <c r="H101" s="42">
        <f t="shared" si="11"/>
        <v>0</v>
      </c>
      <c r="I101" s="42" t="e">
        <f t="shared" si="8"/>
        <v>#VALUE!</v>
      </c>
      <c r="J101" s="48" t="e">
        <f t="shared" si="9"/>
        <v>#VALUE!</v>
      </c>
    </row>
    <row r="102" spans="1:10" outlineLevel="1">
      <c r="A102" s="20">
        <v>8</v>
      </c>
      <c r="C102" s="20">
        <v>88</v>
      </c>
      <c r="D102" s="42" t="e">
        <f t="shared" si="10"/>
        <v>#VALUE!</v>
      </c>
      <c r="E102" s="42" t="e">
        <f t="shared" si="6"/>
        <v>#VALUE!</v>
      </c>
      <c r="F102" s="42"/>
      <c r="G102" s="42" t="e">
        <f t="shared" si="7"/>
        <v>#VALUE!</v>
      </c>
      <c r="H102" s="42">
        <f t="shared" si="11"/>
        <v>0</v>
      </c>
      <c r="I102" s="42" t="e">
        <f t="shared" si="8"/>
        <v>#VALUE!</v>
      </c>
      <c r="J102" s="48" t="e">
        <f t="shared" si="9"/>
        <v>#VALUE!</v>
      </c>
    </row>
    <row r="103" spans="1:10" outlineLevel="1">
      <c r="A103" s="20">
        <v>8</v>
      </c>
      <c r="C103" s="20">
        <v>89</v>
      </c>
      <c r="D103" s="42" t="e">
        <f t="shared" si="10"/>
        <v>#VALUE!</v>
      </c>
      <c r="E103" s="42" t="e">
        <f t="shared" si="6"/>
        <v>#VALUE!</v>
      </c>
      <c r="F103" s="42"/>
      <c r="G103" s="42" t="e">
        <f t="shared" si="7"/>
        <v>#VALUE!</v>
      </c>
      <c r="H103" s="42">
        <f t="shared" si="11"/>
        <v>0</v>
      </c>
      <c r="I103" s="42" t="e">
        <f t="shared" si="8"/>
        <v>#VALUE!</v>
      </c>
      <c r="J103" s="48" t="e">
        <f t="shared" si="9"/>
        <v>#VALUE!</v>
      </c>
    </row>
    <row r="104" spans="1:10" outlineLevel="1">
      <c r="A104" s="20">
        <v>8</v>
      </c>
      <c r="C104" s="20">
        <v>90</v>
      </c>
      <c r="D104" s="42" t="e">
        <f t="shared" si="10"/>
        <v>#VALUE!</v>
      </c>
      <c r="E104" s="42" t="e">
        <f t="shared" si="6"/>
        <v>#VALUE!</v>
      </c>
      <c r="F104" s="42"/>
      <c r="G104" s="42" t="e">
        <f t="shared" si="7"/>
        <v>#VALUE!</v>
      </c>
      <c r="H104" s="42">
        <f t="shared" si="11"/>
        <v>0</v>
      </c>
      <c r="I104" s="42" t="e">
        <f t="shared" si="8"/>
        <v>#VALUE!</v>
      </c>
      <c r="J104" s="48" t="e">
        <f t="shared" si="9"/>
        <v>#VALUE!</v>
      </c>
    </row>
    <row r="105" spans="1:10" outlineLevel="1">
      <c r="A105" s="20">
        <v>8</v>
      </c>
      <c r="C105" s="20">
        <v>91</v>
      </c>
      <c r="D105" s="42" t="e">
        <f t="shared" si="10"/>
        <v>#VALUE!</v>
      </c>
      <c r="E105" s="42" t="e">
        <f t="shared" si="6"/>
        <v>#VALUE!</v>
      </c>
      <c r="F105" s="42"/>
      <c r="G105" s="42" t="e">
        <f t="shared" si="7"/>
        <v>#VALUE!</v>
      </c>
      <c r="H105" s="42">
        <f t="shared" si="11"/>
        <v>0</v>
      </c>
      <c r="I105" s="42" t="e">
        <f t="shared" si="8"/>
        <v>#VALUE!</v>
      </c>
      <c r="J105" s="48" t="e">
        <f t="shared" si="9"/>
        <v>#VALUE!</v>
      </c>
    </row>
    <row r="106" spans="1:10" outlineLevel="1">
      <c r="A106" s="20">
        <v>8</v>
      </c>
      <c r="C106" s="20">
        <v>92</v>
      </c>
      <c r="D106" s="42" t="e">
        <f t="shared" si="10"/>
        <v>#VALUE!</v>
      </c>
      <c r="E106" s="42" t="e">
        <f t="shared" si="6"/>
        <v>#VALUE!</v>
      </c>
      <c r="F106" s="42"/>
      <c r="G106" s="42" t="e">
        <f t="shared" si="7"/>
        <v>#VALUE!</v>
      </c>
      <c r="H106" s="42">
        <f t="shared" si="11"/>
        <v>0</v>
      </c>
      <c r="I106" s="42" t="e">
        <f t="shared" si="8"/>
        <v>#VALUE!</v>
      </c>
      <c r="J106" s="48" t="e">
        <f t="shared" si="9"/>
        <v>#VALUE!</v>
      </c>
    </row>
    <row r="107" spans="1:10" outlineLevel="1">
      <c r="A107" s="20">
        <v>8</v>
      </c>
      <c r="C107" s="20">
        <v>93</v>
      </c>
      <c r="D107" s="42" t="e">
        <f t="shared" si="10"/>
        <v>#VALUE!</v>
      </c>
      <c r="E107" s="42" t="e">
        <f t="shared" si="6"/>
        <v>#VALUE!</v>
      </c>
      <c r="F107" s="42"/>
      <c r="G107" s="42" t="e">
        <f t="shared" si="7"/>
        <v>#VALUE!</v>
      </c>
      <c r="H107" s="42">
        <f t="shared" si="11"/>
        <v>0</v>
      </c>
      <c r="I107" s="42" t="e">
        <f t="shared" si="8"/>
        <v>#VALUE!</v>
      </c>
      <c r="J107" s="48" t="e">
        <f t="shared" si="9"/>
        <v>#VALUE!</v>
      </c>
    </row>
    <row r="108" spans="1:10" outlineLevel="1">
      <c r="A108" s="20">
        <v>8</v>
      </c>
      <c r="C108" s="20">
        <v>94</v>
      </c>
      <c r="D108" s="42" t="e">
        <f t="shared" si="10"/>
        <v>#VALUE!</v>
      </c>
      <c r="E108" s="42" t="e">
        <f t="shared" si="6"/>
        <v>#VALUE!</v>
      </c>
      <c r="F108" s="42"/>
      <c r="G108" s="42" t="e">
        <f t="shared" si="7"/>
        <v>#VALUE!</v>
      </c>
      <c r="H108" s="42">
        <f t="shared" si="11"/>
        <v>0</v>
      </c>
      <c r="I108" s="42" t="e">
        <f t="shared" si="8"/>
        <v>#VALUE!</v>
      </c>
      <c r="J108" s="48" t="e">
        <f t="shared" si="9"/>
        <v>#VALUE!</v>
      </c>
    </row>
    <row r="109" spans="1:10" outlineLevel="1">
      <c r="A109" s="20">
        <v>8</v>
      </c>
      <c r="C109" s="20">
        <v>95</v>
      </c>
      <c r="D109" s="42" t="e">
        <f t="shared" si="10"/>
        <v>#VALUE!</v>
      </c>
      <c r="E109" s="42" t="e">
        <f t="shared" si="6"/>
        <v>#VALUE!</v>
      </c>
      <c r="F109" s="42"/>
      <c r="G109" s="42" t="e">
        <f t="shared" si="7"/>
        <v>#VALUE!</v>
      </c>
      <c r="H109" s="42">
        <f t="shared" si="11"/>
        <v>0</v>
      </c>
      <c r="I109" s="42" t="e">
        <f t="shared" si="8"/>
        <v>#VALUE!</v>
      </c>
      <c r="J109" s="48" t="e">
        <f t="shared" si="9"/>
        <v>#VALUE!</v>
      </c>
    </row>
    <row r="110" spans="1:10" outlineLevel="1">
      <c r="A110" s="20">
        <v>8</v>
      </c>
      <c r="C110" s="44">
        <v>96</v>
      </c>
      <c r="D110" s="61" t="e">
        <f t="shared" si="10"/>
        <v>#VALUE!</v>
      </c>
      <c r="E110" s="61" t="e">
        <f t="shared" si="6"/>
        <v>#VALUE!</v>
      </c>
      <c r="F110" s="61"/>
      <c r="G110" s="61" t="e">
        <f t="shared" si="7"/>
        <v>#VALUE!</v>
      </c>
      <c r="H110" s="61">
        <f t="shared" si="11"/>
        <v>0</v>
      </c>
      <c r="I110" s="61" t="e">
        <f t="shared" si="8"/>
        <v>#VALUE!</v>
      </c>
      <c r="J110" s="60" t="e">
        <f t="shared" si="9"/>
        <v>#VALUE!</v>
      </c>
    </row>
    <row r="111" spans="1:10" outlineLevel="1">
      <c r="A111" s="20">
        <v>9</v>
      </c>
      <c r="C111" s="20">
        <v>97</v>
      </c>
      <c r="D111" s="42" t="e">
        <f t="shared" si="10"/>
        <v>#VALUE!</v>
      </c>
      <c r="E111" s="42" t="e">
        <f t="shared" si="6"/>
        <v>#VALUE!</v>
      </c>
      <c r="F111" s="42"/>
      <c r="G111" s="42" t="e">
        <f t="shared" si="7"/>
        <v>#VALUE!</v>
      </c>
      <c r="H111" s="42">
        <f t="shared" si="11"/>
        <v>0</v>
      </c>
      <c r="I111" s="42" t="e">
        <f t="shared" si="8"/>
        <v>#VALUE!</v>
      </c>
      <c r="J111" s="48" t="e">
        <f t="shared" si="9"/>
        <v>#VALUE!</v>
      </c>
    </row>
    <row r="112" spans="1:10" outlineLevel="1">
      <c r="A112" s="20">
        <v>9</v>
      </c>
      <c r="C112" s="20">
        <v>98</v>
      </c>
      <c r="D112" s="42" t="e">
        <f t="shared" si="10"/>
        <v>#VALUE!</v>
      </c>
      <c r="E112" s="42" t="e">
        <f t="shared" si="6"/>
        <v>#VALUE!</v>
      </c>
      <c r="F112" s="42"/>
      <c r="G112" s="42" t="e">
        <f t="shared" si="7"/>
        <v>#VALUE!</v>
      </c>
      <c r="H112" s="42">
        <f t="shared" si="11"/>
        <v>0</v>
      </c>
      <c r="I112" s="42" t="e">
        <f t="shared" si="8"/>
        <v>#VALUE!</v>
      </c>
      <c r="J112" s="48" t="e">
        <f t="shared" si="9"/>
        <v>#VALUE!</v>
      </c>
    </row>
    <row r="113" spans="1:10" outlineLevel="1">
      <c r="A113" s="20">
        <v>9</v>
      </c>
      <c r="C113" s="20">
        <v>99</v>
      </c>
      <c r="D113" s="42" t="e">
        <f t="shared" si="10"/>
        <v>#VALUE!</v>
      </c>
      <c r="E113" s="42" t="e">
        <f t="shared" si="6"/>
        <v>#VALUE!</v>
      </c>
      <c r="F113" s="42"/>
      <c r="G113" s="42" t="e">
        <f t="shared" si="7"/>
        <v>#VALUE!</v>
      </c>
      <c r="H113" s="42">
        <f t="shared" si="11"/>
        <v>0</v>
      </c>
      <c r="I113" s="42" t="e">
        <f t="shared" si="8"/>
        <v>#VALUE!</v>
      </c>
      <c r="J113" s="48" t="e">
        <f t="shared" si="9"/>
        <v>#VALUE!</v>
      </c>
    </row>
    <row r="114" spans="1:10" outlineLevel="1">
      <c r="A114" s="20">
        <v>9</v>
      </c>
      <c r="C114" s="20">
        <v>100</v>
      </c>
      <c r="D114" s="42" t="e">
        <f t="shared" si="10"/>
        <v>#VALUE!</v>
      </c>
      <c r="E114" s="42" t="e">
        <f t="shared" si="6"/>
        <v>#VALUE!</v>
      </c>
      <c r="F114" s="42"/>
      <c r="G114" s="42" t="e">
        <f t="shared" si="7"/>
        <v>#VALUE!</v>
      </c>
      <c r="H114" s="42">
        <f t="shared" si="11"/>
        <v>0</v>
      </c>
      <c r="I114" s="42" t="e">
        <f t="shared" si="8"/>
        <v>#VALUE!</v>
      </c>
      <c r="J114" s="48" t="e">
        <f t="shared" si="9"/>
        <v>#VALUE!</v>
      </c>
    </row>
    <row r="115" spans="1:10" outlineLevel="1">
      <c r="A115" s="20">
        <v>9</v>
      </c>
      <c r="C115" s="20">
        <v>101</v>
      </c>
      <c r="D115" s="42" t="e">
        <f t="shared" si="10"/>
        <v>#VALUE!</v>
      </c>
      <c r="E115" s="42" t="e">
        <f t="shared" si="6"/>
        <v>#VALUE!</v>
      </c>
      <c r="F115" s="42"/>
      <c r="G115" s="42" t="e">
        <f t="shared" si="7"/>
        <v>#VALUE!</v>
      </c>
      <c r="H115" s="42">
        <f t="shared" si="11"/>
        <v>0</v>
      </c>
      <c r="I115" s="42" t="e">
        <f t="shared" si="8"/>
        <v>#VALUE!</v>
      </c>
      <c r="J115" s="48" t="e">
        <f t="shared" si="9"/>
        <v>#VALUE!</v>
      </c>
    </row>
    <row r="116" spans="1:10" outlineLevel="1">
      <c r="A116" s="20">
        <v>9</v>
      </c>
      <c r="C116" s="20">
        <v>102</v>
      </c>
      <c r="D116" s="42" t="e">
        <f t="shared" si="10"/>
        <v>#VALUE!</v>
      </c>
      <c r="E116" s="42" t="e">
        <f t="shared" si="6"/>
        <v>#VALUE!</v>
      </c>
      <c r="F116" s="42"/>
      <c r="G116" s="42" t="e">
        <f t="shared" si="7"/>
        <v>#VALUE!</v>
      </c>
      <c r="H116" s="42">
        <f t="shared" si="11"/>
        <v>0</v>
      </c>
      <c r="I116" s="42" t="e">
        <f t="shared" si="8"/>
        <v>#VALUE!</v>
      </c>
      <c r="J116" s="48" t="e">
        <f t="shared" si="9"/>
        <v>#VALUE!</v>
      </c>
    </row>
    <row r="117" spans="1:10" outlineLevel="1">
      <c r="A117" s="20">
        <v>9</v>
      </c>
      <c r="C117" s="20">
        <v>103</v>
      </c>
      <c r="D117" s="42" t="e">
        <f t="shared" si="10"/>
        <v>#VALUE!</v>
      </c>
      <c r="E117" s="42" t="e">
        <f t="shared" si="6"/>
        <v>#VALUE!</v>
      </c>
      <c r="F117" s="42"/>
      <c r="G117" s="42" t="e">
        <f t="shared" si="7"/>
        <v>#VALUE!</v>
      </c>
      <c r="H117" s="42">
        <f t="shared" si="11"/>
        <v>0</v>
      </c>
      <c r="I117" s="42" t="e">
        <f t="shared" si="8"/>
        <v>#VALUE!</v>
      </c>
      <c r="J117" s="48" t="e">
        <f t="shared" si="9"/>
        <v>#VALUE!</v>
      </c>
    </row>
    <row r="118" spans="1:10" outlineLevel="1">
      <c r="A118" s="20">
        <v>9</v>
      </c>
      <c r="C118" s="20">
        <v>104</v>
      </c>
      <c r="D118" s="42" t="e">
        <f t="shared" si="10"/>
        <v>#VALUE!</v>
      </c>
      <c r="E118" s="42" t="e">
        <f t="shared" si="6"/>
        <v>#VALUE!</v>
      </c>
      <c r="F118" s="42"/>
      <c r="G118" s="42" t="e">
        <f t="shared" si="7"/>
        <v>#VALUE!</v>
      </c>
      <c r="H118" s="42">
        <f t="shared" si="11"/>
        <v>0</v>
      </c>
      <c r="I118" s="42" t="e">
        <f t="shared" si="8"/>
        <v>#VALUE!</v>
      </c>
      <c r="J118" s="48" t="e">
        <f t="shared" si="9"/>
        <v>#VALUE!</v>
      </c>
    </row>
    <row r="119" spans="1:10" outlineLevel="1">
      <c r="A119" s="20">
        <v>9</v>
      </c>
      <c r="C119" s="20">
        <v>105</v>
      </c>
      <c r="D119" s="42" t="e">
        <f t="shared" si="10"/>
        <v>#VALUE!</v>
      </c>
      <c r="E119" s="42" t="e">
        <f t="shared" si="6"/>
        <v>#VALUE!</v>
      </c>
      <c r="F119" s="42"/>
      <c r="G119" s="42" t="e">
        <f t="shared" si="7"/>
        <v>#VALUE!</v>
      </c>
      <c r="H119" s="42">
        <f t="shared" si="11"/>
        <v>0</v>
      </c>
      <c r="I119" s="42" t="e">
        <f t="shared" si="8"/>
        <v>#VALUE!</v>
      </c>
      <c r="J119" s="48" t="e">
        <f t="shared" si="9"/>
        <v>#VALUE!</v>
      </c>
    </row>
    <row r="120" spans="1:10" outlineLevel="1">
      <c r="A120" s="20">
        <v>9</v>
      </c>
      <c r="C120" s="20">
        <v>106</v>
      </c>
      <c r="D120" s="42" t="e">
        <f t="shared" si="10"/>
        <v>#VALUE!</v>
      </c>
      <c r="E120" s="42" t="e">
        <f t="shared" si="6"/>
        <v>#VALUE!</v>
      </c>
      <c r="F120" s="42"/>
      <c r="G120" s="42" t="e">
        <f t="shared" si="7"/>
        <v>#VALUE!</v>
      </c>
      <c r="H120" s="42">
        <f t="shared" si="11"/>
        <v>0</v>
      </c>
      <c r="I120" s="42" t="e">
        <f t="shared" si="8"/>
        <v>#VALUE!</v>
      </c>
      <c r="J120" s="48" t="e">
        <f t="shared" si="9"/>
        <v>#VALUE!</v>
      </c>
    </row>
    <row r="121" spans="1:10" outlineLevel="1">
      <c r="A121" s="20">
        <v>9</v>
      </c>
      <c r="C121" s="20">
        <v>107</v>
      </c>
      <c r="D121" s="42" t="e">
        <f t="shared" si="10"/>
        <v>#VALUE!</v>
      </c>
      <c r="E121" s="42" t="e">
        <f t="shared" si="6"/>
        <v>#VALUE!</v>
      </c>
      <c r="F121" s="42"/>
      <c r="G121" s="42" t="e">
        <f t="shared" si="7"/>
        <v>#VALUE!</v>
      </c>
      <c r="H121" s="42">
        <f t="shared" si="11"/>
        <v>0</v>
      </c>
      <c r="I121" s="42" t="e">
        <f t="shared" si="8"/>
        <v>#VALUE!</v>
      </c>
      <c r="J121" s="48" t="e">
        <f t="shared" si="9"/>
        <v>#VALUE!</v>
      </c>
    </row>
    <row r="122" spans="1:10" outlineLevel="1">
      <c r="A122" s="20">
        <v>9</v>
      </c>
      <c r="C122" s="49">
        <v>108</v>
      </c>
      <c r="D122" s="50" t="e">
        <f t="shared" si="10"/>
        <v>#VALUE!</v>
      </c>
      <c r="E122" s="50" t="e">
        <f t="shared" si="6"/>
        <v>#VALUE!</v>
      </c>
      <c r="F122" s="50"/>
      <c r="G122" s="50" t="e">
        <f t="shared" si="7"/>
        <v>#VALUE!</v>
      </c>
      <c r="H122" s="50">
        <f t="shared" si="11"/>
        <v>0</v>
      </c>
      <c r="I122" s="50" t="e">
        <f t="shared" si="8"/>
        <v>#VALUE!</v>
      </c>
      <c r="J122" s="51" t="e">
        <f t="shared" si="9"/>
        <v>#VALUE!</v>
      </c>
    </row>
    <row r="123" spans="1:10" outlineLevel="1">
      <c r="C123" s="20">
        <v>109</v>
      </c>
      <c r="D123" s="42" t="e">
        <f t="shared" si="10"/>
        <v>#VALUE!</v>
      </c>
      <c r="E123" s="42" t="e">
        <f t="shared" si="6"/>
        <v>#VALUE!</v>
      </c>
      <c r="F123" s="42"/>
      <c r="G123" s="42" t="e">
        <f t="shared" si="7"/>
        <v>#VALUE!</v>
      </c>
      <c r="H123" s="42">
        <f t="shared" si="11"/>
        <v>0</v>
      </c>
      <c r="I123" s="42" t="e">
        <f t="shared" si="8"/>
        <v>#VALUE!</v>
      </c>
      <c r="J123" s="48" t="e">
        <f t="shared" si="9"/>
        <v>#VALUE!</v>
      </c>
    </row>
    <row r="124" spans="1:10" outlineLevel="1">
      <c r="C124" s="20">
        <v>110</v>
      </c>
      <c r="D124" s="42" t="e">
        <f t="shared" si="10"/>
        <v>#VALUE!</v>
      </c>
      <c r="E124" s="42" t="e">
        <f t="shared" si="6"/>
        <v>#VALUE!</v>
      </c>
      <c r="F124" s="42"/>
      <c r="G124" s="42" t="e">
        <f t="shared" si="7"/>
        <v>#VALUE!</v>
      </c>
      <c r="H124" s="42">
        <f t="shared" si="11"/>
        <v>0</v>
      </c>
      <c r="I124" s="42" t="e">
        <f t="shared" si="8"/>
        <v>#VALUE!</v>
      </c>
      <c r="J124" s="48" t="e">
        <f t="shared" si="9"/>
        <v>#VALUE!</v>
      </c>
    </row>
    <row r="125" spans="1:10" outlineLevel="1">
      <c r="C125" s="20">
        <v>111</v>
      </c>
      <c r="D125" s="42" t="e">
        <f t="shared" si="10"/>
        <v>#VALUE!</v>
      </c>
      <c r="E125" s="42" t="e">
        <f t="shared" si="6"/>
        <v>#VALUE!</v>
      </c>
      <c r="F125" s="42"/>
      <c r="G125" s="42" t="e">
        <f t="shared" si="7"/>
        <v>#VALUE!</v>
      </c>
      <c r="H125" s="42">
        <f t="shared" si="11"/>
        <v>0</v>
      </c>
      <c r="I125" s="42" t="e">
        <f t="shared" si="8"/>
        <v>#VALUE!</v>
      </c>
      <c r="J125" s="48" t="e">
        <f t="shared" si="9"/>
        <v>#VALUE!</v>
      </c>
    </row>
    <row r="126" spans="1:10" outlineLevel="1">
      <c r="C126" s="20">
        <v>112</v>
      </c>
      <c r="D126" s="42" t="e">
        <f t="shared" si="10"/>
        <v>#VALUE!</v>
      </c>
      <c r="E126" s="42" t="e">
        <f t="shared" si="6"/>
        <v>#VALUE!</v>
      </c>
      <c r="F126" s="42"/>
      <c r="G126" s="42" t="e">
        <f t="shared" si="7"/>
        <v>#VALUE!</v>
      </c>
      <c r="H126" s="42">
        <f t="shared" si="11"/>
        <v>0</v>
      </c>
      <c r="I126" s="42" t="e">
        <f t="shared" si="8"/>
        <v>#VALUE!</v>
      </c>
      <c r="J126" s="48" t="e">
        <f t="shared" si="9"/>
        <v>#VALUE!</v>
      </c>
    </row>
    <row r="127" spans="1:10" outlineLevel="1">
      <c r="C127" s="20">
        <v>113</v>
      </c>
      <c r="D127" s="42" t="e">
        <f t="shared" si="10"/>
        <v>#VALUE!</v>
      </c>
      <c r="E127" s="42" t="e">
        <f t="shared" si="6"/>
        <v>#VALUE!</v>
      </c>
      <c r="F127" s="42"/>
      <c r="G127" s="42" t="e">
        <f t="shared" si="7"/>
        <v>#VALUE!</v>
      </c>
      <c r="H127" s="42">
        <f t="shared" si="11"/>
        <v>0</v>
      </c>
      <c r="I127" s="42" t="e">
        <f t="shared" si="8"/>
        <v>#VALUE!</v>
      </c>
      <c r="J127" s="48" t="e">
        <f t="shared" si="9"/>
        <v>#VALUE!</v>
      </c>
    </row>
    <row r="128" spans="1:10" outlineLevel="1">
      <c r="C128" s="20">
        <v>114</v>
      </c>
      <c r="D128" s="42" t="e">
        <f t="shared" si="10"/>
        <v>#VALUE!</v>
      </c>
      <c r="E128" s="42" t="e">
        <f t="shared" si="6"/>
        <v>#VALUE!</v>
      </c>
      <c r="F128" s="42"/>
      <c r="G128" s="42" t="e">
        <f t="shared" si="7"/>
        <v>#VALUE!</v>
      </c>
      <c r="H128" s="42">
        <f t="shared" si="11"/>
        <v>0</v>
      </c>
      <c r="I128" s="42" t="e">
        <f t="shared" si="8"/>
        <v>#VALUE!</v>
      </c>
      <c r="J128" s="48" t="e">
        <f t="shared" si="9"/>
        <v>#VALUE!</v>
      </c>
    </row>
    <row r="129" spans="3:10" outlineLevel="1">
      <c r="C129" s="20">
        <v>115</v>
      </c>
      <c r="D129" s="42" t="e">
        <f t="shared" si="10"/>
        <v>#VALUE!</v>
      </c>
      <c r="E129" s="42" t="e">
        <f t="shared" si="6"/>
        <v>#VALUE!</v>
      </c>
      <c r="F129" s="42"/>
      <c r="G129" s="42" t="e">
        <f t="shared" si="7"/>
        <v>#VALUE!</v>
      </c>
      <c r="H129" s="42">
        <f t="shared" si="11"/>
        <v>0</v>
      </c>
      <c r="I129" s="42" t="e">
        <f t="shared" si="8"/>
        <v>#VALUE!</v>
      </c>
      <c r="J129" s="48" t="e">
        <f t="shared" si="9"/>
        <v>#VALUE!</v>
      </c>
    </row>
    <row r="130" spans="3:10" outlineLevel="1">
      <c r="C130" s="20">
        <v>116</v>
      </c>
      <c r="D130" s="42" t="e">
        <f t="shared" si="10"/>
        <v>#VALUE!</v>
      </c>
      <c r="E130" s="42" t="e">
        <f t="shared" si="6"/>
        <v>#VALUE!</v>
      </c>
      <c r="F130" s="42"/>
      <c r="G130" s="42" t="e">
        <f t="shared" si="7"/>
        <v>#VALUE!</v>
      </c>
      <c r="H130" s="42">
        <f t="shared" si="11"/>
        <v>0</v>
      </c>
      <c r="I130" s="42" t="e">
        <f t="shared" si="8"/>
        <v>#VALUE!</v>
      </c>
      <c r="J130" s="48" t="e">
        <f t="shared" si="9"/>
        <v>#VALUE!</v>
      </c>
    </row>
    <row r="131" spans="3:10" outlineLevel="1">
      <c r="C131" s="20">
        <v>117</v>
      </c>
      <c r="D131" s="42" t="e">
        <f t="shared" si="10"/>
        <v>#VALUE!</v>
      </c>
      <c r="E131" s="42" t="e">
        <f t="shared" si="6"/>
        <v>#VALUE!</v>
      </c>
      <c r="F131" s="42"/>
      <c r="G131" s="42" t="e">
        <f t="shared" si="7"/>
        <v>#VALUE!</v>
      </c>
      <c r="H131" s="42">
        <f t="shared" si="11"/>
        <v>0</v>
      </c>
      <c r="I131" s="42" t="e">
        <f t="shared" si="8"/>
        <v>#VALUE!</v>
      </c>
      <c r="J131" s="48" t="e">
        <f t="shared" si="9"/>
        <v>#VALUE!</v>
      </c>
    </row>
    <row r="132" spans="3:10" outlineLevel="1">
      <c r="C132" s="20">
        <v>118</v>
      </c>
      <c r="D132" s="42" t="e">
        <f t="shared" si="10"/>
        <v>#VALUE!</v>
      </c>
      <c r="E132" s="42" t="e">
        <f t="shared" si="6"/>
        <v>#VALUE!</v>
      </c>
      <c r="F132" s="42"/>
      <c r="G132" s="42" t="e">
        <f t="shared" si="7"/>
        <v>#VALUE!</v>
      </c>
      <c r="H132" s="42">
        <f t="shared" si="11"/>
        <v>0</v>
      </c>
      <c r="I132" s="42" t="e">
        <f t="shared" si="8"/>
        <v>#VALUE!</v>
      </c>
      <c r="J132" s="48" t="e">
        <f t="shared" si="9"/>
        <v>#VALUE!</v>
      </c>
    </row>
    <row r="133" spans="3:10" outlineLevel="1">
      <c r="C133" s="20">
        <v>119</v>
      </c>
      <c r="D133" s="42" t="e">
        <f t="shared" si="10"/>
        <v>#VALUE!</v>
      </c>
      <c r="E133" s="42" t="e">
        <f t="shared" si="6"/>
        <v>#VALUE!</v>
      </c>
      <c r="F133" s="42"/>
      <c r="G133" s="42" t="e">
        <f t="shared" si="7"/>
        <v>#VALUE!</v>
      </c>
      <c r="H133" s="42">
        <f t="shared" si="11"/>
        <v>0</v>
      </c>
      <c r="I133" s="42" t="e">
        <f t="shared" si="8"/>
        <v>#VALUE!</v>
      </c>
      <c r="J133" s="48" t="e">
        <f t="shared" si="9"/>
        <v>#VALUE!</v>
      </c>
    </row>
    <row r="134" spans="3:10" ht="13.5" thickBot="1">
      <c r="C134" s="59">
        <v>120</v>
      </c>
      <c r="D134" s="62" t="e">
        <f t="shared" si="10"/>
        <v>#VALUE!</v>
      </c>
      <c r="E134" s="62" t="e">
        <f t="shared" si="6"/>
        <v>#VALUE!</v>
      </c>
      <c r="F134" s="62"/>
      <c r="G134" s="62" t="e">
        <f t="shared" si="7"/>
        <v>#VALUE!</v>
      </c>
      <c r="H134" s="62">
        <f t="shared" si="11"/>
        <v>0</v>
      </c>
      <c r="I134" s="63" t="e">
        <f t="shared" si="8"/>
        <v>#VALUE!</v>
      </c>
      <c r="J134" s="64" t="e">
        <f t="shared" si="9"/>
        <v>#VALUE!</v>
      </c>
    </row>
    <row r="135" spans="3:10">
      <c r="C135" s="20">
        <v>121</v>
      </c>
      <c r="D135" s="42" t="e">
        <f t="shared" si="10"/>
        <v>#VALUE!</v>
      </c>
      <c r="E135" s="42" t="e">
        <f t="shared" si="6"/>
        <v>#VALUE!</v>
      </c>
      <c r="F135" s="42"/>
      <c r="G135" s="42" t="e">
        <f t="shared" si="7"/>
        <v>#VALUE!</v>
      </c>
      <c r="H135" s="42">
        <f t="shared" si="11"/>
        <v>0</v>
      </c>
      <c r="I135" s="42" t="e">
        <f t="shared" si="8"/>
        <v>#VALUE!</v>
      </c>
      <c r="J135" s="48" t="e">
        <f t="shared" si="9"/>
        <v>#VALUE!</v>
      </c>
    </row>
    <row r="136" spans="3:10">
      <c r="C136" s="20">
        <v>122</v>
      </c>
      <c r="D136" s="42" t="e">
        <f t="shared" si="10"/>
        <v>#VALUE!</v>
      </c>
      <c r="E136" s="42" t="e">
        <f t="shared" si="6"/>
        <v>#VALUE!</v>
      </c>
      <c r="F136" s="42"/>
      <c r="G136" s="42" t="e">
        <f t="shared" si="7"/>
        <v>#VALUE!</v>
      </c>
      <c r="H136" s="42">
        <f t="shared" si="11"/>
        <v>0</v>
      </c>
      <c r="I136" s="42" t="e">
        <f t="shared" si="8"/>
        <v>#VALUE!</v>
      </c>
      <c r="J136" s="48" t="e">
        <f t="shared" si="9"/>
        <v>#VALUE!</v>
      </c>
    </row>
    <row r="137" spans="3:10">
      <c r="C137" s="20">
        <v>123</v>
      </c>
      <c r="D137" s="42" t="e">
        <f t="shared" si="10"/>
        <v>#VALUE!</v>
      </c>
      <c r="E137" s="42" t="e">
        <f t="shared" si="6"/>
        <v>#VALUE!</v>
      </c>
      <c r="F137" s="42"/>
      <c r="G137" s="42" t="e">
        <f t="shared" si="7"/>
        <v>#VALUE!</v>
      </c>
      <c r="H137" s="42">
        <f t="shared" si="11"/>
        <v>0</v>
      </c>
      <c r="I137" s="42" t="e">
        <f t="shared" si="8"/>
        <v>#VALUE!</v>
      </c>
      <c r="J137" s="48" t="e">
        <f t="shared" si="9"/>
        <v>#VALUE!</v>
      </c>
    </row>
    <row r="138" spans="3:10">
      <c r="C138" s="20">
        <v>124</v>
      </c>
      <c r="D138" s="42" t="e">
        <f t="shared" si="10"/>
        <v>#VALUE!</v>
      </c>
      <c r="E138" s="42" t="e">
        <f t="shared" si="6"/>
        <v>#VALUE!</v>
      </c>
      <c r="F138" s="42"/>
      <c r="G138" s="42" t="e">
        <f t="shared" si="7"/>
        <v>#VALUE!</v>
      </c>
      <c r="H138" s="42">
        <f t="shared" si="11"/>
        <v>0</v>
      </c>
      <c r="I138" s="42" t="e">
        <f t="shared" si="8"/>
        <v>#VALUE!</v>
      </c>
      <c r="J138" s="48" t="e">
        <f t="shared" si="9"/>
        <v>#VALUE!</v>
      </c>
    </row>
    <row r="139" spans="3:10">
      <c r="C139" s="20">
        <v>125</v>
      </c>
      <c r="D139" s="42" t="e">
        <f t="shared" si="10"/>
        <v>#VALUE!</v>
      </c>
      <c r="E139" s="42" t="e">
        <f t="shared" si="6"/>
        <v>#VALUE!</v>
      </c>
      <c r="F139" s="42"/>
      <c r="G139" s="42" t="e">
        <f t="shared" si="7"/>
        <v>#VALUE!</v>
      </c>
      <c r="H139" s="42">
        <f t="shared" si="11"/>
        <v>0</v>
      </c>
      <c r="I139" s="42" t="e">
        <f t="shared" si="8"/>
        <v>#VALUE!</v>
      </c>
      <c r="J139" s="48" t="e">
        <f t="shared" si="9"/>
        <v>#VALUE!</v>
      </c>
    </row>
    <row r="140" spans="3:10">
      <c r="C140" s="20">
        <v>126</v>
      </c>
      <c r="D140" s="42" t="e">
        <f t="shared" si="10"/>
        <v>#VALUE!</v>
      </c>
      <c r="E140" s="42" t="e">
        <f t="shared" si="6"/>
        <v>#VALUE!</v>
      </c>
      <c r="F140" s="42"/>
      <c r="G140" s="42" t="e">
        <f t="shared" si="7"/>
        <v>#VALUE!</v>
      </c>
      <c r="H140" s="42">
        <f t="shared" si="11"/>
        <v>0</v>
      </c>
      <c r="I140" s="42" t="e">
        <f t="shared" si="8"/>
        <v>#VALUE!</v>
      </c>
      <c r="J140" s="48" t="e">
        <f t="shared" si="9"/>
        <v>#VALUE!</v>
      </c>
    </row>
    <row r="141" spans="3:10">
      <c r="C141" s="20">
        <v>127</v>
      </c>
      <c r="D141" s="42" t="e">
        <f t="shared" si="10"/>
        <v>#VALUE!</v>
      </c>
      <c r="E141" s="42" t="e">
        <f t="shared" si="6"/>
        <v>#VALUE!</v>
      </c>
      <c r="F141" s="42"/>
      <c r="G141" s="42" t="e">
        <f t="shared" si="7"/>
        <v>#VALUE!</v>
      </c>
      <c r="H141" s="42">
        <f t="shared" si="11"/>
        <v>0</v>
      </c>
      <c r="I141" s="42" t="e">
        <f t="shared" si="8"/>
        <v>#VALUE!</v>
      </c>
      <c r="J141" s="48" t="e">
        <f t="shared" si="9"/>
        <v>#VALUE!</v>
      </c>
    </row>
    <row r="142" spans="3:10">
      <c r="C142" s="20">
        <v>128</v>
      </c>
      <c r="D142" s="42" t="e">
        <f t="shared" si="10"/>
        <v>#VALUE!</v>
      </c>
      <c r="E142" s="42" t="e">
        <f t="shared" si="6"/>
        <v>#VALUE!</v>
      </c>
      <c r="F142" s="42"/>
      <c r="G142" s="42" t="e">
        <f t="shared" si="7"/>
        <v>#VALUE!</v>
      </c>
      <c r="H142" s="42">
        <f t="shared" si="11"/>
        <v>0</v>
      </c>
      <c r="I142" s="42" t="e">
        <f t="shared" si="8"/>
        <v>#VALUE!</v>
      </c>
      <c r="J142" s="48" t="e">
        <f t="shared" si="9"/>
        <v>#VALUE!</v>
      </c>
    </row>
    <row r="143" spans="3:10">
      <c r="C143" s="20">
        <v>129</v>
      </c>
      <c r="D143" s="42" t="e">
        <f t="shared" si="10"/>
        <v>#VALUE!</v>
      </c>
      <c r="E143" s="42" t="e">
        <f t="shared" ref="E143:E206" si="12">D143*($E$6/12)</f>
        <v>#VALUE!</v>
      </c>
      <c r="F143" s="42"/>
      <c r="G143" s="42" t="e">
        <f t="shared" ref="G143:G206" si="13">+I143-H143-E143</f>
        <v>#VALUE!</v>
      </c>
      <c r="H143" s="42">
        <f t="shared" si="11"/>
        <v>0</v>
      </c>
      <c r="I143" s="42" t="e">
        <f t="shared" ref="I143:I206" si="14">IF(C143&lt;=$E$7,E143,$E$9)</f>
        <v>#VALUE!</v>
      </c>
      <c r="J143" s="48" t="e">
        <f t="shared" ref="J143:J206" si="15">D143-G143-H143</f>
        <v>#VALUE!</v>
      </c>
    </row>
    <row r="144" spans="3:10">
      <c r="C144" s="20">
        <v>130</v>
      </c>
      <c r="D144" s="42" t="e">
        <f t="shared" ref="D144:D207" si="16">J143</f>
        <v>#VALUE!</v>
      </c>
      <c r="E144" s="42" t="e">
        <f t="shared" si="12"/>
        <v>#VALUE!</v>
      </c>
      <c r="F144" s="42"/>
      <c r="G144" s="42" t="e">
        <f t="shared" si="13"/>
        <v>#VALUE!</v>
      </c>
      <c r="H144" s="42">
        <f t="shared" ref="H144:H207" si="17">+H143</f>
        <v>0</v>
      </c>
      <c r="I144" s="42" t="e">
        <f t="shared" si="14"/>
        <v>#VALUE!</v>
      </c>
      <c r="J144" s="48" t="e">
        <f t="shared" si="15"/>
        <v>#VALUE!</v>
      </c>
    </row>
    <row r="145" spans="3:10">
      <c r="C145" s="20">
        <v>131</v>
      </c>
      <c r="D145" s="42" t="e">
        <f t="shared" si="16"/>
        <v>#VALUE!</v>
      </c>
      <c r="E145" s="42" t="e">
        <f t="shared" si="12"/>
        <v>#VALUE!</v>
      </c>
      <c r="F145" s="42"/>
      <c r="G145" s="42" t="e">
        <f t="shared" si="13"/>
        <v>#VALUE!</v>
      </c>
      <c r="H145" s="42">
        <f t="shared" si="17"/>
        <v>0</v>
      </c>
      <c r="I145" s="42" t="e">
        <f t="shared" si="14"/>
        <v>#VALUE!</v>
      </c>
      <c r="J145" s="48" t="e">
        <f t="shared" si="15"/>
        <v>#VALUE!</v>
      </c>
    </row>
    <row r="146" spans="3:10">
      <c r="C146" s="20">
        <v>132</v>
      </c>
      <c r="D146" s="42" t="e">
        <f t="shared" si="16"/>
        <v>#VALUE!</v>
      </c>
      <c r="E146" s="42" t="e">
        <f t="shared" si="12"/>
        <v>#VALUE!</v>
      </c>
      <c r="F146" s="42"/>
      <c r="G146" s="42" t="e">
        <f t="shared" si="13"/>
        <v>#VALUE!</v>
      </c>
      <c r="H146" s="42">
        <f t="shared" si="17"/>
        <v>0</v>
      </c>
      <c r="I146" s="42" t="e">
        <f t="shared" si="14"/>
        <v>#VALUE!</v>
      </c>
      <c r="J146" s="48" t="e">
        <f t="shared" si="15"/>
        <v>#VALUE!</v>
      </c>
    </row>
    <row r="147" spans="3:10">
      <c r="C147" s="20">
        <v>133</v>
      </c>
      <c r="D147" s="42" t="e">
        <f t="shared" si="16"/>
        <v>#VALUE!</v>
      </c>
      <c r="E147" s="42" t="e">
        <f t="shared" si="12"/>
        <v>#VALUE!</v>
      </c>
      <c r="F147" s="42"/>
      <c r="G147" s="42" t="e">
        <f t="shared" si="13"/>
        <v>#VALUE!</v>
      </c>
      <c r="H147" s="42">
        <f t="shared" si="17"/>
        <v>0</v>
      </c>
      <c r="I147" s="42" t="e">
        <f t="shared" si="14"/>
        <v>#VALUE!</v>
      </c>
      <c r="J147" s="48" t="e">
        <f t="shared" si="15"/>
        <v>#VALUE!</v>
      </c>
    </row>
    <row r="148" spans="3:10">
      <c r="C148" s="20">
        <v>134</v>
      </c>
      <c r="D148" s="42" t="e">
        <f t="shared" si="16"/>
        <v>#VALUE!</v>
      </c>
      <c r="E148" s="42" t="e">
        <f t="shared" si="12"/>
        <v>#VALUE!</v>
      </c>
      <c r="F148" s="42"/>
      <c r="G148" s="42" t="e">
        <f t="shared" si="13"/>
        <v>#VALUE!</v>
      </c>
      <c r="H148" s="42">
        <f t="shared" si="17"/>
        <v>0</v>
      </c>
      <c r="I148" s="42" t="e">
        <f t="shared" si="14"/>
        <v>#VALUE!</v>
      </c>
      <c r="J148" s="48" t="e">
        <f t="shared" si="15"/>
        <v>#VALUE!</v>
      </c>
    </row>
    <row r="149" spans="3:10">
      <c r="C149" s="20">
        <v>135</v>
      </c>
      <c r="D149" s="42" t="e">
        <f t="shared" si="16"/>
        <v>#VALUE!</v>
      </c>
      <c r="E149" s="42" t="e">
        <f t="shared" si="12"/>
        <v>#VALUE!</v>
      </c>
      <c r="F149" s="42"/>
      <c r="G149" s="42" t="e">
        <f t="shared" si="13"/>
        <v>#VALUE!</v>
      </c>
      <c r="H149" s="42">
        <f t="shared" si="17"/>
        <v>0</v>
      </c>
      <c r="I149" s="42" t="e">
        <f t="shared" si="14"/>
        <v>#VALUE!</v>
      </c>
      <c r="J149" s="48" t="e">
        <f t="shared" si="15"/>
        <v>#VALUE!</v>
      </c>
    </row>
    <row r="150" spans="3:10">
      <c r="C150" s="20">
        <v>136</v>
      </c>
      <c r="D150" s="42" t="e">
        <f t="shared" si="16"/>
        <v>#VALUE!</v>
      </c>
      <c r="E150" s="42" t="e">
        <f t="shared" si="12"/>
        <v>#VALUE!</v>
      </c>
      <c r="F150" s="42"/>
      <c r="G150" s="42" t="e">
        <f t="shared" si="13"/>
        <v>#VALUE!</v>
      </c>
      <c r="H150" s="42">
        <f t="shared" si="17"/>
        <v>0</v>
      </c>
      <c r="I150" s="42" t="e">
        <f t="shared" si="14"/>
        <v>#VALUE!</v>
      </c>
      <c r="J150" s="48" t="e">
        <f t="shared" si="15"/>
        <v>#VALUE!</v>
      </c>
    </row>
    <row r="151" spans="3:10">
      <c r="C151" s="20">
        <v>137</v>
      </c>
      <c r="D151" s="42" t="e">
        <f t="shared" si="16"/>
        <v>#VALUE!</v>
      </c>
      <c r="E151" s="42" t="e">
        <f t="shared" si="12"/>
        <v>#VALUE!</v>
      </c>
      <c r="F151" s="42"/>
      <c r="G151" s="42" t="e">
        <f t="shared" si="13"/>
        <v>#VALUE!</v>
      </c>
      <c r="H151" s="42">
        <f t="shared" si="17"/>
        <v>0</v>
      </c>
      <c r="I151" s="42" t="e">
        <f t="shared" si="14"/>
        <v>#VALUE!</v>
      </c>
      <c r="J151" s="48" t="e">
        <f t="shared" si="15"/>
        <v>#VALUE!</v>
      </c>
    </row>
    <row r="152" spans="3:10">
      <c r="C152" s="20">
        <v>138</v>
      </c>
      <c r="D152" s="42" t="e">
        <f t="shared" si="16"/>
        <v>#VALUE!</v>
      </c>
      <c r="E152" s="42" t="e">
        <f t="shared" si="12"/>
        <v>#VALUE!</v>
      </c>
      <c r="F152" s="42"/>
      <c r="G152" s="42" t="e">
        <f t="shared" si="13"/>
        <v>#VALUE!</v>
      </c>
      <c r="H152" s="42">
        <f t="shared" si="17"/>
        <v>0</v>
      </c>
      <c r="I152" s="42" t="e">
        <f t="shared" si="14"/>
        <v>#VALUE!</v>
      </c>
      <c r="J152" s="48" t="e">
        <f t="shared" si="15"/>
        <v>#VALUE!</v>
      </c>
    </row>
    <row r="153" spans="3:10">
      <c r="C153" s="20">
        <v>139</v>
      </c>
      <c r="D153" s="42" t="e">
        <f t="shared" si="16"/>
        <v>#VALUE!</v>
      </c>
      <c r="E153" s="42" t="e">
        <f t="shared" si="12"/>
        <v>#VALUE!</v>
      </c>
      <c r="F153" s="42"/>
      <c r="G153" s="42" t="e">
        <f t="shared" si="13"/>
        <v>#VALUE!</v>
      </c>
      <c r="H153" s="42">
        <f t="shared" si="17"/>
        <v>0</v>
      </c>
      <c r="I153" s="42" t="e">
        <f t="shared" si="14"/>
        <v>#VALUE!</v>
      </c>
      <c r="J153" s="48" t="e">
        <f t="shared" si="15"/>
        <v>#VALUE!</v>
      </c>
    </row>
    <row r="154" spans="3:10">
      <c r="C154" s="20">
        <v>140</v>
      </c>
      <c r="D154" s="42" t="e">
        <f t="shared" si="16"/>
        <v>#VALUE!</v>
      </c>
      <c r="E154" s="42" t="e">
        <f t="shared" si="12"/>
        <v>#VALUE!</v>
      </c>
      <c r="F154" s="42"/>
      <c r="G154" s="42" t="e">
        <f t="shared" si="13"/>
        <v>#VALUE!</v>
      </c>
      <c r="H154" s="42">
        <f t="shared" si="17"/>
        <v>0</v>
      </c>
      <c r="I154" s="42" t="e">
        <f t="shared" si="14"/>
        <v>#VALUE!</v>
      </c>
      <c r="J154" s="48" t="e">
        <f t="shared" si="15"/>
        <v>#VALUE!</v>
      </c>
    </row>
    <row r="155" spans="3:10">
      <c r="C155" s="20">
        <v>141</v>
      </c>
      <c r="D155" s="42" t="e">
        <f t="shared" si="16"/>
        <v>#VALUE!</v>
      </c>
      <c r="E155" s="42" t="e">
        <f t="shared" si="12"/>
        <v>#VALUE!</v>
      </c>
      <c r="F155" s="42"/>
      <c r="G155" s="42" t="e">
        <f t="shared" si="13"/>
        <v>#VALUE!</v>
      </c>
      <c r="H155" s="42">
        <f t="shared" si="17"/>
        <v>0</v>
      </c>
      <c r="I155" s="42" t="e">
        <f t="shared" si="14"/>
        <v>#VALUE!</v>
      </c>
      <c r="J155" s="48" t="e">
        <f t="shared" si="15"/>
        <v>#VALUE!</v>
      </c>
    </row>
    <row r="156" spans="3:10">
      <c r="C156" s="20">
        <v>142</v>
      </c>
      <c r="D156" s="42" t="e">
        <f t="shared" si="16"/>
        <v>#VALUE!</v>
      </c>
      <c r="E156" s="42" t="e">
        <f t="shared" si="12"/>
        <v>#VALUE!</v>
      </c>
      <c r="F156" s="42"/>
      <c r="G156" s="42" t="e">
        <f t="shared" si="13"/>
        <v>#VALUE!</v>
      </c>
      <c r="H156" s="42">
        <f t="shared" si="17"/>
        <v>0</v>
      </c>
      <c r="I156" s="42" t="e">
        <f t="shared" si="14"/>
        <v>#VALUE!</v>
      </c>
      <c r="J156" s="48" t="e">
        <f t="shared" si="15"/>
        <v>#VALUE!</v>
      </c>
    </row>
    <row r="157" spans="3:10">
      <c r="C157" s="20">
        <v>143</v>
      </c>
      <c r="D157" s="42" t="e">
        <f t="shared" si="16"/>
        <v>#VALUE!</v>
      </c>
      <c r="E157" s="42" t="e">
        <f t="shared" si="12"/>
        <v>#VALUE!</v>
      </c>
      <c r="F157" s="42"/>
      <c r="G157" s="42" t="e">
        <f t="shared" si="13"/>
        <v>#VALUE!</v>
      </c>
      <c r="H157" s="42">
        <f t="shared" si="17"/>
        <v>0</v>
      </c>
      <c r="I157" s="42" t="e">
        <f t="shared" si="14"/>
        <v>#VALUE!</v>
      </c>
      <c r="J157" s="48" t="e">
        <f t="shared" si="15"/>
        <v>#VALUE!</v>
      </c>
    </row>
    <row r="158" spans="3:10">
      <c r="C158" s="20">
        <v>144</v>
      </c>
      <c r="D158" s="42" t="e">
        <f t="shared" si="16"/>
        <v>#VALUE!</v>
      </c>
      <c r="E158" s="42" t="e">
        <f t="shared" si="12"/>
        <v>#VALUE!</v>
      </c>
      <c r="F158" s="42"/>
      <c r="G158" s="42" t="e">
        <f t="shared" si="13"/>
        <v>#VALUE!</v>
      </c>
      <c r="H158" s="42">
        <f t="shared" si="17"/>
        <v>0</v>
      </c>
      <c r="I158" s="42" t="e">
        <f t="shared" si="14"/>
        <v>#VALUE!</v>
      </c>
      <c r="J158" s="48" t="e">
        <f t="shared" si="15"/>
        <v>#VALUE!</v>
      </c>
    </row>
    <row r="159" spans="3:10">
      <c r="C159" s="20">
        <v>145</v>
      </c>
      <c r="D159" s="42" t="e">
        <f t="shared" si="16"/>
        <v>#VALUE!</v>
      </c>
      <c r="E159" s="42" t="e">
        <f t="shared" si="12"/>
        <v>#VALUE!</v>
      </c>
      <c r="F159" s="42"/>
      <c r="G159" s="42" t="e">
        <f t="shared" si="13"/>
        <v>#VALUE!</v>
      </c>
      <c r="H159" s="42">
        <f t="shared" si="17"/>
        <v>0</v>
      </c>
      <c r="I159" s="42" t="e">
        <f t="shared" si="14"/>
        <v>#VALUE!</v>
      </c>
      <c r="J159" s="48" t="e">
        <f t="shared" si="15"/>
        <v>#VALUE!</v>
      </c>
    </row>
    <row r="160" spans="3:10">
      <c r="C160" s="20">
        <v>146</v>
      </c>
      <c r="D160" s="42" t="e">
        <f t="shared" si="16"/>
        <v>#VALUE!</v>
      </c>
      <c r="E160" s="42" t="e">
        <f t="shared" si="12"/>
        <v>#VALUE!</v>
      </c>
      <c r="F160" s="42"/>
      <c r="G160" s="42" t="e">
        <f t="shared" si="13"/>
        <v>#VALUE!</v>
      </c>
      <c r="H160" s="42">
        <f t="shared" si="17"/>
        <v>0</v>
      </c>
      <c r="I160" s="42" t="e">
        <f t="shared" si="14"/>
        <v>#VALUE!</v>
      </c>
      <c r="J160" s="48" t="e">
        <f t="shared" si="15"/>
        <v>#VALUE!</v>
      </c>
    </row>
    <row r="161" spans="3:10">
      <c r="C161" s="20">
        <v>147</v>
      </c>
      <c r="D161" s="42" t="e">
        <f t="shared" si="16"/>
        <v>#VALUE!</v>
      </c>
      <c r="E161" s="42" t="e">
        <f t="shared" si="12"/>
        <v>#VALUE!</v>
      </c>
      <c r="F161" s="42"/>
      <c r="G161" s="42" t="e">
        <f t="shared" si="13"/>
        <v>#VALUE!</v>
      </c>
      <c r="H161" s="42">
        <f t="shared" si="17"/>
        <v>0</v>
      </c>
      <c r="I161" s="42" t="e">
        <f t="shared" si="14"/>
        <v>#VALUE!</v>
      </c>
      <c r="J161" s="48" t="e">
        <f t="shared" si="15"/>
        <v>#VALUE!</v>
      </c>
    </row>
    <row r="162" spans="3:10">
      <c r="C162" s="20">
        <v>148</v>
      </c>
      <c r="D162" s="42" t="e">
        <f t="shared" si="16"/>
        <v>#VALUE!</v>
      </c>
      <c r="E162" s="42" t="e">
        <f t="shared" si="12"/>
        <v>#VALUE!</v>
      </c>
      <c r="F162" s="42"/>
      <c r="G162" s="42" t="e">
        <f t="shared" si="13"/>
        <v>#VALUE!</v>
      </c>
      <c r="H162" s="42">
        <f t="shared" si="17"/>
        <v>0</v>
      </c>
      <c r="I162" s="42" t="e">
        <f t="shared" si="14"/>
        <v>#VALUE!</v>
      </c>
      <c r="J162" s="48" t="e">
        <f t="shared" si="15"/>
        <v>#VALUE!</v>
      </c>
    </row>
    <row r="163" spans="3:10">
      <c r="C163" s="20">
        <v>149</v>
      </c>
      <c r="D163" s="42" t="e">
        <f t="shared" si="16"/>
        <v>#VALUE!</v>
      </c>
      <c r="E163" s="42" t="e">
        <f t="shared" si="12"/>
        <v>#VALUE!</v>
      </c>
      <c r="F163" s="42"/>
      <c r="G163" s="42" t="e">
        <f t="shared" si="13"/>
        <v>#VALUE!</v>
      </c>
      <c r="H163" s="42">
        <f t="shared" si="17"/>
        <v>0</v>
      </c>
      <c r="I163" s="42" t="e">
        <f t="shared" si="14"/>
        <v>#VALUE!</v>
      </c>
      <c r="J163" s="48" t="e">
        <f t="shared" si="15"/>
        <v>#VALUE!</v>
      </c>
    </row>
    <row r="164" spans="3:10">
      <c r="C164" s="20">
        <v>150</v>
      </c>
      <c r="D164" s="42" t="e">
        <f t="shared" si="16"/>
        <v>#VALUE!</v>
      </c>
      <c r="E164" s="42" t="e">
        <f t="shared" si="12"/>
        <v>#VALUE!</v>
      </c>
      <c r="F164" s="42"/>
      <c r="G164" s="42" t="e">
        <f t="shared" si="13"/>
        <v>#VALUE!</v>
      </c>
      <c r="H164" s="42">
        <f t="shared" si="17"/>
        <v>0</v>
      </c>
      <c r="I164" s="42" t="e">
        <f t="shared" si="14"/>
        <v>#VALUE!</v>
      </c>
      <c r="J164" s="48" t="e">
        <f t="shared" si="15"/>
        <v>#VALUE!</v>
      </c>
    </row>
    <row r="165" spans="3:10">
      <c r="C165" s="20">
        <v>151</v>
      </c>
      <c r="D165" s="42" t="e">
        <f t="shared" si="16"/>
        <v>#VALUE!</v>
      </c>
      <c r="E165" s="42" t="e">
        <f t="shared" si="12"/>
        <v>#VALUE!</v>
      </c>
      <c r="F165" s="42"/>
      <c r="G165" s="42" t="e">
        <f t="shared" si="13"/>
        <v>#VALUE!</v>
      </c>
      <c r="H165" s="42">
        <f t="shared" si="17"/>
        <v>0</v>
      </c>
      <c r="I165" s="42" t="e">
        <f t="shared" si="14"/>
        <v>#VALUE!</v>
      </c>
      <c r="J165" s="48" t="e">
        <f t="shared" si="15"/>
        <v>#VALUE!</v>
      </c>
    </row>
    <row r="166" spans="3:10">
      <c r="C166" s="20">
        <v>152</v>
      </c>
      <c r="D166" s="42" t="e">
        <f t="shared" si="16"/>
        <v>#VALUE!</v>
      </c>
      <c r="E166" s="42" t="e">
        <f t="shared" si="12"/>
        <v>#VALUE!</v>
      </c>
      <c r="F166" s="42"/>
      <c r="G166" s="42" t="e">
        <f t="shared" si="13"/>
        <v>#VALUE!</v>
      </c>
      <c r="H166" s="42">
        <f t="shared" si="17"/>
        <v>0</v>
      </c>
      <c r="I166" s="42" t="e">
        <f t="shared" si="14"/>
        <v>#VALUE!</v>
      </c>
      <c r="J166" s="48" t="e">
        <f t="shared" si="15"/>
        <v>#VALUE!</v>
      </c>
    </row>
    <row r="167" spans="3:10">
      <c r="C167" s="20">
        <v>153</v>
      </c>
      <c r="D167" s="42" t="e">
        <f t="shared" si="16"/>
        <v>#VALUE!</v>
      </c>
      <c r="E167" s="42" t="e">
        <f t="shared" si="12"/>
        <v>#VALUE!</v>
      </c>
      <c r="F167" s="42"/>
      <c r="G167" s="42" t="e">
        <f t="shared" si="13"/>
        <v>#VALUE!</v>
      </c>
      <c r="H167" s="42">
        <f t="shared" si="17"/>
        <v>0</v>
      </c>
      <c r="I167" s="42" t="e">
        <f t="shared" si="14"/>
        <v>#VALUE!</v>
      </c>
      <c r="J167" s="48" t="e">
        <f t="shared" si="15"/>
        <v>#VALUE!</v>
      </c>
    </row>
    <row r="168" spans="3:10">
      <c r="C168" s="20">
        <v>154</v>
      </c>
      <c r="D168" s="42" t="e">
        <f t="shared" si="16"/>
        <v>#VALUE!</v>
      </c>
      <c r="E168" s="42" t="e">
        <f t="shared" si="12"/>
        <v>#VALUE!</v>
      </c>
      <c r="F168" s="42"/>
      <c r="G168" s="42" t="e">
        <f t="shared" si="13"/>
        <v>#VALUE!</v>
      </c>
      <c r="H168" s="42">
        <f t="shared" si="17"/>
        <v>0</v>
      </c>
      <c r="I168" s="42" t="e">
        <f t="shared" si="14"/>
        <v>#VALUE!</v>
      </c>
      <c r="J168" s="48" t="e">
        <f t="shared" si="15"/>
        <v>#VALUE!</v>
      </c>
    </row>
    <row r="169" spans="3:10">
      <c r="C169" s="20">
        <v>155</v>
      </c>
      <c r="D169" s="42" t="e">
        <f t="shared" si="16"/>
        <v>#VALUE!</v>
      </c>
      <c r="E169" s="42" t="e">
        <f t="shared" si="12"/>
        <v>#VALUE!</v>
      </c>
      <c r="F169" s="42"/>
      <c r="G169" s="42" t="e">
        <f t="shared" si="13"/>
        <v>#VALUE!</v>
      </c>
      <c r="H169" s="42">
        <f t="shared" si="17"/>
        <v>0</v>
      </c>
      <c r="I169" s="42" t="e">
        <f t="shared" si="14"/>
        <v>#VALUE!</v>
      </c>
      <c r="J169" s="48" t="e">
        <f t="shared" si="15"/>
        <v>#VALUE!</v>
      </c>
    </row>
    <row r="170" spans="3:10">
      <c r="C170" s="20">
        <v>156</v>
      </c>
      <c r="D170" s="42" t="e">
        <f t="shared" si="16"/>
        <v>#VALUE!</v>
      </c>
      <c r="E170" s="42" t="e">
        <f t="shared" si="12"/>
        <v>#VALUE!</v>
      </c>
      <c r="F170" s="42"/>
      <c r="G170" s="42" t="e">
        <f t="shared" si="13"/>
        <v>#VALUE!</v>
      </c>
      <c r="H170" s="42">
        <f t="shared" si="17"/>
        <v>0</v>
      </c>
      <c r="I170" s="42" t="e">
        <f t="shared" si="14"/>
        <v>#VALUE!</v>
      </c>
      <c r="J170" s="48" t="e">
        <f t="shared" si="15"/>
        <v>#VALUE!</v>
      </c>
    </row>
    <row r="171" spans="3:10">
      <c r="C171" s="20">
        <v>157</v>
      </c>
      <c r="D171" s="42" t="e">
        <f t="shared" si="16"/>
        <v>#VALUE!</v>
      </c>
      <c r="E171" s="42" t="e">
        <f t="shared" si="12"/>
        <v>#VALUE!</v>
      </c>
      <c r="F171" s="42"/>
      <c r="G171" s="42" t="e">
        <f t="shared" si="13"/>
        <v>#VALUE!</v>
      </c>
      <c r="H171" s="42">
        <f t="shared" si="17"/>
        <v>0</v>
      </c>
      <c r="I171" s="42" t="e">
        <f t="shared" si="14"/>
        <v>#VALUE!</v>
      </c>
      <c r="J171" s="48" t="e">
        <f t="shared" si="15"/>
        <v>#VALUE!</v>
      </c>
    </row>
    <row r="172" spans="3:10">
      <c r="C172" s="20">
        <v>158</v>
      </c>
      <c r="D172" s="42" t="e">
        <f t="shared" si="16"/>
        <v>#VALUE!</v>
      </c>
      <c r="E172" s="42" t="e">
        <f t="shared" si="12"/>
        <v>#VALUE!</v>
      </c>
      <c r="F172" s="42"/>
      <c r="G172" s="42" t="e">
        <f t="shared" si="13"/>
        <v>#VALUE!</v>
      </c>
      <c r="H172" s="42">
        <f t="shared" si="17"/>
        <v>0</v>
      </c>
      <c r="I172" s="42" t="e">
        <f t="shared" si="14"/>
        <v>#VALUE!</v>
      </c>
      <c r="J172" s="48" t="e">
        <f t="shared" si="15"/>
        <v>#VALUE!</v>
      </c>
    </row>
    <row r="173" spans="3:10">
      <c r="C173" s="20">
        <v>159</v>
      </c>
      <c r="D173" s="42" t="e">
        <f t="shared" si="16"/>
        <v>#VALUE!</v>
      </c>
      <c r="E173" s="42" t="e">
        <f t="shared" si="12"/>
        <v>#VALUE!</v>
      </c>
      <c r="F173" s="42"/>
      <c r="G173" s="42" t="e">
        <f t="shared" si="13"/>
        <v>#VALUE!</v>
      </c>
      <c r="H173" s="42">
        <f t="shared" si="17"/>
        <v>0</v>
      </c>
      <c r="I173" s="42" t="e">
        <f t="shared" si="14"/>
        <v>#VALUE!</v>
      </c>
      <c r="J173" s="48" t="e">
        <f t="shared" si="15"/>
        <v>#VALUE!</v>
      </c>
    </row>
    <row r="174" spans="3:10">
      <c r="C174" s="20">
        <v>160</v>
      </c>
      <c r="D174" s="42" t="e">
        <f t="shared" si="16"/>
        <v>#VALUE!</v>
      </c>
      <c r="E174" s="42" t="e">
        <f t="shared" si="12"/>
        <v>#VALUE!</v>
      </c>
      <c r="F174" s="42"/>
      <c r="G174" s="42" t="e">
        <f t="shared" si="13"/>
        <v>#VALUE!</v>
      </c>
      <c r="H174" s="42">
        <f t="shared" si="17"/>
        <v>0</v>
      </c>
      <c r="I174" s="42" t="e">
        <f t="shared" si="14"/>
        <v>#VALUE!</v>
      </c>
      <c r="J174" s="48" t="e">
        <f t="shared" si="15"/>
        <v>#VALUE!</v>
      </c>
    </row>
    <row r="175" spans="3:10">
      <c r="C175" s="20">
        <v>161</v>
      </c>
      <c r="D175" s="42" t="e">
        <f t="shared" si="16"/>
        <v>#VALUE!</v>
      </c>
      <c r="E175" s="42" t="e">
        <f t="shared" si="12"/>
        <v>#VALUE!</v>
      </c>
      <c r="F175" s="42"/>
      <c r="G175" s="42" t="e">
        <f t="shared" si="13"/>
        <v>#VALUE!</v>
      </c>
      <c r="H175" s="42">
        <f t="shared" si="17"/>
        <v>0</v>
      </c>
      <c r="I175" s="42" t="e">
        <f t="shared" si="14"/>
        <v>#VALUE!</v>
      </c>
      <c r="J175" s="48" t="e">
        <f t="shared" si="15"/>
        <v>#VALUE!</v>
      </c>
    </row>
    <row r="176" spans="3:10">
      <c r="C176" s="20">
        <v>162</v>
      </c>
      <c r="D176" s="42" t="e">
        <f t="shared" si="16"/>
        <v>#VALUE!</v>
      </c>
      <c r="E176" s="42" t="e">
        <f t="shared" si="12"/>
        <v>#VALUE!</v>
      </c>
      <c r="F176" s="42"/>
      <c r="G176" s="42" t="e">
        <f t="shared" si="13"/>
        <v>#VALUE!</v>
      </c>
      <c r="H176" s="42">
        <f t="shared" si="17"/>
        <v>0</v>
      </c>
      <c r="I176" s="42" t="e">
        <f t="shared" si="14"/>
        <v>#VALUE!</v>
      </c>
      <c r="J176" s="48" t="e">
        <f t="shared" si="15"/>
        <v>#VALUE!</v>
      </c>
    </row>
    <row r="177" spans="3:10">
      <c r="C177" s="20">
        <v>163</v>
      </c>
      <c r="D177" s="42" t="e">
        <f t="shared" si="16"/>
        <v>#VALUE!</v>
      </c>
      <c r="E177" s="42" t="e">
        <f t="shared" si="12"/>
        <v>#VALUE!</v>
      </c>
      <c r="F177" s="42"/>
      <c r="G177" s="42" t="e">
        <f t="shared" si="13"/>
        <v>#VALUE!</v>
      </c>
      <c r="H177" s="42">
        <f t="shared" si="17"/>
        <v>0</v>
      </c>
      <c r="I177" s="42" t="e">
        <f t="shared" si="14"/>
        <v>#VALUE!</v>
      </c>
      <c r="J177" s="48" t="e">
        <f t="shared" si="15"/>
        <v>#VALUE!</v>
      </c>
    </row>
    <row r="178" spans="3:10">
      <c r="C178" s="20">
        <v>164</v>
      </c>
      <c r="D178" s="42" t="e">
        <f t="shared" si="16"/>
        <v>#VALUE!</v>
      </c>
      <c r="E178" s="42" t="e">
        <f t="shared" si="12"/>
        <v>#VALUE!</v>
      </c>
      <c r="F178" s="42"/>
      <c r="G178" s="42" t="e">
        <f t="shared" si="13"/>
        <v>#VALUE!</v>
      </c>
      <c r="H178" s="42">
        <f t="shared" si="17"/>
        <v>0</v>
      </c>
      <c r="I178" s="42" t="e">
        <f t="shared" si="14"/>
        <v>#VALUE!</v>
      </c>
      <c r="J178" s="48" t="e">
        <f t="shared" si="15"/>
        <v>#VALUE!</v>
      </c>
    </row>
    <row r="179" spans="3:10">
      <c r="C179" s="20">
        <v>165</v>
      </c>
      <c r="D179" s="42" t="e">
        <f t="shared" si="16"/>
        <v>#VALUE!</v>
      </c>
      <c r="E179" s="42" t="e">
        <f t="shared" si="12"/>
        <v>#VALUE!</v>
      </c>
      <c r="F179" s="42"/>
      <c r="G179" s="42" t="e">
        <f t="shared" si="13"/>
        <v>#VALUE!</v>
      </c>
      <c r="H179" s="42">
        <f t="shared" si="17"/>
        <v>0</v>
      </c>
      <c r="I179" s="42" t="e">
        <f t="shared" si="14"/>
        <v>#VALUE!</v>
      </c>
      <c r="J179" s="48" t="e">
        <f t="shared" si="15"/>
        <v>#VALUE!</v>
      </c>
    </row>
    <row r="180" spans="3:10">
      <c r="C180" s="20">
        <v>166</v>
      </c>
      <c r="D180" s="42" t="e">
        <f t="shared" si="16"/>
        <v>#VALUE!</v>
      </c>
      <c r="E180" s="42" t="e">
        <f t="shared" si="12"/>
        <v>#VALUE!</v>
      </c>
      <c r="F180" s="42"/>
      <c r="G180" s="42" t="e">
        <f t="shared" si="13"/>
        <v>#VALUE!</v>
      </c>
      <c r="H180" s="42">
        <f t="shared" si="17"/>
        <v>0</v>
      </c>
      <c r="I180" s="42" t="e">
        <f t="shared" si="14"/>
        <v>#VALUE!</v>
      </c>
      <c r="J180" s="48" t="e">
        <f t="shared" si="15"/>
        <v>#VALUE!</v>
      </c>
    </row>
    <row r="181" spans="3:10">
      <c r="C181" s="20">
        <v>167</v>
      </c>
      <c r="D181" s="42" t="e">
        <f t="shared" si="16"/>
        <v>#VALUE!</v>
      </c>
      <c r="E181" s="42" t="e">
        <f t="shared" si="12"/>
        <v>#VALUE!</v>
      </c>
      <c r="F181" s="42"/>
      <c r="G181" s="42" t="e">
        <f t="shared" si="13"/>
        <v>#VALUE!</v>
      </c>
      <c r="H181" s="42">
        <f t="shared" si="17"/>
        <v>0</v>
      </c>
      <c r="I181" s="42" t="e">
        <f t="shared" si="14"/>
        <v>#VALUE!</v>
      </c>
      <c r="J181" s="48" t="e">
        <f t="shared" si="15"/>
        <v>#VALUE!</v>
      </c>
    </row>
    <row r="182" spans="3:10">
      <c r="C182" s="20">
        <v>168</v>
      </c>
      <c r="D182" s="42" t="e">
        <f t="shared" si="16"/>
        <v>#VALUE!</v>
      </c>
      <c r="E182" s="42" t="e">
        <f t="shared" si="12"/>
        <v>#VALUE!</v>
      </c>
      <c r="F182" s="42"/>
      <c r="G182" s="42" t="e">
        <f t="shared" si="13"/>
        <v>#VALUE!</v>
      </c>
      <c r="H182" s="42">
        <f t="shared" si="17"/>
        <v>0</v>
      </c>
      <c r="I182" s="42" t="e">
        <f t="shared" si="14"/>
        <v>#VALUE!</v>
      </c>
      <c r="J182" s="48" t="e">
        <f t="shared" si="15"/>
        <v>#VALUE!</v>
      </c>
    </row>
    <row r="183" spans="3:10">
      <c r="C183" s="20">
        <v>169</v>
      </c>
      <c r="D183" s="42" t="e">
        <f t="shared" si="16"/>
        <v>#VALUE!</v>
      </c>
      <c r="E183" s="42" t="e">
        <f t="shared" si="12"/>
        <v>#VALUE!</v>
      </c>
      <c r="F183" s="42"/>
      <c r="G183" s="42" t="e">
        <f t="shared" si="13"/>
        <v>#VALUE!</v>
      </c>
      <c r="H183" s="42">
        <f t="shared" si="17"/>
        <v>0</v>
      </c>
      <c r="I183" s="42" t="e">
        <f t="shared" si="14"/>
        <v>#VALUE!</v>
      </c>
      <c r="J183" s="48" t="e">
        <f t="shared" si="15"/>
        <v>#VALUE!</v>
      </c>
    </row>
    <row r="184" spans="3:10">
      <c r="C184" s="20">
        <v>170</v>
      </c>
      <c r="D184" s="42" t="e">
        <f t="shared" si="16"/>
        <v>#VALUE!</v>
      </c>
      <c r="E184" s="42" t="e">
        <f t="shared" si="12"/>
        <v>#VALUE!</v>
      </c>
      <c r="F184" s="42"/>
      <c r="G184" s="42" t="e">
        <f t="shared" si="13"/>
        <v>#VALUE!</v>
      </c>
      <c r="H184" s="42">
        <f t="shared" si="17"/>
        <v>0</v>
      </c>
      <c r="I184" s="42" t="e">
        <f t="shared" si="14"/>
        <v>#VALUE!</v>
      </c>
      <c r="J184" s="48" t="e">
        <f t="shared" si="15"/>
        <v>#VALUE!</v>
      </c>
    </row>
    <row r="185" spans="3:10">
      <c r="C185" s="20">
        <v>171</v>
      </c>
      <c r="D185" s="42" t="e">
        <f t="shared" si="16"/>
        <v>#VALUE!</v>
      </c>
      <c r="E185" s="42" t="e">
        <f t="shared" si="12"/>
        <v>#VALUE!</v>
      </c>
      <c r="F185" s="42"/>
      <c r="G185" s="42" t="e">
        <f t="shared" si="13"/>
        <v>#VALUE!</v>
      </c>
      <c r="H185" s="42">
        <f t="shared" si="17"/>
        <v>0</v>
      </c>
      <c r="I185" s="42" t="e">
        <f t="shared" si="14"/>
        <v>#VALUE!</v>
      </c>
      <c r="J185" s="48" t="e">
        <f t="shared" si="15"/>
        <v>#VALUE!</v>
      </c>
    </row>
    <row r="186" spans="3:10">
      <c r="C186" s="20">
        <v>172</v>
      </c>
      <c r="D186" s="42" t="e">
        <f t="shared" si="16"/>
        <v>#VALUE!</v>
      </c>
      <c r="E186" s="42" t="e">
        <f t="shared" si="12"/>
        <v>#VALUE!</v>
      </c>
      <c r="F186" s="42"/>
      <c r="G186" s="42" t="e">
        <f t="shared" si="13"/>
        <v>#VALUE!</v>
      </c>
      <c r="H186" s="42">
        <f t="shared" si="17"/>
        <v>0</v>
      </c>
      <c r="I186" s="42" t="e">
        <f t="shared" si="14"/>
        <v>#VALUE!</v>
      </c>
      <c r="J186" s="48" t="e">
        <f t="shared" si="15"/>
        <v>#VALUE!</v>
      </c>
    </row>
    <row r="187" spans="3:10">
      <c r="C187" s="20">
        <v>173</v>
      </c>
      <c r="D187" s="42" t="e">
        <f t="shared" si="16"/>
        <v>#VALUE!</v>
      </c>
      <c r="E187" s="42" t="e">
        <f t="shared" si="12"/>
        <v>#VALUE!</v>
      </c>
      <c r="F187" s="42"/>
      <c r="G187" s="42" t="e">
        <f t="shared" si="13"/>
        <v>#VALUE!</v>
      </c>
      <c r="H187" s="42">
        <f t="shared" si="17"/>
        <v>0</v>
      </c>
      <c r="I187" s="42" t="e">
        <f t="shared" si="14"/>
        <v>#VALUE!</v>
      </c>
      <c r="J187" s="48" t="e">
        <f t="shared" si="15"/>
        <v>#VALUE!</v>
      </c>
    </row>
    <row r="188" spans="3:10">
      <c r="C188" s="20">
        <v>174</v>
      </c>
      <c r="D188" s="42" t="e">
        <f t="shared" si="16"/>
        <v>#VALUE!</v>
      </c>
      <c r="E188" s="42" t="e">
        <f t="shared" si="12"/>
        <v>#VALUE!</v>
      </c>
      <c r="F188" s="42"/>
      <c r="G188" s="42" t="e">
        <f t="shared" si="13"/>
        <v>#VALUE!</v>
      </c>
      <c r="H188" s="42">
        <f t="shared" si="17"/>
        <v>0</v>
      </c>
      <c r="I188" s="42" t="e">
        <f t="shared" si="14"/>
        <v>#VALUE!</v>
      </c>
      <c r="J188" s="48" t="e">
        <f t="shared" si="15"/>
        <v>#VALUE!</v>
      </c>
    </row>
    <row r="189" spans="3:10">
      <c r="C189" s="20">
        <v>175</v>
      </c>
      <c r="D189" s="42" t="e">
        <f t="shared" si="16"/>
        <v>#VALUE!</v>
      </c>
      <c r="E189" s="42" t="e">
        <f t="shared" si="12"/>
        <v>#VALUE!</v>
      </c>
      <c r="F189" s="42"/>
      <c r="G189" s="42" t="e">
        <f t="shared" si="13"/>
        <v>#VALUE!</v>
      </c>
      <c r="H189" s="42">
        <f t="shared" si="17"/>
        <v>0</v>
      </c>
      <c r="I189" s="42" t="e">
        <f t="shared" si="14"/>
        <v>#VALUE!</v>
      </c>
      <c r="J189" s="48" t="e">
        <f t="shared" si="15"/>
        <v>#VALUE!</v>
      </c>
    </row>
    <row r="190" spans="3:10">
      <c r="C190" s="20">
        <v>176</v>
      </c>
      <c r="D190" s="42" t="e">
        <f t="shared" si="16"/>
        <v>#VALUE!</v>
      </c>
      <c r="E190" s="42" t="e">
        <f t="shared" si="12"/>
        <v>#VALUE!</v>
      </c>
      <c r="F190" s="42"/>
      <c r="G190" s="42" t="e">
        <f t="shared" si="13"/>
        <v>#VALUE!</v>
      </c>
      <c r="H190" s="42">
        <f t="shared" si="17"/>
        <v>0</v>
      </c>
      <c r="I190" s="42" t="e">
        <f t="shared" si="14"/>
        <v>#VALUE!</v>
      </c>
      <c r="J190" s="48" t="e">
        <f t="shared" si="15"/>
        <v>#VALUE!</v>
      </c>
    </row>
    <row r="191" spans="3:10">
      <c r="C191" s="20">
        <v>177</v>
      </c>
      <c r="D191" s="42" t="e">
        <f t="shared" si="16"/>
        <v>#VALUE!</v>
      </c>
      <c r="E191" s="42" t="e">
        <f t="shared" si="12"/>
        <v>#VALUE!</v>
      </c>
      <c r="F191" s="42"/>
      <c r="G191" s="42" t="e">
        <f t="shared" si="13"/>
        <v>#VALUE!</v>
      </c>
      <c r="H191" s="42">
        <f t="shared" si="17"/>
        <v>0</v>
      </c>
      <c r="I191" s="42" t="e">
        <f t="shared" si="14"/>
        <v>#VALUE!</v>
      </c>
      <c r="J191" s="48" t="e">
        <f t="shared" si="15"/>
        <v>#VALUE!</v>
      </c>
    </row>
    <row r="192" spans="3:10">
      <c r="C192" s="20">
        <v>178</v>
      </c>
      <c r="D192" s="42" t="e">
        <f t="shared" si="16"/>
        <v>#VALUE!</v>
      </c>
      <c r="E192" s="42" t="e">
        <f t="shared" si="12"/>
        <v>#VALUE!</v>
      </c>
      <c r="F192" s="42"/>
      <c r="G192" s="42" t="e">
        <f t="shared" si="13"/>
        <v>#VALUE!</v>
      </c>
      <c r="H192" s="42">
        <f t="shared" si="17"/>
        <v>0</v>
      </c>
      <c r="I192" s="42" t="e">
        <f t="shared" si="14"/>
        <v>#VALUE!</v>
      </c>
      <c r="J192" s="48" t="e">
        <f t="shared" si="15"/>
        <v>#VALUE!</v>
      </c>
    </row>
    <row r="193" spans="3:10">
      <c r="C193" s="20">
        <v>179</v>
      </c>
      <c r="D193" s="42" t="e">
        <f t="shared" si="16"/>
        <v>#VALUE!</v>
      </c>
      <c r="E193" s="42" t="e">
        <f t="shared" si="12"/>
        <v>#VALUE!</v>
      </c>
      <c r="F193" s="42"/>
      <c r="G193" s="42" t="e">
        <f t="shared" si="13"/>
        <v>#VALUE!</v>
      </c>
      <c r="H193" s="42">
        <f t="shared" si="17"/>
        <v>0</v>
      </c>
      <c r="I193" s="42" t="e">
        <f t="shared" si="14"/>
        <v>#VALUE!</v>
      </c>
      <c r="J193" s="48" t="e">
        <f t="shared" si="15"/>
        <v>#VALUE!</v>
      </c>
    </row>
    <row r="194" spans="3:10">
      <c r="C194" s="20">
        <v>180</v>
      </c>
      <c r="D194" s="42" t="e">
        <f t="shared" si="16"/>
        <v>#VALUE!</v>
      </c>
      <c r="E194" s="42" t="e">
        <f t="shared" si="12"/>
        <v>#VALUE!</v>
      </c>
      <c r="F194" s="42"/>
      <c r="G194" s="42" t="e">
        <f t="shared" si="13"/>
        <v>#VALUE!</v>
      </c>
      <c r="H194" s="42">
        <f t="shared" si="17"/>
        <v>0</v>
      </c>
      <c r="I194" s="42" t="e">
        <f t="shared" si="14"/>
        <v>#VALUE!</v>
      </c>
      <c r="J194" s="48" t="e">
        <f t="shared" si="15"/>
        <v>#VALUE!</v>
      </c>
    </row>
    <row r="195" spans="3:10">
      <c r="C195" s="20">
        <v>181</v>
      </c>
      <c r="D195" s="42" t="e">
        <f t="shared" si="16"/>
        <v>#VALUE!</v>
      </c>
      <c r="E195" s="42" t="e">
        <f t="shared" si="12"/>
        <v>#VALUE!</v>
      </c>
      <c r="F195" s="42"/>
      <c r="G195" s="42" t="e">
        <f t="shared" si="13"/>
        <v>#VALUE!</v>
      </c>
      <c r="H195" s="42">
        <f t="shared" si="17"/>
        <v>0</v>
      </c>
      <c r="I195" s="42" t="e">
        <f t="shared" si="14"/>
        <v>#VALUE!</v>
      </c>
      <c r="J195" s="48" t="e">
        <f t="shared" si="15"/>
        <v>#VALUE!</v>
      </c>
    </row>
    <row r="196" spans="3:10">
      <c r="C196" s="20">
        <v>182</v>
      </c>
      <c r="D196" s="42" t="e">
        <f t="shared" si="16"/>
        <v>#VALUE!</v>
      </c>
      <c r="E196" s="42" t="e">
        <f t="shared" si="12"/>
        <v>#VALUE!</v>
      </c>
      <c r="F196" s="42"/>
      <c r="G196" s="42" t="e">
        <f t="shared" si="13"/>
        <v>#VALUE!</v>
      </c>
      <c r="H196" s="42">
        <f t="shared" si="17"/>
        <v>0</v>
      </c>
      <c r="I196" s="42" t="e">
        <f t="shared" si="14"/>
        <v>#VALUE!</v>
      </c>
      <c r="J196" s="48" t="e">
        <f t="shared" si="15"/>
        <v>#VALUE!</v>
      </c>
    </row>
    <row r="197" spans="3:10">
      <c r="C197" s="20">
        <v>183</v>
      </c>
      <c r="D197" s="42" t="e">
        <f t="shared" si="16"/>
        <v>#VALUE!</v>
      </c>
      <c r="E197" s="42" t="e">
        <f t="shared" si="12"/>
        <v>#VALUE!</v>
      </c>
      <c r="F197" s="42"/>
      <c r="G197" s="42" t="e">
        <f t="shared" si="13"/>
        <v>#VALUE!</v>
      </c>
      <c r="H197" s="42">
        <f t="shared" si="17"/>
        <v>0</v>
      </c>
      <c r="I197" s="42" t="e">
        <f t="shared" si="14"/>
        <v>#VALUE!</v>
      </c>
      <c r="J197" s="48" t="e">
        <f t="shared" si="15"/>
        <v>#VALUE!</v>
      </c>
    </row>
    <row r="198" spans="3:10">
      <c r="C198" s="20">
        <v>184</v>
      </c>
      <c r="D198" s="42" t="e">
        <f t="shared" si="16"/>
        <v>#VALUE!</v>
      </c>
      <c r="E198" s="42" t="e">
        <f t="shared" si="12"/>
        <v>#VALUE!</v>
      </c>
      <c r="F198" s="42"/>
      <c r="G198" s="42" t="e">
        <f t="shared" si="13"/>
        <v>#VALUE!</v>
      </c>
      <c r="H198" s="42">
        <f t="shared" si="17"/>
        <v>0</v>
      </c>
      <c r="I198" s="42" t="e">
        <f t="shared" si="14"/>
        <v>#VALUE!</v>
      </c>
      <c r="J198" s="48" t="e">
        <f t="shared" si="15"/>
        <v>#VALUE!</v>
      </c>
    </row>
    <row r="199" spans="3:10">
      <c r="C199" s="20">
        <v>185</v>
      </c>
      <c r="D199" s="42" t="e">
        <f t="shared" si="16"/>
        <v>#VALUE!</v>
      </c>
      <c r="E199" s="42" t="e">
        <f t="shared" si="12"/>
        <v>#VALUE!</v>
      </c>
      <c r="F199" s="42"/>
      <c r="G199" s="42" t="e">
        <f t="shared" si="13"/>
        <v>#VALUE!</v>
      </c>
      <c r="H199" s="42">
        <f t="shared" si="17"/>
        <v>0</v>
      </c>
      <c r="I199" s="42" t="e">
        <f t="shared" si="14"/>
        <v>#VALUE!</v>
      </c>
      <c r="J199" s="48" t="e">
        <f t="shared" si="15"/>
        <v>#VALUE!</v>
      </c>
    </row>
    <row r="200" spans="3:10">
      <c r="C200" s="20">
        <v>186</v>
      </c>
      <c r="D200" s="42" t="e">
        <f t="shared" si="16"/>
        <v>#VALUE!</v>
      </c>
      <c r="E200" s="42" t="e">
        <f t="shared" si="12"/>
        <v>#VALUE!</v>
      </c>
      <c r="F200" s="42"/>
      <c r="G200" s="42" t="e">
        <f t="shared" si="13"/>
        <v>#VALUE!</v>
      </c>
      <c r="H200" s="42">
        <f t="shared" si="17"/>
        <v>0</v>
      </c>
      <c r="I200" s="42" t="e">
        <f t="shared" si="14"/>
        <v>#VALUE!</v>
      </c>
      <c r="J200" s="48" t="e">
        <f t="shared" si="15"/>
        <v>#VALUE!</v>
      </c>
    </row>
    <row r="201" spans="3:10">
      <c r="C201" s="20">
        <v>187</v>
      </c>
      <c r="D201" s="42" t="e">
        <f t="shared" si="16"/>
        <v>#VALUE!</v>
      </c>
      <c r="E201" s="42" t="e">
        <f t="shared" si="12"/>
        <v>#VALUE!</v>
      </c>
      <c r="F201" s="42"/>
      <c r="G201" s="42" t="e">
        <f t="shared" si="13"/>
        <v>#VALUE!</v>
      </c>
      <c r="H201" s="42">
        <f t="shared" si="17"/>
        <v>0</v>
      </c>
      <c r="I201" s="42" t="e">
        <f t="shared" si="14"/>
        <v>#VALUE!</v>
      </c>
      <c r="J201" s="48" t="e">
        <f t="shared" si="15"/>
        <v>#VALUE!</v>
      </c>
    </row>
    <row r="202" spans="3:10">
      <c r="C202" s="20">
        <v>188</v>
      </c>
      <c r="D202" s="42" t="e">
        <f t="shared" si="16"/>
        <v>#VALUE!</v>
      </c>
      <c r="E202" s="42" t="e">
        <f t="shared" si="12"/>
        <v>#VALUE!</v>
      </c>
      <c r="F202" s="42"/>
      <c r="G202" s="42" t="e">
        <f t="shared" si="13"/>
        <v>#VALUE!</v>
      </c>
      <c r="H202" s="42">
        <f t="shared" si="17"/>
        <v>0</v>
      </c>
      <c r="I202" s="42" t="e">
        <f t="shared" si="14"/>
        <v>#VALUE!</v>
      </c>
      <c r="J202" s="48" t="e">
        <f t="shared" si="15"/>
        <v>#VALUE!</v>
      </c>
    </row>
    <row r="203" spans="3:10">
      <c r="C203" s="20">
        <v>189</v>
      </c>
      <c r="D203" s="42" t="e">
        <f t="shared" si="16"/>
        <v>#VALUE!</v>
      </c>
      <c r="E203" s="42" t="e">
        <f t="shared" si="12"/>
        <v>#VALUE!</v>
      </c>
      <c r="F203" s="42"/>
      <c r="G203" s="42" t="e">
        <f t="shared" si="13"/>
        <v>#VALUE!</v>
      </c>
      <c r="H203" s="42">
        <f t="shared" si="17"/>
        <v>0</v>
      </c>
      <c r="I203" s="42" t="e">
        <f t="shared" si="14"/>
        <v>#VALUE!</v>
      </c>
      <c r="J203" s="48" t="e">
        <f t="shared" si="15"/>
        <v>#VALUE!</v>
      </c>
    </row>
    <row r="204" spans="3:10">
      <c r="C204" s="20">
        <v>190</v>
      </c>
      <c r="D204" s="42" t="e">
        <f t="shared" si="16"/>
        <v>#VALUE!</v>
      </c>
      <c r="E204" s="42" t="e">
        <f t="shared" si="12"/>
        <v>#VALUE!</v>
      </c>
      <c r="F204" s="42"/>
      <c r="G204" s="42" t="e">
        <f t="shared" si="13"/>
        <v>#VALUE!</v>
      </c>
      <c r="H204" s="42">
        <f t="shared" si="17"/>
        <v>0</v>
      </c>
      <c r="I204" s="42" t="e">
        <f t="shared" si="14"/>
        <v>#VALUE!</v>
      </c>
      <c r="J204" s="48" t="e">
        <f t="shared" si="15"/>
        <v>#VALUE!</v>
      </c>
    </row>
    <row r="205" spans="3:10">
      <c r="C205" s="20">
        <v>191</v>
      </c>
      <c r="D205" s="42" t="e">
        <f t="shared" si="16"/>
        <v>#VALUE!</v>
      </c>
      <c r="E205" s="42" t="e">
        <f t="shared" si="12"/>
        <v>#VALUE!</v>
      </c>
      <c r="F205" s="42"/>
      <c r="G205" s="42" t="e">
        <f t="shared" si="13"/>
        <v>#VALUE!</v>
      </c>
      <c r="H205" s="42">
        <f t="shared" si="17"/>
        <v>0</v>
      </c>
      <c r="I205" s="42" t="e">
        <f t="shared" si="14"/>
        <v>#VALUE!</v>
      </c>
      <c r="J205" s="48" t="e">
        <f t="shared" si="15"/>
        <v>#VALUE!</v>
      </c>
    </row>
    <row r="206" spans="3:10">
      <c r="C206" s="20">
        <v>192</v>
      </c>
      <c r="D206" s="42" t="e">
        <f t="shared" si="16"/>
        <v>#VALUE!</v>
      </c>
      <c r="E206" s="42" t="e">
        <f t="shared" si="12"/>
        <v>#VALUE!</v>
      </c>
      <c r="F206" s="42"/>
      <c r="G206" s="42" t="e">
        <f t="shared" si="13"/>
        <v>#VALUE!</v>
      </c>
      <c r="H206" s="42">
        <f t="shared" si="17"/>
        <v>0</v>
      </c>
      <c r="I206" s="42" t="e">
        <f t="shared" si="14"/>
        <v>#VALUE!</v>
      </c>
      <c r="J206" s="48" t="e">
        <f t="shared" si="15"/>
        <v>#VALUE!</v>
      </c>
    </row>
    <row r="207" spans="3:10">
      <c r="C207" s="20">
        <v>193</v>
      </c>
      <c r="D207" s="42" t="e">
        <f t="shared" si="16"/>
        <v>#VALUE!</v>
      </c>
      <c r="E207" s="42" t="e">
        <f t="shared" ref="E207:E270" si="18">D207*($E$6/12)</f>
        <v>#VALUE!</v>
      </c>
      <c r="F207" s="42"/>
      <c r="G207" s="42" t="e">
        <f t="shared" ref="G207:G270" si="19">+I207-H207-E207</f>
        <v>#VALUE!</v>
      </c>
      <c r="H207" s="42">
        <f t="shared" si="17"/>
        <v>0</v>
      </c>
      <c r="I207" s="42" t="e">
        <f t="shared" ref="I207:I270" si="20">IF(C207&lt;=$E$7,E207,$E$9)</f>
        <v>#VALUE!</v>
      </c>
      <c r="J207" s="48" t="e">
        <f t="shared" ref="J207:J270" si="21">D207-G207-H207</f>
        <v>#VALUE!</v>
      </c>
    </row>
    <row r="208" spans="3:10">
      <c r="C208" s="20">
        <v>194</v>
      </c>
      <c r="D208" s="42" t="e">
        <f t="shared" ref="D208:D271" si="22">J207</f>
        <v>#VALUE!</v>
      </c>
      <c r="E208" s="42" t="e">
        <f t="shared" si="18"/>
        <v>#VALUE!</v>
      </c>
      <c r="F208" s="42"/>
      <c r="G208" s="42" t="e">
        <f t="shared" si="19"/>
        <v>#VALUE!</v>
      </c>
      <c r="H208" s="42">
        <f t="shared" ref="H208:H271" si="23">+H207</f>
        <v>0</v>
      </c>
      <c r="I208" s="42" t="e">
        <f t="shared" si="20"/>
        <v>#VALUE!</v>
      </c>
      <c r="J208" s="48" t="e">
        <f t="shared" si="21"/>
        <v>#VALUE!</v>
      </c>
    </row>
    <row r="209" spans="3:10">
      <c r="C209" s="20">
        <v>195</v>
      </c>
      <c r="D209" s="42" t="e">
        <f t="shared" si="22"/>
        <v>#VALUE!</v>
      </c>
      <c r="E209" s="42" t="e">
        <f t="shared" si="18"/>
        <v>#VALUE!</v>
      </c>
      <c r="F209" s="42"/>
      <c r="G209" s="42" t="e">
        <f t="shared" si="19"/>
        <v>#VALUE!</v>
      </c>
      <c r="H209" s="42">
        <f t="shared" si="23"/>
        <v>0</v>
      </c>
      <c r="I209" s="42" t="e">
        <f t="shared" si="20"/>
        <v>#VALUE!</v>
      </c>
      <c r="J209" s="48" t="e">
        <f t="shared" si="21"/>
        <v>#VALUE!</v>
      </c>
    </row>
    <row r="210" spans="3:10">
      <c r="C210" s="20">
        <v>196</v>
      </c>
      <c r="D210" s="42" t="e">
        <f t="shared" si="22"/>
        <v>#VALUE!</v>
      </c>
      <c r="E210" s="42" t="e">
        <f t="shared" si="18"/>
        <v>#VALUE!</v>
      </c>
      <c r="F210" s="42"/>
      <c r="G210" s="42" t="e">
        <f t="shared" si="19"/>
        <v>#VALUE!</v>
      </c>
      <c r="H210" s="42">
        <f t="shared" si="23"/>
        <v>0</v>
      </c>
      <c r="I210" s="42" t="e">
        <f t="shared" si="20"/>
        <v>#VALUE!</v>
      </c>
      <c r="J210" s="48" t="e">
        <f t="shared" si="21"/>
        <v>#VALUE!</v>
      </c>
    </row>
    <row r="211" spans="3:10">
      <c r="C211" s="20">
        <v>197</v>
      </c>
      <c r="D211" s="42" t="e">
        <f t="shared" si="22"/>
        <v>#VALUE!</v>
      </c>
      <c r="E211" s="42" t="e">
        <f t="shared" si="18"/>
        <v>#VALUE!</v>
      </c>
      <c r="F211" s="42"/>
      <c r="G211" s="42" t="e">
        <f t="shared" si="19"/>
        <v>#VALUE!</v>
      </c>
      <c r="H211" s="42">
        <f t="shared" si="23"/>
        <v>0</v>
      </c>
      <c r="I211" s="42" t="e">
        <f t="shared" si="20"/>
        <v>#VALUE!</v>
      </c>
      <c r="J211" s="48" t="e">
        <f t="shared" si="21"/>
        <v>#VALUE!</v>
      </c>
    </row>
    <row r="212" spans="3:10">
      <c r="C212" s="20">
        <v>198</v>
      </c>
      <c r="D212" s="42" t="e">
        <f t="shared" si="22"/>
        <v>#VALUE!</v>
      </c>
      <c r="E212" s="42" t="e">
        <f t="shared" si="18"/>
        <v>#VALUE!</v>
      </c>
      <c r="F212" s="42"/>
      <c r="G212" s="42" t="e">
        <f t="shared" si="19"/>
        <v>#VALUE!</v>
      </c>
      <c r="H212" s="42">
        <f t="shared" si="23"/>
        <v>0</v>
      </c>
      <c r="I212" s="42" t="e">
        <f t="shared" si="20"/>
        <v>#VALUE!</v>
      </c>
      <c r="J212" s="48" t="e">
        <f t="shared" si="21"/>
        <v>#VALUE!</v>
      </c>
    </row>
    <row r="213" spans="3:10">
      <c r="C213" s="20">
        <v>199</v>
      </c>
      <c r="D213" s="42" t="e">
        <f t="shared" si="22"/>
        <v>#VALUE!</v>
      </c>
      <c r="E213" s="42" t="e">
        <f t="shared" si="18"/>
        <v>#VALUE!</v>
      </c>
      <c r="F213" s="42"/>
      <c r="G213" s="42" t="e">
        <f t="shared" si="19"/>
        <v>#VALUE!</v>
      </c>
      <c r="H213" s="42">
        <f t="shared" si="23"/>
        <v>0</v>
      </c>
      <c r="I213" s="42" t="e">
        <f t="shared" si="20"/>
        <v>#VALUE!</v>
      </c>
      <c r="J213" s="48" t="e">
        <f t="shared" si="21"/>
        <v>#VALUE!</v>
      </c>
    </row>
    <row r="214" spans="3:10">
      <c r="C214" s="20">
        <v>200</v>
      </c>
      <c r="D214" s="42" t="e">
        <f t="shared" si="22"/>
        <v>#VALUE!</v>
      </c>
      <c r="E214" s="42" t="e">
        <f t="shared" si="18"/>
        <v>#VALUE!</v>
      </c>
      <c r="F214" s="42"/>
      <c r="G214" s="42" t="e">
        <f t="shared" si="19"/>
        <v>#VALUE!</v>
      </c>
      <c r="H214" s="42">
        <f t="shared" si="23"/>
        <v>0</v>
      </c>
      <c r="I214" s="42" t="e">
        <f t="shared" si="20"/>
        <v>#VALUE!</v>
      </c>
      <c r="J214" s="48" t="e">
        <f t="shared" si="21"/>
        <v>#VALUE!</v>
      </c>
    </row>
    <row r="215" spans="3:10">
      <c r="C215" s="20">
        <v>201</v>
      </c>
      <c r="D215" s="42" t="e">
        <f t="shared" si="22"/>
        <v>#VALUE!</v>
      </c>
      <c r="E215" s="42" t="e">
        <f t="shared" si="18"/>
        <v>#VALUE!</v>
      </c>
      <c r="F215" s="42"/>
      <c r="G215" s="42" t="e">
        <f t="shared" si="19"/>
        <v>#VALUE!</v>
      </c>
      <c r="H215" s="42">
        <f t="shared" si="23"/>
        <v>0</v>
      </c>
      <c r="I215" s="42" t="e">
        <f t="shared" si="20"/>
        <v>#VALUE!</v>
      </c>
      <c r="J215" s="48" t="e">
        <f t="shared" si="21"/>
        <v>#VALUE!</v>
      </c>
    </row>
    <row r="216" spans="3:10">
      <c r="C216" s="20">
        <v>202</v>
      </c>
      <c r="D216" s="42" t="e">
        <f t="shared" si="22"/>
        <v>#VALUE!</v>
      </c>
      <c r="E216" s="42" t="e">
        <f t="shared" si="18"/>
        <v>#VALUE!</v>
      </c>
      <c r="F216" s="42"/>
      <c r="G216" s="42" t="e">
        <f t="shared" si="19"/>
        <v>#VALUE!</v>
      </c>
      <c r="H216" s="42">
        <f t="shared" si="23"/>
        <v>0</v>
      </c>
      <c r="I216" s="42" t="e">
        <f t="shared" si="20"/>
        <v>#VALUE!</v>
      </c>
      <c r="J216" s="48" t="e">
        <f t="shared" si="21"/>
        <v>#VALUE!</v>
      </c>
    </row>
    <row r="217" spans="3:10">
      <c r="C217" s="20">
        <v>203</v>
      </c>
      <c r="D217" s="42" t="e">
        <f t="shared" si="22"/>
        <v>#VALUE!</v>
      </c>
      <c r="E217" s="42" t="e">
        <f t="shared" si="18"/>
        <v>#VALUE!</v>
      </c>
      <c r="F217" s="42"/>
      <c r="G217" s="42" t="e">
        <f t="shared" si="19"/>
        <v>#VALUE!</v>
      </c>
      <c r="H217" s="42">
        <f t="shared" si="23"/>
        <v>0</v>
      </c>
      <c r="I217" s="42" t="e">
        <f t="shared" si="20"/>
        <v>#VALUE!</v>
      </c>
      <c r="J217" s="48" t="e">
        <f t="shared" si="21"/>
        <v>#VALUE!</v>
      </c>
    </row>
    <row r="218" spans="3:10">
      <c r="C218" s="20">
        <v>204</v>
      </c>
      <c r="D218" s="65" t="e">
        <f t="shared" si="22"/>
        <v>#VALUE!</v>
      </c>
      <c r="E218" s="65" t="e">
        <f t="shared" si="18"/>
        <v>#VALUE!</v>
      </c>
      <c r="F218" s="65"/>
      <c r="G218" s="65" t="e">
        <f t="shared" si="19"/>
        <v>#VALUE!</v>
      </c>
      <c r="H218" s="65">
        <f t="shared" si="23"/>
        <v>0</v>
      </c>
      <c r="I218" s="65" t="e">
        <f t="shared" si="20"/>
        <v>#VALUE!</v>
      </c>
      <c r="J218" s="66" t="e">
        <f t="shared" si="21"/>
        <v>#VALUE!</v>
      </c>
    </row>
    <row r="219" spans="3:10">
      <c r="C219" s="20">
        <v>205</v>
      </c>
      <c r="D219" s="42" t="e">
        <f t="shared" si="22"/>
        <v>#VALUE!</v>
      </c>
      <c r="E219" s="42" t="e">
        <f t="shared" si="18"/>
        <v>#VALUE!</v>
      </c>
      <c r="F219" s="42"/>
      <c r="G219" s="42" t="e">
        <f t="shared" si="19"/>
        <v>#VALUE!</v>
      </c>
      <c r="H219" s="42">
        <f t="shared" si="23"/>
        <v>0</v>
      </c>
      <c r="I219" s="42" t="e">
        <f t="shared" si="20"/>
        <v>#VALUE!</v>
      </c>
      <c r="J219" s="48" t="e">
        <f t="shared" si="21"/>
        <v>#VALUE!</v>
      </c>
    </row>
    <row r="220" spans="3:10">
      <c r="C220" s="20">
        <v>206</v>
      </c>
      <c r="D220" s="42" t="e">
        <f t="shared" si="22"/>
        <v>#VALUE!</v>
      </c>
      <c r="E220" s="42" t="e">
        <f t="shared" si="18"/>
        <v>#VALUE!</v>
      </c>
      <c r="F220" s="42"/>
      <c r="G220" s="42" t="e">
        <f t="shared" si="19"/>
        <v>#VALUE!</v>
      </c>
      <c r="H220" s="42">
        <f t="shared" si="23"/>
        <v>0</v>
      </c>
      <c r="I220" s="42" t="e">
        <f t="shared" si="20"/>
        <v>#VALUE!</v>
      </c>
      <c r="J220" s="48" t="e">
        <f t="shared" si="21"/>
        <v>#VALUE!</v>
      </c>
    </row>
    <row r="221" spans="3:10">
      <c r="C221" s="20">
        <v>207</v>
      </c>
      <c r="D221" s="42" t="e">
        <f t="shared" si="22"/>
        <v>#VALUE!</v>
      </c>
      <c r="E221" s="42" t="e">
        <f t="shared" si="18"/>
        <v>#VALUE!</v>
      </c>
      <c r="F221" s="42"/>
      <c r="G221" s="42" t="e">
        <f t="shared" si="19"/>
        <v>#VALUE!</v>
      </c>
      <c r="H221" s="42">
        <f t="shared" si="23"/>
        <v>0</v>
      </c>
      <c r="I221" s="42" t="e">
        <f t="shared" si="20"/>
        <v>#VALUE!</v>
      </c>
      <c r="J221" s="48" t="e">
        <f t="shared" si="21"/>
        <v>#VALUE!</v>
      </c>
    </row>
    <row r="222" spans="3:10">
      <c r="C222" s="20">
        <v>208</v>
      </c>
      <c r="D222" s="42" t="e">
        <f t="shared" si="22"/>
        <v>#VALUE!</v>
      </c>
      <c r="E222" s="42" t="e">
        <f t="shared" si="18"/>
        <v>#VALUE!</v>
      </c>
      <c r="F222" s="42"/>
      <c r="G222" s="42" t="e">
        <f t="shared" si="19"/>
        <v>#VALUE!</v>
      </c>
      <c r="H222" s="42">
        <f t="shared" si="23"/>
        <v>0</v>
      </c>
      <c r="I222" s="42" t="e">
        <f t="shared" si="20"/>
        <v>#VALUE!</v>
      </c>
      <c r="J222" s="48" t="e">
        <f t="shared" si="21"/>
        <v>#VALUE!</v>
      </c>
    </row>
    <row r="223" spans="3:10">
      <c r="C223" s="20">
        <v>209</v>
      </c>
      <c r="D223" s="42" t="e">
        <f t="shared" si="22"/>
        <v>#VALUE!</v>
      </c>
      <c r="E223" s="42" t="e">
        <f t="shared" si="18"/>
        <v>#VALUE!</v>
      </c>
      <c r="F223" s="42"/>
      <c r="G223" s="42" t="e">
        <f t="shared" si="19"/>
        <v>#VALUE!</v>
      </c>
      <c r="H223" s="42">
        <f t="shared" si="23"/>
        <v>0</v>
      </c>
      <c r="I223" s="42" t="e">
        <f t="shared" si="20"/>
        <v>#VALUE!</v>
      </c>
      <c r="J223" s="48" t="e">
        <f t="shared" si="21"/>
        <v>#VALUE!</v>
      </c>
    </row>
    <row r="224" spans="3:10">
      <c r="C224" s="20">
        <v>210</v>
      </c>
      <c r="D224" s="42" t="e">
        <f t="shared" si="22"/>
        <v>#VALUE!</v>
      </c>
      <c r="E224" s="42" t="e">
        <f t="shared" si="18"/>
        <v>#VALUE!</v>
      </c>
      <c r="F224" s="42"/>
      <c r="G224" s="42" t="e">
        <f t="shared" si="19"/>
        <v>#VALUE!</v>
      </c>
      <c r="H224" s="42">
        <f t="shared" si="23"/>
        <v>0</v>
      </c>
      <c r="I224" s="42" t="e">
        <f t="shared" si="20"/>
        <v>#VALUE!</v>
      </c>
      <c r="J224" s="48" t="e">
        <f t="shared" si="21"/>
        <v>#VALUE!</v>
      </c>
    </row>
    <row r="225" spans="3:10">
      <c r="C225" s="20">
        <v>211</v>
      </c>
      <c r="D225" s="42" t="e">
        <f t="shared" si="22"/>
        <v>#VALUE!</v>
      </c>
      <c r="E225" s="42" t="e">
        <f t="shared" si="18"/>
        <v>#VALUE!</v>
      </c>
      <c r="F225" s="42"/>
      <c r="G225" s="42" t="e">
        <f t="shared" si="19"/>
        <v>#VALUE!</v>
      </c>
      <c r="H225" s="42">
        <f t="shared" si="23"/>
        <v>0</v>
      </c>
      <c r="I225" s="42" t="e">
        <f t="shared" si="20"/>
        <v>#VALUE!</v>
      </c>
      <c r="J225" s="48" t="e">
        <f t="shared" si="21"/>
        <v>#VALUE!</v>
      </c>
    </row>
    <row r="226" spans="3:10">
      <c r="C226" s="20">
        <v>212</v>
      </c>
      <c r="D226" s="42" t="e">
        <f t="shared" si="22"/>
        <v>#VALUE!</v>
      </c>
      <c r="E226" s="42" t="e">
        <f t="shared" si="18"/>
        <v>#VALUE!</v>
      </c>
      <c r="F226" s="42"/>
      <c r="G226" s="42" t="e">
        <f t="shared" si="19"/>
        <v>#VALUE!</v>
      </c>
      <c r="H226" s="42">
        <f t="shared" si="23"/>
        <v>0</v>
      </c>
      <c r="I226" s="42" t="e">
        <f t="shared" si="20"/>
        <v>#VALUE!</v>
      </c>
      <c r="J226" s="48" t="e">
        <f t="shared" si="21"/>
        <v>#VALUE!</v>
      </c>
    </row>
    <row r="227" spans="3:10">
      <c r="C227" s="20">
        <v>213</v>
      </c>
      <c r="D227" s="42" t="e">
        <f t="shared" si="22"/>
        <v>#VALUE!</v>
      </c>
      <c r="E227" s="42" t="e">
        <f t="shared" si="18"/>
        <v>#VALUE!</v>
      </c>
      <c r="F227" s="42"/>
      <c r="G227" s="42" t="e">
        <f t="shared" si="19"/>
        <v>#VALUE!</v>
      </c>
      <c r="H227" s="42">
        <f t="shared" si="23"/>
        <v>0</v>
      </c>
      <c r="I227" s="42" t="e">
        <f t="shared" si="20"/>
        <v>#VALUE!</v>
      </c>
      <c r="J227" s="48" t="e">
        <f t="shared" si="21"/>
        <v>#VALUE!</v>
      </c>
    </row>
    <row r="228" spans="3:10">
      <c r="C228" s="20">
        <v>214</v>
      </c>
      <c r="D228" s="42" t="e">
        <f t="shared" si="22"/>
        <v>#VALUE!</v>
      </c>
      <c r="E228" s="42" t="e">
        <f t="shared" si="18"/>
        <v>#VALUE!</v>
      </c>
      <c r="F228" s="42"/>
      <c r="G228" s="42" t="e">
        <f t="shared" si="19"/>
        <v>#VALUE!</v>
      </c>
      <c r="H228" s="42">
        <f t="shared" si="23"/>
        <v>0</v>
      </c>
      <c r="I228" s="42" t="e">
        <f t="shared" si="20"/>
        <v>#VALUE!</v>
      </c>
      <c r="J228" s="48" t="e">
        <f t="shared" si="21"/>
        <v>#VALUE!</v>
      </c>
    </row>
    <row r="229" spans="3:10">
      <c r="C229" s="20">
        <v>215</v>
      </c>
      <c r="D229" s="42" t="e">
        <f t="shared" si="22"/>
        <v>#VALUE!</v>
      </c>
      <c r="E229" s="42" t="e">
        <f t="shared" si="18"/>
        <v>#VALUE!</v>
      </c>
      <c r="F229" s="42"/>
      <c r="G229" s="42" t="e">
        <f t="shared" si="19"/>
        <v>#VALUE!</v>
      </c>
      <c r="H229" s="42">
        <f t="shared" si="23"/>
        <v>0</v>
      </c>
      <c r="I229" s="42" t="e">
        <f t="shared" si="20"/>
        <v>#VALUE!</v>
      </c>
      <c r="J229" s="48" t="e">
        <f t="shared" si="21"/>
        <v>#VALUE!</v>
      </c>
    </row>
    <row r="230" spans="3:10">
      <c r="C230" s="20">
        <v>216</v>
      </c>
      <c r="D230" s="42" t="e">
        <f t="shared" si="22"/>
        <v>#VALUE!</v>
      </c>
      <c r="E230" s="42" t="e">
        <f t="shared" si="18"/>
        <v>#VALUE!</v>
      </c>
      <c r="F230" s="42"/>
      <c r="G230" s="42" t="e">
        <f t="shared" si="19"/>
        <v>#VALUE!</v>
      </c>
      <c r="H230" s="42">
        <f t="shared" si="23"/>
        <v>0</v>
      </c>
      <c r="I230" s="42" t="e">
        <f t="shared" si="20"/>
        <v>#VALUE!</v>
      </c>
      <c r="J230" s="48" t="e">
        <f t="shared" si="21"/>
        <v>#VALUE!</v>
      </c>
    </row>
    <row r="231" spans="3:10">
      <c r="C231" s="20">
        <v>217</v>
      </c>
      <c r="D231" s="42" t="e">
        <f t="shared" si="22"/>
        <v>#VALUE!</v>
      </c>
      <c r="E231" s="42" t="e">
        <f t="shared" si="18"/>
        <v>#VALUE!</v>
      </c>
      <c r="F231" s="42"/>
      <c r="G231" s="42" t="e">
        <f t="shared" si="19"/>
        <v>#VALUE!</v>
      </c>
      <c r="H231" s="42">
        <f t="shared" si="23"/>
        <v>0</v>
      </c>
      <c r="I231" s="42" t="e">
        <f t="shared" si="20"/>
        <v>#VALUE!</v>
      </c>
      <c r="J231" s="48" t="e">
        <f t="shared" si="21"/>
        <v>#VALUE!</v>
      </c>
    </row>
    <row r="232" spans="3:10">
      <c r="C232" s="20">
        <v>218</v>
      </c>
      <c r="D232" s="42" t="e">
        <f t="shared" si="22"/>
        <v>#VALUE!</v>
      </c>
      <c r="E232" s="42" t="e">
        <f t="shared" si="18"/>
        <v>#VALUE!</v>
      </c>
      <c r="F232" s="42"/>
      <c r="G232" s="42" t="e">
        <f t="shared" si="19"/>
        <v>#VALUE!</v>
      </c>
      <c r="H232" s="42">
        <f t="shared" si="23"/>
        <v>0</v>
      </c>
      <c r="I232" s="42" t="e">
        <f t="shared" si="20"/>
        <v>#VALUE!</v>
      </c>
      <c r="J232" s="48" t="e">
        <f t="shared" si="21"/>
        <v>#VALUE!</v>
      </c>
    </row>
    <row r="233" spans="3:10">
      <c r="C233" s="20">
        <v>219</v>
      </c>
      <c r="D233" s="42" t="e">
        <f t="shared" si="22"/>
        <v>#VALUE!</v>
      </c>
      <c r="E233" s="42" t="e">
        <f t="shared" si="18"/>
        <v>#VALUE!</v>
      </c>
      <c r="F233" s="42"/>
      <c r="G233" s="42" t="e">
        <f t="shared" si="19"/>
        <v>#VALUE!</v>
      </c>
      <c r="H233" s="42">
        <f t="shared" si="23"/>
        <v>0</v>
      </c>
      <c r="I233" s="42" t="e">
        <f t="shared" si="20"/>
        <v>#VALUE!</v>
      </c>
      <c r="J233" s="48" t="e">
        <f t="shared" si="21"/>
        <v>#VALUE!</v>
      </c>
    </row>
    <row r="234" spans="3:10">
      <c r="C234" s="20">
        <v>220</v>
      </c>
      <c r="D234" s="42" t="e">
        <f t="shared" si="22"/>
        <v>#VALUE!</v>
      </c>
      <c r="E234" s="42" t="e">
        <f t="shared" si="18"/>
        <v>#VALUE!</v>
      </c>
      <c r="F234" s="42"/>
      <c r="G234" s="42" t="e">
        <f t="shared" si="19"/>
        <v>#VALUE!</v>
      </c>
      <c r="H234" s="42">
        <f t="shared" si="23"/>
        <v>0</v>
      </c>
      <c r="I234" s="42" t="e">
        <f t="shared" si="20"/>
        <v>#VALUE!</v>
      </c>
      <c r="J234" s="48" t="e">
        <f t="shared" si="21"/>
        <v>#VALUE!</v>
      </c>
    </row>
    <row r="235" spans="3:10">
      <c r="C235" s="20">
        <v>221</v>
      </c>
      <c r="D235" s="42" t="e">
        <f t="shared" si="22"/>
        <v>#VALUE!</v>
      </c>
      <c r="E235" s="42" t="e">
        <f t="shared" si="18"/>
        <v>#VALUE!</v>
      </c>
      <c r="F235" s="42"/>
      <c r="G235" s="42" t="e">
        <f t="shared" si="19"/>
        <v>#VALUE!</v>
      </c>
      <c r="H235" s="42">
        <f t="shared" si="23"/>
        <v>0</v>
      </c>
      <c r="I235" s="42" t="e">
        <f t="shared" si="20"/>
        <v>#VALUE!</v>
      </c>
      <c r="J235" s="48" t="e">
        <f t="shared" si="21"/>
        <v>#VALUE!</v>
      </c>
    </row>
    <row r="236" spans="3:10">
      <c r="C236" s="20">
        <v>222</v>
      </c>
      <c r="D236" s="42" t="e">
        <f t="shared" si="22"/>
        <v>#VALUE!</v>
      </c>
      <c r="E236" s="42" t="e">
        <f t="shared" si="18"/>
        <v>#VALUE!</v>
      </c>
      <c r="F236" s="42"/>
      <c r="G236" s="42" t="e">
        <f t="shared" si="19"/>
        <v>#VALUE!</v>
      </c>
      <c r="H236" s="42">
        <f t="shared" si="23"/>
        <v>0</v>
      </c>
      <c r="I236" s="42" t="e">
        <f t="shared" si="20"/>
        <v>#VALUE!</v>
      </c>
      <c r="J236" s="48" t="e">
        <f t="shared" si="21"/>
        <v>#VALUE!</v>
      </c>
    </row>
    <row r="237" spans="3:10">
      <c r="C237" s="20">
        <v>223</v>
      </c>
      <c r="D237" s="42" t="e">
        <f t="shared" si="22"/>
        <v>#VALUE!</v>
      </c>
      <c r="E237" s="42" t="e">
        <f t="shared" si="18"/>
        <v>#VALUE!</v>
      </c>
      <c r="F237" s="42"/>
      <c r="G237" s="42" t="e">
        <f t="shared" si="19"/>
        <v>#VALUE!</v>
      </c>
      <c r="H237" s="42">
        <f t="shared" si="23"/>
        <v>0</v>
      </c>
      <c r="I237" s="42" t="e">
        <f t="shared" si="20"/>
        <v>#VALUE!</v>
      </c>
      <c r="J237" s="48" t="e">
        <f t="shared" si="21"/>
        <v>#VALUE!</v>
      </c>
    </row>
    <row r="238" spans="3:10">
      <c r="C238" s="20">
        <v>224</v>
      </c>
      <c r="D238" s="42" t="e">
        <f t="shared" si="22"/>
        <v>#VALUE!</v>
      </c>
      <c r="E238" s="42" t="e">
        <f t="shared" si="18"/>
        <v>#VALUE!</v>
      </c>
      <c r="F238" s="42"/>
      <c r="G238" s="42" t="e">
        <f t="shared" si="19"/>
        <v>#VALUE!</v>
      </c>
      <c r="H238" s="42">
        <f t="shared" si="23"/>
        <v>0</v>
      </c>
      <c r="I238" s="42" t="e">
        <f t="shared" si="20"/>
        <v>#VALUE!</v>
      </c>
      <c r="J238" s="48" t="e">
        <f t="shared" si="21"/>
        <v>#VALUE!</v>
      </c>
    </row>
    <row r="239" spans="3:10">
      <c r="C239" s="20">
        <v>225</v>
      </c>
      <c r="D239" s="42" t="e">
        <f t="shared" si="22"/>
        <v>#VALUE!</v>
      </c>
      <c r="E239" s="42" t="e">
        <f t="shared" si="18"/>
        <v>#VALUE!</v>
      </c>
      <c r="F239" s="42"/>
      <c r="G239" s="42" t="e">
        <f t="shared" si="19"/>
        <v>#VALUE!</v>
      </c>
      <c r="H239" s="42">
        <f t="shared" si="23"/>
        <v>0</v>
      </c>
      <c r="I239" s="42" t="e">
        <f t="shared" si="20"/>
        <v>#VALUE!</v>
      </c>
      <c r="J239" s="48" t="e">
        <f t="shared" si="21"/>
        <v>#VALUE!</v>
      </c>
    </row>
    <row r="240" spans="3:10">
      <c r="C240" s="20">
        <v>226</v>
      </c>
      <c r="D240" s="42" t="e">
        <f t="shared" si="22"/>
        <v>#VALUE!</v>
      </c>
      <c r="E240" s="42" t="e">
        <f t="shared" si="18"/>
        <v>#VALUE!</v>
      </c>
      <c r="F240" s="42"/>
      <c r="G240" s="42" t="e">
        <f t="shared" si="19"/>
        <v>#VALUE!</v>
      </c>
      <c r="H240" s="42">
        <f t="shared" si="23"/>
        <v>0</v>
      </c>
      <c r="I240" s="42" t="e">
        <f t="shared" si="20"/>
        <v>#VALUE!</v>
      </c>
      <c r="J240" s="48" t="e">
        <f t="shared" si="21"/>
        <v>#VALUE!</v>
      </c>
    </row>
    <row r="241" spans="3:10">
      <c r="C241" s="20">
        <v>227</v>
      </c>
      <c r="D241" s="42" t="e">
        <f t="shared" si="22"/>
        <v>#VALUE!</v>
      </c>
      <c r="E241" s="42" t="e">
        <f t="shared" si="18"/>
        <v>#VALUE!</v>
      </c>
      <c r="F241" s="42"/>
      <c r="G241" s="42" t="e">
        <f t="shared" si="19"/>
        <v>#VALUE!</v>
      </c>
      <c r="H241" s="42">
        <f t="shared" si="23"/>
        <v>0</v>
      </c>
      <c r="I241" s="42" t="e">
        <f t="shared" si="20"/>
        <v>#VALUE!</v>
      </c>
      <c r="J241" s="48" t="e">
        <f t="shared" si="21"/>
        <v>#VALUE!</v>
      </c>
    </row>
    <row r="242" spans="3:10">
      <c r="C242" s="20">
        <v>228</v>
      </c>
      <c r="D242" s="42" t="e">
        <f t="shared" si="22"/>
        <v>#VALUE!</v>
      </c>
      <c r="E242" s="42" t="e">
        <f t="shared" si="18"/>
        <v>#VALUE!</v>
      </c>
      <c r="F242" s="42"/>
      <c r="G242" s="42" t="e">
        <f t="shared" si="19"/>
        <v>#VALUE!</v>
      </c>
      <c r="H242" s="42">
        <f t="shared" si="23"/>
        <v>0</v>
      </c>
      <c r="I242" s="42" t="e">
        <f t="shared" si="20"/>
        <v>#VALUE!</v>
      </c>
      <c r="J242" s="48" t="e">
        <f t="shared" si="21"/>
        <v>#VALUE!</v>
      </c>
    </row>
    <row r="243" spans="3:10">
      <c r="C243" s="20">
        <v>229</v>
      </c>
      <c r="D243" s="42" t="e">
        <f t="shared" si="22"/>
        <v>#VALUE!</v>
      </c>
      <c r="E243" s="42" t="e">
        <f t="shared" si="18"/>
        <v>#VALUE!</v>
      </c>
      <c r="F243" s="42"/>
      <c r="G243" s="42" t="e">
        <f t="shared" si="19"/>
        <v>#VALUE!</v>
      </c>
      <c r="H243" s="42">
        <f t="shared" si="23"/>
        <v>0</v>
      </c>
      <c r="I243" s="42" t="e">
        <f t="shared" si="20"/>
        <v>#VALUE!</v>
      </c>
      <c r="J243" s="48" t="e">
        <f t="shared" si="21"/>
        <v>#VALUE!</v>
      </c>
    </row>
    <row r="244" spans="3:10">
      <c r="C244" s="20">
        <v>230</v>
      </c>
      <c r="D244" s="42" t="e">
        <f t="shared" si="22"/>
        <v>#VALUE!</v>
      </c>
      <c r="E244" s="42" t="e">
        <f t="shared" si="18"/>
        <v>#VALUE!</v>
      </c>
      <c r="F244" s="42"/>
      <c r="G244" s="42" t="e">
        <f t="shared" si="19"/>
        <v>#VALUE!</v>
      </c>
      <c r="H244" s="42">
        <f t="shared" si="23"/>
        <v>0</v>
      </c>
      <c r="I244" s="42" t="e">
        <f t="shared" si="20"/>
        <v>#VALUE!</v>
      </c>
      <c r="J244" s="48" t="e">
        <f t="shared" si="21"/>
        <v>#VALUE!</v>
      </c>
    </row>
    <row r="245" spans="3:10">
      <c r="C245" s="20">
        <v>231</v>
      </c>
      <c r="D245" s="42" t="e">
        <f t="shared" si="22"/>
        <v>#VALUE!</v>
      </c>
      <c r="E245" s="42" t="e">
        <f t="shared" si="18"/>
        <v>#VALUE!</v>
      </c>
      <c r="F245" s="42"/>
      <c r="G245" s="42" t="e">
        <f t="shared" si="19"/>
        <v>#VALUE!</v>
      </c>
      <c r="H245" s="42">
        <f t="shared" si="23"/>
        <v>0</v>
      </c>
      <c r="I245" s="42" t="e">
        <f t="shared" si="20"/>
        <v>#VALUE!</v>
      </c>
      <c r="J245" s="48" t="e">
        <f t="shared" si="21"/>
        <v>#VALUE!</v>
      </c>
    </row>
    <row r="246" spans="3:10">
      <c r="C246" s="20">
        <v>232</v>
      </c>
      <c r="D246" s="42" t="e">
        <f t="shared" si="22"/>
        <v>#VALUE!</v>
      </c>
      <c r="E246" s="42" t="e">
        <f t="shared" si="18"/>
        <v>#VALUE!</v>
      </c>
      <c r="F246" s="42"/>
      <c r="G246" s="42" t="e">
        <f t="shared" si="19"/>
        <v>#VALUE!</v>
      </c>
      <c r="H246" s="42">
        <f t="shared" si="23"/>
        <v>0</v>
      </c>
      <c r="I246" s="42" t="e">
        <f t="shared" si="20"/>
        <v>#VALUE!</v>
      </c>
      <c r="J246" s="48" t="e">
        <f t="shared" si="21"/>
        <v>#VALUE!</v>
      </c>
    </row>
    <row r="247" spans="3:10">
      <c r="C247" s="20">
        <v>233</v>
      </c>
      <c r="D247" s="42" t="e">
        <f t="shared" si="22"/>
        <v>#VALUE!</v>
      </c>
      <c r="E247" s="42" t="e">
        <f t="shared" si="18"/>
        <v>#VALUE!</v>
      </c>
      <c r="F247" s="42"/>
      <c r="G247" s="42" t="e">
        <f t="shared" si="19"/>
        <v>#VALUE!</v>
      </c>
      <c r="H247" s="42">
        <f t="shared" si="23"/>
        <v>0</v>
      </c>
      <c r="I247" s="42" t="e">
        <f t="shared" si="20"/>
        <v>#VALUE!</v>
      </c>
      <c r="J247" s="48" t="e">
        <f t="shared" si="21"/>
        <v>#VALUE!</v>
      </c>
    </row>
    <row r="248" spans="3:10">
      <c r="C248" s="20">
        <v>234</v>
      </c>
      <c r="D248" s="42" t="e">
        <f t="shared" si="22"/>
        <v>#VALUE!</v>
      </c>
      <c r="E248" s="42" t="e">
        <f t="shared" si="18"/>
        <v>#VALUE!</v>
      </c>
      <c r="F248" s="42"/>
      <c r="G248" s="42" t="e">
        <f t="shared" si="19"/>
        <v>#VALUE!</v>
      </c>
      <c r="H248" s="42">
        <f t="shared" si="23"/>
        <v>0</v>
      </c>
      <c r="I248" s="42" t="e">
        <f t="shared" si="20"/>
        <v>#VALUE!</v>
      </c>
      <c r="J248" s="48" t="e">
        <f t="shared" si="21"/>
        <v>#VALUE!</v>
      </c>
    </row>
    <row r="249" spans="3:10">
      <c r="C249" s="20">
        <v>235</v>
      </c>
      <c r="D249" s="42" t="e">
        <f t="shared" si="22"/>
        <v>#VALUE!</v>
      </c>
      <c r="E249" s="42" t="e">
        <f t="shared" si="18"/>
        <v>#VALUE!</v>
      </c>
      <c r="F249" s="42"/>
      <c r="G249" s="42" t="e">
        <f t="shared" si="19"/>
        <v>#VALUE!</v>
      </c>
      <c r="H249" s="42">
        <f t="shared" si="23"/>
        <v>0</v>
      </c>
      <c r="I249" s="42" t="e">
        <f t="shared" si="20"/>
        <v>#VALUE!</v>
      </c>
      <c r="J249" s="48" t="e">
        <f t="shared" si="21"/>
        <v>#VALUE!</v>
      </c>
    </row>
    <row r="250" spans="3:10">
      <c r="C250" s="20">
        <v>236</v>
      </c>
      <c r="D250" s="42" t="e">
        <f t="shared" si="22"/>
        <v>#VALUE!</v>
      </c>
      <c r="E250" s="42" t="e">
        <f t="shared" si="18"/>
        <v>#VALUE!</v>
      </c>
      <c r="F250" s="42"/>
      <c r="G250" s="42" t="e">
        <f t="shared" si="19"/>
        <v>#VALUE!</v>
      </c>
      <c r="H250" s="42">
        <f t="shared" si="23"/>
        <v>0</v>
      </c>
      <c r="I250" s="42" t="e">
        <f t="shared" si="20"/>
        <v>#VALUE!</v>
      </c>
      <c r="J250" s="48" t="e">
        <f t="shared" si="21"/>
        <v>#VALUE!</v>
      </c>
    </row>
    <row r="251" spans="3:10">
      <c r="C251" s="20">
        <v>237</v>
      </c>
      <c r="D251" s="42" t="e">
        <f t="shared" si="22"/>
        <v>#VALUE!</v>
      </c>
      <c r="E251" s="42" t="e">
        <f t="shared" si="18"/>
        <v>#VALUE!</v>
      </c>
      <c r="F251" s="42"/>
      <c r="G251" s="42" t="e">
        <f t="shared" si="19"/>
        <v>#VALUE!</v>
      </c>
      <c r="H251" s="42">
        <f t="shared" si="23"/>
        <v>0</v>
      </c>
      <c r="I251" s="42" t="e">
        <f t="shared" si="20"/>
        <v>#VALUE!</v>
      </c>
      <c r="J251" s="48" t="e">
        <f t="shared" si="21"/>
        <v>#VALUE!</v>
      </c>
    </row>
    <row r="252" spans="3:10">
      <c r="C252" s="20">
        <v>238</v>
      </c>
      <c r="D252" s="42" t="e">
        <f t="shared" si="22"/>
        <v>#VALUE!</v>
      </c>
      <c r="E252" s="42" t="e">
        <f t="shared" si="18"/>
        <v>#VALUE!</v>
      </c>
      <c r="F252" s="42"/>
      <c r="G252" s="42" t="e">
        <f t="shared" si="19"/>
        <v>#VALUE!</v>
      </c>
      <c r="H252" s="42">
        <f t="shared" si="23"/>
        <v>0</v>
      </c>
      <c r="I252" s="42" t="e">
        <f t="shared" si="20"/>
        <v>#VALUE!</v>
      </c>
      <c r="J252" s="48" t="e">
        <f t="shared" si="21"/>
        <v>#VALUE!</v>
      </c>
    </row>
    <row r="253" spans="3:10">
      <c r="C253" s="20">
        <v>239</v>
      </c>
      <c r="D253" s="65" t="e">
        <f t="shared" si="22"/>
        <v>#VALUE!</v>
      </c>
      <c r="E253" s="65" t="e">
        <f t="shared" si="18"/>
        <v>#VALUE!</v>
      </c>
      <c r="F253" s="65"/>
      <c r="G253" s="65" t="e">
        <f t="shared" si="19"/>
        <v>#VALUE!</v>
      </c>
      <c r="H253" s="65">
        <f t="shared" si="23"/>
        <v>0</v>
      </c>
      <c r="I253" s="65" t="e">
        <f t="shared" si="20"/>
        <v>#VALUE!</v>
      </c>
      <c r="J253" s="66" t="e">
        <f t="shared" si="21"/>
        <v>#VALUE!</v>
      </c>
    </row>
    <row r="254" spans="3:10">
      <c r="C254" s="20">
        <v>240</v>
      </c>
      <c r="D254" s="65" t="e">
        <f t="shared" si="22"/>
        <v>#VALUE!</v>
      </c>
      <c r="E254" s="65" t="e">
        <f t="shared" si="18"/>
        <v>#VALUE!</v>
      </c>
      <c r="F254" s="65"/>
      <c r="G254" s="65" t="e">
        <f t="shared" si="19"/>
        <v>#VALUE!</v>
      </c>
      <c r="H254" s="65">
        <f t="shared" si="23"/>
        <v>0</v>
      </c>
      <c r="I254" s="65" t="e">
        <f t="shared" si="20"/>
        <v>#VALUE!</v>
      </c>
      <c r="J254" s="66" t="e">
        <f t="shared" si="21"/>
        <v>#VALUE!</v>
      </c>
    </row>
    <row r="255" spans="3:10">
      <c r="C255" s="20">
        <v>241</v>
      </c>
      <c r="D255" s="42" t="e">
        <f t="shared" si="22"/>
        <v>#VALUE!</v>
      </c>
      <c r="E255" s="42" t="e">
        <f t="shared" si="18"/>
        <v>#VALUE!</v>
      </c>
      <c r="F255" s="42"/>
      <c r="G255" s="42" t="e">
        <f t="shared" si="19"/>
        <v>#VALUE!</v>
      </c>
      <c r="H255" s="42">
        <f t="shared" si="23"/>
        <v>0</v>
      </c>
      <c r="I255" s="42" t="e">
        <f t="shared" si="20"/>
        <v>#VALUE!</v>
      </c>
      <c r="J255" s="48" t="e">
        <f t="shared" si="21"/>
        <v>#VALUE!</v>
      </c>
    </row>
    <row r="256" spans="3:10">
      <c r="C256" s="20">
        <v>242</v>
      </c>
      <c r="D256" s="42" t="e">
        <f t="shared" si="22"/>
        <v>#VALUE!</v>
      </c>
      <c r="E256" s="42" t="e">
        <f t="shared" si="18"/>
        <v>#VALUE!</v>
      </c>
      <c r="F256" s="42"/>
      <c r="G256" s="42" t="e">
        <f t="shared" si="19"/>
        <v>#VALUE!</v>
      </c>
      <c r="H256" s="42">
        <f t="shared" si="23"/>
        <v>0</v>
      </c>
      <c r="I256" s="42" t="e">
        <f t="shared" si="20"/>
        <v>#VALUE!</v>
      </c>
      <c r="J256" s="48" t="e">
        <f t="shared" si="21"/>
        <v>#VALUE!</v>
      </c>
    </row>
    <row r="257" spans="3:10">
      <c r="C257" s="20">
        <v>243</v>
      </c>
      <c r="D257" s="42" t="e">
        <f t="shared" si="22"/>
        <v>#VALUE!</v>
      </c>
      <c r="E257" s="42" t="e">
        <f t="shared" si="18"/>
        <v>#VALUE!</v>
      </c>
      <c r="F257" s="42"/>
      <c r="G257" s="42" t="e">
        <f t="shared" si="19"/>
        <v>#VALUE!</v>
      </c>
      <c r="H257" s="42">
        <f t="shared" si="23"/>
        <v>0</v>
      </c>
      <c r="I257" s="42" t="e">
        <f t="shared" si="20"/>
        <v>#VALUE!</v>
      </c>
      <c r="J257" s="48" t="e">
        <f t="shared" si="21"/>
        <v>#VALUE!</v>
      </c>
    </row>
    <row r="258" spans="3:10">
      <c r="C258" s="20">
        <v>244</v>
      </c>
      <c r="D258" s="42" t="e">
        <f t="shared" si="22"/>
        <v>#VALUE!</v>
      </c>
      <c r="E258" s="42" t="e">
        <f t="shared" si="18"/>
        <v>#VALUE!</v>
      </c>
      <c r="F258" s="42"/>
      <c r="G258" s="42" t="e">
        <f t="shared" si="19"/>
        <v>#VALUE!</v>
      </c>
      <c r="H258" s="42">
        <f t="shared" si="23"/>
        <v>0</v>
      </c>
      <c r="I258" s="42" t="e">
        <f t="shared" si="20"/>
        <v>#VALUE!</v>
      </c>
      <c r="J258" s="48" t="e">
        <f t="shared" si="21"/>
        <v>#VALUE!</v>
      </c>
    </row>
    <row r="259" spans="3:10">
      <c r="C259" s="20">
        <v>245</v>
      </c>
      <c r="D259" s="42" t="e">
        <f t="shared" si="22"/>
        <v>#VALUE!</v>
      </c>
      <c r="E259" s="42" t="e">
        <f t="shared" si="18"/>
        <v>#VALUE!</v>
      </c>
      <c r="F259" s="42"/>
      <c r="G259" s="42" t="e">
        <f t="shared" si="19"/>
        <v>#VALUE!</v>
      </c>
      <c r="H259" s="42">
        <f t="shared" si="23"/>
        <v>0</v>
      </c>
      <c r="I259" s="42" t="e">
        <f t="shared" si="20"/>
        <v>#VALUE!</v>
      </c>
      <c r="J259" s="48" t="e">
        <f t="shared" si="21"/>
        <v>#VALUE!</v>
      </c>
    </row>
    <row r="260" spans="3:10">
      <c r="C260" s="20">
        <v>246</v>
      </c>
      <c r="D260" s="42" t="e">
        <f t="shared" si="22"/>
        <v>#VALUE!</v>
      </c>
      <c r="E260" s="42" t="e">
        <f t="shared" si="18"/>
        <v>#VALUE!</v>
      </c>
      <c r="F260" s="42"/>
      <c r="G260" s="42" t="e">
        <f t="shared" si="19"/>
        <v>#VALUE!</v>
      </c>
      <c r="H260" s="42">
        <f t="shared" si="23"/>
        <v>0</v>
      </c>
      <c r="I260" s="42" t="e">
        <f t="shared" si="20"/>
        <v>#VALUE!</v>
      </c>
      <c r="J260" s="48" t="e">
        <f t="shared" si="21"/>
        <v>#VALUE!</v>
      </c>
    </row>
    <row r="261" spans="3:10">
      <c r="C261" s="20">
        <v>247</v>
      </c>
      <c r="D261" s="42" t="e">
        <f t="shared" si="22"/>
        <v>#VALUE!</v>
      </c>
      <c r="E261" s="42" t="e">
        <f t="shared" si="18"/>
        <v>#VALUE!</v>
      </c>
      <c r="F261" s="42"/>
      <c r="G261" s="42" t="e">
        <f t="shared" si="19"/>
        <v>#VALUE!</v>
      </c>
      <c r="H261" s="42">
        <f t="shared" si="23"/>
        <v>0</v>
      </c>
      <c r="I261" s="42" t="e">
        <f t="shared" si="20"/>
        <v>#VALUE!</v>
      </c>
      <c r="J261" s="48" t="e">
        <f t="shared" si="21"/>
        <v>#VALUE!</v>
      </c>
    </row>
    <row r="262" spans="3:10">
      <c r="C262" s="20">
        <v>248</v>
      </c>
      <c r="D262" s="42" t="e">
        <f t="shared" si="22"/>
        <v>#VALUE!</v>
      </c>
      <c r="E262" s="42" t="e">
        <f t="shared" si="18"/>
        <v>#VALUE!</v>
      </c>
      <c r="F262" s="42"/>
      <c r="G262" s="42" t="e">
        <f t="shared" si="19"/>
        <v>#VALUE!</v>
      </c>
      <c r="H262" s="42">
        <f t="shared" si="23"/>
        <v>0</v>
      </c>
      <c r="I262" s="42" t="e">
        <f t="shared" si="20"/>
        <v>#VALUE!</v>
      </c>
      <c r="J262" s="48" t="e">
        <f t="shared" si="21"/>
        <v>#VALUE!</v>
      </c>
    </row>
    <row r="263" spans="3:10">
      <c r="C263" s="20">
        <v>249</v>
      </c>
      <c r="D263" s="42" t="e">
        <f t="shared" si="22"/>
        <v>#VALUE!</v>
      </c>
      <c r="E263" s="42" t="e">
        <f t="shared" si="18"/>
        <v>#VALUE!</v>
      </c>
      <c r="F263" s="42"/>
      <c r="G263" s="42" t="e">
        <f t="shared" si="19"/>
        <v>#VALUE!</v>
      </c>
      <c r="H263" s="42">
        <f t="shared" si="23"/>
        <v>0</v>
      </c>
      <c r="I263" s="42" t="e">
        <f t="shared" si="20"/>
        <v>#VALUE!</v>
      </c>
      <c r="J263" s="48" t="e">
        <f t="shared" si="21"/>
        <v>#VALUE!</v>
      </c>
    </row>
    <row r="264" spans="3:10">
      <c r="C264" s="20">
        <v>250</v>
      </c>
      <c r="D264" s="42" t="e">
        <f t="shared" si="22"/>
        <v>#VALUE!</v>
      </c>
      <c r="E264" s="42" t="e">
        <f t="shared" si="18"/>
        <v>#VALUE!</v>
      </c>
      <c r="F264" s="42"/>
      <c r="G264" s="42" t="e">
        <f t="shared" si="19"/>
        <v>#VALUE!</v>
      </c>
      <c r="H264" s="42">
        <f t="shared" si="23"/>
        <v>0</v>
      </c>
      <c r="I264" s="42" t="e">
        <f t="shared" si="20"/>
        <v>#VALUE!</v>
      </c>
      <c r="J264" s="48" t="e">
        <f t="shared" si="21"/>
        <v>#VALUE!</v>
      </c>
    </row>
    <row r="265" spans="3:10">
      <c r="C265" s="20">
        <v>251</v>
      </c>
      <c r="D265" s="42" t="e">
        <f t="shared" si="22"/>
        <v>#VALUE!</v>
      </c>
      <c r="E265" s="42" t="e">
        <f t="shared" si="18"/>
        <v>#VALUE!</v>
      </c>
      <c r="F265" s="42"/>
      <c r="G265" s="42" t="e">
        <f t="shared" si="19"/>
        <v>#VALUE!</v>
      </c>
      <c r="H265" s="42">
        <f t="shared" si="23"/>
        <v>0</v>
      </c>
      <c r="I265" s="42" t="e">
        <f t="shared" si="20"/>
        <v>#VALUE!</v>
      </c>
      <c r="J265" s="48" t="e">
        <f t="shared" si="21"/>
        <v>#VALUE!</v>
      </c>
    </row>
    <row r="266" spans="3:10">
      <c r="C266" s="20">
        <v>252</v>
      </c>
      <c r="D266" s="42" t="e">
        <f t="shared" si="22"/>
        <v>#VALUE!</v>
      </c>
      <c r="E266" s="42" t="e">
        <f t="shared" si="18"/>
        <v>#VALUE!</v>
      </c>
      <c r="F266" s="42"/>
      <c r="G266" s="42" t="e">
        <f t="shared" si="19"/>
        <v>#VALUE!</v>
      </c>
      <c r="H266" s="42">
        <f t="shared" si="23"/>
        <v>0</v>
      </c>
      <c r="I266" s="42" t="e">
        <f t="shared" si="20"/>
        <v>#VALUE!</v>
      </c>
      <c r="J266" s="48" t="e">
        <f t="shared" si="21"/>
        <v>#VALUE!</v>
      </c>
    </row>
    <row r="267" spans="3:10">
      <c r="C267" s="20">
        <v>253</v>
      </c>
      <c r="D267" s="42" t="e">
        <f t="shared" si="22"/>
        <v>#VALUE!</v>
      </c>
      <c r="E267" s="42" t="e">
        <f t="shared" si="18"/>
        <v>#VALUE!</v>
      </c>
      <c r="F267" s="42"/>
      <c r="G267" s="42" t="e">
        <f t="shared" si="19"/>
        <v>#VALUE!</v>
      </c>
      <c r="H267" s="42">
        <f t="shared" si="23"/>
        <v>0</v>
      </c>
      <c r="I267" s="42" t="e">
        <f t="shared" si="20"/>
        <v>#VALUE!</v>
      </c>
      <c r="J267" s="48" t="e">
        <f t="shared" si="21"/>
        <v>#VALUE!</v>
      </c>
    </row>
    <row r="268" spans="3:10">
      <c r="C268" s="20">
        <v>254</v>
      </c>
      <c r="D268" s="42" t="e">
        <f t="shared" si="22"/>
        <v>#VALUE!</v>
      </c>
      <c r="E268" s="42" t="e">
        <f t="shared" si="18"/>
        <v>#VALUE!</v>
      </c>
      <c r="F268" s="42"/>
      <c r="G268" s="42" t="e">
        <f t="shared" si="19"/>
        <v>#VALUE!</v>
      </c>
      <c r="H268" s="42">
        <f t="shared" si="23"/>
        <v>0</v>
      </c>
      <c r="I268" s="42" t="e">
        <f t="shared" si="20"/>
        <v>#VALUE!</v>
      </c>
      <c r="J268" s="48" t="e">
        <f t="shared" si="21"/>
        <v>#VALUE!</v>
      </c>
    </row>
    <row r="269" spans="3:10">
      <c r="C269" s="20">
        <v>255</v>
      </c>
      <c r="D269" s="42" t="e">
        <f t="shared" si="22"/>
        <v>#VALUE!</v>
      </c>
      <c r="E269" s="42" t="e">
        <f t="shared" si="18"/>
        <v>#VALUE!</v>
      </c>
      <c r="F269" s="42"/>
      <c r="G269" s="42" t="e">
        <f t="shared" si="19"/>
        <v>#VALUE!</v>
      </c>
      <c r="H269" s="42">
        <f t="shared" si="23"/>
        <v>0</v>
      </c>
      <c r="I269" s="42" t="e">
        <f t="shared" si="20"/>
        <v>#VALUE!</v>
      </c>
      <c r="J269" s="48" t="e">
        <f t="shared" si="21"/>
        <v>#VALUE!</v>
      </c>
    </row>
    <row r="270" spans="3:10">
      <c r="C270" s="20">
        <v>256</v>
      </c>
      <c r="D270" s="42" t="e">
        <f t="shared" si="22"/>
        <v>#VALUE!</v>
      </c>
      <c r="E270" s="42" t="e">
        <f t="shared" si="18"/>
        <v>#VALUE!</v>
      </c>
      <c r="F270" s="42"/>
      <c r="G270" s="42" t="e">
        <f t="shared" si="19"/>
        <v>#VALUE!</v>
      </c>
      <c r="H270" s="42">
        <f t="shared" si="23"/>
        <v>0</v>
      </c>
      <c r="I270" s="42" t="e">
        <f t="shared" si="20"/>
        <v>#VALUE!</v>
      </c>
      <c r="J270" s="48" t="e">
        <f t="shared" si="21"/>
        <v>#VALUE!</v>
      </c>
    </row>
    <row r="271" spans="3:10">
      <c r="C271" s="20">
        <v>257</v>
      </c>
      <c r="D271" s="42" t="e">
        <f t="shared" si="22"/>
        <v>#VALUE!</v>
      </c>
      <c r="E271" s="42" t="e">
        <f t="shared" ref="E271:E334" si="24">D271*($E$6/12)</f>
        <v>#VALUE!</v>
      </c>
      <c r="F271" s="42"/>
      <c r="G271" s="42" t="e">
        <f t="shared" ref="G271:G334" si="25">+I271-H271-E271</f>
        <v>#VALUE!</v>
      </c>
      <c r="H271" s="42">
        <f t="shared" si="23"/>
        <v>0</v>
      </c>
      <c r="I271" s="42" t="e">
        <f t="shared" ref="I271:I334" si="26">IF(C271&lt;=$E$7,E271,$E$9)</f>
        <v>#VALUE!</v>
      </c>
      <c r="J271" s="48" t="e">
        <f t="shared" ref="J271:J334" si="27">D271-G271-H271</f>
        <v>#VALUE!</v>
      </c>
    </row>
    <row r="272" spans="3:10">
      <c r="C272" s="20">
        <v>258</v>
      </c>
      <c r="D272" s="42" t="e">
        <f t="shared" ref="D272:D335" si="28">J271</f>
        <v>#VALUE!</v>
      </c>
      <c r="E272" s="42" t="e">
        <f t="shared" si="24"/>
        <v>#VALUE!</v>
      </c>
      <c r="F272" s="42"/>
      <c r="G272" s="42" t="e">
        <f t="shared" si="25"/>
        <v>#VALUE!</v>
      </c>
      <c r="H272" s="42">
        <f t="shared" ref="H272:H335" si="29">+H271</f>
        <v>0</v>
      </c>
      <c r="I272" s="42" t="e">
        <f t="shared" si="26"/>
        <v>#VALUE!</v>
      </c>
      <c r="J272" s="48" t="e">
        <f t="shared" si="27"/>
        <v>#VALUE!</v>
      </c>
    </row>
    <row r="273" spans="3:10">
      <c r="C273" s="20">
        <v>259</v>
      </c>
      <c r="D273" s="42" t="e">
        <f t="shared" si="28"/>
        <v>#VALUE!</v>
      </c>
      <c r="E273" s="42" t="e">
        <f t="shared" si="24"/>
        <v>#VALUE!</v>
      </c>
      <c r="F273" s="42"/>
      <c r="G273" s="42" t="e">
        <f t="shared" si="25"/>
        <v>#VALUE!</v>
      </c>
      <c r="H273" s="42">
        <f t="shared" si="29"/>
        <v>0</v>
      </c>
      <c r="I273" s="42" t="e">
        <f t="shared" si="26"/>
        <v>#VALUE!</v>
      </c>
      <c r="J273" s="48" t="e">
        <f t="shared" si="27"/>
        <v>#VALUE!</v>
      </c>
    </row>
    <row r="274" spans="3:10">
      <c r="C274" s="20">
        <v>260</v>
      </c>
      <c r="D274" s="42" t="e">
        <f t="shared" si="28"/>
        <v>#VALUE!</v>
      </c>
      <c r="E274" s="42" t="e">
        <f t="shared" si="24"/>
        <v>#VALUE!</v>
      </c>
      <c r="F274" s="42"/>
      <c r="G274" s="42" t="e">
        <f t="shared" si="25"/>
        <v>#VALUE!</v>
      </c>
      <c r="H274" s="42">
        <f t="shared" si="29"/>
        <v>0</v>
      </c>
      <c r="I274" s="42" t="e">
        <f t="shared" si="26"/>
        <v>#VALUE!</v>
      </c>
      <c r="J274" s="48" t="e">
        <f t="shared" si="27"/>
        <v>#VALUE!</v>
      </c>
    </row>
    <row r="275" spans="3:10">
      <c r="C275" s="20">
        <v>261</v>
      </c>
      <c r="D275" s="42" t="e">
        <f t="shared" si="28"/>
        <v>#VALUE!</v>
      </c>
      <c r="E275" s="42" t="e">
        <f t="shared" si="24"/>
        <v>#VALUE!</v>
      </c>
      <c r="F275" s="42"/>
      <c r="G275" s="42" t="e">
        <f t="shared" si="25"/>
        <v>#VALUE!</v>
      </c>
      <c r="H275" s="42">
        <f t="shared" si="29"/>
        <v>0</v>
      </c>
      <c r="I275" s="42" t="e">
        <f t="shared" si="26"/>
        <v>#VALUE!</v>
      </c>
      <c r="J275" s="48" t="e">
        <f t="shared" si="27"/>
        <v>#VALUE!</v>
      </c>
    </row>
    <row r="276" spans="3:10">
      <c r="C276" s="20">
        <v>262</v>
      </c>
      <c r="D276" s="42" t="e">
        <f t="shared" si="28"/>
        <v>#VALUE!</v>
      </c>
      <c r="E276" s="42" t="e">
        <f t="shared" si="24"/>
        <v>#VALUE!</v>
      </c>
      <c r="F276" s="42"/>
      <c r="G276" s="42" t="e">
        <f t="shared" si="25"/>
        <v>#VALUE!</v>
      </c>
      <c r="H276" s="42">
        <f t="shared" si="29"/>
        <v>0</v>
      </c>
      <c r="I276" s="42" t="e">
        <f t="shared" si="26"/>
        <v>#VALUE!</v>
      </c>
      <c r="J276" s="48" t="e">
        <f t="shared" si="27"/>
        <v>#VALUE!</v>
      </c>
    </row>
    <row r="277" spans="3:10">
      <c r="C277" s="20">
        <v>263</v>
      </c>
      <c r="D277" s="42" t="e">
        <f t="shared" si="28"/>
        <v>#VALUE!</v>
      </c>
      <c r="E277" s="42" t="e">
        <f t="shared" si="24"/>
        <v>#VALUE!</v>
      </c>
      <c r="F277" s="42"/>
      <c r="G277" s="42" t="e">
        <f t="shared" si="25"/>
        <v>#VALUE!</v>
      </c>
      <c r="H277" s="42">
        <f t="shared" si="29"/>
        <v>0</v>
      </c>
      <c r="I277" s="42" t="e">
        <f t="shared" si="26"/>
        <v>#VALUE!</v>
      </c>
      <c r="J277" s="48" t="e">
        <f t="shared" si="27"/>
        <v>#VALUE!</v>
      </c>
    </row>
    <row r="278" spans="3:10">
      <c r="C278" s="20">
        <v>264</v>
      </c>
      <c r="D278" s="42" t="e">
        <f t="shared" si="28"/>
        <v>#VALUE!</v>
      </c>
      <c r="E278" s="42" t="e">
        <f t="shared" si="24"/>
        <v>#VALUE!</v>
      </c>
      <c r="F278" s="42"/>
      <c r="G278" s="42" t="e">
        <f t="shared" si="25"/>
        <v>#VALUE!</v>
      </c>
      <c r="H278" s="42">
        <f t="shared" si="29"/>
        <v>0</v>
      </c>
      <c r="I278" s="42" t="e">
        <f t="shared" si="26"/>
        <v>#VALUE!</v>
      </c>
      <c r="J278" s="48" t="e">
        <f t="shared" si="27"/>
        <v>#VALUE!</v>
      </c>
    </row>
    <row r="279" spans="3:10">
      <c r="C279" s="20">
        <v>265</v>
      </c>
      <c r="D279" s="42" t="e">
        <f t="shared" si="28"/>
        <v>#VALUE!</v>
      </c>
      <c r="E279" s="42" t="e">
        <f t="shared" si="24"/>
        <v>#VALUE!</v>
      </c>
      <c r="F279" s="42"/>
      <c r="G279" s="42" t="e">
        <f t="shared" si="25"/>
        <v>#VALUE!</v>
      </c>
      <c r="H279" s="42">
        <f t="shared" si="29"/>
        <v>0</v>
      </c>
      <c r="I279" s="42" t="e">
        <f t="shared" si="26"/>
        <v>#VALUE!</v>
      </c>
      <c r="J279" s="48" t="e">
        <f t="shared" si="27"/>
        <v>#VALUE!</v>
      </c>
    </row>
    <row r="280" spans="3:10">
      <c r="C280" s="20">
        <v>266</v>
      </c>
      <c r="D280" s="42" t="e">
        <f t="shared" si="28"/>
        <v>#VALUE!</v>
      </c>
      <c r="E280" s="42" t="e">
        <f t="shared" si="24"/>
        <v>#VALUE!</v>
      </c>
      <c r="F280" s="42"/>
      <c r="G280" s="42" t="e">
        <f t="shared" si="25"/>
        <v>#VALUE!</v>
      </c>
      <c r="H280" s="42">
        <f t="shared" si="29"/>
        <v>0</v>
      </c>
      <c r="I280" s="42" t="e">
        <f t="shared" si="26"/>
        <v>#VALUE!</v>
      </c>
      <c r="J280" s="48" t="e">
        <f t="shared" si="27"/>
        <v>#VALUE!</v>
      </c>
    </row>
    <row r="281" spans="3:10">
      <c r="C281" s="20">
        <v>267</v>
      </c>
      <c r="D281" s="42" t="e">
        <f t="shared" si="28"/>
        <v>#VALUE!</v>
      </c>
      <c r="E281" s="42" t="e">
        <f t="shared" si="24"/>
        <v>#VALUE!</v>
      </c>
      <c r="F281" s="42"/>
      <c r="G281" s="42" t="e">
        <f t="shared" si="25"/>
        <v>#VALUE!</v>
      </c>
      <c r="H281" s="42">
        <f t="shared" si="29"/>
        <v>0</v>
      </c>
      <c r="I281" s="42" t="e">
        <f t="shared" si="26"/>
        <v>#VALUE!</v>
      </c>
      <c r="J281" s="48" t="e">
        <f t="shared" si="27"/>
        <v>#VALUE!</v>
      </c>
    </row>
    <row r="282" spans="3:10">
      <c r="C282" s="20">
        <v>268</v>
      </c>
      <c r="D282" s="42" t="e">
        <f t="shared" si="28"/>
        <v>#VALUE!</v>
      </c>
      <c r="E282" s="42" t="e">
        <f t="shared" si="24"/>
        <v>#VALUE!</v>
      </c>
      <c r="F282" s="42"/>
      <c r="G282" s="42" t="e">
        <f t="shared" si="25"/>
        <v>#VALUE!</v>
      </c>
      <c r="H282" s="42">
        <f t="shared" si="29"/>
        <v>0</v>
      </c>
      <c r="I282" s="42" t="e">
        <f t="shared" si="26"/>
        <v>#VALUE!</v>
      </c>
      <c r="J282" s="48" t="e">
        <f t="shared" si="27"/>
        <v>#VALUE!</v>
      </c>
    </row>
    <row r="283" spans="3:10">
      <c r="C283" s="20">
        <v>269</v>
      </c>
      <c r="D283" s="42" t="e">
        <f t="shared" si="28"/>
        <v>#VALUE!</v>
      </c>
      <c r="E283" s="42" t="e">
        <f t="shared" si="24"/>
        <v>#VALUE!</v>
      </c>
      <c r="F283" s="42"/>
      <c r="G283" s="42" t="e">
        <f t="shared" si="25"/>
        <v>#VALUE!</v>
      </c>
      <c r="H283" s="42">
        <f t="shared" si="29"/>
        <v>0</v>
      </c>
      <c r="I283" s="42" t="e">
        <f t="shared" si="26"/>
        <v>#VALUE!</v>
      </c>
      <c r="J283" s="48" t="e">
        <f t="shared" si="27"/>
        <v>#VALUE!</v>
      </c>
    </row>
    <row r="284" spans="3:10">
      <c r="C284" s="20">
        <v>270</v>
      </c>
      <c r="D284" s="42" t="e">
        <f t="shared" si="28"/>
        <v>#VALUE!</v>
      </c>
      <c r="E284" s="42" t="e">
        <f t="shared" si="24"/>
        <v>#VALUE!</v>
      </c>
      <c r="F284" s="42"/>
      <c r="G284" s="42" t="e">
        <f t="shared" si="25"/>
        <v>#VALUE!</v>
      </c>
      <c r="H284" s="42">
        <f t="shared" si="29"/>
        <v>0</v>
      </c>
      <c r="I284" s="42" t="e">
        <f t="shared" si="26"/>
        <v>#VALUE!</v>
      </c>
      <c r="J284" s="48" t="e">
        <f t="shared" si="27"/>
        <v>#VALUE!</v>
      </c>
    </row>
    <row r="285" spans="3:10">
      <c r="C285" s="20">
        <v>271</v>
      </c>
      <c r="D285" s="42" t="e">
        <f t="shared" si="28"/>
        <v>#VALUE!</v>
      </c>
      <c r="E285" s="42" t="e">
        <f t="shared" si="24"/>
        <v>#VALUE!</v>
      </c>
      <c r="F285" s="42"/>
      <c r="G285" s="42" t="e">
        <f t="shared" si="25"/>
        <v>#VALUE!</v>
      </c>
      <c r="H285" s="42">
        <f t="shared" si="29"/>
        <v>0</v>
      </c>
      <c r="I285" s="42" t="e">
        <f t="shared" si="26"/>
        <v>#VALUE!</v>
      </c>
      <c r="J285" s="48" t="e">
        <f t="shared" si="27"/>
        <v>#VALUE!</v>
      </c>
    </row>
    <row r="286" spans="3:10">
      <c r="C286" s="20">
        <v>272</v>
      </c>
      <c r="D286" s="42" t="e">
        <f t="shared" si="28"/>
        <v>#VALUE!</v>
      </c>
      <c r="E286" s="42" t="e">
        <f t="shared" si="24"/>
        <v>#VALUE!</v>
      </c>
      <c r="F286" s="42"/>
      <c r="G286" s="42" t="e">
        <f t="shared" si="25"/>
        <v>#VALUE!</v>
      </c>
      <c r="H286" s="42">
        <f t="shared" si="29"/>
        <v>0</v>
      </c>
      <c r="I286" s="42" t="e">
        <f t="shared" si="26"/>
        <v>#VALUE!</v>
      </c>
      <c r="J286" s="48" t="e">
        <f t="shared" si="27"/>
        <v>#VALUE!</v>
      </c>
    </row>
    <row r="287" spans="3:10">
      <c r="C287" s="20">
        <v>273</v>
      </c>
      <c r="D287" s="42" t="e">
        <f t="shared" si="28"/>
        <v>#VALUE!</v>
      </c>
      <c r="E287" s="42" t="e">
        <f t="shared" si="24"/>
        <v>#VALUE!</v>
      </c>
      <c r="F287" s="42"/>
      <c r="G287" s="42" t="e">
        <f t="shared" si="25"/>
        <v>#VALUE!</v>
      </c>
      <c r="H287" s="42">
        <f t="shared" si="29"/>
        <v>0</v>
      </c>
      <c r="I287" s="42" t="e">
        <f t="shared" si="26"/>
        <v>#VALUE!</v>
      </c>
      <c r="J287" s="48" t="e">
        <f t="shared" si="27"/>
        <v>#VALUE!</v>
      </c>
    </row>
    <row r="288" spans="3:10">
      <c r="C288" s="20">
        <v>274</v>
      </c>
      <c r="D288" s="42" t="e">
        <f t="shared" si="28"/>
        <v>#VALUE!</v>
      </c>
      <c r="E288" s="42" t="e">
        <f t="shared" si="24"/>
        <v>#VALUE!</v>
      </c>
      <c r="F288" s="42"/>
      <c r="G288" s="42" t="e">
        <f t="shared" si="25"/>
        <v>#VALUE!</v>
      </c>
      <c r="H288" s="42">
        <f t="shared" si="29"/>
        <v>0</v>
      </c>
      <c r="I288" s="42" t="e">
        <f t="shared" si="26"/>
        <v>#VALUE!</v>
      </c>
      <c r="J288" s="48" t="e">
        <f t="shared" si="27"/>
        <v>#VALUE!</v>
      </c>
    </row>
    <row r="289" spans="3:10">
      <c r="C289" s="20">
        <v>275</v>
      </c>
      <c r="D289" s="42" t="e">
        <f t="shared" si="28"/>
        <v>#VALUE!</v>
      </c>
      <c r="E289" s="42" t="e">
        <f t="shared" si="24"/>
        <v>#VALUE!</v>
      </c>
      <c r="F289" s="42"/>
      <c r="G289" s="42" t="e">
        <f t="shared" si="25"/>
        <v>#VALUE!</v>
      </c>
      <c r="H289" s="42">
        <f t="shared" si="29"/>
        <v>0</v>
      </c>
      <c r="I289" s="42" t="e">
        <f t="shared" si="26"/>
        <v>#VALUE!</v>
      </c>
      <c r="J289" s="48" t="e">
        <f t="shared" si="27"/>
        <v>#VALUE!</v>
      </c>
    </row>
    <row r="290" spans="3:10">
      <c r="C290" s="20">
        <v>276</v>
      </c>
      <c r="D290" s="42" t="e">
        <f t="shared" si="28"/>
        <v>#VALUE!</v>
      </c>
      <c r="E290" s="42" t="e">
        <f t="shared" si="24"/>
        <v>#VALUE!</v>
      </c>
      <c r="F290" s="42"/>
      <c r="G290" s="42" t="e">
        <f t="shared" si="25"/>
        <v>#VALUE!</v>
      </c>
      <c r="H290" s="42">
        <f t="shared" si="29"/>
        <v>0</v>
      </c>
      <c r="I290" s="42" t="e">
        <f t="shared" si="26"/>
        <v>#VALUE!</v>
      </c>
      <c r="J290" s="48" t="e">
        <f t="shared" si="27"/>
        <v>#VALUE!</v>
      </c>
    </row>
    <row r="291" spans="3:10">
      <c r="C291" s="20">
        <v>277</v>
      </c>
      <c r="D291" s="42" t="e">
        <f t="shared" si="28"/>
        <v>#VALUE!</v>
      </c>
      <c r="E291" s="42" t="e">
        <f t="shared" si="24"/>
        <v>#VALUE!</v>
      </c>
      <c r="F291" s="42"/>
      <c r="G291" s="42" t="e">
        <f t="shared" si="25"/>
        <v>#VALUE!</v>
      </c>
      <c r="H291" s="42">
        <f t="shared" si="29"/>
        <v>0</v>
      </c>
      <c r="I291" s="42" t="e">
        <f t="shared" si="26"/>
        <v>#VALUE!</v>
      </c>
      <c r="J291" s="48" t="e">
        <f t="shared" si="27"/>
        <v>#VALUE!</v>
      </c>
    </row>
    <row r="292" spans="3:10">
      <c r="C292" s="20">
        <v>278</v>
      </c>
      <c r="D292" s="42" t="e">
        <f t="shared" si="28"/>
        <v>#VALUE!</v>
      </c>
      <c r="E292" s="42" t="e">
        <f t="shared" si="24"/>
        <v>#VALUE!</v>
      </c>
      <c r="F292" s="42"/>
      <c r="G292" s="42" t="e">
        <f t="shared" si="25"/>
        <v>#VALUE!</v>
      </c>
      <c r="H292" s="42">
        <f t="shared" si="29"/>
        <v>0</v>
      </c>
      <c r="I292" s="42" t="e">
        <f t="shared" si="26"/>
        <v>#VALUE!</v>
      </c>
      <c r="J292" s="48" t="e">
        <f t="shared" si="27"/>
        <v>#VALUE!</v>
      </c>
    </row>
    <row r="293" spans="3:10">
      <c r="C293" s="20">
        <v>279</v>
      </c>
      <c r="D293" s="42" t="e">
        <f t="shared" si="28"/>
        <v>#VALUE!</v>
      </c>
      <c r="E293" s="42" t="e">
        <f t="shared" si="24"/>
        <v>#VALUE!</v>
      </c>
      <c r="F293" s="42"/>
      <c r="G293" s="42" t="e">
        <f t="shared" si="25"/>
        <v>#VALUE!</v>
      </c>
      <c r="H293" s="42">
        <f t="shared" si="29"/>
        <v>0</v>
      </c>
      <c r="I293" s="42" t="e">
        <f t="shared" si="26"/>
        <v>#VALUE!</v>
      </c>
      <c r="J293" s="48" t="e">
        <f t="shared" si="27"/>
        <v>#VALUE!</v>
      </c>
    </row>
    <row r="294" spans="3:10">
      <c r="C294" s="20">
        <v>280</v>
      </c>
      <c r="D294" s="42" t="e">
        <f t="shared" si="28"/>
        <v>#VALUE!</v>
      </c>
      <c r="E294" s="42" t="e">
        <f t="shared" si="24"/>
        <v>#VALUE!</v>
      </c>
      <c r="F294" s="42"/>
      <c r="G294" s="42" t="e">
        <f t="shared" si="25"/>
        <v>#VALUE!</v>
      </c>
      <c r="H294" s="42">
        <f t="shared" si="29"/>
        <v>0</v>
      </c>
      <c r="I294" s="42" t="e">
        <f t="shared" si="26"/>
        <v>#VALUE!</v>
      </c>
      <c r="J294" s="48" t="e">
        <f t="shared" si="27"/>
        <v>#VALUE!</v>
      </c>
    </row>
    <row r="295" spans="3:10">
      <c r="C295" s="20">
        <v>281</v>
      </c>
      <c r="D295" s="42" t="e">
        <f t="shared" si="28"/>
        <v>#VALUE!</v>
      </c>
      <c r="E295" s="42" t="e">
        <f t="shared" si="24"/>
        <v>#VALUE!</v>
      </c>
      <c r="F295" s="42"/>
      <c r="G295" s="42" t="e">
        <f t="shared" si="25"/>
        <v>#VALUE!</v>
      </c>
      <c r="H295" s="42">
        <f t="shared" si="29"/>
        <v>0</v>
      </c>
      <c r="I295" s="42" t="e">
        <f t="shared" si="26"/>
        <v>#VALUE!</v>
      </c>
      <c r="J295" s="48" t="e">
        <f t="shared" si="27"/>
        <v>#VALUE!</v>
      </c>
    </row>
    <row r="296" spans="3:10">
      <c r="C296" s="20">
        <v>282</v>
      </c>
      <c r="D296" s="42" t="e">
        <f t="shared" si="28"/>
        <v>#VALUE!</v>
      </c>
      <c r="E296" s="42" t="e">
        <f t="shared" si="24"/>
        <v>#VALUE!</v>
      </c>
      <c r="F296" s="42"/>
      <c r="G296" s="42" t="e">
        <f t="shared" si="25"/>
        <v>#VALUE!</v>
      </c>
      <c r="H296" s="42">
        <f t="shared" si="29"/>
        <v>0</v>
      </c>
      <c r="I296" s="42" t="e">
        <f t="shared" si="26"/>
        <v>#VALUE!</v>
      </c>
      <c r="J296" s="48" t="e">
        <f t="shared" si="27"/>
        <v>#VALUE!</v>
      </c>
    </row>
    <row r="297" spans="3:10">
      <c r="C297" s="20">
        <v>283</v>
      </c>
      <c r="D297" s="42" t="e">
        <f t="shared" si="28"/>
        <v>#VALUE!</v>
      </c>
      <c r="E297" s="42" t="e">
        <f t="shared" si="24"/>
        <v>#VALUE!</v>
      </c>
      <c r="F297" s="42"/>
      <c r="G297" s="42" t="e">
        <f t="shared" si="25"/>
        <v>#VALUE!</v>
      </c>
      <c r="H297" s="42">
        <f t="shared" si="29"/>
        <v>0</v>
      </c>
      <c r="I297" s="42" t="e">
        <f t="shared" si="26"/>
        <v>#VALUE!</v>
      </c>
      <c r="J297" s="48" t="e">
        <f t="shared" si="27"/>
        <v>#VALUE!</v>
      </c>
    </row>
    <row r="298" spans="3:10">
      <c r="C298" s="20">
        <v>284</v>
      </c>
      <c r="D298" s="42" t="e">
        <f t="shared" si="28"/>
        <v>#VALUE!</v>
      </c>
      <c r="E298" s="42" t="e">
        <f t="shared" si="24"/>
        <v>#VALUE!</v>
      </c>
      <c r="F298" s="42"/>
      <c r="G298" s="42" t="e">
        <f t="shared" si="25"/>
        <v>#VALUE!</v>
      </c>
      <c r="H298" s="42">
        <f t="shared" si="29"/>
        <v>0</v>
      </c>
      <c r="I298" s="42" t="e">
        <f t="shared" si="26"/>
        <v>#VALUE!</v>
      </c>
      <c r="J298" s="48" t="e">
        <f t="shared" si="27"/>
        <v>#VALUE!</v>
      </c>
    </row>
    <row r="299" spans="3:10">
      <c r="C299" s="20">
        <v>285</v>
      </c>
      <c r="D299" s="42" t="e">
        <f t="shared" si="28"/>
        <v>#VALUE!</v>
      </c>
      <c r="E299" s="42" t="e">
        <f t="shared" si="24"/>
        <v>#VALUE!</v>
      </c>
      <c r="F299" s="42"/>
      <c r="G299" s="42" t="e">
        <f t="shared" si="25"/>
        <v>#VALUE!</v>
      </c>
      <c r="H299" s="42">
        <f t="shared" si="29"/>
        <v>0</v>
      </c>
      <c r="I299" s="42" t="e">
        <f t="shared" si="26"/>
        <v>#VALUE!</v>
      </c>
      <c r="J299" s="48" t="e">
        <f t="shared" si="27"/>
        <v>#VALUE!</v>
      </c>
    </row>
    <row r="300" spans="3:10">
      <c r="C300" s="20">
        <v>286</v>
      </c>
      <c r="D300" s="42" t="e">
        <f t="shared" si="28"/>
        <v>#VALUE!</v>
      </c>
      <c r="E300" s="42" t="e">
        <f t="shared" si="24"/>
        <v>#VALUE!</v>
      </c>
      <c r="F300" s="42"/>
      <c r="G300" s="42" t="e">
        <f t="shared" si="25"/>
        <v>#VALUE!</v>
      </c>
      <c r="H300" s="42">
        <f t="shared" si="29"/>
        <v>0</v>
      </c>
      <c r="I300" s="42" t="e">
        <f t="shared" si="26"/>
        <v>#VALUE!</v>
      </c>
      <c r="J300" s="48" t="e">
        <f t="shared" si="27"/>
        <v>#VALUE!</v>
      </c>
    </row>
    <row r="301" spans="3:10">
      <c r="C301" s="20">
        <v>287</v>
      </c>
      <c r="D301" s="42" t="e">
        <f t="shared" si="28"/>
        <v>#VALUE!</v>
      </c>
      <c r="E301" s="42" t="e">
        <f t="shared" si="24"/>
        <v>#VALUE!</v>
      </c>
      <c r="F301" s="42"/>
      <c r="G301" s="42" t="e">
        <f t="shared" si="25"/>
        <v>#VALUE!</v>
      </c>
      <c r="H301" s="42">
        <f t="shared" si="29"/>
        <v>0</v>
      </c>
      <c r="I301" s="42" t="e">
        <f t="shared" si="26"/>
        <v>#VALUE!</v>
      </c>
      <c r="J301" s="48" t="e">
        <f t="shared" si="27"/>
        <v>#VALUE!</v>
      </c>
    </row>
    <row r="302" spans="3:10">
      <c r="C302" s="20">
        <v>288</v>
      </c>
      <c r="D302" s="42" t="e">
        <f t="shared" si="28"/>
        <v>#VALUE!</v>
      </c>
      <c r="E302" s="42" t="e">
        <f t="shared" si="24"/>
        <v>#VALUE!</v>
      </c>
      <c r="F302" s="42"/>
      <c r="G302" s="42" t="e">
        <f t="shared" si="25"/>
        <v>#VALUE!</v>
      </c>
      <c r="H302" s="42">
        <f t="shared" si="29"/>
        <v>0</v>
      </c>
      <c r="I302" s="42" t="e">
        <f t="shared" si="26"/>
        <v>#VALUE!</v>
      </c>
      <c r="J302" s="48" t="e">
        <f t="shared" si="27"/>
        <v>#VALUE!</v>
      </c>
    </row>
    <row r="303" spans="3:10">
      <c r="C303" s="20">
        <v>289</v>
      </c>
      <c r="D303" s="42" t="e">
        <f t="shared" si="28"/>
        <v>#VALUE!</v>
      </c>
      <c r="E303" s="42" t="e">
        <f t="shared" si="24"/>
        <v>#VALUE!</v>
      </c>
      <c r="F303" s="42"/>
      <c r="G303" s="42" t="e">
        <f t="shared" si="25"/>
        <v>#VALUE!</v>
      </c>
      <c r="H303" s="42">
        <f t="shared" si="29"/>
        <v>0</v>
      </c>
      <c r="I303" s="42" t="e">
        <f t="shared" si="26"/>
        <v>#VALUE!</v>
      </c>
      <c r="J303" s="48" t="e">
        <f t="shared" si="27"/>
        <v>#VALUE!</v>
      </c>
    </row>
    <row r="304" spans="3:10">
      <c r="C304" s="20">
        <v>290</v>
      </c>
      <c r="D304" s="42" t="e">
        <f t="shared" si="28"/>
        <v>#VALUE!</v>
      </c>
      <c r="E304" s="42" t="e">
        <f t="shared" si="24"/>
        <v>#VALUE!</v>
      </c>
      <c r="F304" s="42"/>
      <c r="G304" s="42" t="e">
        <f t="shared" si="25"/>
        <v>#VALUE!</v>
      </c>
      <c r="H304" s="42">
        <f t="shared" si="29"/>
        <v>0</v>
      </c>
      <c r="I304" s="42" t="e">
        <f t="shared" si="26"/>
        <v>#VALUE!</v>
      </c>
      <c r="J304" s="48" t="e">
        <f t="shared" si="27"/>
        <v>#VALUE!</v>
      </c>
    </row>
    <row r="305" spans="3:10">
      <c r="C305" s="20">
        <v>291</v>
      </c>
      <c r="D305" s="42" t="e">
        <f t="shared" si="28"/>
        <v>#VALUE!</v>
      </c>
      <c r="E305" s="42" t="e">
        <f t="shared" si="24"/>
        <v>#VALUE!</v>
      </c>
      <c r="F305" s="42"/>
      <c r="G305" s="42" t="e">
        <f t="shared" si="25"/>
        <v>#VALUE!</v>
      </c>
      <c r="H305" s="42">
        <f t="shared" si="29"/>
        <v>0</v>
      </c>
      <c r="I305" s="42" t="e">
        <f t="shared" si="26"/>
        <v>#VALUE!</v>
      </c>
      <c r="J305" s="48" t="e">
        <f t="shared" si="27"/>
        <v>#VALUE!</v>
      </c>
    </row>
    <row r="306" spans="3:10">
      <c r="C306" s="20">
        <v>292</v>
      </c>
      <c r="D306" s="42" t="e">
        <f t="shared" si="28"/>
        <v>#VALUE!</v>
      </c>
      <c r="E306" s="42" t="e">
        <f t="shared" si="24"/>
        <v>#VALUE!</v>
      </c>
      <c r="F306" s="42"/>
      <c r="G306" s="42" t="e">
        <f t="shared" si="25"/>
        <v>#VALUE!</v>
      </c>
      <c r="H306" s="42">
        <f t="shared" si="29"/>
        <v>0</v>
      </c>
      <c r="I306" s="42" t="e">
        <f t="shared" si="26"/>
        <v>#VALUE!</v>
      </c>
      <c r="J306" s="48" t="e">
        <f t="shared" si="27"/>
        <v>#VALUE!</v>
      </c>
    </row>
    <row r="307" spans="3:10">
      <c r="C307" s="20">
        <v>293</v>
      </c>
      <c r="D307" s="42" t="e">
        <f t="shared" si="28"/>
        <v>#VALUE!</v>
      </c>
      <c r="E307" s="42" t="e">
        <f t="shared" si="24"/>
        <v>#VALUE!</v>
      </c>
      <c r="F307" s="42"/>
      <c r="G307" s="42" t="e">
        <f t="shared" si="25"/>
        <v>#VALUE!</v>
      </c>
      <c r="H307" s="42">
        <f t="shared" si="29"/>
        <v>0</v>
      </c>
      <c r="I307" s="42" t="e">
        <f t="shared" si="26"/>
        <v>#VALUE!</v>
      </c>
      <c r="J307" s="48" t="e">
        <f t="shared" si="27"/>
        <v>#VALUE!</v>
      </c>
    </row>
    <row r="308" spans="3:10">
      <c r="C308" s="20">
        <v>294</v>
      </c>
      <c r="D308" s="42" t="e">
        <f t="shared" si="28"/>
        <v>#VALUE!</v>
      </c>
      <c r="E308" s="42" t="e">
        <f t="shared" si="24"/>
        <v>#VALUE!</v>
      </c>
      <c r="F308" s="42"/>
      <c r="G308" s="42" t="e">
        <f t="shared" si="25"/>
        <v>#VALUE!</v>
      </c>
      <c r="H308" s="42">
        <f t="shared" si="29"/>
        <v>0</v>
      </c>
      <c r="I308" s="42" t="e">
        <f t="shared" si="26"/>
        <v>#VALUE!</v>
      </c>
      <c r="J308" s="48" t="e">
        <f t="shared" si="27"/>
        <v>#VALUE!</v>
      </c>
    </row>
    <row r="309" spans="3:10">
      <c r="C309" s="20">
        <v>295</v>
      </c>
      <c r="D309" s="42" t="e">
        <f t="shared" si="28"/>
        <v>#VALUE!</v>
      </c>
      <c r="E309" s="42" t="e">
        <f t="shared" si="24"/>
        <v>#VALUE!</v>
      </c>
      <c r="F309" s="42"/>
      <c r="G309" s="42" t="e">
        <f t="shared" si="25"/>
        <v>#VALUE!</v>
      </c>
      <c r="H309" s="42">
        <f t="shared" si="29"/>
        <v>0</v>
      </c>
      <c r="I309" s="42" t="e">
        <f t="shared" si="26"/>
        <v>#VALUE!</v>
      </c>
      <c r="J309" s="48" t="e">
        <f t="shared" si="27"/>
        <v>#VALUE!</v>
      </c>
    </row>
    <row r="310" spans="3:10">
      <c r="C310" s="20">
        <v>296</v>
      </c>
      <c r="D310" s="42" t="e">
        <f t="shared" si="28"/>
        <v>#VALUE!</v>
      </c>
      <c r="E310" s="42" t="e">
        <f t="shared" si="24"/>
        <v>#VALUE!</v>
      </c>
      <c r="F310" s="42"/>
      <c r="G310" s="42" t="e">
        <f t="shared" si="25"/>
        <v>#VALUE!</v>
      </c>
      <c r="H310" s="42">
        <f t="shared" si="29"/>
        <v>0</v>
      </c>
      <c r="I310" s="42" t="e">
        <f t="shared" si="26"/>
        <v>#VALUE!</v>
      </c>
      <c r="J310" s="48" t="e">
        <f t="shared" si="27"/>
        <v>#VALUE!</v>
      </c>
    </row>
    <row r="311" spans="3:10">
      <c r="C311" s="20">
        <v>297</v>
      </c>
      <c r="D311" s="42" t="e">
        <f t="shared" si="28"/>
        <v>#VALUE!</v>
      </c>
      <c r="E311" s="42" t="e">
        <f t="shared" si="24"/>
        <v>#VALUE!</v>
      </c>
      <c r="F311" s="42"/>
      <c r="G311" s="42" t="e">
        <f t="shared" si="25"/>
        <v>#VALUE!</v>
      </c>
      <c r="H311" s="42">
        <f t="shared" si="29"/>
        <v>0</v>
      </c>
      <c r="I311" s="42" t="e">
        <f t="shared" si="26"/>
        <v>#VALUE!</v>
      </c>
      <c r="J311" s="48" t="e">
        <f t="shared" si="27"/>
        <v>#VALUE!</v>
      </c>
    </row>
    <row r="312" spans="3:10">
      <c r="C312" s="20">
        <v>298</v>
      </c>
      <c r="D312" s="42" t="e">
        <f t="shared" si="28"/>
        <v>#VALUE!</v>
      </c>
      <c r="E312" s="42" t="e">
        <f t="shared" si="24"/>
        <v>#VALUE!</v>
      </c>
      <c r="F312" s="42"/>
      <c r="G312" s="42" t="e">
        <f t="shared" si="25"/>
        <v>#VALUE!</v>
      </c>
      <c r="H312" s="42">
        <f t="shared" si="29"/>
        <v>0</v>
      </c>
      <c r="I312" s="42" t="e">
        <f t="shared" si="26"/>
        <v>#VALUE!</v>
      </c>
      <c r="J312" s="48" t="e">
        <f t="shared" si="27"/>
        <v>#VALUE!</v>
      </c>
    </row>
    <row r="313" spans="3:10">
      <c r="C313" s="20">
        <v>299</v>
      </c>
      <c r="D313" s="42" t="e">
        <f t="shared" si="28"/>
        <v>#VALUE!</v>
      </c>
      <c r="E313" s="42" t="e">
        <f t="shared" si="24"/>
        <v>#VALUE!</v>
      </c>
      <c r="F313" s="42"/>
      <c r="G313" s="42" t="e">
        <f t="shared" si="25"/>
        <v>#VALUE!</v>
      </c>
      <c r="H313" s="42">
        <f t="shared" si="29"/>
        <v>0</v>
      </c>
      <c r="I313" s="42" t="e">
        <f t="shared" si="26"/>
        <v>#VALUE!</v>
      </c>
      <c r="J313" s="48" t="e">
        <f t="shared" si="27"/>
        <v>#VALUE!</v>
      </c>
    </row>
    <row r="314" spans="3:10">
      <c r="C314" s="20">
        <v>300</v>
      </c>
      <c r="D314" s="42" t="e">
        <f t="shared" si="28"/>
        <v>#VALUE!</v>
      </c>
      <c r="E314" s="42" t="e">
        <f t="shared" si="24"/>
        <v>#VALUE!</v>
      </c>
      <c r="F314" s="42"/>
      <c r="G314" s="42" t="e">
        <f t="shared" si="25"/>
        <v>#VALUE!</v>
      </c>
      <c r="H314" s="42">
        <f t="shared" si="29"/>
        <v>0</v>
      </c>
      <c r="I314" s="42" t="e">
        <f t="shared" si="26"/>
        <v>#VALUE!</v>
      </c>
      <c r="J314" s="48" t="e">
        <f t="shared" si="27"/>
        <v>#VALUE!</v>
      </c>
    </row>
    <row r="315" spans="3:10">
      <c r="C315" s="20">
        <v>301</v>
      </c>
      <c r="D315" s="42" t="e">
        <f t="shared" si="28"/>
        <v>#VALUE!</v>
      </c>
      <c r="E315" s="42" t="e">
        <f t="shared" si="24"/>
        <v>#VALUE!</v>
      </c>
      <c r="F315" s="42"/>
      <c r="G315" s="42" t="e">
        <f t="shared" si="25"/>
        <v>#VALUE!</v>
      </c>
      <c r="H315" s="42">
        <f t="shared" si="29"/>
        <v>0</v>
      </c>
      <c r="I315" s="42" t="e">
        <f t="shared" si="26"/>
        <v>#VALUE!</v>
      </c>
      <c r="J315" s="48" t="e">
        <f t="shared" si="27"/>
        <v>#VALUE!</v>
      </c>
    </row>
    <row r="316" spans="3:10">
      <c r="C316" s="20">
        <v>302</v>
      </c>
      <c r="D316" s="42" t="e">
        <f t="shared" si="28"/>
        <v>#VALUE!</v>
      </c>
      <c r="E316" s="42" t="e">
        <f t="shared" si="24"/>
        <v>#VALUE!</v>
      </c>
      <c r="F316" s="42"/>
      <c r="G316" s="42" t="e">
        <f t="shared" si="25"/>
        <v>#VALUE!</v>
      </c>
      <c r="H316" s="42">
        <f t="shared" si="29"/>
        <v>0</v>
      </c>
      <c r="I316" s="42" t="e">
        <f t="shared" si="26"/>
        <v>#VALUE!</v>
      </c>
      <c r="J316" s="48" t="e">
        <f t="shared" si="27"/>
        <v>#VALUE!</v>
      </c>
    </row>
    <row r="317" spans="3:10">
      <c r="C317" s="20">
        <v>303</v>
      </c>
      <c r="D317" s="42" t="e">
        <f t="shared" si="28"/>
        <v>#VALUE!</v>
      </c>
      <c r="E317" s="42" t="e">
        <f t="shared" si="24"/>
        <v>#VALUE!</v>
      </c>
      <c r="F317" s="42"/>
      <c r="G317" s="42" t="e">
        <f t="shared" si="25"/>
        <v>#VALUE!</v>
      </c>
      <c r="H317" s="42">
        <f t="shared" si="29"/>
        <v>0</v>
      </c>
      <c r="I317" s="42" t="e">
        <f t="shared" si="26"/>
        <v>#VALUE!</v>
      </c>
      <c r="J317" s="48" t="e">
        <f t="shared" si="27"/>
        <v>#VALUE!</v>
      </c>
    </row>
    <row r="318" spans="3:10">
      <c r="C318" s="20">
        <v>304</v>
      </c>
      <c r="D318" s="42" t="e">
        <f t="shared" si="28"/>
        <v>#VALUE!</v>
      </c>
      <c r="E318" s="42" t="e">
        <f t="shared" si="24"/>
        <v>#VALUE!</v>
      </c>
      <c r="F318" s="42"/>
      <c r="G318" s="42" t="e">
        <f t="shared" si="25"/>
        <v>#VALUE!</v>
      </c>
      <c r="H318" s="42">
        <f t="shared" si="29"/>
        <v>0</v>
      </c>
      <c r="I318" s="42" t="e">
        <f t="shared" si="26"/>
        <v>#VALUE!</v>
      </c>
      <c r="J318" s="48" t="e">
        <f t="shared" si="27"/>
        <v>#VALUE!</v>
      </c>
    </row>
    <row r="319" spans="3:10">
      <c r="C319" s="20">
        <v>305</v>
      </c>
      <c r="D319" s="42" t="e">
        <f t="shared" si="28"/>
        <v>#VALUE!</v>
      </c>
      <c r="E319" s="42" t="e">
        <f t="shared" si="24"/>
        <v>#VALUE!</v>
      </c>
      <c r="F319" s="42"/>
      <c r="G319" s="42" t="e">
        <f t="shared" si="25"/>
        <v>#VALUE!</v>
      </c>
      <c r="H319" s="42">
        <f t="shared" si="29"/>
        <v>0</v>
      </c>
      <c r="I319" s="42" t="e">
        <f t="shared" si="26"/>
        <v>#VALUE!</v>
      </c>
      <c r="J319" s="48" t="e">
        <f t="shared" si="27"/>
        <v>#VALUE!</v>
      </c>
    </row>
    <row r="320" spans="3:10">
      <c r="C320" s="20">
        <v>306</v>
      </c>
      <c r="D320" s="42" t="e">
        <f t="shared" si="28"/>
        <v>#VALUE!</v>
      </c>
      <c r="E320" s="42" t="e">
        <f t="shared" si="24"/>
        <v>#VALUE!</v>
      </c>
      <c r="F320" s="42"/>
      <c r="G320" s="42" t="e">
        <f t="shared" si="25"/>
        <v>#VALUE!</v>
      </c>
      <c r="H320" s="42">
        <f t="shared" si="29"/>
        <v>0</v>
      </c>
      <c r="I320" s="42" t="e">
        <f t="shared" si="26"/>
        <v>#VALUE!</v>
      </c>
      <c r="J320" s="48" t="e">
        <f t="shared" si="27"/>
        <v>#VALUE!</v>
      </c>
    </row>
    <row r="321" spans="3:10">
      <c r="C321" s="20">
        <v>307</v>
      </c>
      <c r="D321" s="42" t="e">
        <f t="shared" si="28"/>
        <v>#VALUE!</v>
      </c>
      <c r="E321" s="42" t="e">
        <f t="shared" si="24"/>
        <v>#VALUE!</v>
      </c>
      <c r="F321" s="42"/>
      <c r="G321" s="42" t="e">
        <f t="shared" si="25"/>
        <v>#VALUE!</v>
      </c>
      <c r="H321" s="42">
        <f t="shared" si="29"/>
        <v>0</v>
      </c>
      <c r="I321" s="42" t="e">
        <f t="shared" si="26"/>
        <v>#VALUE!</v>
      </c>
      <c r="J321" s="48" t="e">
        <f t="shared" si="27"/>
        <v>#VALUE!</v>
      </c>
    </row>
    <row r="322" spans="3:10">
      <c r="C322" s="20">
        <v>308</v>
      </c>
      <c r="D322" s="42" t="e">
        <f t="shared" si="28"/>
        <v>#VALUE!</v>
      </c>
      <c r="E322" s="42" t="e">
        <f t="shared" si="24"/>
        <v>#VALUE!</v>
      </c>
      <c r="F322" s="42"/>
      <c r="G322" s="42" t="e">
        <f t="shared" si="25"/>
        <v>#VALUE!</v>
      </c>
      <c r="H322" s="42">
        <f t="shared" si="29"/>
        <v>0</v>
      </c>
      <c r="I322" s="42" t="e">
        <f t="shared" si="26"/>
        <v>#VALUE!</v>
      </c>
      <c r="J322" s="48" t="e">
        <f t="shared" si="27"/>
        <v>#VALUE!</v>
      </c>
    </row>
    <row r="323" spans="3:10">
      <c r="C323" s="20">
        <v>309</v>
      </c>
      <c r="D323" s="42" t="e">
        <f t="shared" si="28"/>
        <v>#VALUE!</v>
      </c>
      <c r="E323" s="42" t="e">
        <f t="shared" si="24"/>
        <v>#VALUE!</v>
      </c>
      <c r="F323" s="42"/>
      <c r="G323" s="42" t="e">
        <f t="shared" si="25"/>
        <v>#VALUE!</v>
      </c>
      <c r="H323" s="42">
        <f t="shared" si="29"/>
        <v>0</v>
      </c>
      <c r="I323" s="42" t="e">
        <f t="shared" si="26"/>
        <v>#VALUE!</v>
      </c>
      <c r="J323" s="48" t="e">
        <f t="shared" si="27"/>
        <v>#VALUE!</v>
      </c>
    </row>
    <row r="324" spans="3:10">
      <c r="C324" s="20">
        <v>310</v>
      </c>
      <c r="D324" s="42" t="e">
        <f t="shared" si="28"/>
        <v>#VALUE!</v>
      </c>
      <c r="E324" s="42" t="e">
        <f t="shared" si="24"/>
        <v>#VALUE!</v>
      </c>
      <c r="F324" s="42"/>
      <c r="G324" s="42" t="e">
        <f t="shared" si="25"/>
        <v>#VALUE!</v>
      </c>
      <c r="H324" s="42">
        <f t="shared" si="29"/>
        <v>0</v>
      </c>
      <c r="I324" s="42" t="e">
        <f t="shared" si="26"/>
        <v>#VALUE!</v>
      </c>
      <c r="J324" s="48" t="e">
        <f t="shared" si="27"/>
        <v>#VALUE!</v>
      </c>
    </row>
    <row r="325" spans="3:10">
      <c r="C325" s="20">
        <v>311</v>
      </c>
      <c r="D325" s="42" t="e">
        <f t="shared" si="28"/>
        <v>#VALUE!</v>
      </c>
      <c r="E325" s="42" t="e">
        <f t="shared" si="24"/>
        <v>#VALUE!</v>
      </c>
      <c r="F325" s="42"/>
      <c r="G325" s="42" t="e">
        <f t="shared" si="25"/>
        <v>#VALUE!</v>
      </c>
      <c r="H325" s="42">
        <f t="shared" si="29"/>
        <v>0</v>
      </c>
      <c r="I325" s="42" t="e">
        <f t="shared" si="26"/>
        <v>#VALUE!</v>
      </c>
      <c r="J325" s="48" t="e">
        <f t="shared" si="27"/>
        <v>#VALUE!</v>
      </c>
    </row>
    <row r="326" spans="3:10">
      <c r="C326" s="20">
        <v>312</v>
      </c>
      <c r="D326" s="42" t="e">
        <f t="shared" si="28"/>
        <v>#VALUE!</v>
      </c>
      <c r="E326" s="42" t="e">
        <f t="shared" si="24"/>
        <v>#VALUE!</v>
      </c>
      <c r="F326" s="42"/>
      <c r="G326" s="42" t="e">
        <f t="shared" si="25"/>
        <v>#VALUE!</v>
      </c>
      <c r="H326" s="42">
        <f t="shared" si="29"/>
        <v>0</v>
      </c>
      <c r="I326" s="42" t="e">
        <f t="shared" si="26"/>
        <v>#VALUE!</v>
      </c>
      <c r="J326" s="48" t="e">
        <f t="shared" si="27"/>
        <v>#VALUE!</v>
      </c>
    </row>
    <row r="327" spans="3:10">
      <c r="C327" s="20">
        <v>313</v>
      </c>
      <c r="D327" s="42" t="e">
        <f t="shared" si="28"/>
        <v>#VALUE!</v>
      </c>
      <c r="E327" s="42" t="e">
        <f t="shared" si="24"/>
        <v>#VALUE!</v>
      </c>
      <c r="F327" s="42"/>
      <c r="G327" s="42" t="e">
        <f t="shared" si="25"/>
        <v>#VALUE!</v>
      </c>
      <c r="H327" s="42">
        <f t="shared" si="29"/>
        <v>0</v>
      </c>
      <c r="I327" s="42" t="e">
        <f t="shared" si="26"/>
        <v>#VALUE!</v>
      </c>
      <c r="J327" s="48" t="e">
        <f t="shared" si="27"/>
        <v>#VALUE!</v>
      </c>
    </row>
    <row r="328" spans="3:10">
      <c r="C328" s="20">
        <v>314</v>
      </c>
      <c r="D328" s="42" t="e">
        <f t="shared" si="28"/>
        <v>#VALUE!</v>
      </c>
      <c r="E328" s="42" t="e">
        <f t="shared" si="24"/>
        <v>#VALUE!</v>
      </c>
      <c r="F328" s="42"/>
      <c r="G328" s="42" t="e">
        <f t="shared" si="25"/>
        <v>#VALUE!</v>
      </c>
      <c r="H328" s="42">
        <f t="shared" si="29"/>
        <v>0</v>
      </c>
      <c r="I328" s="42" t="e">
        <f t="shared" si="26"/>
        <v>#VALUE!</v>
      </c>
      <c r="J328" s="48" t="e">
        <f t="shared" si="27"/>
        <v>#VALUE!</v>
      </c>
    </row>
    <row r="329" spans="3:10">
      <c r="C329" s="20">
        <v>315</v>
      </c>
      <c r="D329" s="42" t="e">
        <f t="shared" si="28"/>
        <v>#VALUE!</v>
      </c>
      <c r="E329" s="42" t="e">
        <f t="shared" si="24"/>
        <v>#VALUE!</v>
      </c>
      <c r="F329" s="42"/>
      <c r="G329" s="42" t="e">
        <f t="shared" si="25"/>
        <v>#VALUE!</v>
      </c>
      <c r="H329" s="42">
        <f t="shared" si="29"/>
        <v>0</v>
      </c>
      <c r="I329" s="42" t="e">
        <f t="shared" si="26"/>
        <v>#VALUE!</v>
      </c>
      <c r="J329" s="48" t="e">
        <f t="shared" si="27"/>
        <v>#VALUE!</v>
      </c>
    </row>
    <row r="330" spans="3:10">
      <c r="C330" s="20">
        <v>316</v>
      </c>
      <c r="D330" s="42" t="e">
        <f t="shared" si="28"/>
        <v>#VALUE!</v>
      </c>
      <c r="E330" s="42" t="e">
        <f t="shared" si="24"/>
        <v>#VALUE!</v>
      </c>
      <c r="F330" s="42"/>
      <c r="G330" s="42" t="e">
        <f t="shared" si="25"/>
        <v>#VALUE!</v>
      </c>
      <c r="H330" s="42">
        <f t="shared" si="29"/>
        <v>0</v>
      </c>
      <c r="I330" s="42" t="e">
        <f t="shared" si="26"/>
        <v>#VALUE!</v>
      </c>
      <c r="J330" s="48" t="e">
        <f t="shared" si="27"/>
        <v>#VALUE!</v>
      </c>
    </row>
    <row r="331" spans="3:10">
      <c r="C331" s="20">
        <v>317</v>
      </c>
      <c r="D331" s="42" t="e">
        <f t="shared" si="28"/>
        <v>#VALUE!</v>
      </c>
      <c r="E331" s="42" t="e">
        <f t="shared" si="24"/>
        <v>#VALUE!</v>
      </c>
      <c r="F331" s="42"/>
      <c r="G331" s="42" t="e">
        <f t="shared" si="25"/>
        <v>#VALUE!</v>
      </c>
      <c r="H331" s="42">
        <f t="shared" si="29"/>
        <v>0</v>
      </c>
      <c r="I331" s="42" t="e">
        <f t="shared" si="26"/>
        <v>#VALUE!</v>
      </c>
      <c r="J331" s="48" t="e">
        <f t="shared" si="27"/>
        <v>#VALUE!</v>
      </c>
    </row>
    <row r="332" spans="3:10">
      <c r="C332" s="20">
        <v>318</v>
      </c>
      <c r="D332" s="42" t="e">
        <f t="shared" si="28"/>
        <v>#VALUE!</v>
      </c>
      <c r="E332" s="42" t="e">
        <f t="shared" si="24"/>
        <v>#VALUE!</v>
      </c>
      <c r="F332" s="42"/>
      <c r="G332" s="42" t="e">
        <f t="shared" si="25"/>
        <v>#VALUE!</v>
      </c>
      <c r="H332" s="42">
        <f t="shared" si="29"/>
        <v>0</v>
      </c>
      <c r="I332" s="42" t="e">
        <f t="shared" si="26"/>
        <v>#VALUE!</v>
      </c>
      <c r="J332" s="48" t="e">
        <f t="shared" si="27"/>
        <v>#VALUE!</v>
      </c>
    </row>
    <row r="333" spans="3:10">
      <c r="C333" s="20">
        <v>319</v>
      </c>
      <c r="D333" s="42" t="e">
        <f t="shared" si="28"/>
        <v>#VALUE!</v>
      </c>
      <c r="E333" s="42" t="e">
        <f t="shared" si="24"/>
        <v>#VALUE!</v>
      </c>
      <c r="F333" s="42"/>
      <c r="G333" s="42" t="e">
        <f t="shared" si="25"/>
        <v>#VALUE!</v>
      </c>
      <c r="H333" s="42">
        <f t="shared" si="29"/>
        <v>0</v>
      </c>
      <c r="I333" s="42" t="e">
        <f t="shared" si="26"/>
        <v>#VALUE!</v>
      </c>
      <c r="J333" s="48" t="e">
        <f t="shared" si="27"/>
        <v>#VALUE!</v>
      </c>
    </row>
    <row r="334" spans="3:10">
      <c r="C334" s="20">
        <v>320</v>
      </c>
      <c r="D334" s="42" t="e">
        <f t="shared" si="28"/>
        <v>#VALUE!</v>
      </c>
      <c r="E334" s="42" t="e">
        <f t="shared" si="24"/>
        <v>#VALUE!</v>
      </c>
      <c r="F334" s="42"/>
      <c r="G334" s="42" t="e">
        <f t="shared" si="25"/>
        <v>#VALUE!</v>
      </c>
      <c r="H334" s="42">
        <f t="shared" si="29"/>
        <v>0</v>
      </c>
      <c r="I334" s="42" t="e">
        <f t="shared" si="26"/>
        <v>#VALUE!</v>
      </c>
      <c r="J334" s="48" t="e">
        <f t="shared" si="27"/>
        <v>#VALUE!</v>
      </c>
    </row>
    <row r="335" spans="3:10">
      <c r="C335" s="20">
        <v>321</v>
      </c>
      <c r="D335" s="42" t="e">
        <f t="shared" si="28"/>
        <v>#VALUE!</v>
      </c>
      <c r="E335" s="42" t="e">
        <f t="shared" ref="E335:E374" si="30">D335*($E$6/12)</f>
        <v>#VALUE!</v>
      </c>
      <c r="F335" s="42"/>
      <c r="G335" s="42" t="e">
        <f t="shared" ref="G335:G374" si="31">+I335-H335-E335</f>
        <v>#VALUE!</v>
      </c>
      <c r="H335" s="42">
        <f t="shared" si="29"/>
        <v>0</v>
      </c>
      <c r="I335" s="42" t="e">
        <f t="shared" ref="I335:I374" si="32">IF(C335&lt;=$E$7,E335,$E$9)</f>
        <v>#VALUE!</v>
      </c>
      <c r="J335" s="48" t="e">
        <f t="shared" ref="J335:J374" si="33">D335-G335-H335</f>
        <v>#VALUE!</v>
      </c>
    </row>
    <row r="336" spans="3:10">
      <c r="C336" s="20">
        <v>322</v>
      </c>
      <c r="D336" s="42" t="e">
        <f t="shared" ref="D336:D374" si="34">J335</f>
        <v>#VALUE!</v>
      </c>
      <c r="E336" s="42" t="e">
        <f t="shared" si="30"/>
        <v>#VALUE!</v>
      </c>
      <c r="F336" s="42"/>
      <c r="G336" s="42" t="e">
        <f t="shared" si="31"/>
        <v>#VALUE!</v>
      </c>
      <c r="H336" s="42">
        <f t="shared" ref="H336:H374" si="35">+H335</f>
        <v>0</v>
      </c>
      <c r="I336" s="42" t="e">
        <f t="shared" si="32"/>
        <v>#VALUE!</v>
      </c>
      <c r="J336" s="48" t="e">
        <f t="shared" si="33"/>
        <v>#VALUE!</v>
      </c>
    </row>
    <row r="337" spans="3:10">
      <c r="C337" s="20">
        <v>323</v>
      </c>
      <c r="D337" s="42" t="e">
        <f t="shared" si="34"/>
        <v>#VALUE!</v>
      </c>
      <c r="E337" s="42" t="e">
        <f t="shared" si="30"/>
        <v>#VALUE!</v>
      </c>
      <c r="F337" s="42"/>
      <c r="G337" s="42" t="e">
        <f t="shared" si="31"/>
        <v>#VALUE!</v>
      </c>
      <c r="H337" s="42">
        <f t="shared" si="35"/>
        <v>0</v>
      </c>
      <c r="I337" s="42" t="e">
        <f t="shared" si="32"/>
        <v>#VALUE!</v>
      </c>
      <c r="J337" s="48" t="e">
        <f t="shared" si="33"/>
        <v>#VALUE!</v>
      </c>
    </row>
    <row r="338" spans="3:10">
      <c r="C338" s="20">
        <v>324</v>
      </c>
      <c r="D338" s="42" t="e">
        <f t="shared" si="34"/>
        <v>#VALUE!</v>
      </c>
      <c r="E338" s="42" t="e">
        <f t="shared" si="30"/>
        <v>#VALUE!</v>
      </c>
      <c r="F338" s="42"/>
      <c r="G338" s="42" t="e">
        <f t="shared" si="31"/>
        <v>#VALUE!</v>
      </c>
      <c r="H338" s="42">
        <f t="shared" si="35"/>
        <v>0</v>
      </c>
      <c r="I338" s="42" t="e">
        <f t="shared" si="32"/>
        <v>#VALUE!</v>
      </c>
      <c r="J338" s="48" t="e">
        <f t="shared" si="33"/>
        <v>#VALUE!</v>
      </c>
    </row>
    <row r="339" spans="3:10">
      <c r="C339" s="20">
        <v>325</v>
      </c>
      <c r="D339" s="42" t="e">
        <f t="shared" si="34"/>
        <v>#VALUE!</v>
      </c>
      <c r="E339" s="42" t="e">
        <f t="shared" si="30"/>
        <v>#VALUE!</v>
      </c>
      <c r="F339" s="42"/>
      <c r="G339" s="42" t="e">
        <f t="shared" si="31"/>
        <v>#VALUE!</v>
      </c>
      <c r="H339" s="42">
        <f t="shared" si="35"/>
        <v>0</v>
      </c>
      <c r="I339" s="42" t="e">
        <f t="shared" si="32"/>
        <v>#VALUE!</v>
      </c>
      <c r="J339" s="48" t="e">
        <f t="shared" si="33"/>
        <v>#VALUE!</v>
      </c>
    </row>
    <row r="340" spans="3:10">
      <c r="C340" s="20">
        <v>326</v>
      </c>
      <c r="D340" s="42" t="e">
        <f t="shared" si="34"/>
        <v>#VALUE!</v>
      </c>
      <c r="E340" s="42" t="e">
        <f t="shared" si="30"/>
        <v>#VALUE!</v>
      </c>
      <c r="F340" s="42"/>
      <c r="G340" s="42" t="e">
        <f t="shared" si="31"/>
        <v>#VALUE!</v>
      </c>
      <c r="H340" s="42">
        <f t="shared" si="35"/>
        <v>0</v>
      </c>
      <c r="I340" s="42" t="e">
        <f t="shared" si="32"/>
        <v>#VALUE!</v>
      </c>
      <c r="J340" s="48" t="e">
        <f t="shared" si="33"/>
        <v>#VALUE!</v>
      </c>
    </row>
    <row r="341" spans="3:10">
      <c r="C341" s="20">
        <v>327</v>
      </c>
      <c r="D341" s="42" t="e">
        <f t="shared" si="34"/>
        <v>#VALUE!</v>
      </c>
      <c r="E341" s="42" t="e">
        <f t="shared" si="30"/>
        <v>#VALUE!</v>
      </c>
      <c r="F341" s="42"/>
      <c r="G341" s="42" t="e">
        <f t="shared" si="31"/>
        <v>#VALUE!</v>
      </c>
      <c r="H341" s="42">
        <f t="shared" si="35"/>
        <v>0</v>
      </c>
      <c r="I341" s="42" t="e">
        <f t="shared" si="32"/>
        <v>#VALUE!</v>
      </c>
      <c r="J341" s="48" t="e">
        <f t="shared" si="33"/>
        <v>#VALUE!</v>
      </c>
    </row>
    <row r="342" spans="3:10">
      <c r="C342" s="20">
        <v>328</v>
      </c>
      <c r="D342" s="42" t="e">
        <f t="shared" si="34"/>
        <v>#VALUE!</v>
      </c>
      <c r="E342" s="42" t="e">
        <f t="shared" si="30"/>
        <v>#VALUE!</v>
      </c>
      <c r="F342" s="42"/>
      <c r="G342" s="42" t="e">
        <f t="shared" si="31"/>
        <v>#VALUE!</v>
      </c>
      <c r="H342" s="42">
        <f t="shared" si="35"/>
        <v>0</v>
      </c>
      <c r="I342" s="42" t="e">
        <f t="shared" si="32"/>
        <v>#VALUE!</v>
      </c>
      <c r="J342" s="48" t="e">
        <f t="shared" si="33"/>
        <v>#VALUE!</v>
      </c>
    </row>
    <row r="343" spans="3:10">
      <c r="C343" s="20">
        <v>329</v>
      </c>
      <c r="D343" s="42" t="e">
        <f t="shared" si="34"/>
        <v>#VALUE!</v>
      </c>
      <c r="E343" s="42" t="e">
        <f t="shared" si="30"/>
        <v>#VALUE!</v>
      </c>
      <c r="F343" s="42"/>
      <c r="G343" s="42" t="e">
        <f t="shared" si="31"/>
        <v>#VALUE!</v>
      </c>
      <c r="H343" s="42">
        <f t="shared" si="35"/>
        <v>0</v>
      </c>
      <c r="I343" s="42" t="e">
        <f t="shared" si="32"/>
        <v>#VALUE!</v>
      </c>
      <c r="J343" s="48" t="e">
        <f t="shared" si="33"/>
        <v>#VALUE!</v>
      </c>
    </row>
    <row r="344" spans="3:10">
      <c r="C344" s="20">
        <v>330</v>
      </c>
      <c r="D344" s="42" t="e">
        <f t="shared" si="34"/>
        <v>#VALUE!</v>
      </c>
      <c r="E344" s="42" t="e">
        <f t="shared" si="30"/>
        <v>#VALUE!</v>
      </c>
      <c r="F344" s="42"/>
      <c r="G344" s="42" t="e">
        <f t="shared" si="31"/>
        <v>#VALUE!</v>
      </c>
      <c r="H344" s="42">
        <f t="shared" si="35"/>
        <v>0</v>
      </c>
      <c r="I344" s="42" t="e">
        <f t="shared" si="32"/>
        <v>#VALUE!</v>
      </c>
      <c r="J344" s="48" t="e">
        <f t="shared" si="33"/>
        <v>#VALUE!</v>
      </c>
    </row>
    <row r="345" spans="3:10">
      <c r="C345" s="20">
        <v>331</v>
      </c>
      <c r="D345" s="42" t="e">
        <f t="shared" si="34"/>
        <v>#VALUE!</v>
      </c>
      <c r="E345" s="42" t="e">
        <f t="shared" si="30"/>
        <v>#VALUE!</v>
      </c>
      <c r="F345" s="42"/>
      <c r="G345" s="42" t="e">
        <f t="shared" si="31"/>
        <v>#VALUE!</v>
      </c>
      <c r="H345" s="42">
        <f t="shared" si="35"/>
        <v>0</v>
      </c>
      <c r="I345" s="42" t="e">
        <f t="shared" si="32"/>
        <v>#VALUE!</v>
      </c>
      <c r="J345" s="48" t="e">
        <f t="shared" si="33"/>
        <v>#VALUE!</v>
      </c>
    </row>
    <row r="346" spans="3:10">
      <c r="C346" s="20">
        <v>332</v>
      </c>
      <c r="D346" s="42" t="e">
        <f t="shared" si="34"/>
        <v>#VALUE!</v>
      </c>
      <c r="E346" s="42" t="e">
        <f t="shared" si="30"/>
        <v>#VALUE!</v>
      </c>
      <c r="F346" s="42"/>
      <c r="G346" s="42" t="e">
        <f t="shared" si="31"/>
        <v>#VALUE!</v>
      </c>
      <c r="H346" s="42">
        <f t="shared" si="35"/>
        <v>0</v>
      </c>
      <c r="I346" s="42" t="e">
        <f t="shared" si="32"/>
        <v>#VALUE!</v>
      </c>
      <c r="J346" s="48" t="e">
        <f t="shared" si="33"/>
        <v>#VALUE!</v>
      </c>
    </row>
    <row r="347" spans="3:10">
      <c r="C347" s="20">
        <v>333</v>
      </c>
      <c r="D347" s="42" t="e">
        <f t="shared" si="34"/>
        <v>#VALUE!</v>
      </c>
      <c r="E347" s="42" t="e">
        <f t="shared" si="30"/>
        <v>#VALUE!</v>
      </c>
      <c r="F347" s="42"/>
      <c r="G347" s="42" t="e">
        <f t="shared" si="31"/>
        <v>#VALUE!</v>
      </c>
      <c r="H347" s="42">
        <f t="shared" si="35"/>
        <v>0</v>
      </c>
      <c r="I347" s="42" t="e">
        <f t="shared" si="32"/>
        <v>#VALUE!</v>
      </c>
      <c r="J347" s="48" t="e">
        <f t="shared" si="33"/>
        <v>#VALUE!</v>
      </c>
    </row>
    <row r="348" spans="3:10">
      <c r="C348" s="20">
        <v>334</v>
      </c>
      <c r="D348" s="42" t="e">
        <f t="shared" si="34"/>
        <v>#VALUE!</v>
      </c>
      <c r="E348" s="42" t="e">
        <f t="shared" si="30"/>
        <v>#VALUE!</v>
      </c>
      <c r="F348" s="42"/>
      <c r="G348" s="42" t="e">
        <f t="shared" si="31"/>
        <v>#VALUE!</v>
      </c>
      <c r="H348" s="42">
        <f t="shared" si="35"/>
        <v>0</v>
      </c>
      <c r="I348" s="42" t="e">
        <f t="shared" si="32"/>
        <v>#VALUE!</v>
      </c>
      <c r="J348" s="48" t="e">
        <f t="shared" si="33"/>
        <v>#VALUE!</v>
      </c>
    </row>
    <row r="349" spans="3:10">
      <c r="C349" s="20">
        <v>335</v>
      </c>
      <c r="D349" s="42" t="e">
        <f t="shared" si="34"/>
        <v>#VALUE!</v>
      </c>
      <c r="E349" s="42" t="e">
        <f t="shared" si="30"/>
        <v>#VALUE!</v>
      </c>
      <c r="F349" s="42"/>
      <c r="G349" s="42" t="e">
        <f t="shared" si="31"/>
        <v>#VALUE!</v>
      </c>
      <c r="H349" s="42">
        <f t="shared" si="35"/>
        <v>0</v>
      </c>
      <c r="I349" s="42" t="e">
        <f t="shared" si="32"/>
        <v>#VALUE!</v>
      </c>
      <c r="J349" s="48" t="e">
        <f t="shared" si="33"/>
        <v>#VALUE!</v>
      </c>
    </row>
    <row r="350" spans="3:10">
      <c r="C350" s="20">
        <v>336</v>
      </c>
      <c r="D350" s="42" t="e">
        <f t="shared" si="34"/>
        <v>#VALUE!</v>
      </c>
      <c r="E350" s="42" t="e">
        <f t="shared" si="30"/>
        <v>#VALUE!</v>
      </c>
      <c r="F350" s="42"/>
      <c r="G350" s="42" t="e">
        <f t="shared" si="31"/>
        <v>#VALUE!</v>
      </c>
      <c r="H350" s="42">
        <f t="shared" si="35"/>
        <v>0</v>
      </c>
      <c r="I350" s="42" t="e">
        <f t="shared" si="32"/>
        <v>#VALUE!</v>
      </c>
      <c r="J350" s="48" t="e">
        <f t="shared" si="33"/>
        <v>#VALUE!</v>
      </c>
    </row>
    <row r="351" spans="3:10">
      <c r="C351" s="20">
        <v>337</v>
      </c>
      <c r="D351" s="42" t="e">
        <f t="shared" si="34"/>
        <v>#VALUE!</v>
      </c>
      <c r="E351" s="42" t="e">
        <f t="shared" si="30"/>
        <v>#VALUE!</v>
      </c>
      <c r="F351" s="42"/>
      <c r="G351" s="42" t="e">
        <f t="shared" si="31"/>
        <v>#VALUE!</v>
      </c>
      <c r="H351" s="42">
        <f t="shared" si="35"/>
        <v>0</v>
      </c>
      <c r="I351" s="42" t="e">
        <f t="shared" si="32"/>
        <v>#VALUE!</v>
      </c>
      <c r="J351" s="48" t="e">
        <f t="shared" si="33"/>
        <v>#VALUE!</v>
      </c>
    </row>
    <row r="352" spans="3:10">
      <c r="C352" s="20">
        <v>338</v>
      </c>
      <c r="D352" s="42" t="e">
        <f t="shared" si="34"/>
        <v>#VALUE!</v>
      </c>
      <c r="E352" s="42" t="e">
        <f t="shared" si="30"/>
        <v>#VALUE!</v>
      </c>
      <c r="F352" s="42"/>
      <c r="G352" s="42" t="e">
        <f t="shared" si="31"/>
        <v>#VALUE!</v>
      </c>
      <c r="H352" s="42">
        <f t="shared" si="35"/>
        <v>0</v>
      </c>
      <c r="I352" s="42" t="e">
        <f t="shared" si="32"/>
        <v>#VALUE!</v>
      </c>
      <c r="J352" s="48" t="e">
        <f t="shared" si="33"/>
        <v>#VALUE!</v>
      </c>
    </row>
    <row r="353" spans="3:10">
      <c r="C353" s="20">
        <v>339</v>
      </c>
      <c r="D353" s="42" t="e">
        <f t="shared" si="34"/>
        <v>#VALUE!</v>
      </c>
      <c r="E353" s="42" t="e">
        <f t="shared" si="30"/>
        <v>#VALUE!</v>
      </c>
      <c r="F353" s="42"/>
      <c r="G353" s="42" t="e">
        <f t="shared" si="31"/>
        <v>#VALUE!</v>
      </c>
      <c r="H353" s="42">
        <f t="shared" si="35"/>
        <v>0</v>
      </c>
      <c r="I353" s="42" t="e">
        <f t="shared" si="32"/>
        <v>#VALUE!</v>
      </c>
      <c r="J353" s="48" t="e">
        <f t="shared" si="33"/>
        <v>#VALUE!</v>
      </c>
    </row>
    <row r="354" spans="3:10">
      <c r="C354" s="20">
        <v>340</v>
      </c>
      <c r="D354" s="42" t="e">
        <f t="shared" si="34"/>
        <v>#VALUE!</v>
      </c>
      <c r="E354" s="42" t="e">
        <f t="shared" si="30"/>
        <v>#VALUE!</v>
      </c>
      <c r="F354" s="42"/>
      <c r="G354" s="42" t="e">
        <f t="shared" si="31"/>
        <v>#VALUE!</v>
      </c>
      <c r="H354" s="42">
        <f t="shared" si="35"/>
        <v>0</v>
      </c>
      <c r="I354" s="42" t="e">
        <f t="shared" si="32"/>
        <v>#VALUE!</v>
      </c>
      <c r="J354" s="48" t="e">
        <f t="shared" si="33"/>
        <v>#VALUE!</v>
      </c>
    </row>
    <row r="355" spans="3:10">
      <c r="C355" s="20">
        <v>341</v>
      </c>
      <c r="D355" s="42" t="e">
        <f t="shared" si="34"/>
        <v>#VALUE!</v>
      </c>
      <c r="E355" s="42" t="e">
        <f t="shared" si="30"/>
        <v>#VALUE!</v>
      </c>
      <c r="F355" s="42"/>
      <c r="G355" s="42" t="e">
        <f t="shared" si="31"/>
        <v>#VALUE!</v>
      </c>
      <c r="H355" s="42">
        <f t="shared" si="35"/>
        <v>0</v>
      </c>
      <c r="I355" s="42" t="e">
        <f t="shared" si="32"/>
        <v>#VALUE!</v>
      </c>
      <c r="J355" s="48" t="e">
        <f t="shared" si="33"/>
        <v>#VALUE!</v>
      </c>
    </row>
    <row r="356" spans="3:10">
      <c r="C356" s="20">
        <v>342</v>
      </c>
      <c r="D356" s="42" t="e">
        <f t="shared" si="34"/>
        <v>#VALUE!</v>
      </c>
      <c r="E356" s="42" t="e">
        <f t="shared" si="30"/>
        <v>#VALUE!</v>
      </c>
      <c r="F356" s="42"/>
      <c r="G356" s="42" t="e">
        <f t="shared" si="31"/>
        <v>#VALUE!</v>
      </c>
      <c r="H356" s="42">
        <f t="shared" si="35"/>
        <v>0</v>
      </c>
      <c r="I356" s="42" t="e">
        <f t="shared" si="32"/>
        <v>#VALUE!</v>
      </c>
      <c r="J356" s="48" t="e">
        <f t="shared" si="33"/>
        <v>#VALUE!</v>
      </c>
    </row>
    <row r="357" spans="3:10">
      <c r="C357" s="20">
        <v>343</v>
      </c>
      <c r="D357" s="42" t="e">
        <f t="shared" si="34"/>
        <v>#VALUE!</v>
      </c>
      <c r="E357" s="42" t="e">
        <f t="shared" si="30"/>
        <v>#VALUE!</v>
      </c>
      <c r="F357" s="42"/>
      <c r="G357" s="42" t="e">
        <f t="shared" si="31"/>
        <v>#VALUE!</v>
      </c>
      <c r="H357" s="42">
        <f t="shared" si="35"/>
        <v>0</v>
      </c>
      <c r="I357" s="42" t="e">
        <f t="shared" si="32"/>
        <v>#VALUE!</v>
      </c>
      <c r="J357" s="48" t="e">
        <f t="shared" si="33"/>
        <v>#VALUE!</v>
      </c>
    </row>
    <row r="358" spans="3:10">
      <c r="C358" s="20">
        <v>344</v>
      </c>
      <c r="D358" s="42" t="e">
        <f t="shared" si="34"/>
        <v>#VALUE!</v>
      </c>
      <c r="E358" s="42" t="e">
        <f t="shared" si="30"/>
        <v>#VALUE!</v>
      </c>
      <c r="F358" s="42"/>
      <c r="G358" s="42" t="e">
        <f t="shared" si="31"/>
        <v>#VALUE!</v>
      </c>
      <c r="H358" s="42">
        <f t="shared" si="35"/>
        <v>0</v>
      </c>
      <c r="I358" s="42" t="e">
        <f t="shared" si="32"/>
        <v>#VALUE!</v>
      </c>
      <c r="J358" s="48" t="e">
        <f t="shared" si="33"/>
        <v>#VALUE!</v>
      </c>
    </row>
    <row r="359" spans="3:10">
      <c r="C359" s="20">
        <v>345</v>
      </c>
      <c r="D359" s="42" t="e">
        <f t="shared" si="34"/>
        <v>#VALUE!</v>
      </c>
      <c r="E359" s="42" t="e">
        <f t="shared" si="30"/>
        <v>#VALUE!</v>
      </c>
      <c r="F359" s="42"/>
      <c r="G359" s="42" t="e">
        <f t="shared" si="31"/>
        <v>#VALUE!</v>
      </c>
      <c r="H359" s="42">
        <f t="shared" si="35"/>
        <v>0</v>
      </c>
      <c r="I359" s="42" t="e">
        <f t="shared" si="32"/>
        <v>#VALUE!</v>
      </c>
      <c r="J359" s="48" t="e">
        <f t="shared" si="33"/>
        <v>#VALUE!</v>
      </c>
    </row>
    <row r="360" spans="3:10">
      <c r="C360" s="20">
        <v>346</v>
      </c>
      <c r="D360" s="42" t="e">
        <f t="shared" si="34"/>
        <v>#VALUE!</v>
      </c>
      <c r="E360" s="42" t="e">
        <f t="shared" si="30"/>
        <v>#VALUE!</v>
      </c>
      <c r="F360" s="42"/>
      <c r="G360" s="42" t="e">
        <f t="shared" si="31"/>
        <v>#VALUE!</v>
      </c>
      <c r="H360" s="42">
        <f t="shared" si="35"/>
        <v>0</v>
      </c>
      <c r="I360" s="42" t="e">
        <f t="shared" si="32"/>
        <v>#VALUE!</v>
      </c>
      <c r="J360" s="48" t="e">
        <f t="shared" si="33"/>
        <v>#VALUE!</v>
      </c>
    </row>
    <row r="361" spans="3:10">
      <c r="C361" s="20">
        <v>347</v>
      </c>
      <c r="D361" s="42" t="e">
        <f t="shared" si="34"/>
        <v>#VALUE!</v>
      </c>
      <c r="E361" s="42" t="e">
        <f t="shared" si="30"/>
        <v>#VALUE!</v>
      </c>
      <c r="F361" s="42"/>
      <c r="G361" s="42" t="e">
        <f t="shared" si="31"/>
        <v>#VALUE!</v>
      </c>
      <c r="H361" s="42">
        <f t="shared" si="35"/>
        <v>0</v>
      </c>
      <c r="I361" s="42" t="e">
        <f t="shared" si="32"/>
        <v>#VALUE!</v>
      </c>
      <c r="J361" s="48" t="e">
        <f t="shared" si="33"/>
        <v>#VALUE!</v>
      </c>
    </row>
    <row r="362" spans="3:10">
      <c r="C362" s="20">
        <v>348</v>
      </c>
      <c r="D362" s="42" t="e">
        <f t="shared" si="34"/>
        <v>#VALUE!</v>
      </c>
      <c r="E362" s="42" t="e">
        <f t="shared" si="30"/>
        <v>#VALUE!</v>
      </c>
      <c r="F362" s="42"/>
      <c r="G362" s="42" t="e">
        <f t="shared" si="31"/>
        <v>#VALUE!</v>
      </c>
      <c r="H362" s="42">
        <f t="shared" si="35"/>
        <v>0</v>
      </c>
      <c r="I362" s="42" t="e">
        <f t="shared" si="32"/>
        <v>#VALUE!</v>
      </c>
      <c r="J362" s="48" t="e">
        <f t="shared" si="33"/>
        <v>#VALUE!</v>
      </c>
    </row>
    <row r="363" spans="3:10">
      <c r="C363" s="20">
        <v>349</v>
      </c>
      <c r="D363" s="42" t="e">
        <f t="shared" si="34"/>
        <v>#VALUE!</v>
      </c>
      <c r="E363" s="42" t="e">
        <f t="shared" si="30"/>
        <v>#VALUE!</v>
      </c>
      <c r="F363" s="42"/>
      <c r="G363" s="42" t="e">
        <f t="shared" si="31"/>
        <v>#VALUE!</v>
      </c>
      <c r="H363" s="42">
        <f t="shared" si="35"/>
        <v>0</v>
      </c>
      <c r="I363" s="42" t="e">
        <f t="shared" si="32"/>
        <v>#VALUE!</v>
      </c>
      <c r="J363" s="48" t="e">
        <f t="shared" si="33"/>
        <v>#VALUE!</v>
      </c>
    </row>
    <row r="364" spans="3:10">
      <c r="C364" s="20">
        <v>350</v>
      </c>
      <c r="D364" s="42" t="e">
        <f t="shared" si="34"/>
        <v>#VALUE!</v>
      </c>
      <c r="E364" s="42" t="e">
        <f t="shared" si="30"/>
        <v>#VALUE!</v>
      </c>
      <c r="F364" s="42"/>
      <c r="G364" s="42" t="e">
        <f t="shared" si="31"/>
        <v>#VALUE!</v>
      </c>
      <c r="H364" s="42">
        <f t="shared" si="35"/>
        <v>0</v>
      </c>
      <c r="I364" s="42" t="e">
        <f t="shared" si="32"/>
        <v>#VALUE!</v>
      </c>
      <c r="J364" s="48" t="e">
        <f t="shared" si="33"/>
        <v>#VALUE!</v>
      </c>
    </row>
    <row r="365" spans="3:10">
      <c r="C365" s="20">
        <v>351</v>
      </c>
      <c r="D365" s="42" t="e">
        <f t="shared" si="34"/>
        <v>#VALUE!</v>
      </c>
      <c r="E365" s="42" t="e">
        <f t="shared" si="30"/>
        <v>#VALUE!</v>
      </c>
      <c r="F365" s="42"/>
      <c r="G365" s="42" t="e">
        <f t="shared" si="31"/>
        <v>#VALUE!</v>
      </c>
      <c r="H365" s="42">
        <f t="shared" si="35"/>
        <v>0</v>
      </c>
      <c r="I365" s="42" t="e">
        <f t="shared" si="32"/>
        <v>#VALUE!</v>
      </c>
      <c r="J365" s="48" t="e">
        <f t="shared" si="33"/>
        <v>#VALUE!</v>
      </c>
    </row>
    <row r="366" spans="3:10">
      <c r="C366" s="20">
        <v>352</v>
      </c>
      <c r="D366" s="42" t="e">
        <f t="shared" si="34"/>
        <v>#VALUE!</v>
      </c>
      <c r="E366" s="42" t="e">
        <f t="shared" si="30"/>
        <v>#VALUE!</v>
      </c>
      <c r="F366" s="42"/>
      <c r="G366" s="42" t="e">
        <f t="shared" si="31"/>
        <v>#VALUE!</v>
      </c>
      <c r="H366" s="42">
        <f t="shared" si="35"/>
        <v>0</v>
      </c>
      <c r="I366" s="42" t="e">
        <f t="shared" si="32"/>
        <v>#VALUE!</v>
      </c>
      <c r="J366" s="48" t="e">
        <f t="shared" si="33"/>
        <v>#VALUE!</v>
      </c>
    </row>
    <row r="367" spans="3:10">
      <c r="C367" s="20">
        <v>353</v>
      </c>
      <c r="D367" s="42" t="e">
        <f t="shared" si="34"/>
        <v>#VALUE!</v>
      </c>
      <c r="E367" s="42" t="e">
        <f t="shared" si="30"/>
        <v>#VALUE!</v>
      </c>
      <c r="F367" s="42"/>
      <c r="G367" s="42" t="e">
        <f t="shared" si="31"/>
        <v>#VALUE!</v>
      </c>
      <c r="H367" s="42">
        <f t="shared" si="35"/>
        <v>0</v>
      </c>
      <c r="I367" s="42" t="e">
        <f t="shared" si="32"/>
        <v>#VALUE!</v>
      </c>
      <c r="J367" s="48" t="e">
        <f t="shared" si="33"/>
        <v>#VALUE!</v>
      </c>
    </row>
    <row r="368" spans="3:10">
      <c r="C368" s="20">
        <v>354</v>
      </c>
      <c r="D368" s="42" t="e">
        <f t="shared" si="34"/>
        <v>#VALUE!</v>
      </c>
      <c r="E368" s="42" t="e">
        <f t="shared" si="30"/>
        <v>#VALUE!</v>
      </c>
      <c r="F368" s="42"/>
      <c r="G368" s="42" t="e">
        <f t="shared" si="31"/>
        <v>#VALUE!</v>
      </c>
      <c r="H368" s="42">
        <f t="shared" si="35"/>
        <v>0</v>
      </c>
      <c r="I368" s="42" t="e">
        <f t="shared" si="32"/>
        <v>#VALUE!</v>
      </c>
      <c r="J368" s="48" t="e">
        <f t="shared" si="33"/>
        <v>#VALUE!</v>
      </c>
    </row>
    <row r="369" spans="3:10">
      <c r="C369" s="20">
        <v>355</v>
      </c>
      <c r="D369" s="42" t="e">
        <f t="shared" si="34"/>
        <v>#VALUE!</v>
      </c>
      <c r="E369" s="42" t="e">
        <f t="shared" si="30"/>
        <v>#VALUE!</v>
      </c>
      <c r="F369" s="42"/>
      <c r="G369" s="42" t="e">
        <f t="shared" si="31"/>
        <v>#VALUE!</v>
      </c>
      <c r="H369" s="42">
        <f t="shared" si="35"/>
        <v>0</v>
      </c>
      <c r="I369" s="42" t="e">
        <f t="shared" si="32"/>
        <v>#VALUE!</v>
      </c>
      <c r="J369" s="48" t="e">
        <f t="shared" si="33"/>
        <v>#VALUE!</v>
      </c>
    </row>
    <row r="370" spans="3:10">
      <c r="C370" s="20">
        <v>356</v>
      </c>
      <c r="D370" s="42" t="e">
        <f t="shared" si="34"/>
        <v>#VALUE!</v>
      </c>
      <c r="E370" s="42" t="e">
        <f t="shared" si="30"/>
        <v>#VALUE!</v>
      </c>
      <c r="F370" s="42"/>
      <c r="G370" s="42" t="e">
        <f t="shared" si="31"/>
        <v>#VALUE!</v>
      </c>
      <c r="H370" s="42">
        <f t="shared" si="35"/>
        <v>0</v>
      </c>
      <c r="I370" s="42" t="e">
        <f t="shared" si="32"/>
        <v>#VALUE!</v>
      </c>
      <c r="J370" s="48" t="e">
        <f t="shared" si="33"/>
        <v>#VALUE!</v>
      </c>
    </row>
    <row r="371" spans="3:10">
      <c r="C371" s="20">
        <v>357</v>
      </c>
      <c r="D371" s="42" t="e">
        <f t="shared" si="34"/>
        <v>#VALUE!</v>
      </c>
      <c r="E371" s="42" t="e">
        <f t="shared" si="30"/>
        <v>#VALUE!</v>
      </c>
      <c r="F371" s="42"/>
      <c r="G371" s="42" t="e">
        <f t="shared" si="31"/>
        <v>#VALUE!</v>
      </c>
      <c r="H371" s="42">
        <f t="shared" si="35"/>
        <v>0</v>
      </c>
      <c r="I371" s="42" t="e">
        <f t="shared" si="32"/>
        <v>#VALUE!</v>
      </c>
      <c r="J371" s="48" t="e">
        <f t="shared" si="33"/>
        <v>#VALUE!</v>
      </c>
    </row>
    <row r="372" spans="3:10">
      <c r="C372" s="20">
        <v>358</v>
      </c>
      <c r="D372" s="42" t="e">
        <f t="shared" si="34"/>
        <v>#VALUE!</v>
      </c>
      <c r="E372" s="42" t="e">
        <f t="shared" si="30"/>
        <v>#VALUE!</v>
      </c>
      <c r="F372" s="42"/>
      <c r="G372" s="42" t="e">
        <f t="shared" si="31"/>
        <v>#VALUE!</v>
      </c>
      <c r="H372" s="42">
        <f t="shared" si="35"/>
        <v>0</v>
      </c>
      <c r="I372" s="42" t="e">
        <f t="shared" si="32"/>
        <v>#VALUE!</v>
      </c>
      <c r="J372" s="48" t="e">
        <f t="shared" si="33"/>
        <v>#VALUE!</v>
      </c>
    </row>
    <row r="373" spans="3:10">
      <c r="C373" s="20">
        <v>359</v>
      </c>
      <c r="D373" s="42" t="e">
        <f t="shared" si="34"/>
        <v>#VALUE!</v>
      </c>
      <c r="E373" s="42" t="e">
        <f t="shared" si="30"/>
        <v>#VALUE!</v>
      </c>
      <c r="F373" s="42"/>
      <c r="G373" s="42" t="e">
        <f t="shared" si="31"/>
        <v>#VALUE!</v>
      </c>
      <c r="H373" s="42">
        <f t="shared" si="35"/>
        <v>0</v>
      </c>
      <c r="I373" s="42" t="e">
        <f t="shared" si="32"/>
        <v>#VALUE!</v>
      </c>
      <c r="J373" s="48" t="e">
        <f t="shared" si="33"/>
        <v>#VALUE!</v>
      </c>
    </row>
    <row r="374" spans="3:10">
      <c r="C374" s="20">
        <v>360</v>
      </c>
      <c r="D374" s="42" t="e">
        <f t="shared" si="34"/>
        <v>#VALUE!</v>
      </c>
      <c r="E374" s="42" t="e">
        <f t="shared" si="30"/>
        <v>#VALUE!</v>
      </c>
      <c r="F374" s="42"/>
      <c r="G374" s="42" t="e">
        <f t="shared" si="31"/>
        <v>#VALUE!</v>
      </c>
      <c r="H374" s="42">
        <f t="shared" si="35"/>
        <v>0</v>
      </c>
      <c r="I374" s="42" t="e">
        <f t="shared" si="32"/>
        <v>#VALUE!</v>
      </c>
      <c r="J374" s="48" t="e">
        <f t="shared" si="33"/>
        <v>#VALUE!</v>
      </c>
    </row>
    <row r="375" spans="3:10">
      <c r="D375" s="42"/>
      <c r="E375" s="42"/>
      <c r="F375" s="42"/>
      <c r="G375" s="42"/>
      <c r="H375" s="42"/>
      <c r="I375" s="42"/>
      <c r="J375" s="42"/>
    </row>
    <row r="376" spans="3:10">
      <c r="E376" s="67"/>
      <c r="G376" s="67"/>
    </row>
    <row r="378" spans="3:10">
      <c r="I378" s="68"/>
    </row>
    <row r="379" spans="3:10">
      <c r="I379" s="69"/>
    </row>
    <row r="380" spans="3:10">
      <c r="I380" s="68"/>
    </row>
  </sheetData>
  <printOptions horizontalCentered="1"/>
  <pageMargins left="0.5" right="0.5" top="0.75" bottom="1" header="0.5" footer="0.5"/>
  <pageSetup scale="87"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theme="9" tint="-0.249977111117893"/>
  </sheetPr>
  <dimension ref="A1:J379"/>
  <sheetViews>
    <sheetView workbookViewId="0">
      <selection activeCell="H70" sqref="H70"/>
    </sheetView>
  </sheetViews>
  <sheetFormatPr defaultColWidth="8.81640625" defaultRowHeight="13" outlineLevelRow="1"/>
  <cols>
    <col min="1" max="1" width="8.81640625" style="20"/>
    <col min="2" max="2" width="2" style="20" customWidth="1"/>
    <col min="3" max="3" width="9" style="20" customWidth="1"/>
    <col min="4" max="4" width="15.1796875" style="20" customWidth="1"/>
    <col min="5" max="5" width="14.7265625" style="20" customWidth="1"/>
    <col min="6" max="6" width="2.26953125" style="20" customWidth="1"/>
    <col min="7" max="7" width="22.26953125" style="20" customWidth="1"/>
    <col min="8" max="9" width="14.7265625" style="20" customWidth="1"/>
    <col min="10" max="10" width="18.1796875" style="20" customWidth="1"/>
    <col min="11" max="16384" width="8.81640625" style="20"/>
  </cols>
  <sheetData>
    <row r="1" spans="1:10" s="19" customFormat="1" ht="18.5">
      <c r="B1" s="19" t="s">
        <v>195</v>
      </c>
    </row>
    <row r="3" spans="1:10">
      <c r="B3" s="21"/>
      <c r="C3" s="21"/>
      <c r="D3" s="22"/>
      <c r="E3" s="22"/>
      <c r="F3" s="22"/>
    </row>
    <row r="4" spans="1:10">
      <c r="B4" s="21"/>
      <c r="C4" s="23" t="s">
        <v>212</v>
      </c>
      <c r="D4" s="24"/>
      <c r="E4" s="71">
        <f>'Inputs and Assumptions'!H39</f>
        <v>0</v>
      </c>
      <c r="F4" s="27"/>
      <c r="G4" s="28"/>
      <c r="H4" s="29"/>
      <c r="I4" s="30"/>
      <c r="J4" s="26"/>
    </row>
    <row r="5" spans="1:10" ht="13.5" customHeight="1">
      <c r="B5" s="21"/>
      <c r="C5" s="23" t="s">
        <v>131</v>
      </c>
      <c r="D5" s="24"/>
      <c r="E5" s="89">
        <f>'Inputs and Assumptions'!H40</f>
        <v>0</v>
      </c>
      <c r="F5" s="31"/>
      <c r="G5" s="32"/>
      <c r="H5" s="33"/>
      <c r="I5" s="30"/>
      <c r="J5" s="34"/>
    </row>
    <row r="6" spans="1:10">
      <c r="B6" s="21"/>
      <c r="C6" s="23" t="s">
        <v>50</v>
      </c>
      <c r="D6" s="24"/>
      <c r="E6" s="90">
        <f>'Inputs and Assumptions'!H41</f>
        <v>0</v>
      </c>
      <c r="F6" s="31"/>
      <c r="G6" s="32"/>
      <c r="H6" s="33"/>
      <c r="I6" s="30"/>
      <c r="J6" s="34"/>
    </row>
    <row r="7" spans="1:10">
      <c r="B7" s="21"/>
      <c r="C7" s="23" t="s">
        <v>51</v>
      </c>
      <c r="D7" s="24"/>
      <c r="E7" s="90">
        <f>'Inputs and Assumptions'!H42</f>
        <v>0</v>
      </c>
      <c r="F7" s="27"/>
      <c r="G7" s="36"/>
      <c r="H7" s="26"/>
      <c r="I7" s="30"/>
      <c r="J7" s="37"/>
    </row>
    <row r="8" spans="1:10">
      <c r="B8" s="21"/>
      <c r="C8" s="23" t="s">
        <v>200</v>
      </c>
      <c r="D8" s="24"/>
      <c r="E8" s="38" t="e">
        <f>-PMT(E5/12,E7,E4)</f>
        <v>#NUM!</v>
      </c>
      <c r="F8" s="22"/>
      <c r="G8" s="39"/>
      <c r="H8" s="40"/>
      <c r="I8" s="41"/>
      <c r="J8" s="26"/>
    </row>
    <row r="9" spans="1:10">
      <c r="B9" s="21"/>
      <c r="C9" s="23" t="s">
        <v>201</v>
      </c>
      <c r="D9" s="24"/>
      <c r="E9" s="38">
        <f>E4*(E5/12)</f>
        <v>0</v>
      </c>
      <c r="F9" s="22"/>
      <c r="G9" s="39"/>
      <c r="H9" s="40"/>
      <c r="I9" s="41"/>
      <c r="J9" s="26"/>
    </row>
    <row r="10" spans="1:10">
      <c r="B10" s="21"/>
      <c r="C10" s="23"/>
      <c r="D10" s="24"/>
      <c r="E10" s="38"/>
      <c r="F10" s="22"/>
      <c r="G10" s="39"/>
      <c r="H10" s="40"/>
      <c r="I10" s="41"/>
      <c r="J10" s="26"/>
    </row>
    <row r="11" spans="1:10">
      <c r="B11" s="21"/>
      <c r="C11" s="21"/>
      <c r="D11" s="22"/>
      <c r="E11" s="22"/>
      <c r="F11" s="22"/>
      <c r="G11" s="42"/>
      <c r="H11" s="42"/>
      <c r="I11" s="43"/>
      <c r="J11" s="43"/>
    </row>
    <row r="12" spans="1:10">
      <c r="D12" s="42"/>
      <c r="E12" s="42"/>
      <c r="F12" s="42"/>
      <c r="G12" s="42"/>
      <c r="H12" s="42"/>
      <c r="I12" s="43"/>
      <c r="J12" s="43"/>
    </row>
    <row r="13" spans="1:10" s="47" customFormat="1">
      <c r="A13" s="44" t="s">
        <v>202</v>
      </c>
      <c r="B13" s="44"/>
      <c r="C13" s="44" t="s">
        <v>203</v>
      </c>
      <c r="D13" s="45" t="s">
        <v>204</v>
      </c>
      <c r="E13" s="45" t="s">
        <v>205</v>
      </c>
      <c r="F13" s="45"/>
      <c r="G13" s="45" t="s">
        <v>206</v>
      </c>
      <c r="H13" s="45" t="s">
        <v>211</v>
      </c>
      <c r="I13" s="45" t="s">
        <v>208</v>
      </c>
      <c r="J13" s="46" t="s">
        <v>209</v>
      </c>
    </row>
    <row r="14" spans="1:10">
      <c r="A14" s="20">
        <v>1</v>
      </c>
      <c r="C14" s="20">
        <v>1</v>
      </c>
      <c r="D14" s="43">
        <f>E4</f>
        <v>0</v>
      </c>
      <c r="E14" s="42">
        <f t="shared" ref="E14:E77" si="0">D14*($E$5/12)</f>
        <v>0</v>
      </c>
      <c r="F14" s="42"/>
      <c r="G14" s="42" t="e">
        <f t="shared" ref="G14:G77" si="1">+I14-H14-E14</f>
        <v>#NUM!</v>
      </c>
      <c r="H14" s="42">
        <v>0</v>
      </c>
      <c r="I14" s="42" t="e">
        <f t="shared" ref="I14:I77" si="2">IF(C14&lt;=$E$6,E14,$E$8)</f>
        <v>#NUM!</v>
      </c>
      <c r="J14" s="48" t="e">
        <f t="shared" ref="J14:J77" si="3">D14-G14-H14</f>
        <v>#NUM!</v>
      </c>
    </row>
    <row r="15" spans="1:10">
      <c r="A15" s="20">
        <v>1</v>
      </c>
      <c r="C15" s="20">
        <v>2</v>
      </c>
      <c r="D15" s="42" t="e">
        <f t="shared" ref="D15:D78" si="4">J14</f>
        <v>#NUM!</v>
      </c>
      <c r="E15" s="42" t="e">
        <f t="shared" si="0"/>
        <v>#NUM!</v>
      </c>
      <c r="F15" s="42"/>
      <c r="G15" s="42" t="e">
        <f t="shared" si="1"/>
        <v>#NUM!</v>
      </c>
      <c r="H15" s="42">
        <f t="shared" ref="H15:H78" si="5">+H14</f>
        <v>0</v>
      </c>
      <c r="I15" s="42" t="e">
        <f t="shared" si="2"/>
        <v>#NUM!</v>
      </c>
      <c r="J15" s="48" t="e">
        <f t="shared" si="3"/>
        <v>#NUM!</v>
      </c>
    </row>
    <row r="16" spans="1:10">
      <c r="A16" s="20">
        <v>1</v>
      </c>
      <c r="C16" s="20">
        <v>3</v>
      </c>
      <c r="D16" s="42" t="e">
        <f t="shared" si="4"/>
        <v>#NUM!</v>
      </c>
      <c r="E16" s="42" t="e">
        <f t="shared" si="0"/>
        <v>#NUM!</v>
      </c>
      <c r="F16" s="42"/>
      <c r="G16" s="42" t="e">
        <f t="shared" si="1"/>
        <v>#NUM!</v>
      </c>
      <c r="H16" s="42">
        <f t="shared" si="5"/>
        <v>0</v>
      </c>
      <c r="I16" s="42" t="e">
        <f t="shared" si="2"/>
        <v>#NUM!</v>
      </c>
      <c r="J16" s="48" t="e">
        <f t="shared" si="3"/>
        <v>#NUM!</v>
      </c>
    </row>
    <row r="17" spans="1:10">
      <c r="A17" s="20">
        <v>1</v>
      </c>
      <c r="C17" s="20">
        <v>4</v>
      </c>
      <c r="D17" s="42" t="e">
        <f t="shared" si="4"/>
        <v>#NUM!</v>
      </c>
      <c r="E17" s="42" t="e">
        <f t="shared" si="0"/>
        <v>#NUM!</v>
      </c>
      <c r="F17" s="42"/>
      <c r="G17" s="42" t="e">
        <f t="shared" si="1"/>
        <v>#NUM!</v>
      </c>
      <c r="H17" s="42">
        <f t="shared" si="5"/>
        <v>0</v>
      </c>
      <c r="I17" s="42" t="e">
        <f t="shared" si="2"/>
        <v>#NUM!</v>
      </c>
      <c r="J17" s="48" t="e">
        <f t="shared" si="3"/>
        <v>#NUM!</v>
      </c>
    </row>
    <row r="18" spans="1:10">
      <c r="A18" s="20">
        <v>1</v>
      </c>
      <c r="C18" s="20">
        <v>5</v>
      </c>
      <c r="D18" s="42" t="e">
        <f t="shared" si="4"/>
        <v>#NUM!</v>
      </c>
      <c r="E18" s="42" t="e">
        <f t="shared" si="0"/>
        <v>#NUM!</v>
      </c>
      <c r="F18" s="42"/>
      <c r="G18" s="42" t="e">
        <f t="shared" si="1"/>
        <v>#NUM!</v>
      </c>
      <c r="H18" s="42">
        <f t="shared" si="5"/>
        <v>0</v>
      </c>
      <c r="I18" s="42" t="e">
        <f t="shared" si="2"/>
        <v>#NUM!</v>
      </c>
      <c r="J18" s="48" t="e">
        <f t="shared" si="3"/>
        <v>#NUM!</v>
      </c>
    </row>
    <row r="19" spans="1:10">
      <c r="A19" s="20">
        <v>1</v>
      </c>
      <c r="C19" s="20">
        <v>6</v>
      </c>
      <c r="D19" s="42" t="e">
        <f t="shared" si="4"/>
        <v>#NUM!</v>
      </c>
      <c r="E19" s="42" t="e">
        <f t="shared" si="0"/>
        <v>#NUM!</v>
      </c>
      <c r="F19" s="42"/>
      <c r="G19" s="42" t="e">
        <f t="shared" si="1"/>
        <v>#NUM!</v>
      </c>
      <c r="H19" s="42">
        <f t="shared" si="5"/>
        <v>0</v>
      </c>
      <c r="I19" s="42" t="e">
        <f t="shared" si="2"/>
        <v>#NUM!</v>
      </c>
      <c r="J19" s="48" t="e">
        <f t="shared" si="3"/>
        <v>#NUM!</v>
      </c>
    </row>
    <row r="20" spans="1:10">
      <c r="A20" s="20">
        <v>1</v>
      </c>
      <c r="C20" s="20">
        <v>7</v>
      </c>
      <c r="D20" s="42" t="e">
        <f t="shared" si="4"/>
        <v>#NUM!</v>
      </c>
      <c r="E20" s="42" t="e">
        <f t="shared" si="0"/>
        <v>#NUM!</v>
      </c>
      <c r="F20" s="42"/>
      <c r="G20" s="42" t="e">
        <f t="shared" si="1"/>
        <v>#NUM!</v>
      </c>
      <c r="H20" s="42">
        <f t="shared" si="5"/>
        <v>0</v>
      </c>
      <c r="I20" s="42" t="e">
        <f t="shared" si="2"/>
        <v>#NUM!</v>
      </c>
      <c r="J20" s="48" t="e">
        <f t="shared" si="3"/>
        <v>#NUM!</v>
      </c>
    </row>
    <row r="21" spans="1:10">
      <c r="A21" s="20">
        <v>1</v>
      </c>
      <c r="C21" s="20">
        <v>8</v>
      </c>
      <c r="D21" s="42" t="e">
        <f t="shared" si="4"/>
        <v>#NUM!</v>
      </c>
      <c r="E21" s="42" t="e">
        <f t="shared" si="0"/>
        <v>#NUM!</v>
      </c>
      <c r="F21" s="42"/>
      <c r="G21" s="42" t="e">
        <f t="shared" si="1"/>
        <v>#NUM!</v>
      </c>
      <c r="H21" s="42">
        <f t="shared" si="5"/>
        <v>0</v>
      </c>
      <c r="I21" s="42" t="e">
        <f t="shared" si="2"/>
        <v>#NUM!</v>
      </c>
      <c r="J21" s="48" t="e">
        <f t="shared" si="3"/>
        <v>#NUM!</v>
      </c>
    </row>
    <row r="22" spans="1:10">
      <c r="A22" s="20">
        <v>1</v>
      </c>
      <c r="C22" s="20">
        <v>9</v>
      </c>
      <c r="D22" s="42" t="e">
        <f t="shared" si="4"/>
        <v>#NUM!</v>
      </c>
      <c r="E22" s="42" t="e">
        <f t="shared" si="0"/>
        <v>#NUM!</v>
      </c>
      <c r="F22" s="42"/>
      <c r="G22" s="42" t="e">
        <f t="shared" si="1"/>
        <v>#NUM!</v>
      </c>
      <c r="H22" s="42">
        <f t="shared" si="5"/>
        <v>0</v>
      </c>
      <c r="I22" s="42" t="e">
        <f t="shared" si="2"/>
        <v>#NUM!</v>
      </c>
      <c r="J22" s="48" t="e">
        <f t="shared" si="3"/>
        <v>#NUM!</v>
      </c>
    </row>
    <row r="23" spans="1:10">
      <c r="A23" s="20">
        <v>1</v>
      </c>
      <c r="C23" s="20">
        <v>10</v>
      </c>
      <c r="D23" s="42" t="e">
        <f t="shared" si="4"/>
        <v>#NUM!</v>
      </c>
      <c r="E23" s="42" t="e">
        <f t="shared" si="0"/>
        <v>#NUM!</v>
      </c>
      <c r="F23" s="42"/>
      <c r="G23" s="42" t="e">
        <f t="shared" si="1"/>
        <v>#NUM!</v>
      </c>
      <c r="H23" s="42">
        <f t="shared" si="5"/>
        <v>0</v>
      </c>
      <c r="I23" s="42" t="e">
        <f t="shared" si="2"/>
        <v>#NUM!</v>
      </c>
      <c r="J23" s="48" t="e">
        <f t="shared" si="3"/>
        <v>#NUM!</v>
      </c>
    </row>
    <row r="24" spans="1:10">
      <c r="A24" s="20">
        <v>1</v>
      </c>
      <c r="C24" s="20">
        <v>11</v>
      </c>
      <c r="D24" s="42" t="e">
        <f t="shared" si="4"/>
        <v>#NUM!</v>
      </c>
      <c r="E24" s="42" t="e">
        <f t="shared" si="0"/>
        <v>#NUM!</v>
      </c>
      <c r="F24" s="42"/>
      <c r="G24" s="42" t="e">
        <f t="shared" si="1"/>
        <v>#NUM!</v>
      </c>
      <c r="H24" s="42">
        <f t="shared" si="5"/>
        <v>0</v>
      </c>
      <c r="I24" s="42" t="e">
        <f t="shared" si="2"/>
        <v>#NUM!</v>
      </c>
      <c r="J24" s="48" t="e">
        <f t="shared" si="3"/>
        <v>#NUM!</v>
      </c>
    </row>
    <row r="25" spans="1:10">
      <c r="A25" s="20">
        <v>1</v>
      </c>
      <c r="C25" s="49">
        <v>12</v>
      </c>
      <c r="D25" s="50" t="e">
        <f t="shared" si="4"/>
        <v>#NUM!</v>
      </c>
      <c r="E25" s="50" t="e">
        <f t="shared" si="0"/>
        <v>#NUM!</v>
      </c>
      <c r="F25" s="50"/>
      <c r="G25" s="50" t="e">
        <f t="shared" si="1"/>
        <v>#NUM!</v>
      </c>
      <c r="H25" s="50">
        <f t="shared" si="5"/>
        <v>0</v>
      </c>
      <c r="I25" s="50" t="e">
        <f t="shared" si="2"/>
        <v>#NUM!</v>
      </c>
      <c r="J25" s="51" t="e">
        <f t="shared" si="3"/>
        <v>#NUM!</v>
      </c>
    </row>
    <row r="26" spans="1:10" ht="12.75" customHeight="1" outlineLevel="1">
      <c r="A26" s="20">
        <v>2</v>
      </c>
      <c r="C26" s="20">
        <v>13</v>
      </c>
      <c r="D26" s="42" t="e">
        <f t="shared" si="4"/>
        <v>#NUM!</v>
      </c>
      <c r="E26" s="42" t="e">
        <f t="shared" si="0"/>
        <v>#NUM!</v>
      </c>
      <c r="F26" s="42"/>
      <c r="G26" s="42" t="e">
        <f t="shared" si="1"/>
        <v>#NUM!</v>
      </c>
      <c r="H26" s="42">
        <f t="shared" si="5"/>
        <v>0</v>
      </c>
      <c r="I26" s="42" t="e">
        <f t="shared" si="2"/>
        <v>#NUM!</v>
      </c>
      <c r="J26" s="48" t="e">
        <f t="shared" si="3"/>
        <v>#NUM!</v>
      </c>
    </row>
    <row r="27" spans="1:10" outlineLevel="1">
      <c r="A27" s="20">
        <v>2</v>
      </c>
      <c r="C27" s="20">
        <v>14</v>
      </c>
      <c r="D27" s="42" t="e">
        <f t="shared" si="4"/>
        <v>#NUM!</v>
      </c>
      <c r="E27" s="42" t="e">
        <f t="shared" si="0"/>
        <v>#NUM!</v>
      </c>
      <c r="F27" s="42"/>
      <c r="G27" s="42" t="e">
        <f t="shared" si="1"/>
        <v>#NUM!</v>
      </c>
      <c r="H27" s="42">
        <f t="shared" si="5"/>
        <v>0</v>
      </c>
      <c r="I27" s="42" t="e">
        <f t="shared" si="2"/>
        <v>#NUM!</v>
      </c>
      <c r="J27" s="48" t="e">
        <f t="shared" si="3"/>
        <v>#NUM!</v>
      </c>
    </row>
    <row r="28" spans="1:10" outlineLevel="1">
      <c r="A28" s="20">
        <v>2</v>
      </c>
      <c r="C28" s="20">
        <v>15</v>
      </c>
      <c r="D28" s="42" t="e">
        <f t="shared" si="4"/>
        <v>#NUM!</v>
      </c>
      <c r="E28" s="42" t="e">
        <f t="shared" si="0"/>
        <v>#NUM!</v>
      </c>
      <c r="F28" s="42"/>
      <c r="G28" s="42" t="e">
        <f t="shared" si="1"/>
        <v>#NUM!</v>
      </c>
      <c r="H28" s="42">
        <f t="shared" si="5"/>
        <v>0</v>
      </c>
      <c r="I28" s="42" t="e">
        <f t="shared" si="2"/>
        <v>#NUM!</v>
      </c>
      <c r="J28" s="48" t="e">
        <f t="shared" si="3"/>
        <v>#NUM!</v>
      </c>
    </row>
    <row r="29" spans="1:10" outlineLevel="1">
      <c r="A29" s="20">
        <v>2</v>
      </c>
      <c r="C29" s="20">
        <v>16</v>
      </c>
      <c r="D29" s="42" t="e">
        <f t="shared" si="4"/>
        <v>#NUM!</v>
      </c>
      <c r="E29" s="42" t="e">
        <f t="shared" si="0"/>
        <v>#NUM!</v>
      </c>
      <c r="F29" s="42"/>
      <c r="G29" s="42" t="e">
        <f t="shared" si="1"/>
        <v>#NUM!</v>
      </c>
      <c r="H29" s="42">
        <f t="shared" si="5"/>
        <v>0</v>
      </c>
      <c r="I29" s="42" t="e">
        <f t="shared" si="2"/>
        <v>#NUM!</v>
      </c>
      <c r="J29" s="48" t="e">
        <f t="shared" si="3"/>
        <v>#NUM!</v>
      </c>
    </row>
    <row r="30" spans="1:10" outlineLevel="1">
      <c r="A30" s="20">
        <v>2</v>
      </c>
      <c r="C30" s="20">
        <v>17</v>
      </c>
      <c r="D30" s="42" t="e">
        <f t="shared" si="4"/>
        <v>#NUM!</v>
      </c>
      <c r="E30" s="42" t="e">
        <f t="shared" si="0"/>
        <v>#NUM!</v>
      </c>
      <c r="F30" s="42"/>
      <c r="G30" s="42" t="e">
        <f t="shared" si="1"/>
        <v>#NUM!</v>
      </c>
      <c r="H30" s="42">
        <f t="shared" si="5"/>
        <v>0</v>
      </c>
      <c r="I30" s="42" t="e">
        <f t="shared" si="2"/>
        <v>#NUM!</v>
      </c>
      <c r="J30" s="48" t="e">
        <f t="shared" si="3"/>
        <v>#NUM!</v>
      </c>
    </row>
    <row r="31" spans="1:10" outlineLevel="1">
      <c r="A31" s="20">
        <v>2</v>
      </c>
      <c r="C31" s="20">
        <v>18</v>
      </c>
      <c r="D31" s="42" t="e">
        <f t="shared" si="4"/>
        <v>#NUM!</v>
      </c>
      <c r="E31" s="42" t="e">
        <f t="shared" si="0"/>
        <v>#NUM!</v>
      </c>
      <c r="F31" s="42"/>
      <c r="G31" s="42" t="e">
        <f t="shared" si="1"/>
        <v>#NUM!</v>
      </c>
      <c r="H31" s="42">
        <f t="shared" si="5"/>
        <v>0</v>
      </c>
      <c r="I31" s="42" t="e">
        <f t="shared" si="2"/>
        <v>#NUM!</v>
      </c>
      <c r="J31" s="48" t="e">
        <f t="shared" si="3"/>
        <v>#NUM!</v>
      </c>
    </row>
    <row r="32" spans="1:10" outlineLevel="1">
      <c r="A32" s="20">
        <v>2</v>
      </c>
      <c r="C32" s="20">
        <v>19</v>
      </c>
      <c r="D32" s="42" t="e">
        <f t="shared" si="4"/>
        <v>#NUM!</v>
      </c>
      <c r="E32" s="42" t="e">
        <f t="shared" si="0"/>
        <v>#NUM!</v>
      </c>
      <c r="F32" s="42"/>
      <c r="G32" s="42" t="e">
        <f t="shared" si="1"/>
        <v>#NUM!</v>
      </c>
      <c r="H32" s="42">
        <f t="shared" si="5"/>
        <v>0</v>
      </c>
      <c r="I32" s="42" t="e">
        <f t="shared" si="2"/>
        <v>#NUM!</v>
      </c>
      <c r="J32" s="48" t="e">
        <f t="shared" si="3"/>
        <v>#NUM!</v>
      </c>
    </row>
    <row r="33" spans="1:10" outlineLevel="1">
      <c r="A33" s="20">
        <v>2</v>
      </c>
      <c r="C33" s="20">
        <v>20</v>
      </c>
      <c r="D33" s="42" t="e">
        <f t="shared" si="4"/>
        <v>#NUM!</v>
      </c>
      <c r="E33" s="42" t="e">
        <f t="shared" si="0"/>
        <v>#NUM!</v>
      </c>
      <c r="F33" s="42"/>
      <c r="G33" s="42" t="e">
        <f t="shared" si="1"/>
        <v>#NUM!</v>
      </c>
      <c r="H33" s="42">
        <f t="shared" si="5"/>
        <v>0</v>
      </c>
      <c r="I33" s="42" t="e">
        <f t="shared" si="2"/>
        <v>#NUM!</v>
      </c>
      <c r="J33" s="48" t="e">
        <f t="shared" si="3"/>
        <v>#NUM!</v>
      </c>
    </row>
    <row r="34" spans="1:10" outlineLevel="1">
      <c r="A34" s="20">
        <v>2</v>
      </c>
      <c r="C34" s="20">
        <v>21</v>
      </c>
      <c r="D34" s="42" t="e">
        <f t="shared" si="4"/>
        <v>#NUM!</v>
      </c>
      <c r="E34" s="42" t="e">
        <f t="shared" si="0"/>
        <v>#NUM!</v>
      </c>
      <c r="F34" s="42"/>
      <c r="G34" s="42" t="e">
        <f t="shared" si="1"/>
        <v>#NUM!</v>
      </c>
      <c r="H34" s="42">
        <f t="shared" si="5"/>
        <v>0</v>
      </c>
      <c r="I34" s="42" t="e">
        <f t="shared" si="2"/>
        <v>#NUM!</v>
      </c>
      <c r="J34" s="48" t="e">
        <f t="shared" si="3"/>
        <v>#NUM!</v>
      </c>
    </row>
    <row r="35" spans="1:10" outlineLevel="1">
      <c r="A35" s="20">
        <v>2</v>
      </c>
      <c r="C35" s="20">
        <v>22</v>
      </c>
      <c r="D35" s="42" t="e">
        <f t="shared" si="4"/>
        <v>#NUM!</v>
      </c>
      <c r="E35" s="42" t="e">
        <f t="shared" si="0"/>
        <v>#NUM!</v>
      </c>
      <c r="F35" s="42"/>
      <c r="G35" s="42" t="e">
        <f t="shared" si="1"/>
        <v>#NUM!</v>
      </c>
      <c r="H35" s="42">
        <f t="shared" si="5"/>
        <v>0</v>
      </c>
      <c r="I35" s="42" t="e">
        <f t="shared" si="2"/>
        <v>#NUM!</v>
      </c>
      <c r="J35" s="48" t="e">
        <f t="shared" si="3"/>
        <v>#NUM!</v>
      </c>
    </row>
    <row r="36" spans="1:10" outlineLevel="1">
      <c r="A36" s="20">
        <v>2</v>
      </c>
      <c r="C36" s="20">
        <v>23</v>
      </c>
      <c r="D36" s="42" t="e">
        <f t="shared" si="4"/>
        <v>#NUM!</v>
      </c>
      <c r="E36" s="42" t="e">
        <f t="shared" si="0"/>
        <v>#NUM!</v>
      </c>
      <c r="F36" s="42"/>
      <c r="G36" s="42" t="e">
        <f t="shared" si="1"/>
        <v>#NUM!</v>
      </c>
      <c r="H36" s="42">
        <f t="shared" si="5"/>
        <v>0</v>
      </c>
      <c r="I36" s="42" t="e">
        <f t="shared" si="2"/>
        <v>#NUM!</v>
      </c>
      <c r="J36" s="48" t="e">
        <f t="shared" si="3"/>
        <v>#NUM!</v>
      </c>
    </row>
    <row r="37" spans="1:10" outlineLevel="1">
      <c r="A37" s="20">
        <v>2</v>
      </c>
      <c r="C37" s="49">
        <v>24</v>
      </c>
      <c r="D37" s="50" t="e">
        <f t="shared" si="4"/>
        <v>#NUM!</v>
      </c>
      <c r="E37" s="50" t="e">
        <f t="shared" si="0"/>
        <v>#NUM!</v>
      </c>
      <c r="F37" s="50"/>
      <c r="G37" s="50" t="e">
        <f t="shared" si="1"/>
        <v>#NUM!</v>
      </c>
      <c r="H37" s="50">
        <f t="shared" si="5"/>
        <v>0</v>
      </c>
      <c r="I37" s="50" t="e">
        <f t="shared" si="2"/>
        <v>#NUM!</v>
      </c>
      <c r="J37" s="51" t="e">
        <f t="shared" si="3"/>
        <v>#NUM!</v>
      </c>
    </row>
    <row r="38" spans="1:10" outlineLevel="1">
      <c r="A38" s="20">
        <v>3</v>
      </c>
      <c r="C38" s="20">
        <v>25</v>
      </c>
      <c r="D38" s="42" t="e">
        <f t="shared" si="4"/>
        <v>#NUM!</v>
      </c>
      <c r="E38" s="42" t="e">
        <f t="shared" si="0"/>
        <v>#NUM!</v>
      </c>
      <c r="F38" s="42"/>
      <c r="G38" s="42" t="e">
        <f t="shared" si="1"/>
        <v>#NUM!</v>
      </c>
      <c r="H38" s="42">
        <f t="shared" si="5"/>
        <v>0</v>
      </c>
      <c r="I38" s="52" t="e">
        <f t="shared" si="2"/>
        <v>#NUM!</v>
      </c>
      <c r="J38" s="48" t="e">
        <f t="shared" si="3"/>
        <v>#NUM!</v>
      </c>
    </row>
    <row r="39" spans="1:10" outlineLevel="1">
      <c r="A39" s="20">
        <v>3</v>
      </c>
      <c r="C39" s="20">
        <v>26</v>
      </c>
      <c r="D39" s="42" t="e">
        <f t="shared" si="4"/>
        <v>#NUM!</v>
      </c>
      <c r="E39" s="42" t="e">
        <f t="shared" si="0"/>
        <v>#NUM!</v>
      </c>
      <c r="F39" s="42"/>
      <c r="G39" s="42" t="e">
        <f t="shared" si="1"/>
        <v>#NUM!</v>
      </c>
      <c r="H39" s="42">
        <f t="shared" si="5"/>
        <v>0</v>
      </c>
      <c r="I39" s="42" t="e">
        <f t="shared" si="2"/>
        <v>#NUM!</v>
      </c>
      <c r="J39" s="48" t="e">
        <f t="shared" si="3"/>
        <v>#NUM!</v>
      </c>
    </row>
    <row r="40" spans="1:10" outlineLevel="1">
      <c r="A40" s="20">
        <v>3</v>
      </c>
      <c r="C40" s="20">
        <v>27</v>
      </c>
      <c r="D40" s="42" t="e">
        <f t="shared" si="4"/>
        <v>#NUM!</v>
      </c>
      <c r="E40" s="42" t="e">
        <f t="shared" si="0"/>
        <v>#NUM!</v>
      </c>
      <c r="F40" s="42"/>
      <c r="G40" s="42" t="e">
        <f t="shared" si="1"/>
        <v>#NUM!</v>
      </c>
      <c r="H40" s="42">
        <f t="shared" si="5"/>
        <v>0</v>
      </c>
      <c r="I40" s="42" t="e">
        <f t="shared" si="2"/>
        <v>#NUM!</v>
      </c>
      <c r="J40" s="48" t="e">
        <f t="shared" si="3"/>
        <v>#NUM!</v>
      </c>
    </row>
    <row r="41" spans="1:10" outlineLevel="1">
      <c r="A41" s="20">
        <v>3</v>
      </c>
      <c r="C41" s="20">
        <v>28</v>
      </c>
      <c r="D41" s="42" t="e">
        <f t="shared" si="4"/>
        <v>#NUM!</v>
      </c>
      <c r="E41" s="42" t="e">
        <f t="shared" si="0"/>
        <v>#NUM!</v>
      </c>
      <c r="F41" s="42"/>
      <c r="G41" s="42" t="e">
        <f t="shared" si="1"/>
        <v>#NUM!</v>
      </c>
      <c r="H41" s="42">
        <f t="shared" si="5"/>
        <v>0</v>
      </c>
      <c r="I41" s="42" t="e">
        <f t="shared" si="2"/>
        <v>#NUM!</v>
      </c>
      <c r="J41" s="48" t="e">
        <f t="shared" si="3"/>
        <v>#NUM!</v>
      </c>
    </row>
    <row r="42" spans="1:10" outlineLevel="1">
      <c r="A42" s="20">
        <v>3</v>
      </c>
      <c r="C42" s="20">
        <v>29</v>
      </c>
      <c r="D42" s="42" t="e">
        <f t="shared" si="4"/>
        <v>#NUM!</v>
      </c>
      <c r="E42" s="42" t="e">
        <f t="shared" si="0"/>
        <v>#NUM!</v>
      </c>
      <c r="F42" s="42"/>
      <c r="G42" s="42" t="e">
        <f t="shared" si="1"/>
        <v>#NUM!</v>
      </c>
      <c r="H42" s="42">
        <f t="shared" si="5"/>
        <v>0</v>
      </c>
      <c r="I42" s="42" t="e">
        <f t="shared" si="2"/>
        <v>#NUM!</v>
      </c>
      <c r="J42" s="48" t="e">
        <f t="shared" si="3"/>
        <v>#NUM!</v>
      </c>
    </row>
    <row r="43" spans="1:10" outlineLevel="1">
      <c r="A43" s="20">
        <v>3</v>
      </c>
      <c r="C43" s="20">
        <v>30</v>
      </c>
      <c r="D43" s="42" t="e">
        <f t="shared" si="4"/>
        <v>#NUM!</v>
      </c>
      <c r="E43" s="42" t="e">
        <f t="shared" si="0"/>
        <v>#NUM!</v>
      </c>
      <c r="F43" s="42"/>
      <c r="G43" s="42" t="e">
        <f t="shared" si="1"/>
        <v>#NUM!</v>
      </c>
      <c r="H43" s="42">
        <f t="shared" si="5"/>
        <v>0</v>
      </c>
      <c r="I43" s="42" t="e">
        <f t="shared" si="2"/>
        <v>#NUM!</v>
      </c>
      <c r="J43" s="48" t="e">
        <f t="shared" si="3"/>
        <v>#NUM!</v>
      </c>
    </row>
    <row r="44" spans="1:10" outlineLevel="1">
      <c r="A44" s="20">
        <v>3</v>
      </c>
      <c r="C44" s="20">
        <v>31</v>
      </c>
      <c r="D44" s="42" t="e">
        <f t="shared" si="4"/>
        <v>#NUM!</v>
      </c>
      <c r="E44" s="42" t="e">
        <f t="shared" si="0"/>
        <v>#NUM!</v>
      </c>
      <c r="F44" s="42"/>
      <c r="G44" s="42" t="e">
        <f t="shared" si="1"/>
        <v>#NUM!</v>
      </c>
      <c r="H44" s="42">
        <f t="shared" si="5"/>
        <v>0</v>
      </c>
      <c r="I44" s="42" t="e">
        <f t="shared" si="2"/>
        <v>#NUM!</v>
      </c>
      <c r="J44" s="48" t="e">
        <f t="shared" si="3"/>
        <v>#NUM!</v>
      </c>
    </row>
    <row r="45" spans="1:10" outlineLevel="1">
      <c r="A45" s="20">
        <v>3</v>
      </c>
      <c r="C45" s="20">
        <v>32</v>
      </c>
      <c r="D45" s="42" t="e">
        <f t="shared" si="4"/>
        <v>#NUM!</v>
      </c>
      <c r="E45" s="42" t="e">
        <f t="shared" si="0"/>
        <v>#NUM!</v>
      </c>
      <c r="F45" s="42"/>
      <c r="G45" s="42" t="e">
        <f t="shared" si="1"/>
        <v>#NUM!</v>
      </c>
      <c r="H45" s="42">
        <f t="shared" si="5"/>
        <v>0</v>
      </c>
      <c r="I45" s="42" t="e">
        <f t="shared" si="2"/>
        <v>#NUM!</v>
      </c>
      <c r="J45" s="48" t="e">
        <f t="shared" si="3"/>
        <v>#NUM!</v>
      </c>
    </row>
    <row r="46" spans="1:10" outlineLevel="1">
      <c r="A46" s="20">
        <v>3</v>
      </c>
      <c r="C46" s="20">
        <v>33</v>
      </c>
      <c r="D46" s="42" t="e">
        <f t="shared" si="4"/>
        <v>#NUM!</v>
      </c>
      <c r="E46" s="42" t="e">
        <f t="shared" si="0"/>
        <v>#NUM!</v>
      </c>
      <c r="F46" s="42"/>
      <c r="G46" s="42" t="e">
        <f t="shared" si="1"/>
        <v>#NUM!</v>
      </c>
      <c r="H46" s="42">
        <f t="shared" si="5"/>
        <v>0</v>
      </c>
      <c r="I46" s="42" t="e">
        <f t="shared" si="2"/>
        <v>#NUM!</v>
      </c>
      <c r="J46" s="48" t="e">
        <f t="shared" si="3"/>
        <v>#NUM!</v>
      </c>
    </row>
    <row r="47" spans="1:10" outlineLevel="1">
      <c r="A47" s="20">
        <v>3</v>
      </c>
      <c r="C47" s="20">
        <v>34</v>
      </c>
      <c r="D47" s="42" t="e">
        <f t="shared" si="4"/>
        <v>#NUM!</v>
      </c>
      <c r="E47" s="42" t="e">
        <f t="shared" si="0"/>
        <v>#NUM!</v>
      </c>
      <c r="F47" s="42"/>
      <c r="G47" s="42" t="e">
        <f t="shared" si="1"/>
        <v>#NUM!</v>
      </c>
      <c r="H47" s="42">
        <f t="shared" si="5"/>
        <v>0</v>
      </c>
      <c r="I47" s="42" t="e">
        <f t="shared" si="2"/>
        <v>#NUM!</v>
      </c>
      <c r="J47" s="48" t="e">
        <f t="shared" si="3"/>
        <v>#NUM!</v>
      </c>
    </row>
    <row r="48" spans="1:10" outlineLevel="1">
      <c r="A48" s="20">
        <v>3</v>
      </c>
      <c r="C48" s="20">
        <v>35</v>
      </c>
      <c r="D48" s="42" t="e">
        <f t="shared" si="4"/>
        <v>#NUM!</v>
      </c>
      <c r="E48" s="42" t="e">
        <f t="shared" si="0"/>
        <v>#NUM!</v>
      </c>
      <c r="F48" s="42"/>
      <c r="G48" s="42" t="e">
        <f t="shared" si="1"/>
        <v>#NUM!</v>
      </c>
      <c r="H48" s="42">
        <f t="shared" si="5"/>
        <v>0</v>
      </c>
      <c r="I48" s="42" t="e">
        <f t="shared" si="2"/>
        <v>#NUM!</v>
      </c>
      <c r="J48" s="48" t="e">
        <f t="shared" si="3"/>
        <v>#NUM!</v>
      </c>
    </row>
    <row r="49" spans="1:10" outlineLevel="1">
      <c r="A49" s="20">
        <v>3</v>
      </c>
      <c r="C49" s="49">
        <v>36</v>
      </c>
      <c r="D49" s="50" t="e">
        <f t="shared" si="4"/>
        <v>#NUM!</v>
      </c>
      <c r="E49" s="50" t="e">
        <f t="shared" si="0"/>
        <v>#NUM!</v>
      </c>
      <c r="F49" s="50"/>
      <c r="G49" s="50" t="e">
        <f t="shared" si="1"/>
        <v>#NUM!</v>
      </c>
      <c r="H49" s="50">
        <f t="shared" si="5"/>
        <v>0</v>
      </c>
      <c r="I49" s="50" t="e">
        <f t="shared" si="2"/>
        <v>#NUM!</v>
      </c>
      <c r="J49" s="51" t="e">
        <f t="shared" si="3"/>
        <v>#NUM!</v>
      </c>
    </row>
    <row r="50" spans="1:10" ht="15.75" customHeight="1" outlineLevel="1">
      <c r="A50" s="20">
        <v>4</v>
      </c>
      <c r="C50" s="20">
        <v>37</v>
      </c>
      <c r="D50" s="42" t="e">
        <f t="shared" si="4"/>
        <v>#NUM!</v>
      </c>
      <c r="E50" s="42" t="e">
        <f t="shared" si="0"/>
        <v>#NUM!</v>
      </c>
      <c r="F50" s="42"/>
      <c r="G50" s="42" t="e">
        <f t="shared" si="1"/>
        <v>#NUM!</v>
      </c>
      <c r="H50" s="42">
        <f t="shared" si="5"/>
        <v>0</v>
      </c>
      <c r="I50" s="42" t="e">
        <f t="shared" si="2"/>
        <v>#NUM!</v>
      </c>
      <c r="J50" s="48" t="e">
        <f t="shared" si="3"/>
        <v>#NUM!</v>
      </c>
    </row>
    <row r="51" spans="1:10" outlineLevel="1">
      <c r="A51" s="20">
        <v>4</v>
      </c>
      <c r="C51" s="20">
        <v>38</v>
      </c>
      <c r="D51" s="42" t="e">
        <f t="shared" si="4"/>
        <v>#NUM!</v>
      </c>
      <c r="E51" s="42" t="e">
        <f t="shared" si="0"/>
        <v>#NUM!</v>
      </c>
      <c r="F51" s="42"/>
      <c r="G51" s="42" t="e">
        <f t="shared" si="1"/>
        <v>#NUM!</v>
      </c>
      <c r="H51" s="42">
        <f t="shared" si="5"/>
        <v>0</v>
      </c>
      <c r="I51" s="42" t="e">
        <f t="shared" si="2"/>
        <v>#NUM!</v>
      </c>
      <c r="J51" s="48" t="e">
        <f t="shared" si="3"/>
        <v>#NUM!</v>
      </c>
    </row>
    <row r="52" spans="1:10" outlineLevel="1">
      <c r="A52" s="20">
        <v>4</v>
      </c>
      <c r="C52" s="20">
        <v>39</v>
      </c>
      <c r="D52" s="42" t="e">
        <f t="shared" si="4"/>
        <v>#NUM!</v>
      </c>
      <c r="E52" s="42" t="e">
        <f t="shared" si="0"/>
        <v>#NUM!</v>
      </c>
      <c r="F52" s="42"/>
      <c r="G52" s="42" t="e">
        <f t="shared" si="1"/>
        <v>#NUM!</v>
      </c>
      <c r="H52" s="42">
        <f t="shared" si="5"/>
        <v>0</v>
      </c>
      <c r="I52" s="42" t="e">
        <f t="shared" si="2"/>
        <v>#NUM!</v>
      </c>
      <c r="J52" s="48" t="e">
        <f t="shared" si="3"/>
        <v>#NUM!</v>
      </c>
    </row>
    <row r="53" spans="1:10" outlineLevel="1">
      <c r="A53" s="20">
        <v>4</v>
      </c>
      <c r="C53" s="20">
        <v>40</v>
      </c>
      <c r="D53" s="42" t="e">
        <f t="shared" si="4"/>
        <v>#NUM!</v>
      </c>
      <c r="E53" s="42" t="e">
        <f t="shared" si="0"/>
        <v>#NUM!</v>
      </c>
      <c r="F53" s="42"/>
      <c r="G53" s="42" t="e">
        <f t="shared" si="1"/>
        <v>#NUM!</v>
      </c>
      <c r="H53" s="42">
        <f t="shared" si="5"/>
        <v>0</v>
      </c>
      <c r="I53" s="42" t="e">
        <f t="shared" si="2"/>
        <v>#NUM!</v>
      </c>
      <c r="J53" s="48" t="e">
        <f t="shared" si="3"/>
        <v>#NUM!</v>
      </c>
    </row>
    <row r="54" spans="1:10" outlineLevel="1">
      <c r="A54" s="20">
        <v>4</v>
      </c>
      <c r="C54" s="20">
        <v>41</v>
      </c>
      <c r="D54" s="42" t="e">
        <f t="shared" si="4"/>
        <v>#NUM!</v>
      </c>
      <c r="E54" s="42" t="e">
        <f t="shared" si="0"/>
        <v>#NUM!</v>
      </c>
      <c r="F54" s="42"/>
      <c r="G54" s="42" t="e">
        <f t="shared" si="1"/>
        <v>#NUM!</v>
      </c>
      <c r="H54" s="42">
        <f t="shared" si="5"/>
        <v>0</v>
      </c>
      <c r="I54" s="42" t="e">
        <f t="shared" si="2"/>
        <v>#NUM!</v>
      </c>
      <c r="J54" s="48" t="e">
        <f t="shared" si="3"/>
        <v>#NUM!</v>
      </c>
    </row>
    <row r="55" spans="1:10" outlineLevel="1">
      <c r="A55" s="20">
        <v>4</v>
      </c>
      <c r="C55" s="20">
        <v>42</v>
      </c>
      <c r="D55" s="42" t="e">
        <f t="shared" si="4"/>
        <v>#NUM!</v>
      </c>
      <c r="E55" s="42" t="e">
        <f t="shared" si="0"/>
        <v>#NUM!</v>
      </c>
      <c r="F55" s="42"/>
      <c r="G55" s="42" t="e">
        <f t="shared" si="1"/>
        <v>#NUM!</v>
      </c>
      <c r="H55" s="42">
        <f t="shared" si="5"/>
        <v>0</v>
      </c>
      <c r="I55" s="42" t="e">
        <f t="shared" si="2"/>
        <v>#NUM!</v>
      </c>
      <c r="J55" s="48" t="e">
        <f t="shared" si="3"/>
        <v>#NUM!</v>
      </c>
    </row>
    <row r="56" spans="1:10" outlineLevel="1">
      <c r="A56" s="20">
        <v>4</v>
      </c>
      <c r="C56" s="20">
        <v>43</v>
      </c>
      <c r="D56" s="42" t="e">
        <f t="shared" si="4"/>
        <v>#NUM!</v>
      </c>
      <c r="E56" s="42" t="e">
        <f t="shared" si="0"/>
        <v>#NUM!</v>
      </c>
      <c r="F56" s="42"/>
      <c r="G56" s="42" t="e">
        <f t="shared" si="1"/>
        <v>#NUM!</v>
      </c>
      <c r="H56" s="42">
        <f t="shared" si="5"/>
        <v>0</v>
      </c>
      <c r="I56" s="42" t="e">
        <f t="shared" si="2"/>
        <v>#NUM!</v>
      </c>
      <c r="J56" s="48" t="e">
        <f t="shared" si="3"/>
        <v>#NUM!</v>
      </c>
    </row>
    <row r="57" spans="1:10" outlineLevel="1">
      <c r="A57" s="20">
        <v>4</v>
      </c>
      <c r="C57" s="20">
        <v>44</v>
      </c>
      <c r="D57" s="42" t="e">
        <f t="shared" si="4"/>
        <v>#NUM!</v>
      </c>
      <c r="E57" s="42" t="e">
        <f t="shared" si="0"/>
        <v>#NUM!</v>
      </c>
      <c r="F57" s="42"/>
      <c r="G57" s="42" t="e">
        <f t="shared" si="1"/>
        <v>#NUM!</v>
      </c>
      <c r="H57" s="42">
        <f t="shared" si="5"/>
        <v>0</v>
      </c>
      <c r="I57" s="42" t="e">
        <f t="shared" si="2"/>
        <v>#NUM!</v>
      </c>
      <c r="J57" s="48" t="e">
        <f t="shared" si="3"/>
        <v>#NUM!</v>
      </c>
    </row>
    <row r="58" spans="1:10" outlineLevel="1">
      <c r="A58" s="20">
        <v>4</v>
      </c>
      <c r="C58" s="20">
        <v>45</v>
      </c>
      <c r="D58" s="42" t="e">
        <f t="shared" si="4"/>
        <v>#NUM!</v>
      </c>
      <c r="E58" s="42" t="e">
        <f t="shared" si="0"/>
        <v>#NUM!</v>
      </c>
      <c r="F58" s="42"/>
      <c r="G58" s="42" t="e">
        <f t="shared" si="1"/>
        <v>#NUM!</v>
      </c>
      <c r="H58" s="42">
        <f t="shared" si="5"/>
        <v>0</v>
      </c>
      <c r="I58" s="42" t="e">
        <f t="shared" si="2"/>
        <v>#NUM!</v>
      </c>
      <c r="J58" s="48" t="e">
        <f t="shared" si="3"/>
        <v>#NUM!</v>
      </c>
    </row>
    <row r="59" spans="1:10" outlineLevel="1">
      <c r="A59" s="20">
        <v>4</v>
      </c>
      <c r="C59" s="20">
        <v>46</v>
      </c>
      <c r="D59" s="42" t="e">
        <f t="shared" si="4"/>
        <v>#NUM!</v>
      </c>
      <c r="E59" s="42" t="e">
        <f t="shared" si="0"/>
        <v>#NUM!</v>
      </c>
      <c r="F59" s="42"/>
      <c r="G59" s="42" t="e">
        <f t="shared" si="1"/>
        <v>#NUM!</v>
      </c>
      <c r="H59" s="42">
        <f t="shared" si="5"/>
        <v>0</v>
      </c>
      <c r="I59" s="42" t="e">
        <f t="shared" si="2"/>
        <v>#NUM!</v>
      </c>
      <c r="J59" s="48" t="e">
        <f t="shared" si="3"/>
        <v>#NUM!</v>
      </c>
    </row>
    <row r="60" spans="1:10" outlineLevel="1">
      <c r="A60" s="20">
        <v>4</v>
      </c>
      <c r="C60" s="20">
        <v>47</v>
      </c>
      <c r="D60" s="42" t="e">
        <f t="shared" si="4"/>
        <v>#NUM!</v>
      </c>
      <c r="E60" s="42" t="e">
        <f t="shared" si="0"/>
        <v>#NUM!</v>
      </c>
      <c r="F60" s="42"/>
      <c r="G60" s="42" t="e">
        <f t="shared" si="1"/>
        <v>#NUM!</v>
      </c>
      <c r="H60" s="42">
        <f t="shared" si="5"/>
        <v>0</v>
      </c>
      <c r="I60" s="42" t="e">
        <f t="shared" si="2"/>
        <v>#NUM!</v>
      </c>
      <c r="J60" s="48" t="e">
        <f t="shared" si="3"/>
        <v>#NUM!</v>
      </c>
    </row>
    <row r="61" spans="1:10" outlineLevel="1">
      <c r="A61" s="20">
        <v>4</v>
      </c>
      <c r="C61" s="53">
        <v>48</v>
      </c>
      <c r="D61" s="54" t="e">
        <f t="shared" si="4"/>
        <v>#NUM!</v>
      </c>
      <c r="E61" s="54" t="e">
        <f t="shared" si="0"/>
        <v>#NUM!</v>
      </c>
      <c r="F61" s="54"/>
      <c r="G61" s="54" t="e">
        <f t="shared" si="1"/>
        <v>#NUM!</v>
      </c>
      <c r="H61" s="54">
        <f t="shared" si="5"/>
        <v>0</v>
      </c>
      <c r="I61" s="54" t="e">
        <f t="shared" si="2"/>
        <v>#NUM!</v>
      </c>
      <c r="J61" s="55" t="e">
        <f t="shared" si="3"/>
        <v>#NUM!</v>
      </c>
    </row>
    <row r="62" spans="1:10" ht="12.75" customHeight="1" outlineLevel="1">
      <c r="A62" s="20">
        <v>5</v>
      </c>
      <c r="C62" s="20">
        <v>49</v>
      </c>
      <c r="D62" s="42" t="e">
        <f t="shared" si="4"/>
        <v>#NUM!</v>
      </c>
      <c r="E62" s="42" t="e">
        <f t="shared" si="0"/>
        <v>#NUM!</v>
      </c>
      <c r="F62" s="42"/>
      <c r="G62" s="42" t="e">
        <f t="shared" si="1"/>
        <v>#NUM!</v>
      </c>
      <c r="H62" s="42">
        <f t="shared" si="5"/>
        <v>0</v>
      </c>
      <c r="I62" s="42" t="e">
        <f t="shared" si="2"/>
        <v>#NUM!</v>
      </c>
      <c r="J62" s="48" t="e">
        <f t="shared" si="3"/>
        <v>#NUM!</v>
      </c>
    </row>
    <row r="63" spans="1:10" outlineLevel="1">
      <c r="A63" s="20">
        <v>5</v>
      </c>
      <c r="C63" s="20">
        <v>50</v>
      </c>
      <c r="D63" s="42" t="e">
        <f t="shared" si="4"/>
        <v>#NUM!</v>
      </c>
      <c r="E63" s="42" t="e">
        <f t="shared" si="0"/>
        <v>#NUM!</v>
      </c>
      <c r="F63" s="42"/>
      <c r="G63" s="42" t="e">
        <f t="shared" si="1"/>
        <v>#NUM!</v>
      </c>
      <c r="H63" s="42">
        <f t="shared" si="5"/>
        <v>0</v>
      </c>
      <c r="I63" s="42" t="e">
        <f t="shared" si="2"/>
        <v>#NUM!</v>
      </c>
      <c r="J63" s="48" t="e">
        <f t="shared" si="3"/>
        <v>#NUM!</v>
      </c>
    </row>
    <row r="64" spans="1:10" outlineLevel="1">
      <c r="A64" s="20">
        <v>5</v>
      </c>
      <c r="C64" s="20">
        <v>51</v>
      </c>
      <c r="D64" s="42" t="e">
        <f t="shared" si="4"/>
        <v>#NUM!</v>
      </c>
      <c r="E64" s="42" t="e">
        <f t="shared" si="0"/>
        <v>#NUM!</v>
      </c>
      <c r="F64" s="42"/>
      <c r="G64" s="42" t="e">
        <f t="shared" si="1"/>
        <v>#NUM!</v>
      </c>
      <c r="H64" s="42">
        <f t="shared" si="5"/>
        <v>0</v>
      </c>
      <c r="I64" s="42" t="e">
        <f t="shared" si="2"/>
        <v>#NUM!</v>
      </c>
      <c r="J64" s="48" t="e">
        <f t="shared" si="3"/>
        <v>#NUM!</v>
      </c>
    </row>
    <row r="65" spans="1:10" outlineLevel="1">
      <c r="A65" s="20">
        <v>5</v>
      </c>
      <c r="C65" s="20">
        <v>52</v>
      </c>
      <c r="D65" s="42" t="e">
        <f t="shared" si="4"/>
        <v>#NUM!</v>
      </c>
      <c r="E65" s="42" t="e">
        <f t="shared" si="0"/>
        <v>#NUM!</v>
      </c>
      <c r="F65" s="42"/>
      <c r="G65" s="42" t="e">
        <f t="shared" si="1"/>
        <v>#NUM!</v>
      </c>
      <c r="H65" s="42">
        <f t="shared" si="5"/>
        <v>0</v>
      </c>
      <c r="I65" s="42" t="e">
        <f t="shared" si="2"/>
        <v>#NUM!</v>
      </c>
      <c r="J65" s="48" t="e">
        <f t="shared" si="3"/>
        <v>#NUM!</v>
      </c>
    </row>
    <row r="66" spans="1:10" outlineLevel="1">
      <c r="A66" s="20">
        <v>5</v>
      </c>
      <c r="C66" s="20">
        <v>53</v>
      </c>
      <c r="D66" s="42" t="e">
        <f t="shared" si="4"/>
        <v>#NUM!</v>
      </c>
      <c r="E66" s="42" t="e">
        <f t="shared" si="0"/>
        <v>#NUM!</v>
      </c>
      <c r="F66" s="42"/>
      <c r="G66" s="42" t="e">
        <f t="shared" si="1"/>
        <v>#NUM!</v>
      </c>
      <c r="H66" s="42">
        <f t="shared" si="5"/>
        <v>0</v>
      </c>
      <c r="I66" s="42" t="e">
        <f t="shared" si="2"/>
        <v>#NUM!</v>
      </c>
      <c r="J66" s="48" t="e">
        <f t="shared" si="3"/>
        <v>#NUM!</v>
      </c>
    </row>
    <row r="67" spans="1:10" outlineLevel="1">
      <c r="A67" s="20">
        <v>5</v>
      </c>
      <c r="C67" s="20">
        <v>54</v>
      </c>
      <c r="D67" s="42" t="e">
        <f t="shared" si="4"/>
        <v>#NUM!</v>
      </c>
      <c r="E67" s="42" t="e">
        <f t="shared" si="0"/>
        <v>#NUM!</v>
      </c>
      <c r="F67" s="42"/>
      <c r="G67" s="42" t="e">
        <f t="shared" si="1"/>
        <v>#NUM!</v>
      </c>
      <c r="H67" s="42">
        <f t="shared" si="5"/>
        <v>0</v>
      </c>
      <c r="I67" s="42" t="e">
        <f t="shared" si="2"/>
        <v>#NUM!</v>
      </c>
      <c r="J67" s="48" t="e">
        <f t="shared" si="3"/>
        <v>#NUM!</v>
      </c>
    </row>
    <row r="68" spans="1:10" outlineLevel="1">
      <c r="A68" s="20">
        <v>5</v>
      </c>
      <c r="C68" s="20">
        <v>55</v>
      </c>
      <c r="D68" s="42" t="e">
        <f t="shared" si="4"/>
        <v>#NUM!</v>
      </c>
      <c r="E68" s="42" t="e">
        <f t="shared" si="0"/>
        <v>#NUM!</v>
      </c>
      <c r="F68" s="42"/>
      <c r="G68" s="42" t="e">
        <f t="shared" si="1"/>
        <v>#NUM!</v>
      </c>
      <c r="H68" s="42">
        <f t="shared" si="5"/>
        <v>0</v>
      </c>
      <c r="I68" s="42" t="e">
        <f t="shared" si="2"/>
        <v>#NUM!</v>
      </c>
      <c r="J68" s="48" t="e">
        <f t="shared" si="3"/>
        <v>#NUM!</v>
      </c>
    </row>
    <row r="69" spans="1:10" outlineLevel="1">
      <c r="A69" s="20">
        <v>5</v>
      </c>
      <c r="C69" s="20">
        <v>56</v>
      </c>
      <c r="D69" s="42" t="e">
        <f t="shared" si="4"/>
        <v>#NUM!</v>
      </c>
      <c r="E69" s="42" t="e">
        <f t="shared" si="0"/>
        <v>#NUM!</v>
      </c>
      <c r="F69" s="42"/>
      <c r="G69" s="42" t="e">
        <f t="shared" si="1"/>
        <v>#NUM!</v>
      </c>
      <c r="H69" s="42">
        <f t="shared" si="5"/>
        <v>0</v>
      </c>
      <c r="I69" s="42" t="e">
        <f t="shared" si="2"/>
        <v>#NUM!</v>
      </c>
      <c r="J69" s="48" t="e">
        <f t="shared" si="3"/>
        <v>#NUM!</v>
      </c>
    </row>
    <row r="70" spans="1:10" outlineLevel="1">
      <c r="A70" s="20">
        <v>5</v>
      </c>
      <c r="C70" s="20">
        <v>57</v>
      </c>
      <c r="D70" s="42" t="e">
        <f t="shared" si="4"/>
        <v>#NUM!</v>
      </c>
      <c r="E70" s="42" t="e">
        <f t="shared" si="0"/>
        <v>#NUM!</v>
      </c>
      <c r="F70" s="42"/>
      <c r="G70" s="42" t="e">
        <f t="shared" si="1"/>
        <v>#NUM!</v>
      </c>
      <c r="H70" s="42">
        <f t="shared" si="5"/>
        <v>0</v>
      </c>
      <c r="I70" s="42" t="e">
        <f t="shared" si="2"/>
        <v>#NUM!</v>
      </c>
      <c r="J70" s="48" t="e">
        <f t="shared" si="3"/>
        <v>#NUM!</v>
      </c>
    </row>
    <row r="71" spans="1:10" outlineLevel="1">
      <c r="A71" s="20">
        <v>5</v>
      </c>
      <c r="C71" s="20">
        <v>58</v>
      </c>
      <c r="D71" s="42" t="e">
        <f t="shared" si="4"/>
        <v>#NUM!</v>
      </c>
      <c r="E71" s="42" t="e">
        <f t="shared" si="0"/>
        <v>#NUM!</v>
      </c>
      <c r="F71" s="42"/>
      <c r="G71" s="42" t="e">
        <f t="shared" si="1"/>
        <v>#NUM!</v>
      </c>
      <c r="H71" s="42">
        <f t="shared" si="5"/>
        <v>0</v>
      </c>
      <c r="I71" s="42" t="e">
        <f t="shared" si="2"/>
        <v>#NUM!</v>
      </c>
      <c r="J71" s="48" t="e">
        <f t="shared" si="3"/>
        <v>#NUM!</v>
      </c>
    </row>
    <row r="72" spans="1:10" outlineLevel="1">
      <c r="A72" s="20">
        <v>5</v>
      </c>
      <c r="C72" s="20">
        <v>59</v>
      </c>
      <c r="D72" s="42" t="e">
        <f t="shared" si="4"/>
        <v>#NUM!</v>
      </c>
      <c r="E72" s="42" t="e">
        <f t="shared" si="0"/>
        <v>#NUM!</v>
      </c>
      <c r="F72" s="42"/>
      <c r="G72" s="42" t="e">
        <f t="shared" si="1"/>
        <v>#NUM!</v>
      </c>
      <c r="H72" s="42">
        <f t="shared" si="5"/>
        <v>0</v>
      </c>
      <c r="I72" s="42" t="e">
        <f t="shared" si="2"/>
        <v>#NUM!</v>
      </c>
      <c r="J72" s="48" t="e">
        <f t="shared" si="3"/>
        <v>#NUM!</v>
      </c>
    </row>
    <row r="73" spans="1:10" outlineLevel="1">
      <c r="A73" s="20">
        <v>5</v>
      </c>
      <c r="C73" s="49">
        <v>60</v>
      </c>
      <c r="D73" s="50" t="e">
        <f t="shared" si="4"/>
        <v>#NUM!</v>
      </c>
      <c r="E73" s="50" t="e">
        <f t="shared" si="0"/>
        <v>#NUM!</v>
      </c>
      <c r="F73" s="50"/>
      <c r="G73" s="50" t="e">
        <f t="shared" si="1"/>
        <v>#NUM!</v>
      </c>
      <c r="H73" s="50">
        <f t="shared" si="5"/>
        <v>0</v>
      </c>
      <c r="I73" s="50" t="e">
        <f t="shared" si="2"/>
        <v>#NUM!</v>
      </c>
      <c r="J73" s="51" t="e">
        <f t="shared" si="3"/>
        <v>#NUM!</v>
      </c>
    </row>
    <row r="74" spans="1:10" outlineLevel="1">
      <c r="A74" s="20">
        <v>6</v>
      </c>
      <c r="C74" s="56">
        <v>61</v>
      </c>
      <c r="D74" s="57" t="e">
        <f t="shared" si="4"/>
        <v>#NUM!</v>
      </c>
      <c r="E74" s="57" t="e">
        <f t="shared" si="0"/>
        <v>#NUM!</v>
      </c>
      <c r="F74" s="57"/>
      <c r="G74" s="57" t="e">
        <f t="shared" si="1"/>
        <v>#NUM!</v>
      </c>
      <c r="H74" s="57">
        <f t="shared" si="5"/>
        <v>0</v>
      </c>
      <c r="I74" s="57" t="e">
        <f t="shared" si="2"/>
        <v>#NUM!</v>
      </c>
      <c r="J74" s="48" t="e">
        <f t="shared" si="3"/>
        <v>#NUM!</v>
      </c>
    </row>
    <row r="75" spans="1:10" outlineLevel="1">
      <c r="A75" s="20">
        <v>6</v>
      </c>
      <c r="C75" s="20">
        <v>62</v>
      </c>
      <c r="D75" s="58" t="e">
        <f t="shared" si="4"/>
        <v>#NUM!</v>
      </c>
      <c r="E75" s="58" t="e">
        <f t="shared" si="0"/>
        <v>#NUM!</v>
      </c>
      <c r="F75" s="58"/>
      <c r="G75" s="58" t="e">
        <f t="shared" si="1"/>
        <v>#NUM!</v>
      </c>
      <c r="H75" s="58">
        <f t="shared" si="5"/>
        <v>0</v>
      </c>
      <c r="I75" s="58" t="e">
        <f t="shared" si="2"/>
        <v>#NUM!</v>
      </c>
      <c r="J75" s="48" t="e">
        <f t="shared" si="3"/>
        <v>#NUM!</v>
      </c>
    </row>
    <row r="76" spans="1:10" outlineLevel="1">
      <c r="A76" s="20">
        <v>6</v>
      </c>
      <c r="C76" s="20">
        <v>63</v>
      </c>
      <c r="D76" s="58" t="e">
        <f t="shared" si="4"/>
        <v>#NUM!</v>
      </c>
      <c r="E76" s="58" t="e">
        <f t="shared" si="0"/>
        <v>#NUM!</v>
      </c>
      <c r="F76" s="58"/>
      <c r="G76" s="58" t="e">
        <f t="shared" si="1"/>
        <v>#NUM!</v>
      </c>
      <c r="H76" s="58">
        <f t="shared" si="5"/>
        <v>0</v>
      </c>
      <c r="I76" s="58" t="e">
        <f t="shared" si="2"/>
        <v>#NUM!</v>
      </c>
      <c r="J76" s="48" t="e">
        <f t="shared" si="3"/>
        <v>#NUM!</v>
      </c>
    </row>
    <row r="77" spans="1:10" outlineLevel="1">
      <c r="A77" s="20">
        <v>6</v>
      </c>
      <c r="C77" s="20">
        <v>64</v>
      </c>
      <c r="D77" s="58" t="e">
        <f t="shared" si="4"/>
        <v>#NUM!</v>
      </c>
      <c r="E77" s="58" t="e">
        <f t="shared" si="0"/>
        <v>#NUM!</v>
      </c>
      <c r="F77" s="58"/>
      <c r="G77" s="58" t="e">
        <f t="shared" si="1"/>
        <v>#NUM!</v>
      </c>
      <c r="H77" s="58">
        <f t="shared" si="5"/>
        <v>0</v>
      </c>
      <c r="I77" s="58" t="e">
        <f t="shared" si="2"/>
        <v>#NUM!</v>
      </c>
      <c r="J77" s="48" t="e">
        <f t="shared" si="3"/>
        <v>#NUM!</v>
      </c>
    </row>
    <row r="78" spans="1:10" outlineLevel="1">
      <c r="A78" s="20">
        <v>6</v>
      </c>
      <c r="C78" s="20">
        <v>65</v>
      </c>
      <c r="D78" s="58" t="e">
        <f t="shared" si="4"/>
        <v>#NUM!</v>
      </c>
      <c r="E78" s="58" t="e">
        <f t="shared" ref="E78:E141" si="6">D78*($E$5/12)</f>
        <v>#NUM!</v>
      </c>
      <c r="F78" s="58"/>
      <c r="G78" s="58" t="e">
        <f t="shared" ref="G78:G141" si="7">+I78-H78-E78</f>
        <v>#NUM!</v>
      </c>
      <c r="H78" s="58">
        <f t="shared" si="5"/>
        <v>0</v>
      </c>
      <c r="I78" s="58" t="e">
        <f t="shared" ref="I78:I141" si="8">IF(C78&lt;=$E$6,E78,$E$8)</f>
        <v>#NUM!</v>
      </c>
      <c r="J78" s="48" t="e">
        <f t="shared" ref="J78:J141" si="9">D78-G78-H78</f>
        <v>#NUM!</v>
      </c>
    </row>
    <row r="79" spans="1:10" outlineLevel="1">
      <c r="A79" s="20">
        <v>6</v>
      </c>
      <c r="C79" s="20">
        <v>66</v>
      </c>
      <c r="D79" s="58" t="e">
        <f t="shared" ref="D79:D142" si="10">J78</f>
        <v>#NUM!</v>
      </c>
      <c r="E79" s="58" t="e">
        <f t="shared" si="6"/>
        <v>#NUM!</v>
      </c>
      <c r="F79" s="58"/>
      <c r="G79" s="58" t="e">
        <f t="shared" si="7"/>
        <v>#NUM!</v>
      </c>
      <c r="H79" s="58">
        <f t="shared" ref="H79:H142" si="11">+H78</f>
        <v>0</v>
      </c>
      <c r="I79" s="58" t="e">
        <f t="shared" si="8"/>
        <v>#NUM!</v>
      </c>
      <c r="J79" s="48" t="e">
        <f t="shared" si="9"/>
        <v>#NUM!</v>
      </c>
    </row>
    <row r="80" spans="1:10" outlineLevel="1">
      <c r="A80" s="20">
        <v>6</v>
      </c>
      <c r="C80" s="20">
        <v>67</v>
      </c>
      <c r="D80" s="58" t="e">
        <f t="shared" si="10"/>
        <v>#NUM!</v>
      </c>
      <c r="E80" s="58" t="e">
        <f t="shared" si="6"/>
        <v>#NUM!</v>
      </c>
      <c r="F80" s="58"/>
      <c r="G80" s="58" t="e">
        <f t="shared" si="7"/>
        <v>#NUM!</v>
      </c>
      <c r="H80" s="58">
        <f t="shared" si="11"/>
        <v>0</v>
      </c>
      <c r="I80" s="58" t="e">
        <f t="shared" si="8"/>
        <v>#NUM!</v>
      </c>
      <c r="J80" s="48" t="e">
        <f t="shared" si="9"/>
        <v>#NUM!</v>
      </c>
    </row>
    <row r="81" spans="1:10" outlineLevel="1">
      <c r="A81" s="20">
        <v>6</v>
      </c>
      <c r="C81" s="20">
        <v>68</v>
      </c>
      <c r="D81" s="58" t="e">
        <f t="shared" si="10"/>
        <v>#NUM!</v>
      </c>
      <c r="E81" s="58" t="e">
        <f t="shared" si="6"/>
        <v>#NUM!</v>
      </c>
      <c r="F81" s="58"/>
      <c r="G81" s="58" t="e">
        <f t="shared" si="7"/>
        <v>#NUM!</v>
      </c>
      <c r="H81" s="58">
        <f t="shared" si="11"/>
        <v>0</v>
      </c>
      <c r="I81" s="58" t="e">
        <f t="shared" si="8"/>
        <v>#NUM!</v>
      </c>
      <c r="J81" s="48" t="e">
        <f t="shared" si="9"/>
        <v>#NUM!</v>
      </c>
    </row>
    <row r="82" spans="1:10" outlineLevel="1">
      <c r="A82" s="20">
        <v>6</v>
      </c>
      <c r="C82" s="20">
        <v>69</v>
      </c>
      <c r="D82" s="58" t="e">
        <f t="shared" si="10"/>
        <v>#NUM!</v>
      </c>
      <c r="E82" s="58" t="e">
        <f t="shared" si="6"/>
        <v>#NUM!</v>
      </c>
      <c r="F82" s="58"/>
      <c r="G82" s="58" t="e">
        <f t="shared" si="7"/>
        <v>#NUM!</v>
      </c>
      <c r="H82" s="58">
        <f t="shared" si="11"/>
        <v>0</v>
      </c>
      <c r="I82" s="58" t="e">
        <f t="shared" si="8"/>
        <v>#NUM!</v>
      </c>
      <c r="J82" s="48" t="e">
        <f t="shared" si="9"/>
        <v>#NUM!</v>
      </c>
    </row>
    <row r="83" spans="1:10" outlineLevel="1">
      <c r="A83" s="20">
        <v>6</v>
      </c>
      <c r="C83" s="20">
        <v>70</v>
      </c>
      <c r="D83" s="58" t="e">
        <f t="shared" si="10"/>
        <v>#NUM!</v>
      </c>
      <c r="E83" s="58" t="e">
        <f t="shared" si="6"/>
        <v>#NUM!</v>
      </c>
      <c r="F83" s="58"/>
      <c r="G83" s="58" t="e">
        <f t="shared" si="7"/>
        <v>#NUM!</v>
      </c>
      <c r="H83" s="58">
        <f t="shared" si="11"/>
        <v>0</v>
      </c>
      <c r="I83" s="58" t="e">
        <f t="shared" si="8"/>
        <v>#NUM!</v>
      </c>
      <c r="J83" s="48" t="e">
        <f t="shared" si="9"/>
        <v>#NUM!</v>
      </c>
    </row>
    <row r="84" spans="1:10" outlineLevel="1">
      <c r="A84" s="20">
        <v>6</v>
      </c>
      <c r="C84" s="20">
        <v>71</v>
      </c>
      <c r="D84" s="58" t="e">
        <f t="shared" si="10"/>
        <v>#NUM!</v>
      </c>
      <c r="E84" s="58" t="e">
        <f t="shared" si="6"/>
        <v>#NUM!</v>
      </c>
      <c r="F84" s="58"/>
      <c r="G84" s="58" t="e">
        <f t="shared" si="7"/>
        <v>#NUM!</v>
      </c>
      <c r="H84" s="58">
        <f t="shared" si="11"/>
        <v>0</v>
      </c>
      <c r="I84" s="58" t="e">
        <f t="shared" si="8"/>
        <v>#NUM!</v>
      </c>
      <c r="J84" s="48" t="e">
        <f t="shared" si="9"/>
        <v>#NUM!</v>
      </c>
    </row>
    <row r="85" spans="1:10" outlineLevel="1">
      <c r="A85" s="20">
        <v>6</v>
      </c>
      <c r="C85" s="49">
        <v>72</v>
      </c>
      <c r="D85" s="50" t="e">
        <f t="shared" si="10"/>
        <v>#NUM!</v>
      </c>
      <c r="E85" s="50" t="e">
        <f t="shared" si="6"/>
        <v>#NUM!</v>
      </c>
      <c r="F85" s="50"/>
      <c r="G85" s="50" t="e">
        <f t="shared" si="7"/>
        <v>#NUM!</v>
      </c>
      <c r="H85" s="50">
        <f t="shared" si="11"/>
        <v>0</v>
      </c>
      <c r="I85" s="50" t="e">
        <f t="shared" si="8"/>
        <v>#NUM!</v>
      </c>
      <c r="J85" s="51" t="e">
        <f t="shared" si="9"/>
        <v>#NUM!</v>
      </c>
    </row>
    <row r="86" spans="1:10" outlineLevel="1">
      <c r="A86" s="20">
        <v>7</v>
      </c>
      <c r="C86" s="20">
        <v>73</v>
      </c>
      <c r="D86" s="42" t="e">
        <f t="shared" si="10"/>
        <v>#NUM!</v>
      </c>
      <c r="E86" s="42" t="e">
        <f t="shared" si="6"/>
        <v>#NUM!</v>
      </c>
      <c r="F86" s="42"/>
      <c r="G86" s="42" t="e">
        <f t="shared" si="7"/>
        <v>#NUM!</v>
      </c>
      <c r="H86" s="42">
        <f t="shared" si="11"/>
        <v>0</v>
      </c>
      <c r="I86" s="42" t="e">
        <f t="shared" si="8"/>
        <v>#NUM!</v>
      </c>
      <c r="J86" s="48" t="e">
        <f t="shared" si="9"/>
        <v>#NUM!</v>
      </c>
    </row>
    <row r="87" spans="1:10" ht="15.75" customHeight="1" outlineLevel="1">
      <c r="A87" s="20">
        <v>7</v>
      </c>
      <c r="C87" s="20">
        <v>74</v>
      </c>
      <c r="D87" s="42" t="e">
        <f t="shared" si="10"/>
        <v>#NUM!</v>
      </c>
      <c r="E87" s="42" t="e">
        <f t="shared" si="6"/>
        <v>#NUM!</v>
      </c>
      <c r="F87" s="42"/>
      <c r="G87" s="42" t="e">
        <f t="shared" si="7"/>
        <v>#NUM!</v>
      </c>
      <c r="H87" s="42">
        <f t="shared" si="11"/>
        <v>0</v>
      </c>
      <c r="I87" s="42" t="e">
        <f t="shared" si="8"/>
        <v>#NUM!</v>
      </c>
      <c r="J87" s="48" t="e">
        <f t="shared" si="9"/>
        <v>#NUM!</v>
      </c>
    </row>
    <row r="88" spans="1:10" ht="15.75" customHeight="1" outlineLevel="1">
      <c r="A88" s="20">
        <v>7</v>
      </c>
      <c r="C88" s="20">
        <v>75</v>
      </c>
      <c r="D88" s="42" t="e">
        <f t="shared" si="10"/>
        <v>#NUM!</v>
      </c>
      <c r="E88" s="42" t="e">
        <f t="shared" si="6"/>
        <v>#NUM!</v>
      </c>
      <c r="F88" s="42"/>
      <c r="G88" s="42" t="e">
        <f t="shared" si="7"/>
        <v>#NUM!</v>
      </c>
      <c r="H88" s="42">
        <f t="shared" si="11"/>
        <v>0</v>
      </c>
      <c r="I88" s="42" t="e">
        <f t="shared" si="8"/>
        <v>#NUM!</v>
      </c>
      <c r="J88" s="48" t="e">
        <f t="shared" si="9"/>
        <v>#NUM!</v>
      </c>
    </row>
    <row r="89" spans="1:10" ht="15.75" customHeight="1" outlineLevel="1">
      <c r="A89" s="20">
        <v>7</v>
      </c>
      <c r="C89" s="20">
        <v>76</v>
      </c>
      <c r="D89" s="42" t="e">
        <f t="shared" si="10"/>
        <v>#NUM!</v>
      </c>
      <c r="E89" s="42" t="e">
        <f t="shared" si="6"/>
        <v>#NUM!</v>
      </c>
      <c r="F89" s="42"/>
      <c r="G89" s="42" t="e">
        <f t="shared" si="7"/>
        <v>#NUM!</v>
      </c>
      <c r="H89" s="42">
        <f t="shared" si="11"/>
        <v>0</v>
      </c>
      <c r="I89" s="42" t="e">
        <f t="shared" si="8"/>
        <v>#NUM!</v>
      </c>
      <c r="J89" s="48" t="e">
        <f t="shared" si="9"/>
        <v>#NUM!</v>
      </c>
    </row>
    <row r="90" spans="1:10" ht="15.75" customHeight="1" outlineLevel="1">
      <c r="A90" s="20">
        <v>7</v>
      </c>
      <c r="C90" s="20">
        <v>77</v>
      </c>
      <c r="D90" s="42" t="e">
        <f t="shared" si="10"/>
        <v>#NUM!</v>
      </c>
      <c r="E90" s="42" t="e">
        <f t="shared" si="6"/>
        <v>#NUM!</v>
      </c>
      <c r="F90" s="42"/>
      <c r="G90" s="42" t="e">
        <f t="shared" si="7"/>
        <v>#NUM!</v>
      </c>
      <c r="H90" s="42">
        <f t="shared" si="11"/>
        <v>0</v>
      </c>
      <c r="I90" s="42" t="e">
        <f t="shared" si="8"/>
        <v>#NUM!</v>
      </c>
      <c r="J90" s="48" t="e">
        <f t="shared" si="9"/>
        <v>#NUM!</v>
      </c>
    </row>
    <row r="91" spans="1:10" ht="15.75" customHeight="1" outlineLevel="1">
      <c r="A91" s="20">
        <v>7</v>
      </c>
      <c r="C91" s="20">
        <v>78</v>
      </c>
      <c r="D91" s="42" t="e">
        <f t="shared" si="10"/>
        <v>#NUM!</v>
      </c>
      <c r="E91" s="42" t="e">
        <f t="shared" si="6"/>
        <v>#NUM!</v>
      </c>
      <c r="F91" s="42"/>
      <c r="G91" s="42" t="e">
        <f t="shared" si="7"/>
        <v>#NUM!</v>
      </c>
      <c r="H91" s="42">
        <f t="shared" si="11"/>
        <v>0</v>
      </c>
      <c r="I91" s="42" t="e">
        <f t="shared" si="8"/>
        <v>#NUM!</v>
      </c>
      <c r="J91" s="48" t="e">
        <f t="shared" si="9"/>
        <v>#NUM!</v>
      </c>
    </row>
    <row r="92" spans="1:10" ht="15.75" customHeight="1" outlineLevel="1">
      <c r="A92" s="20">
        <v>7</v>
      </c>
      <c r="C92" s="20">
        <v>79</v>
      </c>
      <c r="D92" s="42" t="e">
        <f t="shared" si="10"/>
        <v>#NUM!</v>
      </c>
      <c r="E92" s="42" t="e">
        <f t="shared" si="6"/>
        <v>#NUM!</v>
      </c>
      <c r="F92" s="42"/>
      <c r="G92" s="42" t="e">
        <f t="shared" si="7"/>
        <v>#NUM!</v>
      </c>
      <c r="H92" s="42">
        <f t="shared" si="11"/>
        <v>0</v>
      </c>
      <c r="I92" s="42" t="e">
        <f t="shared" si="8"/>
        <v>#NUM!</v>
      </c>
      <c r="J92" s="48" t="e">
        <f t="shared" si="9"/>
        <v>#NUM!</v>
      </c>
    </row>
    <row r="93" spans="1:10" ht="15.75" customHeight="1" outlineLevel="1">
      <c r="A93" s="20">
        <v>7</v>
      </c>
      <c r="C93" s="20">
        <v>80</v>
      </c>
      <c r="D93" s="42" t="e">
        <f t="shared" si="10"/>
        <v>#NUM!</v>
      </c>
      <c r="E93" s="42" t="e">
        <f t="shared" si="6"/>
        <v>#NUM!</v>
      </c>
      <c r="F93" s="42"/>
      <c r="G93" s="42" t="e">
        <f t="shared" si="7"/>
        <v>#NUM!</v>
      </c>
      <c r="H93" s="42">
        <f t="shared" si="11"/>
        <v>0</v>
      </c>
      <c r="I93" s="42" t="e">
        <f t="shared" si="8"/>
        <v>#NUM!</v>
      </c>
      <c r="J93" s="48" t="e">
        <f t="shared" si="9"/>
        <v>#NUM!</v>
      </c>
    </row>
    <row r="94" spans="1:10" ht="15.75" customHeight="1" outlineLevel="1">
      <c r="A94" s="20">
        <v>7</v>
      </c>
      <c r="C94" s="20">
        <v>81</v>
      </c>
      <c r="D94" s="42" t="e">
        <f t="shared" si="10"/>
        <v>#NUM!</v>
      </c>
      <c r="E94" s="42" t="e">
        <f t="shared" si="6"/>
        <v>#NUM!</v>
      </c>
      <c r="F94" s="42"/>
      <c r="G94" s="42" t="e">
        <f t="shared" si="7"/>
        <v>#NUM!</v>
      </c>
      <c r="H94" s="42">
        <f t="shared" si="11"/>
        <v>0</v>
      </c>
      <c r="I94" s="42" t="e">
        <f t="shared" si="8"/>
        <v>#NUM!</v>
      </c>
      <c r="J94" s="48" t="e">
        <f t="shared" si="9"/>
        <v>#NUM!</v>
      </c>
    </row>
    <row r="95" spans="1:10" ht="15.75" customHeight="1" outlineLevel="1">
      <c r="A95" s="20">
        <v>7</v>
      </c>
      <c r="C95" s="20">
        <v>82</v>
      </c>
      <c r="D95" s="58" t="e">
        <f t="shared" si="10"/>
        <v>#NUM!</v>
      </c>
      <c r="E95" s="58" t="e">
        <f t="shared" si="6"/>
        <v>#NUM!</v>
      </c>
      <c r="F95" s="58"/>
      <c r="G95" s="58" t="e">
        <f t="shared" si="7"/>
        <v>#NUM!</v>
      </c>
      <c r="H95" s="58">
        <f t="shared" si="11"/>
        <v>0</v>
      </c>
      <c r="I95" s="58" t="e">
        <f t="shared" si="8"/>
        <v>#NUM!</v>
      </c>
      <c r="J95" s="48" t="e">
        <f t="shared" si="9"/>
        <v>#NUM!</v>
      </c>
    </row>
    <row r="96" spans="1:10" ht="15.75" customHeight="1" outlineLevel="1">
      <c r="A96" s="20">
        <v>7</v>
      </c>
      <c r="C96" s="20">
        <v>83</v>
      </c>
      <c r="D96" s="58" t="e">
        <f t="shared" si="10"/>
        <v>#NUM!</v>
      </c>
      <c r="E96" s="58" t="e">
        <f t="shared" si="6"/>
        <v>#NUM!</v>
      </c>
      <c r="F96" s="58"/>
      <c r="G96" s="58" t="e">
        <f t="shared" si="7"/>
        <v>#NUM!</v>
      </c>
      <c r="H96" s="58">
        <f t="shared" si="11"/>
        <v>0</v>
      </c>
      <c r="I96" s="58" t="e">
        <f t="shared" si="8"/>
        <v>#NUM!</v>
      </c>
      <c r="J96" s="48" t="e">
        <f t="shared" si="9"/>
        <v>#NUM!</v>
      </c>
    </row>
    <row r="97" spans="1:10" s="59" customFormat="1" ht="16.5" customHeight="1" outlineLevel="1" thickBot="1">
      <c r="A97" s="20">
        <v>7</v>
      </c>
      <c r="C97" s="49">
        <v>84</v>
      </c>
      <c r="D97" s="50" t="e">
        <f t="shared" si="10"/>
        <v>#NUM!</v>
      </c>
      <c r="E97" s="50" t="e">
        <f t="shared" si="6"/>
        <v>#NUM!</v>
      </c>
      <c r="F97" s="50"/>
      <c r="G97" s="50" t="e">
        <f t="shared" si="7"/>
        <v>#NUM!</v>
      </c>
      <c r="H97" s="50">
        <f t="shared" si="11"/>
        <v>0</v>
      </c>
      <c r="I97" s="50" t="e">
        <f t="shared" si="8"/>
        <v>#NUM!</v>
      </c>
      <c r="J97" s="60" t="e">
        <f t="shared" si="9"/>
        <v>#NUM!</v>
      </c>
    </row>
    <row r="98" spans="1:10" outlineLevel="1">
      <c r="A98" s="20">
        <v>8</v>
      </c>
      <c r="C98" s="20">
        <v>85</v>
      </c>
      <c r="D98" s="42" t="e">
        <f t="shared" si="10"/>
        <v>#NUM!</v>
      </c>
      <c r="E98" s="42" t="e">
        <f t="shared" si="6"/>
        <v>#NUM!</v>
      </c>
      <c r="F98" s="42"/>
      <c r="G98" s="42" t="e">
        <f t="shared" si="7"/>
        <v>#NUM!</v>
      </c>
      <c r="H98" s="42">
        <f t="shared" si="11"/>
        <v>0</v>
      </c>
      <c r="I98" s="42" t="e">
        <f t="shared" si="8"/>
        <v>#NUM!</v>
      </c>
      <c r="J98" s="48" t="e">
        <f t="shared" si="9"/>
        <v>#NUM!</v>
      </c>
    </row>
    <row r="99" spans="1:10" outlineLevel="1">
      <c r="A99" s="20">
        <v>8</v>
      </c>
      <c r="C99" s="20">
        <v>86</v>
      </c>
      <c r="D99" s="42" t="e">
        <f t="shared" si="10"/>
        <v>#NUM!</v>
      </c>
      <c r="E99" s="42" t="e">
        <f t="shared" si="6"/>
        <v>#NUM!</v>
      </c>
      <c r="F99" s="42"/>
      <c r="G99" s="42" t="e">
        <f t="shared" si="7"/>
        <v>#NUM!</v>
      </c>
      <c r="H99" s="42">
        <f t="shared" si="11"/>
        <v>0</v>
      </c>
      <c r="I99" s="42" t="e">
        <f t="shared" si="8"/>
        <v>#NUM!</v>
      </c>
      <c r="J99" s="48" t="e">
        <f t="shared" si="9"/>
        <v>#NUM!</v>
      </c>
    </row>
    <row r="100" spans="1:10" outlineLevel="1">
      <c r="A100" s="20">
        <v>8</v>
      </c>
      <c r="C100" s="20">
        <v>87</v>
      </c>
      <c r="D100" s="42" t="e">
        <f t="shared" si="10"/>
        <v>#NUM!</v>
      </c>
      <c r="E100" s="42" t="e">
        <f t="shared" si="6"/>
        <v>#NUM!</v>
      </c>
      <c r="F100" s="42"/>
      <c r="G100" s="42" t="e">
        <f t="shared" si="7"/>
        <v>#NUM!</v>
      </c>
      <c r="H100" s="42">
        <f t="shared" si="11"/>
        <v>0</v>
      </c>
      <c r="I100" s="42" t="e">
        <f t="shared" si="8"/>
        <v>#NUM!</v>
      </c>
      <c r="J100" s="48" t="e">
        <f t="shared" si="9"/>
        <v>#NUM!</v>
      </c>
    </row>
    <row r="101" spans="1:10" outlineLevel="1">
      <c r="A101" s="20">
        <v>8</v>
      </c>
      <c r="C101" s="20">
        <v>88</v>
      </c>
      <c r="D101" s="42" t="e">
        <f t="shared" si="10"/>
        <v>#NUM!</v>
      </c>
      <c r="E101" s="42" t="e">
        <f t="shared" si="6"/>
        <v>#NUM!</v>
      </c>
      <c r="F101" s="42"/>
      <c r="G101" s="42" t="e">
        <f t="shared" si="7"/>
        <v>#NUM!</v>
      </c>
      <c r="H101" s="42">
        <f t="shared" si="11"/>
        <v>0</v>
      </c>
      <c r="I101" s="42" t="e">
        <f t="shared" si="8"/>
        <v>#NUM!</v>
      </c>
      <c r="J101" s="48" t="e">
        <f t="shared" si="9"/>
        <v>#NUM!</v>
      </c>
    </row>
    <row r="102" spans="1:10" outlineLevel="1">
      <c r="A102" s="20">
        <v>8</v>
      </c>
      <c r="C102" s="20">
        <v>89</v>
      </c>
      <c r="D102" s="42" t="e">
        <f t="shared" si="10"/>
        <v>#NUM!</v>
      </c>
      <c r="E102" s="42" t="e">
        <f t="shared" si="6"/>
        <v>#NUM!</v>
      </c>
      <c r="F102" s="42"/>
      <c r="G102" s="42" t="e">
        <f t="shared" si="7"/>
        <v>#NUM!</v>
      </c>
      <c r="H102" s="42">
        <f t="shared" si="11"/>
        <v>0</v>
      </c>
      <c r="I102" s="42" t="e">
        <f t="shared" si="8"/>
        <v>#NUM!</v>
      </c>
      <c r="J102" s="48" t="e">
        <f t="shared" si="9"/>
        <v>#NUM!</v>
      </c>
    </row>
    <row r="103" spans="1:10" outlineLevel="1">
      <c r="A103" s="20">
        <v>8</v>
      </c>
      <c r="C103" s="20">
        <v>90</v>
      </c>
      <c r="D103" s="42" t="e">
        <f t="shared" si="10"/>
        <v>#NUM!</v>
      </c>
      <c r="E103" s="42" t="e">
        <f t="shared" si="6"/>
        <v>#NUM!</v>
      </c>
      <c r="F103" s="42"/>
      <c r="G103" s="42" t="e">
        <f t="shared" si="7"/>
        <v>#NUM!</v>
      </c>
      <c r="H103" s="42">
        <f t="shared" si="11"/>
        <v>0</v>
      </c>
      <c r="I103" s="42" t="e">
        <f t="shared" si="8"/>
        <v>#NUM!</v>
      </c>
      <c r="J103" s="48" t="e">
        <f t="shared" si="9"/>
        <v>#NUM!</v>
      </c>
    </row>
    <row r="104" spans="1:10" outlineLevel="1">
      <c r="A104" s="20">
        <v>8</v>
      </c>
      <c r="C104" s="20">
        <v>91</v>
      </c>
      <c r="D104" s="42" t="e">
        <f t="shared" si="10"/>
        <v>#NUM!</v>
      </c>
      <c r="E104" s="42" t="e">
        <f t="shared" si="6"/>
        <v>#NUM!</v>
      </c>
      <c r="F104" s="42"/>
      <c r="G104" s="42" t="e">
        <f t="shared" si="7"/>
        <v>#NUM!</v>
      </c>
      <c r="H104" s="42">
        <f t="shared" si="11"/>
        <v>0</v>
      </c>
      <c r="I104" s="42" t="e">
        <f t="shared" si="8"/>
        <v>#NUM!</v>
      </c>
      <c r="J104" s="48" t="e">
        <f t="shared" si="9"/>
        <v>#NUM!</v>
      </c>
    </row>
    <row r="105" spans="1:10" outlineLevel="1">
      <c r="A105" s="20">
        <v>8</v>
      </c>
      <c r="C105" s="20">
        <v>92</v>
      </c>
      <c r="D105" s="42" t="e">
        <f t="shared" si="10"/>
        <v>#NUM!</v>
      </c>
      <c r="E105" s="42" t="e">
        <f t="shared" si="6"/>
        <v>#NUM!</v>
      </c>
      <c r="F105" s="42"/>
      <c r="G105" s="42" t="e">
        <f t="shared" si="7"/>
        <v>#NUM!</v>
      </c>
      <c r="H105" s="42">
        <f t="shared" si="11"/>
        <v>0</v>
      </c>
      <c r="I105" s="42" t="e">
        <f t="shared" si="8"/>
        <v>#NUM!</v>
      </c>
      <c r="J105" s="48" t="e">
        <f t="shared" si="9"/>
        <v>#NUM!</v>
      </c>
    </row>
    <row r="106" spans="1:10" outlineLevel="1">
      <c r="A106" s="20">
        <v>8</v>
      </c>
      <c r="C106" s="20">
        <v>93</v>
      </c>
      <c r="D106" s="42" t="e">
        <f t="shared" si="10"/>
        <v>#NUM!</v>
      </c>
      <c r="E106" s="42" t="e">
        <f t="shared" si="6"/>
        <v>#NUM!</v>
      </c>
      <c r="F106" s="42"/>
      <c r="G106" s="42" t="e">
        <f t="shared" si="7"/>
        <v>#NUM!</v>
      </c>
      <c r="H106" s="42">
        <f t="shared" si="11"/>
        <v>0</v>
      </c>
      <c r="I106" s="42" t="e">
        <f t="shared" si="8"/>
        <v>#NUM!</v>
      </c>
      <c r="J106" s="48" t="e">
        <f t="shared" si="9"/>
        <v>#NUM!</v>
      </c>
    </row>
    <row r="107" spans="1:10" outlineLevel="1">
      <c r="A107" s="20">
        <v>8</v>
      </c>
      <c r="C107" s="20">
        <v>94</v>
      </c>
      <c r="D107" s="42" t="e">
        <f t="shared" si="10"/>
        <v>#NUM!</v>
      </c>
      <c r="E107" s="42" t="e">
        <f t="shared" si="6"/>
        <v>#NUM!</v>
      </c>
      <c r="F107" s="42"/>
      <c r="G107" s="42" t="e">
        <f t="shared" si="7"/>
        <v>#NUM!</v>
      </c>
      <c r="H107" s="42">
        <f t="shared" si="11"/>
        <v>0</v>
      </c>
      <c r="I107" s="42" t="e">
        <f t="shared" si="8"/>
        <v>#NUM!</v>
      </c>
      <c r="J107" s="48" t="e">
        <f t="shared" si="9"/>
        <v>#NUM!</v>
      </c>
    </row>
    <row r="108" spans="1:10" outlineLevel="1">
      <c r="A108" s="20">
        <v>8</v>
      </c>
      <c r="C108" s="20">
        <v>95</v>
      </c>
      <c r="D108" s="42" t="e">
        <f t="shared" si="10"/>
        <v>#NUM!</v>
      </c>
      <c r="E108" s="42" t="e">
        <f t="shared" si="6"/>
        <v>#NUM!</v>
      </c>
      <c r="F108" s="42"/>
      <c r="G108" s="42" t="e">
        <f t="shared" si="7"/>
        <v>#NUM!</v>
      </c>
      <c r="H108" s="42">
        <f t="shared" si="11"/>
        <v>0</v>
      </c>
      <c r="I108" s="42" t="e">
        <f t="shared" si="8"/>
        <v>#NUM!</v>
      </c>
      <c r="J108" s="48" t="e">
        <f t="shared" si="9"/>
        <v>#NUM!</v>
      </c>
    </row>
    <row r="109" spans="1:10" outlineLevel="1">
      <c r="A109" s="20">
        <v>8</v>
      </c>
      <c r="C109" s="44">
        <v>96</v>
      </c>
      <c r="D109" s="61" t="e">
        <f t="shared" si="10"/>
        <v>#NUM!</v>
      </c>
      <c r="E109" s="61" t="e">
        <f t="shared" si="6"/>
        <v>#NUM!</v>
      </c>
      <c r="F109" s="61"/>
      <c r="G109" s="61" t="e">
        <f t="shared" si="7"/>
        <v>#NUM!</v>
      </c>
      <c r="H109" s="61">
        <f t="shared" si="11"/>
        <v>0</v>
      </c>
      <c r="I109" s="61" t="e">
        <f t="shared" si="8"/>
        <v>#NUM!</v>
      </c>
      <c r="J109" s="60" t="e">
        <f t="shared" si="9"/>
        <v>#NUM!</v>
      </c>
    </row>
    <row r="110" spans="1:10" outlineLevel="1">
      <c r="A110" s="20">
        <v>9</v>
      </c>
      <c r="C110" s="20">
        <v>97</v>
      </c>
      <c r="D110" s="42" t="e">
        <f t="shared" si="10"/>
        <v>#NUM!</v>
      </c>
      <c r="E110" s="42" t="e">
        <f t="shared" si="6"/>
        <v>#NUM!</v>
      </c>
      <c r="F110" s="42"/>
      <c r="G110" s="42" t="e">
        <f t="shared" si="7"/>
        <v>#NUM!</v>
      </c>
      <c r="H110" s="42">
        <f t="shared" si="11"/>
        <v>0</v>
      </c>
      <c r="I110" s="42" t="e">
        <f t="shared" si="8"/>
        <v>#NUM!</v>
      </c>
      <c r="J110" s="48" t="e">
        <f t="shared" si="9"/>
        <v>#NUM!</v>
      </c>
    </row>
    <row r="111" spans="1:10" outlineLevel="1">
      <c r="A111" s="20">
        <v>9</v>
      </c>
      <c r="C111" s="20">
        <v>98</v>
      </c>
      <c r="D111" s="42" t="e">
        <f t="shared" si="10"/>
        <v>#NUM!</v>
      </c>
      <c r="E111" s="42" t="e">
        <f t="shared" si="6"/>
        <v>#NUM!</v>
      </c>
      <c r="F111" s="42"/>
      <c r="G111" s="42" t="e">
        <f t="shared" si="7"/>
        <v>#NUM!</v>
      </c>
      <c r="H111" s="42">
        <f t="shared" si="11"/>
        <v>0</v>
      </c>
      <c r="I111" s="42" t="e">
        <f t="shared" si="8"/>
        <v>#NUM!</v>
      </c>
      <c r="J111" s="48" t="e">
        <f t="shared" si="9"/>
        <v>#NUM!</v>
      </c>
    </row>
    <row r="112" spans="1:10" outlineLevel="1">
      <c r="A112" s="20">
        <v>9</v>
      </c>
      <c r="C112" s="20">
        <v>99</v>
      </c>
      <c r="D112" s="42" t="e">
        <f t="shared" si="10"/>
        <v>#NUM!</v>
      </c>
      <c r="E112" s="42" t="e">
        <f t="shared" si="6"/>
        <v>#NUM!</v>
      </c>
      <c r="F112" s="42"/>
      <c r="G112" s="42" t="e">
        <f t="shared" si="7"/>
        <v>#NUM!</v>
      </c>
      <c r="H112" s="42">
        <f t="shared" si="11"/>
        <v>0</v>
      </c>
      <c r="I112" s="42" t="e">
        <f t="shared" si="8"/>
        <v>#NUM!</v>
      </c>
      <c r="J112" s="48" t="e">
        <f t="shared" si="9"/>
        <v>#NUM!</v>
      </c>
    </row>
    <row r="113" spans="1:10" outlineLevel="1">
      <c r="A113" s="20">
        <v>9</v>
      </c>
      <c r="C113" s="20">
        <v>100</v>
      </c>
      <c r="D113" s="42" t="e">
        <f t="shared" si="10"/>
        <v>#NUM!</v>
      </c>
      <c r="E113" s="42" t="e">
        <f t="shared" si="6"/>
        <v>#NUM!</v>
      </c>
      <c r="F113" s="42"/>
      <c r="G113" s="42" t="e">
        <f t="shared" si="7"/>
        <v>#NUM!</v>
      </c>
      <c r="H113" s="42">
        <f t="shared" si="11"/>
        <v>0</v>
      </c>
      <c r="I113" s="42" t="e">
        <f t="shared" si="8"/>
        <v>#NUM!</v>
      </c>
      <c r="J113" s="48" t="e">
        <f t="shared" si="9"/>
        <v>#NUM!</v>
      </c>
    </row>
    <row r="114" spans="1:10" outlineLevel="1">
      <c r="A114" s="20">
        <v>9</v>
      </c>
      <c r="C114" s="20">
        <v>101</v>
      </c>
      <c r="D114" s="42" t="e">
        <f t="shared" si="10"/>
        <v>#NUM!</v>
      </c>
      <c r="E114" s="42" t="e">
        <f t="shared" si="6"/>
        <v>#NUM!</v>
      </c>
      <c r="F114" s="42"/>
      <c r="G114" s="42" t="e">
        <f t="shared" si="7"/>
        <v>#NUM!</v>
      </c>
      <c r="H114" s="42">
        <f t="shared" si="11"/>
        <v>0</v>
      </c>
      <c r="I114" s="42" t="e">
        <f t="shared" si="8"/>
        <v>#NUM!</v>
      </c>
      <c r="J114" s="48" t="e">
        <f t="shared" si="9"/>
        <v>#NUM!</v>
      </c>
    </row>
    <row r="115" spans="1:10" outlineLevel="1">
      <c r="A115" s="20">
        <v>9</v>
      </c>
      <c r="C115" s="20">
        <v>102</v>
      </c>
      <c r="D115" s="42" t="e">
        <f t="shared" si="10"/>
        <v>#NUM!</v>
      </c>
      <c r="E115" s="42" t="e">
        <f t="shared" si="6"/>
        <v>#NUM!</v>
      </c>
      <c r="F115" s="42"/>
      <c r="G115" s="42" t="e">
        <f t="shared" si="7"/>
        <v>#NUM!</v>
      </c>
      <c r="H115" s="42">
        <f t="shared" si="11"/>
        <v>0</v>
      </c>
      <c r="I115" s="42" t="e">
        <f t="shared" si="8"/>
        <v>#NUM!</v>
      </c>
      <c r="J115" s="48" t="e">
        <f t="shared" si="9"/>
        <v>#NUM!</v>
      </c>
    </row>
    <row r="116" spans="1:10" outlineLevel="1">
      <c r="A116" s="20">
        <v>9</v>
      </c>
      <c r="C116" s="20">
        <v>103</v>
      </c>
      <c r="D116" s="42" t="e">
        <f t="shared" si="10"/>
        <v>#NUM!</v>
      </c>
      <c r="E116" s="42" t="e">
        <f t="shared" si="6"/>
        <v>#NUM!</v>
      </c>
      <c r="F116" s="42"/>
      <c r="G116" s="42" t="e">
        <f t="shared" si="7"/>
        <v>#NUM!</v>
      </c>
      <c r="H116" s="42">
        <f t="shared" si="11"/>
        <v>0</v>
      </c>
      <c r="I116" s="42" t="e">
        <f t="shared" si="8"/>
        <v>#NUM!</v>
      </c>
      <c r="J116" s="48" t="e">
        <f t="shared" si="9"/>
        <v>#NUM!</v>
      </c>
    </row>
    <row r="117" spans="1:10" outlineLevel="1">
      <c r="A117" s="20">
        <v>9</v>
      </c>
      <c r="C117" s="20">
        <v>104</v>
      </c>
      <c r="D117" s="42" t="e">
        <f t="shared" si="10"/>
        <v>#NUM!</v>
      </c>
      <c r="E117" s="42" t="e">
        <f t="shared" si="6"/>
        <v>#NUM!</v>
      </c>
      <c r="F117" s="42"/>
      <c r="G117" s="42" t="e">
        <f t="shared" si="7"/>
        <v>#NUM!</v>
      </c>
      <c r="H117" s="42">
        <f t="shared" si="11"/>
        <v>0</v>
      </c>
      <c r="I117" s="42" t="e">
        <f t="shared" si="8"/>
        <v>#NUM!</v>
      </c>
      <c r="J117" s="48" t="e">
        <f t="shared" si="9"/>
        <v>#NUM!</v>
      </c>
    </row>
    <row r="118" spans="1:10" outlineLevel="1">
      <c r="A118" s="20">
        <v>9</v>
      </c>
      <c r="C118" s="20">
        <v>105</v>
      </c>
      <c r="D118" s="42" t="e">
        <f t="shared" si="10"/>
        <v>#NUM!</v>
      </c>
      <c r="E118" s="42" t="e">
        <f t="shared" si="6"/>
        <v>#NUM!</v>
      </c>
      <c r="F118" s="42"/>
      <c r="G118" s="42" t="e">
        <f t="shared" si="7"/>
        <v>#NUM!</v>
      </c>
      <c r="H118" s="42">
        <f t="shared" si="11"/>
        <v>0</v>
      </c>
      <c r="I118" s="42" t="e">
        <f t="shared" si="8"/>
        <v>#NUM!</v>
      </c>
      <c r="J118" s="48" t="e">
        <f t="shared" si="9"/>
        <v>#NUM!</v>
      </c>
    </row>
    <row r="119" spans="1:10" outlineLevel="1">
      <c r="A119" s="20">
        <v>9</v>
      </c>
      <c r="C119" s="20">
        <v>106</v>
      </c>
      <c r="D119" s="42" t="e">
        <f t="shared" si="10"/>
        <v>#NUM!</v>
      </c>
      <c r="E119" s="42" t="e">
        <f t="shared" si="6"/>
        <v>#NUM!</v>
      </c>
      <c r="F119" s="42"/>
      <c r="G119" s="42" t="e">
        <f t="shared" si="7"/>
        <v>#NUM!</v>
      </c>
      <c r="H119" s="42">
        <f t="shared" si="11"/>
        <v>0</v>
      </c>
      <c r="I119" s="42" t="e">
        <f t="shared" si="8"/>
        <v>#NUM!</v>
      </c>
      <c r="J119" s="48" t="e">
        <f t="shared" si="9"/>
        <v>#NUM!</v>
      </c>
    </row>
    <row r="120" spans="1:10" outlineLevel="1">
      <c r="A120" s="20">
        <v>9</v>
      </c>
      <c r="C120" s="20">
        <v>107</v>
      </c>
      <c r="D120" s="42" t="e">
        <f t="shared" si="10"/>
        <v>#NUM!</v>
      </c>
      <c r="E120" s="42" t="e">
        <f t="shared" si="6"/>
        <v>#NUM!</v>
      </c>
      <c r="F120" s="42"/>
      <c r="G120" s="42" t="e">
        <f t="shared" si="7"/>
        <v>#NUM!</v>
      </c>
      <c r="H120" s="42">
        <f t="shared" si="11"/>
        <v>0</v>
      </c>
      <c r="I120" s="42" t="e">
        <f t="shared" si="8"/>
        <v>#NUM!</v>
      </c>
      <c r="J120" s="48" t="e">
        <f t="shared" si="9"/>
        <v>#NUM!</v>
      </c>
    </row>
    <row r="121" spans="1:10" outlineLevel="1">
      <c r="A121" s="20">
        <v>9</v>
      </c>
      <c r="C121" s="49">
        <v>108</v>
      </c>
      <c r="D121" s="50" t="e">
        <f t="shared" si="10"/>
        <v>#NUM!</v>
      </c>
      <c r="E121" s="50" t="e">
        <f t="shared" si="6"/>
        <v>#NUM!</v>
      </c>
      <c r="F121" s="50"/>
      <c r="G121" s="50" t="e">
        <f t="shared" si="7"/>
        <v>#NUM!</v>
      </c>
      <c r="H121" s="50">
        <f t="shared" si="11"/>
        <v>0</v>
      </c>
      <c r="I121" s="50" t="e">
        <f t="shared" si="8"/>
        <v>#NUM!</v>
      </c>
      <c r="J121" s="51" t="e">
        <f t="shared" si="9"/>
        <v>#NUM!</v>
      </c>
    </row>
    <row r="122" spans="1:10" outlineLevel="1">
      <c r="C122" s="20">
        <v>109</v>
      </c>
      <c r="D122" s="42" t="e">
        <f t="shared" si="10"/>
        <v>#NUM!</v>
      </c>
      <c r="E122" s="42" t="e">
        <f t="shared" si="6"/>
        <v>#NUM!</v>
      </c>
      <c r="F122" s="42"/>
      <c r="G122" s="42" t="e">
        <f t="shared" si="7"/>
        <v>#NUM!</v>
      </c>
      <c r="H122" s="42">
        <f t="shared" si="11"/>
        <v>0</v>
      </c>
      <c r="I122" s="42" t="e">
        <f t="shared" si="8"/>
        <v>#NUM!</v>
      </c>
      <c r="J122" s="48" t="e">
        <f t="shared" si="9"/>
        <v>#NUM!</v>
      </c>
    </row>
    <row r="123" spans="1:10" outlineLevel="1">
      <c r="C123" s="20">
        <v>110</v>
      </c>
      <c r="D123" s="42" t="e">
        <f t="shared" si="10"/>
        <v>#NUM!</v>
      </c>
      <c r="E123" s="42" t="e">
        <f t="shared" si="6"/>
        <v>#NUM!</v>
      </c>
      <c r="F123" s="42"/>
      <c r="G123" s="42" t="e">
        <f t="shared" si="7"/>
        <v>#NUM!</v>
      </c>
      <c r="H123" s="42">
        <f t="shared" si="11"/>
        <v>0</v>
      </c>
      <c r="I123" s="42" t="e">
        <f t="shared" si="8"/>
        <v>#NUM!</v>
      </c>
      <c r="J123" s="48" t="e">
        <f t="shared" si="9"/>
        <v>#NUM!</v>
      </c>
    </row>
    <row r="124" spans="1:10" outlineLevel="1">
      <c r="C124" s="20">
        <v>111</v>
      </c>
      <c r="D124" s="42" t="e">
        <f t="shared" si="10"/>
        <v>#NUM!</v>
      </c>
      <c r="E124" s="42" t="e">
        <f t="shared" si="6"/>
        <v>#NUM!</v>
      </c>
      <c r="F124" s="42"/>
      <c r="G124" s="42" t="e">
        <f t="shared" si="7"/>
        <v>#NUM!</v>
      </c>
      <c r="H124" s="42">
        <f t="shared" si="11"/>
        <v>0</v>
      </c>
      <c r="I124" s="42" t="e">
        <f t="shared" si="8"/>
        <v>#NUM!</v>
      </c>
      <c r="J124" s="48" t="e">
        <f t="shared" si="9"/>
        <v>#NUM!</v>
      </c>
    </row>
    <row r="125" spans="1:10" outlineLevel="1">
      <c r="C125" s="20">
        <v>112</v>
      </c>
      <c r="D125" s="42" t="e">
        <f t="shared" si="10"/>
        <v>#NUM!</v>
      </c>
      <c r="E125" s="42" t="e">
        <f t="shared" si="6"/>
        <v>#NUM!</v>
      </c>
      <c r="F125" s="42"/>
      <c r="G125" s="42" t="e">
        <f t="shared" si="7"/>
        <v>#NUM!</v>
      </c>
      <c r="H125" s="42">
        <f t="shared" si="11"/>
        <v>0</v>
      </c>
      <c r="I125" s="42" t="e">
        <f t="shared" si="8"/>
        <v>#NUM!</v>
      </c>
      <c r="J125" s="48" t="e">
        <f t="shared" si="9"/>
        <v>#NUM!</v>
      </c>
    </row>
    <row r="126" spans="1:10" outlineLevel="1">
      <c r="C126" s="20">
        <v>113</v>
      </c>
      <c r="D126" s="42" t="e">
        <f t="shared" si="10"/>
        <v>#NUM!</v>
      </c>
      <c r="E126" s="42" t="e">
        <f t="shared" si="6"/>
        <v>#NUM!</v>
      </c>
      <c r="F126" s="42"/>
      <c r="G126" s="42" t="e">
        <f t="shared" si="7"/>
        <v>#NUM!</v>
      </c>
      <c r="H126" s="42">
        <f t="shared" si="11"/>
        <v>0</v>
      </c>
      <c r="I126" s="42" t="e">
        <f t="shared" si="8"/>
        <v>#NUM!</v>
      </c>
      <c r="J126" s="48" t="e">
        <f t="shared" si="9"/>
        <v>#NUM!</v>
      </c>
    </row>
    <row r="127" spans="1:10" outlineLevel="1">
      <c r="C127" s="20">
        <v>114</v>
      </c>
      <c r="D127" s="42" t="e">
        <f t="shared" si="10"/>
        <v>#NUM!</v>
      </c>
      <c r="E127" s="42" t="e">
        <f t="shared" si="6"/>
        <v>#NUM!</v>
      </c>
      <c r="F127" s="42"/>
      <c r="G127" s="42" t="e">
        <f t="shared" si="7"/>
        <v>#NUM!</v>
      </c>
      <c r="H127" s="42">
        <f t="shared" si="11"/>
        <v>0</v>
      </c>
      <c r="I127" s="42" t="e">
        <f t="shared" si="8"/>
        <v>#NUM!</v>
      </c>
      <c r="J127" s="48" t="e">
        <f t="shared" si="9"/>
        <v>#NUM!</v>
      </c>
    </row>
    <row r="128" spans="1:10" outlineLevel="1">
      <c r="C128" s="20">
        <v>115</v>
      </c>
      <c r="D128" s="42" t="e">
        <f t="shared" si="10"/>
        <v>#NUM!</v>
      </c>
      <c r="E128" s="42" t="e">
        <f t="shared" si="6"/>
        <v>#NUM!</v>
      </c>
      <c r="F128" s="42"/>
      <c r="G128" s="42" t="e">
        <f t="shared" si="7"/>
        <v>#NUM!</v>
      </c>
      <c r="H128" s="42">
        <f t="shared" si="11"/>
        <v>0</v>
      </c>
      <c r="I128" s="42" t="e">
        <f t="shared" si="8"/>
        <v>#NUM!</v>
      </c>
      <c r="J128" s="48" t="e">
        <f t="shared" si="9"/>
        <v>#NUM!</v>
      </c>
    </row>
    <row r="129" spans="3:10" outlineLevel="1">
      <c r="C129" s="20">
        <v>116</v>
      </c>
      <c r="D129" s="42" t="e">
        <f t="shared" si="10"/>
        <v>#NUM!</v>
      </c>
      <c r="E129" s="42" t="e">
        <f t="shared" si="6"/>
        <v>#NUM!</v>
      </c>
      <c r="F129" s="42"/>
      <c r="G129" s="42" t="e">
        <f t="shared" si="7"/>
        <v>#NUM!</v>
      </c>
      <c r="H129" s="42">
        <f t="shared" si="11"/>
        <v>0</v>
      </c>
      <c r="I129" s="42" t="e">
        <f t="shared" si="8"/>
        <v>#NUM!</v>
      </c>
      <c r="J129" s="48" t="e">
        <f t="shared" si="9"/>
        <v>#NUM!</v>
      </c>
    </row>
    <row r="130" spans="3:10" outlineLevel="1">
      <c r="C130" s="20">
        <v>117</v>
      </c>
      <c r="D130" s="42" t="e">
        <f t="shared" si="10"/>
        <v>#NUM!</v>
      </c>
      <c r="E130" s="42" t="e">
        <f t="shared" si="6"/>
        <v>#NUM!</v>
      </c>
      <c r="F130" s="42"/>
      <c r="G130" s="42" t="e">
        <f t="shared" si="7"/>
        <v>#NUM!</v>
      </c>
      <c r="H130" s="42">
        <f t="shared" si="11"/>
        <v>0</v>
      </c>
      <c r="I130" s="42" t="e">
        <f t="shared" si="8"/>
        <v>#NUM!</v>
      </c>
      <c r="J130" s="48" t="e">
        <f t="shared" si="9"/>
        <v>#NUM!</v>
      </c>
    </row>
    <row r="131" spans="3:10" outlineLevel="1">
      <c r="C131" s="20">
        <v>118</v>
      </c>
      <c r="D131" s="42" t="e">
        <f t="shared" si="10"/>
        <v>#NUM!</v>
      </c>
      <c r="E131" s="42" t="e">
        <f t="shared" si="6"/>
        <v>#NUM!</v>
      </c>
      <c r="F131" s="42"/>
      <c r="G131" s="42" t="e">
        <f t="shared" si="7"/>
        <v>#NUM!</v>
      </c>
      <c r="H131" s="42">
        <f t="shared" si="11"/>
        <v>0</v>
      </c>
      <c r="I131" s="42" t="e">
        <f t="shared" si="8"/>
        <v>#NUM!</v>
      </c>
      <c r="J131" s="48" t="e">
        <f t="shared" si="9"/>
        <v>#NUM!</v>
      </c>
    </row>
    <row r="132" spans="3:10" outlineLevel="1">
      <c r="C132" s="20">
        <v>119</v>
      </c>
      <c r="D132" s="42" t="e">
        <f t="shared" si="10"/>
        <v>#NUM!</v>
      </c>
      <c r="E132" s="42" t="e">
        <f t="shared" si="6"/>
        <v>#NUM!</v>
      </c>
      <c r="F132" s="42"/>
      <c r="G132" s="42" t="e">
        <f t="shared" si="7"/>
        <v>#NUM!</v>
      </c>
      <c r="H132" s="42">
        <f t="shared" si="11"/>
        <v>0</v>
      </c>
      <c r="I132" s="42" t="e">
        <f t="shared" si="8"/>
        <v>#NUM!</v>
      </c>
      <c r="J132" s="48" t="e">
        <f t="shared" si="9"/>
        <v>#NUM!</v>
      </c>
    </row>
    <row r="133" spans="3:10" ht="13.5" thickBot="1">
      <c r="C133" s="59">
        <v>120</v>
      </c>
      <c r="D133" s="62" t="e">
        <f t="shared" si="10"/>
        <v>#NUM!</v>
      </c>
      <c r="E133" s="62" t="e">
        <f t="shared" si="6"/>
        <v>#NUM!</v>
      </c>
      <c r="F133" s="62"/>
      <c r="G133" s="62" t="e">
        <f t="shared" si="7"/>
        <v>#NUM!</v>
      </c>
      <c r="H133" s="62">
        <f t="shared" si="11"/>
        <v>0</v>
      </c>
      <c r="I133" s="63" t="e">
        <f t="shared" si="8"/>
        <v>#NUM!</v>
      </c>
      <c r="J133" s="64" t="e">
        <f t="shared" si="9"/>
        <v>#NUM!</v>
      </c>
    </row>
    <row r="134" spans="3:10">
      <c r="C134" s="20">
        <v>121</v>
      </c>
      <c r="D134" s="42" t="e">
        <f t="shared" si="10"/>
        <v>#NUM!</v>
      </c>
      <c r="E134" s="42" t="e">
        <f t="shared" si="6"/>
        <v>#NUM!</v>
      </c>
      <c r="F134" s="42"/>
      <c r="G134" s="42" t="e">
        <f t="shared" si="7"/>
        <v>#NUM!</v>
      </c>
      <c r="H134" s="42">
        <f t="shared" si="11"/>
        <v>0</v>
      </c>
      <c r="I134" s="42" t="e">
        <f t="shared" si="8"/>
        <v>#NUM!</v>
      </c>
      <c r="J134" s="48" t="e">
        <f t="shared" si="9"/>
        <v>#NUM!</v>
      </c>
    </row>
    <row r="135" spans="3:10">
      <c r="C135" s="20">
        <v>122</v>
      </c>
      <c r="D135" s="42" t="e">
        <f t="shared" si="10"/>
        <v>#NUM!</v>
      </c>
      <c r="E135" s="42" t="e">
        <f t="shared" si="6"/>
        <v>#NUM!</v>
      </c>
      <c r="F135" s="42"/>
      <c r="G135" s="42" t="e">
        <f t="shared" si="7"/>
        <v>#NUM!</v>
      </c>
      <c r="H135" s="42">
        <f t="shared" si="11"/>
        <v>0</v>
      </c>
      <c r="I135" s="42" t="e">
        <f t="shared" si="8"/>
        <v>#NUM!</v>
      </c>
      <c r="J135" s="48" t="e">
        <f t="shared" si="9"/>
        <v>#NUM!</v>
      </c>
    </row>
    <row r="136" spans="3:10">
      <c r="C136" s="20">
        <v>123</v>
      </c>
      <c r="D136" s="42" t="e">
        <f t="shared" si="10"/>
        <v>#NUM!</v>
      </c>
      <c r="E136" s="42" t="e">
        <f t="shared" si="6"/>
        <v>#NUM!</v>
      </c>
      <c r="F136" s="42"/>
      <c r="G136" s="42" t="e">
        <f t="shared" si="7"/>
        <v>#NUM!</v>
      </c>
      <c r="H136" s="42">
        <f t="shared" si="11"/>
        <v>0</v>
      </c>
      <c r="I136" s="42" t="e">
        <f t="shared" si="8"/>
        <v>#NUM!</v>
      </c>
      <c r="J136" s="48" t="e">
        <f t="shared" si="9"/>
        <v>#NUM!</v>
      </c>
    </row>
    <row r="137" spans="3:10">
      <c r="C137" s="20">
        <v>124</v>
      </c>
      <c r="D137" s="42" t="e">
        <f t="shared" si="10"/>
        <v>#NUM!</v>
      </c>
      <c r="E137" s="42" t="e">
        <f t="shared" si="6"/>
        <v>#NUM!</v>
      </c>
      <c r="F137" s="42"/>
      <c r="G137" s="42" t="e">
        <f t="shared" si="7"/>
        <v>#NUM!</v>
      </c>
      <c r="H137" s="42">
        <f t="shared" si="11"/>
        <v>0</v>
      </c>
      <c r="I137" s="42" t="e">
        <f t="shared" si="8"/>
        <v>#NUM!</v>
      </c>
      <c r="J137" s="48" t="e">
        <f t="shared" si="9"/>
        <v>#NUM!</v>
      </c>
    </row>
    <row r="138" spans="3:10">
      <c r="C138" s="20">
        <v>125</v>
      </c>
      <c r="D138" s="42" t="e">
        <f t="shared" si="10"/>
        <v>#NUM!</v>
      </c>
      <c r="E138" s="42" t="e">
        <f t="shared" si="6"/>
        <v>#NUM!</v>
      </c>
      <c r="F138" s="42"/>
      <c r="G138" s="42" t="e">
        <f t="shared" si="7"/>
        <v>#NUM!</v>
      </c>
      <c r="H138" s="42">
        <f t="shared" si="11"/>
        <v>0</v>
      </c>
      <c r="I138" s="42" t="e">
        <f t="shared" si="8"/>
        <v>#NUM!</v>
      </c>
      <c r="J138" s="48" t="e">
        <f t="shared" si="9"/>
        <v>#NUM!</v>
      </c>
    </row>
    <row r="139" spans="3:10">
      <c r="C139" s="20">
        <v>126</v>
      </c>
      <c r="D139" s="42" t="e">
        <f t="shared" si="10"/>
        <v>#NUM!</v>
      </c>
      <c r="E139" s="42" t="e">
        <f t="shared" si="6"/>
        <v>#NUM!</v>
      </c>
      <c r="F139" s="42"/>
      <c r="G139" s="42" t="e">
        <f t="shared" si="7"/>
        <v>#NUM!</v>
      </c>
      <c r="H139" s="42">
        <f t="shared" si="11"/>
        <v>0</v>
      </c>
      <c r="I139" s="42" t="e">
        <f t="shared" si="8"/>
        <v>#NUM!</v>
      </c>
      <c r="J139" s="48" t="e">
        <f t="shared" si="9"/>
        <v>#NUM!</v>
      </c>
    </row>
    <row r="140" spans="3:10">
      <c r="C140" s="20">
        <v>127</v>
      </c>
      <c r="D140" s="42" t="e">
        <f t="shared" si="10"/>
        <v>#NUM!</v>
      </c>
      <c r="E140" s="42" t="e">
        <f t="shared" si="6"/>
        <v>#NUM!</v>
      </c>
      <c r="F140" s="42"/>
      <c r="G140" s="42" t="e">
        <f t="shared" si="7"/>
        <v>#NUM!</v>
      </c>
      <c r="H140" s="42">
        <f t="shared" si="11"/>
        <v>0</v>
      </c>
      <c r="I140" s="42" t="e">
        <f t="shared" si="8"/>
        <v>#NUM!</v>
      </c>
      <c r="J140" s="48" t="e">
        <f t="shared" si="9"/>
        <v>#NUM!</v>
      </c>
    </row>
    <row r="141" spans="3:10">
      <c r="C141" s="20">
        <v>128</v>
      </c>
      <c r="D141" s="42" t="e">
        <f t="shared" si="10"/>
        <v>#NUM!</v>
      </c>
      <c r="E141" s="42" t="e">
        <f t="shared" si="6"/>
        <v>#NUM!</v>
      </c>
      <c r="F141" s="42"/>
      <c r="G141" s="42" t="e">
        <f t="shared" si="7"/>
        <v>#NUM!</v>
      </c>
      <c r="H141" s="42">
        <f t="shared" si="11"/>
        <v>0</v>
      </c>
      <c r="I141" s="42" t="e">
        <f t="shared" si="8"/>
        <v>#NUM!</v>
      </c>
      <c r="J141" s="48" t="e">
        <f t="shared" si="9"/>
        <v>#NUM!</v>
      </c>
    </row>
    <row r="142" spans="3:10">
      <c r="C142" s="20">
        <v>129</v>
      </c>
      <c r="D142" s="42" t="e">
        <f t="shared" si="10"/>
        <v>#NUM!</v>
      </c>
      <c r="E142" s="42" t="e">
        <f t="shared" ref="E142:E205" si="12">D142*($E$5/12)</f>
        <v>#NUM!</v>
      </c>
      <c r="F142" s="42"/>
      <c r="G142" s="42" t="e">
        <f t="shared" ref="G142:G205" si="13">+I142-H142-E142</f>
        <v>#NUM!</v>
      </c>
      <c r="H142" s="42">
        <f t="shared" si="11"/>
        <v>0</v>
      </c>
      <c r="I142" s="42" t="e">
        <f t="shared" ref="I142:I205" si="14">IF(C142&lt;=$E$6,E142,$E$8)</f>
        <v>#NUM!</v>
      </c>
      <c r="J142" s="48" t="e">
        <f t="shared" ref="J142:J205" si="15">D142-G142-H142</f>
        <v>#NUM!</v>
      </c>
    </row>
    <row r="143" spans="3:10">
      <c r="C143" s="20">
        <v>130</v>
      </c>
      <c r="D143" s="42" t="e">
        <f t="shared" ref="D143:D206" si="16">J142</f>
        <v>#NUM!</v>
      </c>
      <c r="E143" s="42" t="e">
        <f t="shared" si="12"/>
        <v>#NUM!</v>
      </c>
      <c r="F143" s="42"/>
      <c r="G143" s="42" t="e">
        <f t="shared" si="13"/>
        <v>#NUM!</v>
      </c>
      <c r="H143" s="42">
        <f t="shared" ref="H143:H206" si="17">+H142</f>
        <v>0</v>
      </c>
      <c r="I143" s="42" t="e">
        <f t="shared" si="14"/>
        <v>#NUM!</v>
      </c>
      <c r="J143" s="48" t="e">
        <f t="shared" si="15"/>
        <v>#NUM!</v>
      </c>
    </row>
    <row r="144" spans="3:10">
      <c r="C144" s="20">
        <v>131</v>
      </c>
      <c r="D144" s="42" t="e">
        <f t="shared" si="16"/>
        <v>#NUM!</v>
      </c>
      <c r="E144" s="42" t="e">
        <f t="shared" si="12"/>
        <v>#NUM!</v>
      </c>
      <c r="F144" s="42"/>
      <c r="G144" s="42" t="e">
        <f t="shared" si="13"/>
        <v>#NUM!</v>
      </c>
      <c r="H144" s="42">
        <f t="shared" si="17"/>
        <v>0</v>
      </c>
      <c r="I144" s="42" t="e">
        <f t="shared" si="14"/>
        <v>#NUM!</v>
      </c>
      <c r="J144" s="48" t="e">
        <f t="shared" si="15"/>
        <v>#NUM!</v>
      </c>
    </row>
    <row r="145" spans="3:10">
      <c r="C145" s="20">
        <v>132</v>
      </c>
      <c r="D145" s="42" t="e">
        <f t="shared" si="16"/>
        <v>#NUM!</v>
      </c>
      <c r="E145" s="42" t="e">
        <f t="shared" si="12"/>
        <v>#NUM!</v>
      </c>
      <c r="F145" s="42"/>
      <c r="G145" s="42" t="e">
        <f t="shared" si="13"/>
        <v>#NUM!</v>
      </c>
      <c r="H145" s="42">
        <f t="shared" si="17"/>
        <v>0</v>
      </c>
      <c r="I145" s="42" t="e">
        <f t="shared" si="14"/>
        <v>#NUM!</v>
      </c>
      <c r="J145" s="48" t="e">
        <f t="shared" si="15"/>
        <v>#NUM!</v>
      </c>
    </row>
    <row r="146" spans="3:10">
      <c r="C146" s="20">
        <v>133</v>
      </c>
      <c r="D146" s="42" t="e">
        <f t="shared" si="16"/>
        <v>#NUM!</v>
      </c>
      <c r="E146" s="42" t="e">
        <f t="shared" si="12"/>
        <v>#NUM!</v>
      </c>
      <c r="F146" s="42"/>
      <c r="G146" s="42" t="e">
        <f t="shared" si="13"/>
        <v>#NUM!</v>
      </c>
      <c r="H146" s="42">
        <f t="shared" si="17"/>
        <v>0</v>
      </c>
      <c r="I146" s="42" t="e">
        <f t="shared" si="14"/>
        <v>#NUM!</v>
      </c>
      <c r="J146" s="48" t="e">
        <f t="shared" si="15"/>
        <v>#NUM!</v>
      </c>
    </row>
    <row r="147" spans="3:10">
      <c r="C147" s="20">
        <v>134</v>
      </c>
      <c r="D147" s="42" t="e">
        <f t="shared" si="16"/>
        <v>#NUM!</v>
      </c>
      <c r="E147" s="42" t="e">
        <f t="shared" si="12"/>
        <v>#NUM!</v>
      </c>
      <c r="F147" s="42"/>
      <c r="G147" s="42" t="e">
        <f t="shared" si="13"/>
        <v>#NUM!</v>
      </c>
      <c r="H147" s="42">
        <f t="shared" si="17"/>
        <v>0</v>
      </c>
      <c r="I147" s="42" t="e">
        <f t="shared" si="14"/>
        <v>#NUM!</v>
      </c>
      <c r="J147" s="48" t="e">
        <f t="shared" si="15"/>
        <v>#NUM!</v>
      </c>
    </row>
    <row r="148" spans="3:10">
      <c r="C148" s="20">
        <v>135</v>
      </c>
      <c r="D148" s="42" t="e">
        <f t="shared" si="16"/>
        <v>#NUM!</v>
      </c>
      <c r="E148" s="42" t="e">
        <f t="shared" si="12"/>
        <v>#NUM!</v>
      </c>
      <c r="F148" s="42"/>
      <c r="G148" s="42" t="e">
        <f t="shared" si="13"/>
        <v>#NUM!</v>
      </c>
      <c r="H148" s="42">
        <f t="shared" si="17"/>
        <v>0</v>
      </c>
      <c r="I148" s="42" t="e">
        <f t="shared" si="14"/>
        <v>#NUM!</v>
      </c>
      <c r="J148" s="48" t="e">
        <f t="shared" si="15"/>
        <v>#NUM!</v>
      </c>
    </row>
    <row r="149" spans="3:10">
      <c r="C149" s="20">
        <v>136</v>
      </c>
      <c r="D149" s="42" t="e">
        <f t="shared" si="16"/>
        <v>#NUM!</v>
      </c>
      <c r="E149" s="42" t="e">
        <f t="shared" si="12"/>
        <v>#NUM!</v>
      </c>
      <c r="F149" s="42"/>
      <c r="G149" s="42" t="e">
        <f t="shared" si="13"/>
        <v>#NUM!</v>
      </c>
      <c r="H149" s="42">
        <f t="shared" si="17"/>
        <v>0</v>
      </c>
      <c r="I149" s="42" t="e">
        <f t="shared" si="14"/>
        <v>#NUM!</v>
      </c>
      <c r="J149" s="48" t="e">
        <f t="shared" si="15"/>
        <v>#NUM!</v>
      </c>
    </row>
    <row r="150" spans="3:10">
      <c r="C150" s="20">
        <v>137</v>
      </c>
      <c r="D150" s="42" t="e">
        <f t="shared" si="16"/>
        <v>#NUM!</v>
      </c>
      <c r="E150" s="42" t="e">
        <f t="shared" si="12"/>
        <v>#NUM!</v>
      </c>
      <c r="F150" s="42"/>
      <c r="G150" s="42" t="e">
        <f t="shared" si="13"/>
        <v>#NUM!</v>
      </c>
      <c r="H150" s="42">
        <f t="shared" si="17"/>
        <v>0</v>
      </c>
      <c r="I150" s="42" t="e">
        <f t="shared" si="14"/>
        <v>#NUM!</v>
      </c>
      <c r="J150" s="48" t="e">
        <f t="shared" si="15"/>
        <v>#NUM!</v>
      </c>
    </row>
    <row r="151" spans="3:10">
      <c r="C151" s="20">
        <v>138</v>
      </c>
      <c r="D151" s="42" t="e">
        <f t="shared" si="16"/>
        <v>#NUM!</v>
      </c>
      <c r="E151" s="42" t="e">
        <f t="shared" si="12"/>
        <v>#NUM!</v>
      </c>
      <c r="F151" s="42"/>
      <c r="G151" s="42" t="e">
        <f t="shared" si="13"/>
        <v>#NUM!</v>
      </c>
      <c r="H151" s="42">
        <f t="shared" si="17"/>
        <v>0</v>
      </c>
      <c r="I151" s="42" t="e">
        <f t="shared" si="14"/>
        <v>#NUM!</v>
      </c>
      <c r="J151" s="48" t="e">
        <f t="shared" si="15"/>
        <v>#NUM!</v>
      </c>
    </row>
    <row r="152" spans="3:10">
      <c r="C152" s="20">
        <v>139</v>
      </c>
      <c r="D152" s="42" t="e">
        <f t="shared" si="16"/>
        <v>#NUM!</v>
      </c>
      <c r="E152" s="42" t="e">
        <f t="shared" si="12"/>
        <v>#NUM!</v>
      </c>
      <c r="F152" s="42"/>
      <c r="G152" s="42" t="e">
        <f t="shared" si="13"/>
        <v>#NUM!</v>
      </c>
      <c r="H152" s="42">
        <f t="shared" si="17"/>
        <v>0</v>
      </c>
      <c r="I152" s="42" t="e">
        <f t="shared" si="14"/>
        <v>#NUM!</v>
      </c>
      <c r="J152" s="48" t="e">
        <f t="shared" si="15"/>
        <v>#NUM!</v>
      </c>
    </row>
    <row r="153" spans="3:10">
      <c r="C153" s="20">
        <v>140</v>
      </c>
      <c r="D153" s="42" t="e">
        <f t="shared" si="16"/>
        <v>#NUM!</v>
      </c>
      <c r="E153" s="42" t="e">
        <f t="shared" si="12"/>
        <v>#NUM!</v>
      </c>
      <c r="F153" s="42"/>
      <c r="G153" s="42" t="e">
        <f t="shared" si="13"/>
        <v>#NUM!</v>
      </c>
      <c r="H153" s="42">
        <f t="shared" si="17"/>
        <v>0</v>
      </c>
      <c r="I153" s="42" t="e">
        <f t="shared" si="14"/>
        <v>#NUM!</v>
      </c>
      <c r="J153" s="48" t="e">
        <f t="shared" si="15"/>
        <v>#NUM!</v>
      </c>
    </row>
    <row r="154" spans="3:10">
      <c r="C154" s="20">
        <v>141</v>
      </c>
      <c r="D154" s="42" t="e">
        <f t="shared" si="16"/>
        <v>#NUM!</v>
      </c>
      <c r="E154" s="42" t="e">
        <f t="shared" si="12"/>
        <v>#NUM!</v>
      </c>
      <c r="F154" s="42"/>
      <c r="G154" s="42" t="e">
        <f t="shared" si="13"/>
        <v>#NUM!</v>
      </c>
      <c r="H154" s="42">
        <f t="shared" si="17"/>
        <v>0</v>
      </c>
      <c r="I154" s="42" t="e">
        <f t="shared" si="14"/>
        <v>#NUM!</v>
      </c>
      <c r="J154" s="48" t="e">
        <f t="shared" si="15"/>
        <v>#NUM!</v>
      </c>
    </row>
    <row r="155" spans="3:10">
      <c r="C155" s="20">
        <v>142</v>
      </c>
      <c r="D155" s="42" t="e">
        <f t="shared" si="16"/>
        <v>#NUM!</v>
      </c>
      <c r="E155" s="42" t="e">
        <f t="shared" si="12"/>
        <v>#NUM!</v>
      </c>
      <c r="F155" s="42"/>
      <c r="G155" s="42" t="e">
        <f t="shared" si="13"/>
        <v>#NUM!</v>
      </c>
      <c r="H155" s="42">
        <f t="shared" si="17"/>
        <v>0</v>
      </c>
      <c r="I155" s="42" t="e">
        <f t="shared" si="14"/>
        <v>#NUM!</v>
      </c>
      <c r="J155" s="48" t="e">
        <f t="shared" si="15"/>
        <v>#NUM!</v>
      </c>
    </row>
    <row r="156" spans="3:10">
      <c r="C156" s="20">
        <v>143</v>
      </c>
      <c r="D156" s="42" t="e">
        <f t="shared" si="16"/>
        <v>#NUM!</v>
      </c>
      <c r="E156" s="42" t="e">
        <f t="shared" si="12"/>
        <v>#NUM!</v>
      </c>
      <c r="F156" s="42"/>
      <c r="G156" s="42" t="e">
        <f t="shared" si="13"/>
        <v>#NUM!</v>
      </c>
      <c r="H156" s="42">
        <f t="shared" si="17"/>
        <v>0</v>
      </c>
      <c r="I156" s="42" t="e">
        <f t="shared" si="14"/>
        <v>#NUM!</v>
      </c>
      <c r="J156" s="48" t="e">
        <f t="shared" si="15"/>
        <v>#NUM!</v>
      </c>
    </row>
    <row r="157" spans="3:10">
      <c r="C157" s="20">
        <v>144</v>
      </c>
      <c r="D157" s="42" t="e">
        <f t="shared" si="16"/>
        <v>#NUM!</v>
      </c>
      <c r="E157" s="42" t="e">
        <f t="shared" si="12"/>
        <v>#NUM!</v>
      </c>
      <c r="F157" s="42"/>
      <c r="G157" s="42" t="e">
        <f t="shared" si="13"/>
        <v>#NUM!</v>
      </c>
      <c r="H157" s="42">
        <f t="shared" si="17"/>
        <v>0</v>
      </c>
      <c r="I157" s="42" t="e">
        <f t="shared" si="14"/>
        <v>#NUM!</v>
      </c>
      <c r="J157" s="48" t="e">
        <f t="shared" si="15"/>
        <v>#NUM!</v>
      </c>
    </row>
    <row r="158" spans="3:10">
      <c r="C158" s="20">
        <v>145</v>
      </c>
      <c r="D158" s="42" t="e">
        <f t="shared" si="16"/>
        <v>#NUM!</v>
      </c>
      <c r="E158" s="42" t="e">
        <f t="shared" si="12"/>
        <v>#NUM!</v>
      </c>
      <c r="F158" s="42"/>
      <c r="G158" s="42" t="e">
        <f t="shared" si="13"/>
        <v>#NUM!</v>
      </c>
      <c r="H158" s="42">
        <f t="shared" si="17"/>
        <v>0</v>
      </c>
      <c r="I158" s="42" t="e">
        <f t="shared" si="14"/>
        <v>#NUM!</v>
      </c>
      <c r="J158" s="48" t="e">
        <f t="shared" si="15"/>
        <v>#NUM!</v>
      </c>
    </row>
    <row r="159" spans="3:10">
      <c r="C159" s="20">
        <v>146</v>
      </c>
      <c r="D159" s="42" t="e">
        <f t="shared" si="16"/>
        <v>#NUM!</v>
      </c>
      <c r="E159" s="42" t="e">
        <f t="shared" si="12"/>
        <v>#NUM!</v>
      </c>
      <c r="F159" s="42"/>
      <c r="G159" s="42" t="e">
        <f t="shared" si="13"/>
        <v>#NUM!</v>
      </c>
      <c r="H159" s="42">
        <f t="shared" si="17"/>
        <v>0</v>
      </c>
      <c r="I159" s="42" t="e">
        <f t="shared" si="14"/>
        <v>#NUM!</v>
      </c>
      <c r="J159" s="48" t="e">
        <f t="shared" si="15"/>
        <v>#NUM!</v>
      </c>
    </row>
    <row r="160" spans="3:10">
      <c r="C160" s="20">
        <v>147</v>
      </c>
      <c r="D160" s="42" t="e">
        <f t="shared" si="16"/>
        <v>#NUM!</v>
      </c>
      <c r="E160" s="42" t="e">
        <f t="shared" si="12"/>
        <v>#NUM!</v>
      </c>
      <c r="F160" s="42"/>
      <c r="G160" s="42" t="e">
        <f t="shared" si="13"/>
        <v>#NUM!</v>
      </c>
      <c r="H160" s="42">
        <f t="shared" si="17"/>
        <v>0</v>
      </c>
      <c r="I160" s="42" t="e">
        <f t="shared" si="14"/>
        <v>#NUM!</v>
      </c>
      <c r="J160" s="48" t="e">
        <f t="shared" si="15"/>
        <v>#NUM!</v>
      </c>
    </row>
    <row r="161" spans="3:10">
      <c r="C161" s="20">
        <v>148</v>
      </c>
      <c r="D161" s="42" t="e">
        <f t="shared" si="16"/>
        <v>#NUM!</v>
      </c>
      <c r="E161" s="42" t="e">
        <f t="shared" si="12"/>
        <v>#NUM!</v>
      </c>
      <c r="F161" s="42"/>
      <c r="G161" s="42" t="e">
        <f t="shared" si="13"/>
        <v>#NUM!</v>
      </c>
      <c r="H161" s="42">
        <f t="shared" si="17"/>
        <v>0</v>
      </c>
      <c r="I161" s="42" t="e">
        <f t="shared" si="14"/>
        <v>#NUM!</v>
      </c>
      <c r="J161" s="48" t="e">
        <f t="shared" si="15"/>
        <v>#NUM!</v>
      </c>
    </row>
    <row r="162" spans="3:10">
      <c r="C162" s="20">
        <v>149</v>
      </c>
      <c r="D162" s="42" t="e">
        <f t="shared" si="16"/>
        <v>#NUM!</v>
      </c>
      <c r="E162" s="42" t="e">
        <f t="shared" si="12"/>
        <v>#NUM!</v>
      </c>
      <c r="F162" s="42"/>
      <c r="G162" s="42" t="e">
        <f t="shared" si="13"/>
        <v>#NUM!</v>
      </c>
      <c r="H162" s="42">
        <f t="shared" si="17"/>
        <v>0</v>
      </c>
      <c r="I162" s="42" t="e">
        <f t="shared" si="14"/>
        <v>#NUM!</v>
      </c>
      <c r="J162" s="48" t="e">
        <f t="shared" si="15"/>
        <v>#NUM!</v>
      </c>
    </row>
    <row r="163" spans="3:10">
      <c r="C163" s="20">
        <v>150</v>
      </c>
      <c r="D163" s="42" t="e">
        <f t="shared" si="16"/>
        <v>#NUM!</v>
      </c>
      <c r="E163" s="42" t="e">
        <f t="shared" si="12"/>
        <v>#NUM!</v>
      </c>
      <c r="F163" s="42"/>
      <c r="G163" s="42" t="e">
        <f t="shared" si="13"/>
        <v>#NUM!</v>
      </c>
      <c r="H163" s="42">
        <f t="shared" si="17"/>
        <v>0</v>
      </c>
      <c r="I163" s="42" t="e">
        <f t="shared" si="14"/>
        <v>#NUM!</v>
      </c>
      <c r="J163" s="48" t="e">
        <f t="shared" si="15"/>
        <v>#NUM!</v>
      </c>
    </row>
    <row r="164" spans="3:10">
      <c r="C164" s="20">
        <v>151</v>
      </c>
      <c r="D164" s="42" t="e">
        <f t="shared" si="16"/>
        <v>#NUM!</v>
      </c>
      <c r="E164" s="42" t="e">
        <f t="shared" si="12"/>
        <v>#NUM!</v>
      </c>
      <c r="F164" s="42"/>
      <c r="G164" s="42" t="e">
        <f t="shared" si="13"/>
        <v>#NUM!</v>
      </c>
      <c r="H164" s="42">
        <f t="shared" si="17"/>
        <v>0</v>
      </c>
      <c r="I164" s="42" t="e">
        <f t="shared" si="14"/>
        <v>#NUM!</v>
      </c>
      <c r="J164" s="48" t="e">
        <f t="shared" si="15"/>
        <v>#NUM!</v>
      </c>
    </row>
    <row r="165" spans="3:10">
      <c r="C165" s="20">
        <v>152</v>
      </c>
      <c r="D165" s="42" t="e">
        <f t="shared" si="16"/>
        <v>#NUM!</v>
      </c>
      <c r="E165" s="42" t="e">
        <f t="shared" si="12"/>
        <v>#NUM!</v>
      </c>
      <c r="F165" s="42"/>
      <c r="G165" s="42" t="e">
        <f t="shared" si="13"/>
        <v>#NUM!</v>
      </c>
      <c r="H165" s="42">
        <f t="shared" si="17"/>
        <v>0</v>
      </c>
      <c r="I165" s="42" t="e">
        <f t="shared" si="14"/>
        <v>#NUM!</v>
      </c>
      <c r="J165" s="48" t="e">
        <f t="shared" si="15"/>
        <v>#NUM!</v>
      </c>
    </row>
    <row r="166" spans="3:10">
      <c r="C166" s="20">
        <v>153</v>
      </c>
      <c r="D166" s="42" t="e">
        <f t="shared" si="16"/>
        <v>#NUM!</v>
      </c>
      <c r="E166" s="42" t="e">
        <f t="shared" si="12"/>
        <v>#NUM!</v>
      </c>
      <c r="F166" s="42"/>
      <c r="G166" s="42" t="e">
        <f t="shared" si="13"/>
        <v>#NUM!</v>
      </c>
      <c r="H166" s="42">
        <f t="shared" si="17"/>
        <v>0</v>
      </c>
      <c r="I166" s="42" t="e">
        <f t="shared" si="14"/>
        <v>#NUM!</v>
      </c>
      <c r="J166" s="48" t="e">
        <f t="shared" si="15"/>
        <v>#NUM!</v>
      </c>
    </row>
    <row r="167" spans="3:10">
      <c r="C167" s="20">
        <v>154</v>
      </c>
      <c r="D167" s="42" t="e">
        <f t="shared" si="16"/>
        <v>#NUM!</v>
      </c>
      <c r="E167" s="42" t="e">
        <f t="shared" si="12"/>
        <v>#NUM!</v>
      </c>
      <c r="F167" s="42"/>
      <c r="G167" s="42" t="e">
        <f t="shared" si="13"/>
        <v>#NUM!</v>
      </c>
      <c r="H167" s="42">
        <f t="shared" si="17"/>
        <v>0</v>
      </c>
      <c r="I167" s="42" t="e">
        <f t="shared" si="14"/>
        <v>#NUM!</v>
      </c>
      <c r="J167" s="48" t="e">
        <f t="shared" si="15"/>
        <v>#NUM!</v>
      </c>
    </row>
    <row r="168" spans="3:10">
      <c r="C168" s="20">
        <v>155</v>
      </c>
      <c r="D168" s="42" t="e">
        <f t="shared" si="16"/>
        <v>#NUM!</v>
      </c>
      <c r="E168" s="42" t="e">
        <f t="shared" si="12"/>
        <v>#NUM!</v>
      </c>
      <c r="F168" s="42"/>
      <c r="G168" s="42" t="e">
        <f t="shared" si="13"/>
        <v>#NUM!</v>
      </c>
      <c r="H168" s="42">
        <f t="shared" si="17"/>
        <v>0</v>
      </c>
      <c r="I168" s="42" t="e">
        <f t="shared" si="14"/>
        <v>#NUM!</v>
      </c>
      <c r="J168" s="48" t="e">
        <f t="shared" si="15"/>
        <v>#NUM!</v>
      </c>
    </row>
    <row r="169" spans="3:10">
      <c r="C169" s="20">
        <v>156</v>
      </c>
      <c r="D169" s="42" t="e">
        <f t="shared" si="16"/>
        <v>#NUM!</v>
      </c>
      <c r="E169" s="42" t="e">
        <f t="shared" si="12"/>
        <v>#NUM!</v>
      </c>
      <c r="F169" s="42"/>
      <c r="G169" s="42" t="e">
        <f t="shared" si="13"/>
        <v>#NUM!</v>
      </c>
      <c r="H169" s="42">
        <f t="shared" si="17"/>
        <v>0</v>
      </c>
      <c r="I169" s="42" t="e">
        <f t="shared" si="14"/>
        <v>#NUM!</v>
      </c>
      <c r="J169" s="48" t="e">
        <f t="shared" si="15"/>
        <v>#NUM!</v>
      </c>
    </row>
    <row r="170" spans="3:10">
      <c r="C170" s="20">
        <v>157</v>
      </c>
      <c r="D170" s="42" t="e">
        <f t="shared" si="16"/>
        <v>#NUM!</v>
      </c>
      <c r="E170" s="42" t="e">
        <f t="shared" si="12"/>
        <v>#NUM!</v>
      </c>
      <c r="F170" s="42"/>
      <c r="G170" s="42" t="e">
        <f t="shared" si="13"/>
        <v>#NUM!</v>
      </c>
      <c r="H170" s="42">
        <f t="shared" si="17"/>
        <v>0</v>
      </c>
      <c r="I170" s="42" t="e">
        <f t="shared" si="14"/>
        <v>#NUM!</v>
      </c>
      <c r="J170" s="48" t="e">
        <f t="shared" si="15"/>
        <v>#NUM!</v>
      </c>
    </row>
    <row r="171" spans="3:10">
      <c r="C171" s="20">
        <v>158</v>
      </c>
      <c r="D171" s="42" t="e">
        <f t="shared" si="16"/>
        <v>#NUM!</v>
      </c>
      <c r="E171" s="42" t="e">
        <f t="shared" si="12"/>
        <v>#NUM!</v>
      </c>
      <c r="F171" s="42"/>
      <c r="G171" s="42" t="e">
        <f t="shared" si="13"/>
        <v>#NUM!</v>
      </c>
      <c r="H171" s="42">
        <f t="shared" si="17"/>
        <v>0</v>
      </c>
      <c r="I171" s="42" t="e">
        <f t="shared" si="14"/>
        <v>#NUM!</v>
      </c>
      <c r="J171" s="48" t="e">
        <f t="shared" si="15"/>
        <v>#NUM!</v>
      </c>
    </row>
    <row r="172" spans="3:10">
      <c r="C172" s="20">
        <v>159</v>
      </c>
      <c r="D172" s="42" t="e">
        <f t="shared" si="16"/>
        <v>#NUM!</v>
      </c>
      <c r="E172" s="42" t="e">
        <f t="shared" si="12"/>
        <v>#NUM!</v>
      </c>
      <c r="F172" s="42"/>
      <c r="G172" s="42" t="e">
        <f t="shared" si="13"/>
        <v>#NUM!</v>
      </c>
      <c r="H172" s="42">
        <f t="shared" si="17"/>
        <v>0</v>
      </c>
      <c r="I172" s="42" t="e">
        <f t="shared" si="14"/>
        <v>#NUM!</v>
      </c>
      <c r="J172" s="48" t="e">
        <f t="shared" si="15"/>
        <v>#NUM!</v>
      </c>
    </row>
    <row r="173" spans="3:10">
      <c r="C173" s="20">
        <v>160</v>
      </c>
      <c r="D173" s="42" t="e">
        <f t="shared" si="16"/>
        <v>#NUM!</v>
      </c>
      <c r="E173" s="42" t="e">
        <f t="shared" si="12"/>
        <v>#NUM!</v>
      </c>
      <c r="F173" s="42"/>
      <c r="G173" s="42" t="e">
        <f t="shared" si="13"/>
        <v>#NUM!</v>
      </c>
      <c r="H173" s="42">
        <f t="shared" si="17"/>
        <v>0</v>
      </c>
      <c r="I173" s="42" t="e">
        <f t="shared" si="14"/>
        <v>#NUM!</v>
      </c>
      <c r="J173" s="48" t="e">
        <f t="shared" si="15"/>
        <v>#NUM!</v>
      </c>
    </row>
    <row r="174" spans="3:10">
      <c r="C174" s="20">
        <v>161</v>
      </c>
      <c r="D174" s="42" t="e">
        <f t="shared" si="16"/>
        <v>#NUM!</v>
      </c>
      <c r="E174" s="42" t="e">
        <f t="shared" si="12"/>
        <v>#NUM!</v>
      </c>
      <c r="F174" s="42"/>
      <c r="G174" s="42" t="e">
        <f t="shared" si="13"/>
        <v>#NUM!</v>
      </c>
      <c r="H174" s="42">
        <f t="shared" si="17"/>
        <v>0</v>
      </c>
      <c r="I174" s="42" t="e">
        <f t="shared" si="14"/>
        <v>#NUM!</v>
      </c>
      <c r="J174" s="48" t="e">
        <f t="shared" si="15"/>
        <v>#NUM!</v>
      </c>
    </row>
    <row r="175" spans="3:10">
      <c r="C175" s="20">
        <v>162</v>
      </c>
      <c r="D175" s="42" t="e">
        <f t="shared" si="16"/>
        <v>#NUM!</v>
      </c>
      <c r="E175" s="42" t="e">
        <f t="shared" si="12"/>
        <v>#NUM!</v>
      </c>
      <c r="F175" s="42"/>
      <c r="G175" s="42" t="e">
        <f t="shared" si="13"/>
        <v>#NUM!</v>
      </c>
      <c r="H175" s="42">
        <f t="shared" si="17"/>
        <v>0</v>
      </c>
      <c r="I175" s="42" t="e">
        <f t="shared" si="14"/>
        <v>#NUM!</v>
      </c>
      <c r="J175" s="48" t="e">
        <f t="shared" si="15"/>
        <v>#NUM!</v>
      </c>
    </row>
    <row r="176" spans="3:10">
      <c r="C176" s="20">
        <v>163</v>
      </c>
      <c r="D176" s="42" t="e">
        <f t="shared" si="16"/>
        <v>#NUM!</v>
      </c>
      <c r="E176" s="42" t="e">
        <f t="shared" si="12"/>
        <v>#NUM!</v>
      </c>
      <c r="F176" s="42"/>
      <c r="G176" s="42" t="e">
        <f t="shared" si="13"/>
        <v>#NUM!</v>
      </c>
      <c r="H176" s="42">
        <f t="shared" si="17"/>
        <v>0</v>
      </c>
      <c r="I176" s="42" t="e">
        <f t="shared" si="14"/>
        <v>#NUM!</v>
      </c>
      <c r="J176" s="48" t="e">
        <f t="shared" si="15"/>
        <v>#NUM!</v>
      </c>
    </row>
    <row r="177" spans="3:10">
      <c r="C177" s="20">
        <v>164</v>
      </c>
      <c r="D177" s="42" t="e">
        <f t="shared" si="16"/>
        <v>#NUM!</v>
      </c>
      <c r="E177" s="42" t="e">
        <f t="shared" si="12"/>
        <v>#NUM!</v>
      </c>
      <c r="F177" s="42"/>
      <c r="G177" s="42" t="e">
        <f t="shared" si="13"/>
        <v>#NUM!</v>
      </c>
      <c r="H177" s="42">
        <f t="shared" si="17"/>
        <v>0</v>
      </c>
      <c r="I177" s="42" t="e">
        <f t="shared" si="14"/>
        <v>#NUM!</v>
      </c>
      <c r="J177" s="48" t="e">
        <f t="shared" si="15"/>
        <v>#NUM!</v>
      </c>
    </row>
    <row r="178" spans="3:10">
      <c r="C178" s="20">
        <v>165</v>
      </c>
      <c r="D178" s="42" t="e">
        <f t="shared" si="16"/>
        <v>#NUM!</v>
      </c>
      <c r="E178" s="42" t="e">
        <f t="shared" si="12"/>
        <v>#NUM!</v>
      </c>
      <c r="F178" s="42"/>
      <c r="G178" s="42" t="e">
        <f t="shared" si="13"/>
        <v>#NUM!</v>
      </c>
      <c r="H178" s="42">
        <f t="shared" si="17"/>
        <v>0</v>
      </c>
      <c r="I178" s="42" t="e">
        <f t="shared" si="14"/>
        <v>#NUM!</v>
      </c>
      <c r="J178" s="48" t="e">
        <f t="shared" si="15"/>
        <v>#NUM!</v>
      </c>
    </row>
    <row r="179" spans="3:10">
      <c r="C179" s="20">
        <v>166</v>
      </c>
      <c r="D179" s="42" t="e">
        <f t="shared" si="16"/>
        <v>#NUM!</v>
      </c>
      <c r="E179" s="42" t="e">
        <f t="shared" si="12"/>
        <v>#NUM!</v>
      </c>
      <c r="F179" s="42"/>
      <c r="G179" s="42" t="e">
        <f t="shared" si="13"/>
        <v>#NUM!</v>
      </c>
      <c r="H179" s="42">
        <f t="shared" si="17"/>
        <v>0</v>
      </c>
      <c r="I179" s="42" t="e">
        <f t="shared" si="14"/>
        <v>#NUM!</v>
      </c>
      <c r="J179" s="48" t="e">
        <f t="shared" si="15"/>
        <v>#NUM!</v>
      </c>
    </row>
    <row r="180" spans="3:10">
      <c r="C180" s="20">
        <v>167</v>
      </c>
      <c r="D180" s="42" t="e">
        <f t="shared" si="16"/>
        <v>#NUM!</v>
      </c>
      <c r="E180" s="42" t="e">
        <f t="shared" si="12"/>
        <v>#NUM!</v>
      </c>
      <c r="F180" s="42"/>
      <c r="G180" s="42" t="e">
        <f t="shared" si="13"/>
        <v>#NUM!</v>
      </c>
      <c r="H180" s="42">
        <f t="shared" si="17"/>
        <v>0</v>
      </c>
      <c r="I180" s="42" t="e">
        <f t="shared" si="14"/>
        <v>#NUM!</v>
      </c>
      <c r="J180" s="48" t="e">
        <f t="shared" si="15"/>
        <v>#NUM!</v>
      </c>
    </row>
    <row r="181" spans="3:10">
      <c r="C181" s="20">
        <v>168</v>
      </c>
      <c r="D181" s="42" t="e">
        <f t="shared" si="16"/>
        <v>#NUM!</v>
      </c>
      <c r="E181" s="42" t="e">
        <f t="shared" si="12"/>
        <v>#NUM!</v>
      </c>
      <c r="F181" s="42"/>
      <c r="G181" s="42" t="e">
        <f t="shared" si="13"/>
        <v>#NUM!</v>
      </c>
      <c r="H181" s="42">
        <f t="shared" si="17"/>
        <v>0</v>
      </c>
      <c r="I181" s="42" t="e">
        <f t="shared" si="14"/>
        <v>#NUM!</v>
      </c>
      <c r="J181" s="48" t="e">
        <f t="shared" si="15"/>
        <v>#NUM!</v>
      </c>
    </row>
    <row r="182" spans="3:10">
      <c r="C182" s="20">
        <v>169</v>
      </c>
      <c r="D182" s="42" t="e">
        <f t="shared" si="16"/>
        <v>#NUM!</v>
      </c>
      <c r="E182" s="42" t="e">
        <f t="shared" si="12"/>
        <v>#NUM!</v>
      </c>
      <c r="F182" s="42"/>
      <c r="G182" s="42" t="e">
        <f t="shared" si="13"/>
        <v>#NUM!</v>
      </c>
      <c r="H182" s="42">
        <f t="shared" si="17"/>
        <v>0</v>
      </c>
      <c r="I182" s="42" t="e">
        <f t="shared" si="14"/>
        <v>#NUM!</v>
      </c>
      <c r="J182" s="48" t="e">
        <f t="shared" si="15"/>
        <v>#NUM!</v>
      </c>
    </row>
    <row r="183" spans="3:10">
      <c r="C183" s="20">
        <v>170</v>
      </c>
      <c r="D183" s="42" t="e">
        <f t="shared" si="16"/>
        <v>#NUM!</v>
      </c>
      <c r="E183" s="42" t="e">
        <f t="shared" si="12"/>
        <v>#NUM!</v>
      </c>
      <c r="F183" s="42"/>
      <c r="G183" s="42" t="e">
        <f t="shared" si="13"/>
        <v>#NUM!</v>
      </c>
      <c r="H183" s="42">
        <f t="shared" si="17"/>
        <v>0</v>
      </c>
      <c r="I183" s="42" t="e">
        <f t="shared" si="14"/>
        <v>#NUM!</v>
      </c>
      <c r="J183" s="48" t="e">
        <f t="shared" si="15"/>
        <v>#NUM!</v>
      </c>
    </row>
    <row r="184" spans="3:10">
      <c r="C184" s="20">
        <v>171</v>
      </c>
      <c r="D184" s="42" t="e">
        <f t="shared" si="16"/>
        <v>#NUM!</v>
      </c>
      <c r="E184" s="42" t="e">
        <f t="shared" si="12"/>
        <v>#NUM!</v>
      </c>
      <c r="F184" s="42"/>
      <c r="G184" s="42" t="e">
        <f t="shared" si="13"/>
        <v>#NUM!</v>
      </c>
      <c r="H184" s="42">
        <f t="shared" si="17"/>
        <v>0</v>
      </c>
      <c r="I184" s="42" t="e">
        <f t="shared" si="14"/>
        <v>#NUM!</v>
      </c>
      <c r="J184" s="48" t="e">
        <f t="shared" si="15"/>
        <v>#NUM!</v>
      </c>
    </row>
    <row r="185" spans="3:10">
      <c r="C185" s="20">
        <v>172</v>
      </c>
      <c r="D185" s="42" t="e">
        <f t="shared" si="16"/>
        <v>#NUM!</v>
      </c>
      <c r="E185" s="42" t="e">
        <f t="shared" si="12"/>
        <v>#NUM!</v>
      </c>
      <c r="F185" s="42"/>
      <c r="G185" s="42" t="e">
        <f t="shared" si="13"/>
        <v>#NUM!</v>
      </c>
      <c r="H185" s="42">
        <f t="shared" si="17"/>
        <v>0</v>
      </c>
      <c r="I185" s="42" t="e">
        <f t="shared" si="14"/>
        <v>#NUM!</v>
      </c>
      <c r="J185" s="48" t="e">
        <f t="shared" si="15"/>
        <v>#NUM!</v>
      </c>
    </row>
    <row r="186" spans="3:10">
      <c r="C186" s="20">
        <v>173</v>
      </c>
      <c r="D186" s="42" t="e">
        <f t="shared" si="16"/>
        <v>#NUM!</v>
      </c>
      <c r="E186" s="42" t="e">
        <f t="shared" si="12"/>
        <v>#NUM!</v>
      </c>
      <c r="F186" s="42"/>
      <c r="G186" s="42" t="e">
        <f t="shared" si="13"/>
        <v>#NUM!</v>
      </c>
      <c r="H186" s="42">
        <f t="shared" si="17"/>
        <v>0</v>
      </c>
      <c r="I186" s="42" t="e">
        <f t="shared" si="14"/>
        <v>#NUM!</v>
      </c>
      <c r="J186" s="48" t="e">
        <f t="shared" si="15"/>
        <v>#NUM!</v>
      </c>
    </row>
    <row r="187" spans="3:10">
      <c r="C187" s="20">
        <v>174</v>
      </c>
      <c r="D187" s="42" t="e">
        <f t="shared" si="16"/>
        <v>#NUM!</v>
      </c>
      <c r="E187" s="42" t="e">
        <f t="shared" si="12"/>
        <v>#NUM!</v>
      </c>
      <c r="F187" s="42"/>
      <c r="G187" s="42" t="e">
        <f t="shared" si="13"/>
        <v>#NUM!</v>
      </c>
      <c r="H187" s="42">
        <f t="shared" si="17"/>
        <v>0</v>
      </c>
      <c r="I187" s="42" t="e">
        <f t="shared" si="14"/>
        <v>#NUM!</v>
      </c>
      <c r="J187" s="48" t="e">
        <f t="shared" si="15"/>
        <v>#NUM!</v>
      </c>
    </row>
    <row r="188" spans="3:10">
      <c r="C188" s="20">
        <v>175</v>
      </c>
      <c r="D188" s="42" t="e">
        <f t="shared" si="16"/>
        <v>#NUM!</v>
      </c>
      <c r="E188" s="42" t="e">
        <f t="shared" si="12"/>
        <v>#NUM!</v>
      </c>
      <c r="F188" s="42"/>
      <c r="G188" s="42" t="e">
        <f t="shared" si="13"/>
        <v>#NUM!</v>
      </c>
      <c r="H188" s="42">
        <f t="shared" si="17"/>
        <v>0</v>
      </c>
      <c r="I188" s="42" t="e">
        <f t="shared" si="14"/>
        <v>#NUM!</v>
      </c>
      <c r="J188" s="48" t="e">
        <f t="shared" si="15"/>
        <v>#NUM!</v>
      </c>
    </row>
    <row r="189" spans="3:10">
      <c r="C189" s="20">
        <v>176</v>
      </c>
      <c r="D189" s="42" t="e">
        <f t="shared" si="16"/>
        <v>#NUM!</v>
      </c>
      <c r="E189" s="42" t="e">
        <f t="shared" si="12"/>
        <v>#NUM!</v>
      </c>
      <c r="F189" s="42"/>
      <c r="G189" s="42" t="e">
        <f t="shared" si="13"/>
        <v>#NUM!</v>
      </c>
      <c r="H189" s="42">
        <f t="shared" si="17"/>
        <v>0</v>
      </c>
      <c r="I189" s="42" t="e">
        <f t="shared" si="14"/>
        <v>#NUM!</v>
      </c>
      <c r="J189" s="48" t="e">
        <f t="shared" si="15"/>
        <v>#NUM!</v>
      </c>
    </row>
    <row r="190" spans="3:10">
      <c r="C190" s="20">
        <v>177</v>
      </c>
      <c r="D190" s="42" t="e">
        <f t="shared" si="16"/>
        <v>#NUM!</v>
      </c>
      <c r="E190" s="42" t="e">
        <f t="shared" si="12"/>
        <v>#NUM!</v>
      </c>
      <c r="F190" s="42"/>
      <c r="G190" s="42" t="e">
        <f t="shared" si="13"/>
        <v>#NUM!</v>
      </c>
      <c r="H190" s="42">
        <f t="shared" si="17"/>
        <v>0</v>
      </c>
      <c r="I190" s="42" t="e">
        <f t="shared" si="14"/>
        <v>#NUM!</v>
      </c>
      <c r="J190" s="48" t="e">
        <f t="shared" si="15"/>
        <v>#NUM!</v>
      </c>
    </row>
    <row r="191" spans="3:10">
      <c r="C191" s="20">
        <v>178</v>
      </c>
      <c r="D191" s="42" t="e">
        <f t="shared" si="16"/>
        <v>#NUM!</v>
      </c>
      <c r="E191" s="42" t="e">
        <f t="shared" si="12"/>
        <v>#NUM!</v>
      </c>
      <c r="F191" s="42"/>
      <c r="G191" s="42" t="e">
        <f t="shared" si="13"/>
        <v>#NUM!</v>
      </c>
      <c r="H191" s="42">
        <f t="shared" si="17"/>
        <v>0</v>
      </c>
      <c r="I191" s="42" t="e">
        <f t="shared" si="14"/>
        <v>#NUM!</v>
      </c>
      <c r="J191" s="48" t="e">
        <f t="shared" si="15"/>
        <v>#NUM!</v>
      </c>
    </row>
    <row r="192" spans="3:10">
      <c r="C192" s="20">
        <v>179</v>
      </c>
      <c r="D192" s="42" t="e">
        <f t="shared" si="16"/>
        <v>#NUM!</v>
      </c>
      <c r="E192" s="42" t="e">
        <f t="shared" si="12"/>
        <v>#NUM!</v>
      </c>
      <c r="F192" s="42"/>
      <c r="G192" s="42" t="e">
        <f t="shared" si="13"/>
        <v>#NUM!</v>
      </c>
      <c r="H192" s="42">
        <f t="shared" si="17"/>
        <v>0</v>
      </c>
      <c r="I192" s="42" t="e">
        <f t="shared" si="14"/>
        <v>#NUM!</v>
      </c>
      <c r="J192" s="48" t="e">
        <f t="shared" si="15"/>
        <v>#NUM!</v>
      </c>
    </row>
    <row r="193" spans="3:10">
      <c r="C193" s="20">
        <v>180</v>
      </c>
      <c r="D193" s="42" t="e">
        <f t="shared" si="16"/>
        <v>#NUM!</v>
      </c>
      <c r="E193" s="42" t="e">
        <f t="shared" si="12"/>
        <v>#NUM!</v>
      </c>
      <c r="F193" s="42"/>
      <c r="G193" s="42" t="e">
        <f t="shared" si="13"/>
        <v>#NUM!</v>
      </c>
      <c r="H193" s="42">
        <f t="shared" si="17"/>
        <v>0</v>
      </c>
      <c r="I193" s="42" t="e">
        <f t="shared" si="14"/>
        <v>#NUM!</v>
      </c>
      <c r="J193" s="48" t="e">
        <f t="shared" si="15"/>
        <v>#NUM!</v>
      </c>
    </row>
    <row r="194" spans="3:10">
      <c r="C194" s="20">
        <v>181</v>
      </c>
      <c r="D194" s="42" t="e">
        <f t="shared" si="16"/>
        <v>#NUM!</v>
      </c>
      <c r="E194" s="42" t="e">
        <f t="shared" si="12"/>
        <v>#NUM!</v>
      </c>
      <c r="F194" s="42"/>
      <c r="G194" s="42" t="e">
        <f t="shared" si="13"/>
        <v>#NUM!</v>
      </c>
      <c r="H194" s="42">
        <f t="shared" si="17"/>
        <v>0</v>
      </c>
      <c r="I194" s="42" t="e">
        <f t="shared" si="14"/>
        <v>#NUM!</v>
      </c>
      <c r="J194" s="48" t="e">
        <f t="shared" si="15"/>
        <v>#NUM!</v>
      </c>
    </row>
    <row r="195" spans="3:10">
      <c r="C195" s="20">
        <v>182</v>
      </c>
      <c r="D195" s="42" t="e">
        <f t="shared" si="16"/>
        <v>#NUM!</v>
      </c>
      <c r="E195" s="42" t="e">
        <f t="shared" si="12"/>
        <v>#NUM!</v>
      </c>
      <c r="F195" s="42"/>
      <c r="G195" s="42" t="e">
        <f t="shared" si="13"/>
        <v>#NUM!</v>
      </c>
      <c r="H195" s="42">
        <f t="shared" si="17"/>
        <v>0</v>
      </c>
      <c r="I195" s="42" t="e">
        <f t="shared" si="14"/>
        <v>#NUM!</v>
      </c>
      <c r="J195" s="48" t="e">
        <f t="shared" si="15"/>
        <v>#NUM!</v>
      </c>
    </row>
    <row r="196" spans="3:10">
      <c r="C196" s="20">
        <v>183</v>
      </c>
      <c r="D196" s="42" t="e">
        <f t="shared" si="16"/>
        <v>#NUM!</v>
      </c>
      <c r="E196" s="42" t="e">
        <f t="shared" si="12"/>
        <v>#NUM!</v>
      </c>
      <c r="F196" s="42"/>
      <c r="G196" s="42" t="e">
        <f t="shared" si="13"/>
        <v>#NUM!</v>
      </c>
      <c r="H196" s="42">
        <f t="shared" si="17"/>
        <v>0</v>
      </c>
      <c r="I196" s="42" t="e">
        <f t="shared" si="14"/>
        <v>#NUM!</v>
      </c>
      <c r="J196" s="48" t="e">
        <f t="shared" si="15"/>
        <v>#NUM!</v>
      </c>
    </row>
    <row r="197" spans="3:10">
      <c r="C197" s="20">
        <v>184</v>
      </c>
      <c r="D197" s="42" t="e">
        <f t="shared" si="16"/>
        <v>#NUM!</v>
      </c>
      <c r="E197" s="42" t="e">
        <f t="shared" si="12"/>
        <v>#NUM!</v>
      </c>
      <c r="F197" s="42"/>
      <c r="G197" s="42" t="e">
        <f t="shared" si="13"/>
        <v>#NUM!</v>
      </c>
      <c r="H197" s="42">
        <f t="shared" si="17"/>
        <v>0</v>
      </c>
      <c r="I197" s="42" t="e">
        <f t="shared" si="14"/>
        <v>#NUM!</v>
      </c>
      <c r="J197" s="48" t="e">
        <f t="shared" si="15"/>
        <v>#NUM!</v>
      </c>
    </row>
    <row r="198" spans="3:10">
      <c r="C198" s="20">
        <v>185</v>
      </c>
      <c r="D198" s="42" t="e">
        <f t="shared" si="16"/>
        <v>#NUM!</v>
      </c>
      <c r="E198" s="42" t="e">
        <f t="shared" si="12"/>
        <v>#NUM!</v>
      </c>
      <c r="F198" s="42"/>
      <c r="G198" s="42" t="e">
        <f t="shared" si="13"/>
        <v>#NUM!</v>
      </c>
      <c r="H198" s="42">
        <f t="shared" si="17"/>
        <v>0</v>
      </c>
      <c r="I198" s="42" t="e">
        <f t="shared" si="14"/>
        <v>#NUM!</v>
      </c>
      <c r="J198" s="48" t="e">
        <f t="shared" si="15"/>
        <v>#NUM!</v>
      </c>
    </row>
    <row r="199" spans="3:10">
      <c r="C199" s="20">
        <v>186</v>
      </c>
      <c r="D199" s="42" t="e">
        <f t="shared" si="16"/>
        <v>#NUM!</v>
      </c>
      <c r="E199" s="42" t="e">
        <f t="shared" si="12"/>
        <v>#NUM!</v>
      </c>
      <c r="F199" s="42"/>
      <c r="G199" s="42" t="e">
        <f t="shared" si="13"/>
        <v>#NUM!</v>
      </c>
      <c r="H199" s="42">
        <f t="shared" si="17"/>
        <v>0</v>
      </c>
      <c r="I199" s="42" t="e">
        <f t="shared" si="14"/>
        <v>#NUM!</v>
      </c>
      <c r="J199" s="48" t="e">
        <f t="shared" si="15"/>
        <v>#NUM!</v>
      </c>
    </row>
    <row r="200" spans="3:10">
      <c r="C200" s="20">
        <v>187</v>
      </c>
      <c r="D200" s="42" t="e">
        <f t="shared" si="16"/>
        <v>#NUM!</v>
      </c>
      <c r="E200" s="42" t="e">
        <f t="shared" si="12"/>
        <v>#NUM!</v>
      </c>
      <c r="F200" s="42"/>
      <c r="G200" s="42" t="e">
        <f t="shared" si="13"/>
        <v>#NUM!</v>
      </c>
      <c r="H200" s="42">
        <f t="shared" si="17"/>
        <v>0</v>
      </c>
      <c r="I200" s="42" t="e">
        <f t="shared" si="14"/>
        <v>#NUM!</v>
      </c>
      <c r="J200" s="48" t="e">
        <f t="shared" si="15"/>
        <v>#NUM!</v>
      </c>
    </row>
    <row r="201" spans="3:10">
      <c r="C201" s="20">
        <v>188</v>
      </c>
      <c r="D201" s="42" t="e">
        <f t="shared" si="16"/>
        <v>#NUM!</v>
      </c>
      <c r="E201" s="42" t="e">
        <f t="shared" si="12"/>
        <v>#NUM!</v>
      </c>
      <c r="F201" s="42"/>
      <c r="G201" s="42" t="e">
        <f t="shared" si="13"/>
        <v>#NUM!</v>
      </c>
      <c r="H201" s="42">
        <f t="shared" si="17"/>
        <v>0</v>
      </c>
      <c r="I201" s="42" t="e">
        <f t="shared" si="14"/>
        <v>#NUM!</v>
      </c>
      <c r="J201" s="48" t="e">
        <f t="shared" si="15"/>
        <v>#NUM!</v>
      </c>
    </row>
    <row r="202" spans="3:10">
      <c r="C202" s="20">
        <v>189</v>
      </c>
      <c r="D202" s="42" t="e">
        <f t="shared" si="16"/>
        <v>#NUM!</v>
      </c>
      <c r="E202" s="42" t="e">
        <f t="shared" si="12"/>
        <v>#NUM!</v>
      </c>
      <c r="F202" s="42"/>
      <c r="G202" s="42" t="e">
        <f t="shared" si="13"/>
        <v>#NUM!</v>
      </c>
      <c r="H202" s="42">
        <f t="shared" si="17"/>
        <v>0</v>
      </c>
      <c r="I202" s="42" t="e">
        <f t="shared" si="14"/>
        <v>#NUM!</v>
      </c>
      <c r="J202" s="48" t="e">
        <f t="shared" si="15"/>
        <v>#NUM!</v>
      </c>
    </row>
    <row r="203" spans="3:10">
      <c r="C203" s="20">
        <v>190</v>
      </c>
      <c r="D203" s="42" t="e">
        <f t="shared" si="16"/>
        <v>#NUM!</v>
      </c>
      <c r="E203" s="42" t="e">
        <f t="shared" si="12"/>
        <v>#NUM!</v>
      </c>
      <c r="F203" s="42"/>
      <c r="G203" s="42" t="e">
        <f t="shared" si="13"/>
        <v>#NUM!</v>
      </c>
      <c r="H203" s="42">
        <f t="shared" si="17"/>
        <v>0</v>
      </c>
      <c r="I203" s="42" t="e">
        <f t="shared" si="14"/>
        <v>#NUM!</v>
      </c>
      <c r="J203" s="48" t="e">
        <f t="shared" si="15"/>
        <v>#NUM!</v>
      </c>
    </row>
    <row r="204" spans="3:10">
      <c r="C204" s="20">
        <v>191</v>
      </c>
      <c r="D204" s="42" t="e">
        <f t="shared" si="16"/>
        <v>#NUM!</v>
      </c>
      <c r="E204" s="42" t="e">
        <f t="shared" si="12"/>
        <v>#NUM!</v>
      </c>
      <c r="F204" s="42"/>
      <c r="G204" s="42" t="e">
        <f t="shared" si="13"/>
        <v>#NUM!</v>
      </c>
      <c r="H204" s="42">
        <f t="shared" si="17"/>
        <v>0</v>
      </c>
      <c r="I204" s="42" t="e">
        <f t="shared" si="14"/>
        <v>#NUM!</v>
      </c>
      <c r="J204" s="48" t="e">
        <f t="shared" si="15"/>
        <v>#NUM!</v>
      </c>
    </row>
    <row r="205" spans="3:10">
      <c r="C205" s="20">
        <v>192</v>
      </c>
      <c r="D205" s="42" t="e">
        <f t="shared" si="16"/>
        <v>#NUM!</v>
      </c>
      <c r="E205" s="42" t="e">
        <f t="shared" si="12"/>
        <v>#NUM!</v>
      </c>
      <c r="F205" s="42"/>
      <c r="G205" s="42" t="e">
        <f t="shared" si="13"/>
        <v>#NUM!</v>
      </c>
      <c r="H205" s="42">
        <f t="shared" si="17"/>
        <v>0</v>
      </c>
      <c r="I205" s="42" t="e">
        <f t="shared" si="14"/>
        <v>#NUM!</v>
      </c>
      <c r="J205" s="48" t="e">
        <f t="shared" si="15"/>
        <v>#NUM!</v>
      </c>
    </row>
    <row r="206" spans="3:10">
      <c r="C206" s="20">
        <v>193</v>
      </c>
      <c r="D206" s="42" t="e">
        <f t="shared" si="16"/>
        <v>#NUM!</v>
      </c>
      <c r="E206" s="42" t="e">
        <f t="shared" ref="E206:E269" si="18">D206*($E$5/12)</f>
        <v>#NUM!</v>
      </c>
      <c r="F206" s="42"/>
      <c r="G206" s="42" t="e">
        <f t="shared" ref="G206:G269" si="19">+I206-H206-E206</f>
        <v>#NUM!</v>
      </c>
      <c r="H206" s="42">
        <f t="shared" si="17"/>
        <v>0</v>
      </c>
      <c r="I206" s="42" t="e">
        <f t="shared" ref="I206:I269" si="20">IF(C206&lt;=$E$6,E206,$E$8)</f>
        <v>#NUM!</v>
      </c>
      <c r="J206" s="48" t="e">
        <f t="shared" ref="J206:J269" si="21">D206-G206-H206</f>
        <v>#NUM!</v>
      </c>
    </row>
    <row r="207" spans="3:10">
      <c r="C207" s="20">
        <v>194</v>
      </c>
      <c r="D207" s="42" t="e">
        <f t="shared" ref="D207:D270" si="22">J206</f>
        <v>#NUM!</v>
      </c>
      <c r="E207" s="42" t="e">
        <f t="shared" si="18"/>
        <v>#NUM!</v>
      </c>
      <c r="F207" s="42"/>
      <c r="G207" s="42" t="e">
        <f t="shared" si="19"/>
        <v>#NUM!</v>
      </c>
      <c r="H207" s="42">
        <f t="shared" ref="H207:H270" si="23">+H206</f>
        <v>0</v>
      </c>
      <c r="I207" s="42" t="e">
        <f t="shared" si="20"/>
        <v>#NUM!</v>
      </c>
      <c r="J207" s="48" t="e">
        <f t="shared" si="21"/>
        <v>#NUM!</v>
      </c>
    </row>
    <row r="208" spans="3:10">
      <c r="C208" s="20">
        <v>195</v>
      </c>
      <c r="D208" s="42" t="e">
        <f t="shared" si="22"/>
        <v>#NUM!</v>
      </c>
      <c r="E208" s="42" t="e">
        <f t="shared" si="18"/>
        <v>#NUM!</v>
      </c>
      <c r="F208" s="42"/>
      <c r="G208" s="42" t="e">
        <f t="shared" si="19"/>
        <v>#NUM!</v>
      </c>
      <c r="H208" s="42">
        <f t="shared" si="23"/>
        <v>0</v>
      </c>
      <c r="I208" s="42" t="e">
        <f t="shared" si="20"/>
        <v>#NUM!</v>
      </c>
      <c r="J208" s="48" t="e">
        <f t="shared" si="21"/>
        <v>#NUM!</v>
      </c>
    </row>
    <row r="209" spans="3:10">
      <c r="C209" s="20">
        <v>196</v>
      </c>
      <c r="D209" s="42" t="e">
        <f t="shared" si="22"/>
        <v>#NUM!</v>
      </c>
      <c r="E209" s="42" t="e">
        <f t="shared" si="18"/>
        <v>#NUM!</v>
      </c>
      <c r="F209" s="42"/>
      <c r="G209" s="42" t="e">
        <f t="shared" si="19"/>
        <v>#NUM!</v>
      </c>
      <c r="H209" s="42">
        <f t="shared" si="23"/>
        <v>0</v>
      </c>
      <c r="I209" s="42" t="e">
        <f t="shared" si="20"/>
        <v>#NUM!</v>
      </c>
      <c r="J209" s="48" t="e">
        <f t="shared" si="21"/>
        <v>#NUM!</v>
      </c>
    </row>
    <row r="210" spans="3:10">
      <c r="C210" s="20">
        <v>197</v>
      </c>
      <c r="D210" s="42" t="e">
        <f t="shared" si="22"/>
        <v>#NUM!</v>
      </c>
      <c r="E210" s="42" t="e">
        <f t="shared" si="18"/>
        <v>#NUM!</v>
      </c>
      <c r="F210" s="42"/>
      <c r="G210" s="42" t="e">
        <f t="shared" si="19"/>
        <v>#NUM!</v>
      </c>
      <c r="H210" s="42">
        <f t="shared" si="23"/>
        <v>0</v>
      </c>
      <c r="I210" s="42" t="e">
        <f t="shared" si="20"/>
        <v>#NUM!</v>
      </c>
      <c r="J210" s="48" t="e">
        <f t="shared" si="21"/>
        <v>#NUM!</v>
      </c>
    </row>
    <row r="211" spans="3:10">
      <c r="C211" s="20">
        <v>198</v>
      </c>
      <c r="D211" s="42" t="e">
        <f t="shared" si="22"/>
        <v>#NUM!</v>
      </c>
      <c r="E211" s="42" t="e">
        <f t="shared" si="18"/>
        <v>#NUM!</v>
      </c>
      <c r="F211" s="42"/>
      <c r="G211" s="42" t="e">
        <f t="shared" si="19"/>
        <v>#NUM!</v>
      </c>
      <c r="H211" s="42">
        <f t="shared" si="23"/>
        <v>0</v>
      </c>
      <c r="I211" s="42" t="e">
        <f t="shared" si="20"/>
        <v>#NUM!</v>
      </c>
      <c r="J211" s="48" t="e">
        <f t="shared" si="21"/>
        <v>#NUM!</v>
      </c>
    </row>
    <row r="212" spans="3:10">
      <c r="C212" s="20">
        <v>199</v>
      </c>
      <c r="D212" s="42" t="e">
        <f t="shared" si="22"/>
        <v>#NUM!</v>
      </c>
      <c r="E212" s="42" t="e">
        <f t="shared" si="18"/>
        <v>#NUM!</v>
      </c>
      <c r="F212" s="42"/>
      <c r="G212" s="42" t="e">
        <f t="shared" si="19"/>
        <v>#NUM!</v>
      </c>
      <c r="H212" s="42">
        <f t="shared" si="23"/>
        <v>0</v>
      </c>
      <c r="I212" s="42" t="e">
        <f t="shared" si="20"/>
        <v>#NUM!</v>
      </c>
      <c r="J212" s="48" t="e">
        <f t="shared" si="21"/>
        <v>#NUM!</v>
      </c>
    </row>
    <row r="213" spans="3:10">
      <c r="C213" s="20">
        <v>200</v>
      </c>
      <c r="D213" s="42" t="e">
        <f t="shared" si="22"/>
        <v>#NUM!</v>
      </c>
      <c r="E213" s="42" t="e">
        <f t="shared" si="18"/>
        <v>#NUM!</v>
      </c>
      <c r="F213" s="42"/>
      <c r="G213" s="42" t="e">
        <f t="shared" si="19"/>
        <v>#NUM!</v>
      </c>
      <c r="H213" s="42">
        <f t="shared" si="23"/>
        <v>0</v>
      </c>
      <c r="I213" s="42" t="e">
        <f t="shared" si="20"/>
        <v>#NUM!</v>
      </c>
      <c r="J213" s="48" t="e">
        <f t="shared" si="21"/>
        <v>#NUM!</v>
      </c>
    </row>
    <row r="214" spans="3:10">
      <c r="C214" s="20">
        <v>201</v>
      </c>
      <c r="D214" s="42" t="e">
        <f t="shared" si="22"/>
        <v>#NUM!</v>
      </c>
      <c r="E214" s="42" t="e">
        <f t="shared" si="18"/>
        <v>#NUM!</v>
      </c>
      <c r="F214" s="42"/>
      <c r="G214" s="42" t="e">
        <f t="shared" si="19"/>
        <v>#NUM!</v>
      </c>
      <c r="H214" s="42">
        <f t="shared" si="23"/>
        <v>0</v>
      </c>
      <c r="I214" s="42" t="e">
        <f t="shared" si="20"/>
        <v>#NUM!</v>
      </c>
      <c r="J214" s="48" t="e">
        <f t="shared" si="21"/>
        <v>#NUM!</v>
      </c>
    </row>
    <row r="215" spans="3:10">
      <c r="C215" s="20">
        <v>202</v>
      </c>
      <c r="D215" s="42" t="e">
        <f t="shared" si="22"/>
        <v>#NUM!</v>
      </c>
      <c r="E215" s="42" t="e">
        <f t="shared" si="18"/>
        <v>#NUM!</v>
      </c>
      <c r="F215" s="42"/>
      <c r="G215" s="42" t="e">
        <f t="shared" si="19"/>
        <v>#NUM!</v>
      </c>
      <c r="H215" s="42">
        <f t="shared" si="23"/>
        <v>0</v>
      </c>
      <c r="I215" s="42" t="e">
        <f t="shared" si="20"/>
        <v>#NUM!</v>
      </c>
      <c r="J215" s="48" t="e">
        <f t="shared" si="21"/>
        <v>#NUM!</v>
      </c>
    </row>
    <row r="216" spans="3:10">
      <c r="C216" s="20">
        <v>203</v>
      </c>
      <c r="D216" s="42" t="e">
        <f t="shared" si="22"/>
        <v>#NUM!</v>
      </c>
      <c r="E216" s="42" t="e">
        <f t="shared" si="18"/>
        <v>#NUM!</v>
      </c>
      <c r="F216" s="42"/>
      <c r="G216" s="42" t="e">
        <f t="shared" si="19"/>
        <v>#NUM!</v>
      </c>
      <c r="H216" s="42">
        <f t="shared" si="23"/>
        <v>0</v>
      </c>
      <c r="I216" s="42" t="e">
        <f t="shared" si="20"/>
        <v>#NUM!</v>
      </c>
      <c r="J216" s="48" t="e">
        <f t="shared" si="21"/>
        <v>#NUM!</v>
      </c>
    </row>
    <row r="217" spans="3:10">
      <c r="C217" s="20">
        <v>204</v>
      </c>
      <c r="D217" s="65" t="e">
        <f t="shared" si="22"/>
        <v>#NUM!</v>
      </c>
      <c r="E217" s="65" t="e">
        <f t="shared" si="18"/>
        <v>#NUM!</v>
      </c>
      <c r="F217" s="65"/>
      <c r="G217" s="65" t="e">
        <f t="shared" si="19"/>
        <v>#NUM!</v>
      </c>
      <c r="H217" s="65">
        <f t="shared" si="23"/>
        <v>0</v>
      </c>
      <c r="I217" s="65" t="e">
        <f t="shared" si="20"/>
        <v>#NUM!</v>
      </c>
      <c r="J217" s="66" t="e">
        <f t="shared" si="21"/>
        <v>#NUM!</v>
      </c>
    </row>
    <row r="218" spans="3:10">
      <c r="C218" s="20">
        <v>205</v>
      </c>
      <c r="D218" s="42" t="e">
        <f t="shared" si="22"/>
        <v>#NUM!</v>
      </c>
      <c r="E218" s="42" t="e">
        <f t="shared" si="18"/>
        <v>#NUM!</v>
      </c>
      <c r="F218" s="42"/>
      <c r="G218" s="42" t="e">
        <f t="shared" si="19"/>
        <v>#NUM!</v>
      </c>
      <c r="H218" s="42">
        <f t="shared" si="23"/>
        <v>0</v>
      </c>
      <c r="I218" s="42" t="e">
        <f t="shared" si="20"/>
        <v>#NUM!</v>
      </c>
      <c r="J218" s="48" t="e">
        <f t="shared" si="21"/>
        <v>#NUM!</v>
      </c>
    </row>
    <row r="219" spans="3:10">
      <c r="C219" s="20">
        <v>206</v>
      </c>
      <c r="D219" s="42" t="e">
        <f t="shared" si="22"/>
        <v>#NUM!</v>
      </c>
      <c r="E219" s="42" t="e">
        <f t="shared" si="18"/>
        <v>#NUM!</v>
      </c>
      <c r="F219" s="42"/>
      <c r="G219" s="42" t="e">
        <f t="shared" si="19"/>
        <v>#NUM!</v>
      </c>
      <c r="H219" s="42">
        <f t="shared" si="23"/>
        <v>0</v>
      </c>
      <c r="I219" s="42" t="e">
        <f t="shared" si="20"/>
        <v>#NUM!</v>
      </c>
      <c r="J219" s="48" t="e">
        <f t="shared" si="21"/>
        <v>#NUM!</v>
      </c>
    </row>
    <row r="220" spans="3:10">
      <c r="C220" s="20">
        <v>207</v>
      </c>
      <c r="D220" s="42" t="e">
        <f t="shared" si="22"/>
        <v>#NUM!</v>
      </c>
      <c r="E220" s="42" t="e">
        <f t="shared" si="18"/>
        <v>#NUM!</v>
      </c>
      <c r="F220" s="42"/>
      <c r="G220" s="42" t="e">
        <f t="shared" si="19"/>
        <v>#NUM!</v>
      </c>
      <c r="H220" s="42">
        <f t="shared" si="23"/>
        <v>0</v>
      </c>
      <c r="I220" s="42" t="e">
        <f t="shared" si="20"/>
        <v>#NUM!</v>
      </c>
      <c r="J220" s="48" t="e">
        <f t="shared" si="21"/>
        <v>#NUM!</v>
      </c>
    </row>
    <row r="221" spans="3:10">
      <c r="C221" s="20">
        <v>208</v>
      </c>
      <c r="D221" s="42" t="e">
        <f t="shared" si="22"/>
        <v>#NUM!</v>
      </c>
      <c r="E221" s="42" t="e">
        <f t="shared" si="18"/>
        <v>#NUM!</v>
      </c>
      <c r="F221" s="42"/>
      <c r="G221" s="42" t="e">
        <f t="shared" si="19"/>
        <v>#NUM!</v>
      </c>
      <c r="H221" s="42">
        <f t="shared" si="23"/>
        <v>0</v>
      </c>
      <c r="I221" s="42" t="e">
        <f t="shared" si="20"/>
        <v>#NUM!</v>
      </c>
      <c r="J221" s="48" t="e">
        <f t="shared" si="21"/>
        <v>#NUM!</v>
      </c>
    </row>
    <row r="222" spans="3:10">
      <c r="C222" s="20">
        <v>209</v>
      </c>
      <c r="D222" s="42" t="e">
        <f t="shared" si="22"/>
        <v>#NUM!</v>
      </c>
      <c r="E222" s="42" t="e">
        <f t="shared" si="18"/>
        <v>#NUM!</v>
      </c>
      <c r="F222" s="42"/>
      <c r="G222" s="42" t="e">
        <f t="shared" si="19"/>
        <v>#NUM!</v>
      </c>
      <c r="H222" s="42">
        <f t="shared" si="23"/>
        <v>0</v>
      </c>
      <c r="I222" s="42" t="e">
        <f t="shared" si="20"/>
        <v>#NUM!</v>
      </c>
      <c r="J222" s="48" t="e">
        <f t="shared" si="21"/>
        <v>#NUM!</v>
      </c>
    </row>
    <row r="223" spans="3:10">
      <c r="C223" s="20">
        <v>210</v>
      </c>
      <c r="D223" s="42" t="e">
        <f t="shared" si="22"/>
        <v>#NUM!</v>
      </c>
      <c r="E223" s="42" t="e">
        <f t="shared" si="18"/>
        <v>#NUM!</v>
      </c>
      <c r="F223" s="42"/>
      <c r="G223" s="42" t="e">
        <f t="shared" si="19"/>
        <v>#NUM!</v>
      </c>
      <c r="H223" s="42">
        <f t="shared" si="23"/>
        <v>0</v>
      </c>
      <c r="I223" s="42" t="e">
        <f t="shared" si="20"/>
        <v>#NUM!</v>
      </c>
      <c r="J223" s="48" t="e">
        <f t="shared" si="21"/>
        <v>#NUM!</v>
      </c>
    </row>
    <row r="224" spans="3:10">
      <c r="C224" s="20">
        <v>211</v>
      </c>
      <c r="D224" s="42" t="e">
        <f t="shared" si="22"/>
        <v>#NUM!</v>
      </c>
      <c r="E224" s="42" t="e">
        <f t="shared" si="18"/>
        <v>#NUM!</v>
      </c>
      <c r="F224" s="42"/>
      <c r="G224" s="42" t="e">
        <f t="shared" si="19"/>
        <v>#NUM!</v>
      </c>
      <c r="H224" s="42">
        <f t="shared" si="23"/>
        <v>0</v>
      </c>
      <c r="I224" s="42" t="e">
        <f t="shared" si="20"/>
        <v>#NUM!</v>
      </c>
      <c r="J224" s="48" t="e">
        <f t="shared" si="21"/>
        <v>#NUM!</v>
      </c>
    </row>
    <row r="225" spans="3:10">
      <c r="C225" s="20">
        <v>212</v>
      </c>
      <c r="D225" s="42" t="e">
        <f t="shared" si="22"/>
        <v>#NUM!</v>
      </c>
      <c r="E225" s="42" t="e">
        <f t="shared" si="18"/>
        <v>#NUM!</v>
      </c>
      <c r="F225" s="42"/>
      <c r="G225" s="42" t="e">
        <f t="shared" si="19"/>
        <v>#NUM!</v>
      </c>
      <c r="H225" s="42">
        <f t="shared" si="23"/>
        <v>0</v>
      </c>
      <c r="I225" s="42" t="e">
        <f t="shared" si="20"/>
        <v>#NUM!</v>
      </c>
      <c r="J225" s="48" t="e">
        <f t="shared" si="21"/>
        <v>#NUM!</v>
      </c>
    </row>
    <row r="226" spans="3:10">
      <c r="C226" s="20">
        <v>213</v>
      </c>
      <c r="D226" s="42" t="e">
        <f t="shared" si="22"/>
        <v>#NUM!</v>
      </c>
      <c r="E226" s="42" t="e">
        <f t="shared" si="18"/>
        <v>#NUM!</v>
      </c>
      <c r="F226" s="42"/>
      <c r="G226" s="42" t="e">
        <f t="shared" si="19"/>
        <v>#NUM!</v>
      </c>
      <c r="H226" s="42">
        <f t="shared" si="23"/>
        <v>0</v>
      </c>
      <c r="I226" s="42" t="e">
        <f t="shared" si="20"/>
        <v>#NUM!</v>
      </c>
      <c r="J226" s="48" t="e">
        <f t="shared" si="21"/>
        <v>#NUM!</v>
      </c>
    </row>
    <row r="227" spans="3:10">
      <c r="C227" s="20">
        <v>214</v>
      </c>
      <c r="D227" s="42" t="e">
        <f t="shared" si="22"/>
        <v>#NUM!</v>
      </c>
      <c r="E227" s="42" t="e">
        <f t="shared" si="18"/>
        <v>#NUM!</v>
      </c>
      <c r="F227" s="42"/>
      <c r="G227" s="42" t="e">
        <f t="shared" si="19"/>
        <v>#NUM!</v>
      </c>
      <c r="H227" s="42">
        <f t="shared" si="23"/>
        <v>0</v>
      </c>
      <c r="I227" s="42" t="e">
        <f t="shared" si="20"/>
        <v>#NUM!</v>
      </c>
      <c r="J227" s="48" t="e">
        <f t="shared" si="21"/>
        <v>#NUM!</v>
      </c>
    </row>
    <row r="228" spans="3:10">
      <c r="C228" s="20">
        <v>215</v>
      </c>
      <c r="D228" s="42" t="e">
        <f t="shared" si="22"/>
        <v>#NUM!</v>
      </c>
      <c r="E228" s="42" t="e">
        <f t="shared" si="18"/>
        <v>#NUM!</v>
      </c>
      <c r="F228" s="42"/>
      <c r="G228" s="42" t="e">
        <f t="shared" si="19"/>
        <v>#NUM!</v>
      </c>
      <c r="H228" s="42">
        <f t="shared" si="23"/>
        <v>0</v>
      </c>
      <c r="I228" s="42" t="e">
        <f t="shared" si="20"/>
        <v>#NUM!</v>
      </c>
      <c r="J228" s="48" t="e">
        <f t="shared" si="21"/>
        <v>#NUM!</v>
      </c>
    </row>
    <row r="229" spans="3:10">
      <c r="C229" s="20">
        <v>216</v>
      </c>
      <c r="D229" s="42" t="e">
        <f t="shared" si="22"/>
        <v>#NUM!</v>
      </c>
      <c r="E229" s="42" t="e">
        <f t="shared" si="18"/>
        <v>#NUM!</v>
      </c>
      <c r="F229" s="42"/>
      <c r="G229" s="42" t="e">
        <f t="shared" si="19"/>
        <v>#NUM!</v>
      </c>
      <c r="H229" s="42">
        <f t="shared" si="23"/>
        <v>0</v>
      </c>
      <c r="I229" s="42" t="e">
        <f t="shared" si="20"/>
        <v>#NUM!</v>
      </c>
      <c r="J229" s="48" t="e">
        <f t="shared" si="21"/>
        <v>#NUM!</v>
      </c>
    </row>
    <row r="230" spans="3:10">
      <c r="C230" s="20">
        <v>217</v>
      </c>
      <c r="D230" s="42" t="e">
        <f t="shared" si="22"/>
        <v>#NUM!</v>
      </c>
      <c r="E230" s="42" t="e">
        <f t="shared" si="18"/>
        <v>#NUM!</v>
      </c>
      <c r="F230" s="42"/>
      <c r="G230" s="42" t="e">
        <f t="shared" si="19"/>
        <v>#NUM!</v>
      </c>
      <c r="H230" s="42">
        <f t="shared" si="23"/>
        <v>0</v>
      </c>
      <c r="I230" s="42" t="e">
        <f t="shared" si="20"/>
        <v>#NUM!</v>
      </c>
      <c r="J230" s="48" t="e">
        <f t="shared" si="21"/>
        <v>#NUM!</v>
      </c>
    </row>
    <row r="231" spans="3:10">
      <c r="C231" s="20">
        <v>218</v>
      </c>
      <c r="D231" s="42" t="e">
        <f t="shared" si="22"/>
        <v>#NUM!</v>
      </c>
      <c r="E231" s="42" t="e">
        <f t="shared" si="18"/>
        <v>#NUM!</v>
      </c>
      <c r="F231" s="42"/>
      <c r="G231" s="42" t="e">
        <f t="shared" si="19"/>
        <v>#NUM!</v>
      </c>
      <c r="H231" s="42">
        <f t="shared" si="23"/>
        <v>0</v>
      </c>
      <c r="I231" s="42" t="e">
        <f t="shared" si="20"/>
        <v>#NUM!</v>
      </c>
      <c r="J231" s="48" t="e">
        <f t="shared" si="21"/>
        <v>#NUM!</v>
      </c>
    </row>
    <row r="232" spans="3:10">
      <c r="C232" s="20">
        <v>219</v>
      </c>
      <c r="D232" s="42" t="e">
        <f t="shared" si="22"/>
        <v>#NUM!</v>
      </c>
      <c r="E232" s="42" t="e">
        <f t="shared" si="18"/>
        <v>#NUM!</v>
      </c>
      <c r="F232" s="42"/>
      <c r="G232" s="42" t="e">
        <f t="shared" si="19"/>
        <v>#NUM!</v>
      </c>
      <c r="H232" s="42">
        <f t="shared" si="23"/>
        <v>0</v>
      </c>
      <c r="I232" s="42" t="e">
        <f t="shared" si="20"/>
        <v>#NUM!</v>
      </c>
      <c r="J232" s="48" t="e">
        <f t="shared" si="21"/>
        <v>#NUM!</v>
      </c>
    </row>
    <row r="233" spans="3:10">
      <c r="C233" s="20">
        <v>220</v>
      </c>
      <c r="D233" s="42" t="e">
        <f t="shared" si="22"/>
        <v>#NUM!</v>
      </c>
      <c r="E233" s="42" t="e">
        <f t="shared" si="18"/>
        <v>#NUM!</v>
      </c>
      <c r="F233" s="42"/>
      <c r="G233" s="42" t="e">
        <f t="shared" si="19"/>
        <v>#NUM!</v>
      </c>
      <c r="H233" s="42">
        <f t="shared" si="23"/>
        <v>0</v>
      </c>
      <c r="I233" s="42" t="e">
        <f t="shared" si="20"/>
        <v>#NUM!</v>
      </c>
      <c r="J233" s="48" t="e">
        <f t="shared" si="21"/>
        <v>#NUM!</v>
      </c>
    </row>
    <row r="234" spans="3:10">
      <c r="C234" s="20">
        <v>221</v>
      </c>
      <c r="D234" s="42" t="e">
        <f t="shared" si="22"/>
        <v>#NUM!</v>
      </c>
      <c r="E234" s="42" t="e">
        <f t="shared" si="18"/>
        <v>#NUM!</v>
      </c>
      <c r="F234" s="42"/>
      <c r="G234" s="42" t="e">
        <f t="shared" si="19"/>
        <v>#NUM!</v>
      </c>
      <c r="H234" s="42">
        <f t="shared" si="23"/>
        <v>0</v>
      </c>
      <c r="I234" s="42" t="e">
        <f t="shared" si="20"/>
        <v>#NUM!</v>
      </c>
      <c r="J234" s="48" t="e">
        <f t="shared" si="21"/>
        <v>#NUM!</v>
      </c>
    </row>
    <row r="235" spans="3:10">
      <c r="C235" s="20">
        <v>222</v>
      </c>
      <c r="D235" s="42" t="e">
        <f t="shared" si="22"/>
        <v>#NUM!</v>
      </c>
      <c r="E235" s="42" t="e">
        <f t="shared" si="18"/>
        <v>#NUM!</v>
      </c>
      <c r="F235" s="42"/>
      <c r="G235" s="42" t="e">
        <f t="shared" si="19"/>
        <v>#NUM!</v>
      </c>
      <c r="H235" s="42">
        <f t="shared" si="23"/>
        <v>0</v>
      </c>
      <c r="I235" s="42" t="e">
        <f t="shared" si="20"/>
        <v>#NUM!</v>
      </c>
      <c r="J235" s="48" t="e">
        <f t="shared" si="21"/>
        <v>#NUM!</v>
      </c>
    </row>
    <row r="236" spans="3:10">
      <c r="C236" s="20">
        <v>223</v>
      </c>
      <c r="D236" s="42" t="e">
        <f t="shared" si="22"/>
        <v>#NUM!</v>
      </c>
      <c r="E236" s="42" t="e">
        <f t="shared" si="18"/>
        <v>#NUM!</v>
      </c>
      <c r="F236" s="42"/>
      <c r="G236" s="42" t="e">
        <f t="shared" si="19"/>
        <v>#NUM!</v>
      </c>
      <c r="H236" s="42">
        <f t="shared" si="23"/>
        <v>0</v>
      </c>
      <c r="I236" s="42" t="e">
        <f t="shared" si="20"/>
        <v>#NUM!</v>
      </c>
      <c r="J236" s="48" t="e">
        <f t="shared" si="21"/>
        <v>#NUM!</v>
      </c>
    </row>
    <row r="237" spans="3:10">
      <c r="C237" s="20">
        <v>224</v>
      </c>
      <c r="D237" s="42" t="e">
        <f t="shared" si="22"/>
        <v>#NUM!</v>
      </c>
      <c r="E237" s="42" t="e">
        <f t="shared" si="18"/>
        <v>#NUM!</v>
      </c>
      <c r="F237" s="42"/>
      <c r="G237" s="42" t="e">
        <f t="shared" si="19"/>
        <v>#NUM!</v>
      </c>
      <c r="H237" s="42">
        <f t="shared" si="23"/>
        <v>0</v>
      </c>
      <c r="I237" s="42" t="e">
        <f t="shared" si="20"/>
        <v>#NUM!</v>
      </c>
      <c r="J237" s="48" t="e">
        <f t="shared" si="21"/>
        <v>#NUM!</v>
      </c>
    </row>
    <row r="238" spans="3:10">
      <c r="C238" s="20">
        <v>225</v>
      </c>
      <c r="D238" s="42" t="e">
        <f t="shared" si="22"/>
        <v>#NUM!</v>
      </c>
      <c r="E238" s="42" t="e">
        <f t="shared" si="18"/>
        <v>#NUM!</v>
      </c>
      <c r="F238" s="42"/>
      <c r="G238" s="42" t="e">
        <f t="shared" si="19"/>
        <v>#NUM!</v>
      </c>
      <c r="H238" s="42">
        <f t="shared" si="23"/>
        <v>0</v>
      </c>
      <c r="I238" s="42" t="e">
        <f t="shared" si="20"/>
        <v>#NUM!</v>
      </c>
      <c r="J238" s="48" t="e">
        <f t="shared" si="21"/>
        <v>#NUM!</v>
      </c>
    </row>
    <row r="239" spans="3:10">
      <c r="C239" s="20">
        <v>226</v>
      </c>
      <c r="D239" s="42" t="e">
        <f t="shared" si="22"/>
        <v>#NUM!</v>
      </c>
      <c r="E239" s="42" t="e">
        <f t="shared" si="18"/>
        <v>#NUM!</v>
      </c>
      <c r="F239" s="42"/>
      <c r="G239" s="42" t="e">
        <f t="shared" si="19"/>
        <v>#NUM!</v>
      </c>
      <c r="H239" s="42">
        <f t="shared" si="23"/>
        <v>0</v>
      </c>
      <c r="I239" s="42" t="e">
        <f t="shared" si="20"/>
        <v>#NUM!</v>
      </c>
      <c r="J239" s="48" t="e">
        <f t="shared" si="21"/>
        <v>#NUM!</v>
      </c>
    </row>
    <row r="240" spans="3:10">
      <c r="C240" s="20">
        <v>227</v>
      </c>
      <c r="D240" s="42" t="e">
        <f t="shared" si="22"/>
        <v>#NUM!</v>
      </c>
      <c r="E240" s="42" t="e">
        <f t="shared" si="18"/>
        <v>#NUM!</v>
      </c>
      <c r="F240" s="42"/>
      <c r="G240" s="42" t="e">
        <f t="shared" si="19"/>
        <v>#NUM!</v>
      </c>
      <c r="H240" s="42">
        <f t="shared" si="23"/>
        <v>0</v>
      </c>
      <c r="I240" s="42" t="e">
        <f t="shared" si="20"/>
        <v>#NUM!</v>
      </c>
      <c r="J240" s="48" t="e">
        <f t="shared" si="21"/>
        <v>#NUM!</v>
      </c>
    </row>
    <row r="241" spans="3:10">
      <c r="C241" s="20">
        <v>228</v>
      </c>
      <c r="D241" s="42" t="e">
        <f t="shared" si="22"/>
        <v>#NUM!</v>
      </c>
      <c r="E241" s="42" t="e">
        <f t="shared" si="18"/>
        <v>#NUM!</v>
      </c>
      <c r="F241" s="42"/>
      <c r="G241" s="42" t="e">
        <f t="shared" si="19"/>
        <v>#NUM!</v>
      </c>
      <c r="H241" s="42">
        <f t="shared" si="23"/>
        <v>0</v>
      </c>
      <c r="I241" s="42" t="e">
        <f t="shared" si="20"/>
        <v>#NUM!</v>
      </c>
      <c r="J241" s="48" t="e">
        <f t="shared" si="21"/>
        <v>#NUM!</v>
      </c>
    </row>
    <row r="242" spans="3:10">
      <c r="C242" s="20">
        <v>229</v>
      </c>
      <c r="D242" s="42" t="e">
        <f t="shared" si="22"/>
        <v>#NUM!</v>
      </c>
      <c r="E242" s="42" t="e">
        <f t="shared" si="18"/>
        <v>#NUM!</v>
      </c>
      <c r="F242" s="42"/>
      <c r="G242" s="42" t="e">
        <f t="shared" si="19"/>
        <v>#NUM!</v>
      </c>
      <c r="H242" s="42">
        <f t="shared" si="23"/>
        <v>0</v>
      </c>
      <c r="I242" s="42" t="e">
        <f t="shared" si="20"/>
        <v>#NUM!</v>
      </c>
      <c r="J242" s="48" t="e">
        <f t="shared" si="21"/>
        <v>#NUM!</v>
      </c>
    </row>
    <row r="243" spans="3:10">
      <c r="C243" s="20">
        <v>230</v>
      </c>
      <c r="D243" s="42" t="e">
        <f t="shared" si="22"/>
        <v>#NUM!</v>
      </c>
      <c r="E243" s="42" t="e">
        <f t="shared" si="18"/>
        <v>#NUM!</v>
      </c>
      <c r="F243" s="42"/>
      <c r="G243" s="42" t="e">
        <f t="shared" si="19"/>
        <v>#NUM!</v>
      </c>
      <c r="H243" s="42">
        <f t="shared" si="23"/>
        <v>0</v>
      </c>
      <c r="I243" s="42" t="e">
        <f t="shared" si="20"/>
        <v>#NUM!</v>
      </c>
      <c r="J243" s="48" t="e">
        <f t="shared" si="21"/>
        <v>#NUM!</v>
      </c>
    </row>
    <row r="244" spans="3:10">
      <c r="C244" s="20">
        <v>231</v>
      </c>
      <c r="D244" s="42" t="e">
        <f t="shared" si="22"/>
        <v>#NUM!</v>
      </c>
      <c r="E244" s="42" t="e">
        <f t="shared" si="18"/>
        <v>#NUM!</v>
      </c>
      <c r="F244" s="42"/>
      <c r="G244" s="42" t="e">
        <f t="shared" si="19"/>
        <v>#NUM!</v>
      </c>
      <c r="H244" s="42">
        <f t="shared" si="23"/>
        <v>0</v>
      </c>
      <c r="I244" s="42" t="e">
        <f t="shared" si="20"/>
        <v>#NUM!</v>
      </c>
      <c r="J244" s="48" t="e">
        <f t="shared" si="21"/>
        <v>#NUM!</v>
      </c>
    </row>
    <row r="245" spans="3:10">
      <c r="C245" s="20">
        <v>232</v>
      </c>
      <c r="D245" s="42" t="e">
        <f t="shared" si="22"/>
        <v>#NUM!</v>
      </c>
      <c r="E245" s="42" t="e">
        <f t="shared" si="18"/>
        <v>#NUM!</v>
      </c>
      <c r="F245" s="42"/>
      <c r="G245" s="42" t="e">
        <f t="shared" si="19"/>
        <v>#NUM!</v>
      </c>
      <c r="H245" s="42">
        <f t="shared" si="23"/>
        <v>0</v>
      </c>
      <c r="I245" s="42" t="e">
        <f t="shared" si="20"/>
        <v>#NUM!</v>
      </c>
      <c r="J245" s="48" t="e">
        <f t="shared" si="21"/>
        <v>#NUM!</v>
      </c>
    </row>
    <row r="246" spans="3:10">
      <c r="C246" s="20">
        <v>233</v>
      </c>
      <c r="D246" s="42" t="e">
        <f t="shared" si="22"/>
        <v>#NUM!</v>
      </c>
      <c r="E246" s="42" t="e">
        <f t="shared" si="18"/>
        <v>#NUM!</v>
      </c>
      <c r="F246" s="42"/>
      <c r="G246" s="42" t="e">
        <f t="shared" si="19"/>
        <v>#NUM!</v>
      </c>
      <c r="H246" s="42">
        <f t="shared" si="23"/>
        <v>0</v>
      </c>
      <c r="I246" s="42" t="e">
        <f t="shared" si="20"/>
        <v>#NUM!</v>
      </c>
      <c r="J246" s="48" t="e">
        <f t="shared" si="21"/>
        <v>#NUM!</v>
      </c>
    </row>
    <row r="247" spans="3:10">
      <c r="C247" s="20">
        <v>234</v>
      </c>
      <c r="D247" s="42" t="e">
        <f t="shared" si="22"/>
        <v>#NUM!</v>
      </c>
      <c r="E247" s="42" t="e">
        <f t="shared" si="18"/>
        <v>#NUM!</v>
      </c>
      <c r="F247" s="42"/>
      <c r="G247" s="42" t="e">
        <f t="shared" si="19"/>
        <v>#NUM!</v>
      </c>
      <c r="H247" s="42">
        <f t="shared" si="23"/>
        <v>0</v>
      </c>
      <c r="I247" s="42" t="e">
        <f t="shared" si="20"/>
        <v>#NUM!</v>
      </c>
      <c r="J247" s="48" t="e">
        <f t="shared" si="21"/>
        <v>#NUM!</v>
      </c>
    </row>
    <row r="248" spans="3:10">
      <c r="C248" s="20">
        <v>235</v>
      </c>
      <c r="D248" s="42" t="e">
        <f t="shared" si="22"/>
        <v>#NUM!</v>
      </c>
      <c r="E248" s="42" t="e">
        <f t="shared" si="18"/>
        <v>#NUM!</v>
      </c>
      <c r="F248" s="42"/>
      <c r="G248" s="42" t="e">
        <f t="shared" si="19"/>
        <v>#NUM!</v>
      </c>
      <c r="H248" s="42">
        <f t="shared" si="23"/>
        <v>0</v>
      </c>
      <c r="I248" s="42" t="e">
        <f t="shared" si="20"/>
        <v>#NUM!</v>
      </c>
      <c r="J248" s="48" t="e">
        <f t="shared" si="21"/>
        <v>#NUM!</v>
      </c>
    </row>
    <row r="249" spans="3:10">
      <c r="C249" s="20">
        <v>236</v>
      </c>
      <c r="D249" s="42" t="e">
        <f t="shared" si="22"/>
        <v>#NUM!</v>
      </c>
      <c r="E249" s="42" t="e">
        <f t="shared" si="18"/>
        <v>#NUM!</v>
      </c>
      <c r="F249" s="42"/>
      <c r="G249" s="42" t="e">
        <f t="shared" si="19"/>
        <v>#NUM!</v>
      </c>
      <c r="H249" s="42">
        <f t="shared" si="23"/>
        <v>0</v>
      </c>
      <c r="I249" s="42" t="e">
        <f t="shared" si="20"/>
        <v>#NUM!</v>
      </c>
      <c r="J249" s="48" t="e">
        <f t="shared" si="21"/>
        <v>#NUM!</v>
      </c>
    </row>
    <row r="250" spans="3:10">
      <c r="C250" s="20">
        <v>237</v>
      </c>
      <c r="D250" s="42" t="e">
        <f t="shared" si="22"/>
        <v>#NUM!</v>
      </c>
      <c r="E250" s="42" t="e">
        <f t="shared" si="18"/>
        <v>#NUM!</v>
      </c>
      <c r="F250" s="42"/>
      <c r="G250" s="42" t="e">
        <f t="shared" si="19"/>
        <v>#NUM!</v>
      </c>
      <c r="H250" s="42">
        <f t="shared" si="23"/>
        <v>0</v>
      </c>
      <c r="I250" s="42" t="e">
        <f t="shared" si="20"/>
        <v>#NUM!</v>
      </c>
      <c r="J250" s="48" t="e">
        <f t="shared" si="21"/>
        <v>#NUM!</v>
      </c>
    </row>
    <row r="251" spans="3:10">
      <c r="C251" s="20">
        <v>238</v>
      </c>
      <c r="D251" s="42" t="e">
        <f t="shared" si="22"/>
        <v>#NUM!</v>
      </c>
      <c r="E251" s="42" t="e">
        <f t="shared" si="18"/>
        <v>#NUM!</v>
      </c>
      <c r="F251" s="42"/>
      <c r="G251" s="42" t="e">
        <f t="shared" si="19"/>
        <v>#NUM!</v>
      </c>
      <c r="H251" s="42">
        <f t="shared" si="23"/>
        <v>0</v>
      </c>
      <c r="I251" s="42" t="e">
        <f t="shared" si="20"/>
        <v>#NUM!</v>
      </c>
      <c r="J251" s="48" t="e">
        <f t="shared" si="21"/>
        <v>#NUM!</v>
      </c>
    </row>
    <row r="252" spans="3:10">
      <c r="C252" s="20">
        <v>239</v>
      </c>
      <c r="D252" s="65" t="e">
        <f t="shared" si="22"/>
        <v>#NUM!</v>
      </c>
      <c r="E252" s="65" t="e">
        <f t="shared" si="18"/>
        <v>#NUM!</v>
      </c>
      <c r="F252" s="65"/>
      <c r="G252" s="65" t="e">
        <f t="shared" si="19"/>
        <v>#NUM!</v>
      </c>
      <c r="H252" s="65">
        <f t="shared" si="23"/>
        <v>0</v>
      </c>
      <c r="I252" s="65" t="e">
        <f t="shared" si="20"/>
        <v>#NUM!</v>
      </c>
      <c r="J252" s="66" t="e">
        <f t="shared" si="21"/>
        <v>#NUM!</v>
      </c>
    </row>
    <row r="253" spans="3:10">
      <c r="C253" s="20">
        <v>240</v>
      </c>
      <c r="D253" s="65" t="e">
        <f t="shared" si="22"/>
        <v>#NUM!</v>
      </c>
      <c r="E253" s="65" t="e">
        <f t="shared" si="18"/>
        <v>#NUM!</v>
      </c>
      <c r="F253" s="65"/>
      <c r="G253" s="65" t="e">
        <f t="shared" si="19"/>
        <v>#NUM!</v>
      </c>
      <c r="H253" s="65">
        <f t="shared" si="23"/>
        <v>0</v>
      </c>
      <c r="I253" s="65" t="e">
        <f t="shared" si="20"/>
        <v>#NUM!</v>
      </c>
      <c r="J253" s="66" t="e">
        <f t="shared" si="21"/>
        <v>#NUM!</v>
      </c>
    </row>
    <row r="254" spans="3:10">
      <c r="C254" s="20">
        <v>241</v>
      </c>
      <c r="D254" s="42" t="e">
        <f t="shared" si="22"/>
        <v>#NUM!</v>
      </c>
      <c r="E254" s="42" t="e">
        <f t="shared" si="18"/>
        <v>#NUM!</v>
      </c>
      <c r="F254" s="42"/>
      <c r="G254" s="42" t="e">
        <f t="shared" si="19"/>
        <v>#NUM!</v>
      </c>
      <c r="H254" s="42">
        <f t="shared" si="23"/>
        <v>0</v>
      </c>
      <c r="I254" s="42" t="e">
        <f t="shared" si="20"/>
        <v>#NUM!</v>
      </c>
      <c r="J254" s="48" t="e">
        <f t="shared" si="21"/>
        <v>#NUM!</v>
      </c>
    </row>
    <row r="255" spans="3:10">
      <c r="C255" s="20">
        <v>242</v>
      </c>
      <c r="D255" s="42" t="e">
        <f t="shared" si="22"/>
        <v>#NUM!</v>
      </c>
      <c r="E255" s="42" t="e">
        <f t="shared" si="18"/>
        <v>#NUM!</v>
      </c>
      <c r="F255" s="42"/>
      <c r="G255" s="42" t="e">
        <f t="shared" si="19"/>
        <v>#NUM!</v>
      </c>
      <c r="H255" s="42">
        <f t="shared" si="23"/>
        <v>0</v>
      </c>
      <c r="I255" s="42" t="e">
        <f t="shared" si="20"/>
        <v>#NUM!</v>
      </c>
      <c r="J255" s="48" t="e">
        <f t="shared" si="21"/>
        <v>#NUM!</v>
      </c>
    </row>
    <row r="256" spans="3:10">
      <c r="C256" s="20">
        <v>243</v>
      </c>
      <c r="D256" s="42" t="e">
        <f t="shared" si="22"/>
        <v>#NUM!</v>
      </c>
      <c r="E256" s="42" t="e">
        <f t="shared" si="18"/>
        <v>#NUM!</v>
      </c>
      <c r="F256" s="42"/>
      <c r="G256" s="42" t="e">
        <f t="shared" si="19"/>
        <v>#NUM!</v>
      </c>
      <c r="H256" s="42">
        <f t="shared" si="23"/>
        <v>0</v>
      </c>
      <c r="I256" s="42" t="e">
        <f t="shared" si="20"/>
        <v>#NUM!</v>
      </c>
      <c r="J256" s="48" t="e">
        <f t="shared" si="21"/>
        <v>#NUM!</v>
      </c>
    </row>
    <row r="257" spans="3:10">
      <c r="C257" s="20">
        <v>244</v>
      </c>
      <c r="D257" s="42" t="e">
        <f t="shared" si="22"/>
        <v>#NUM!</v>
      </c>
      <c r="E257" s="42" t="e">
        <f t="shared" si="18"/>
        <v>#NUM!</v>
      </c>
      <c r="F257" s="42"/>
      <c r="G257" s="42" t="e">
        <f t="shared" si="19"/>
        <v>#NUM!</v>
      </c>
      <c r="H257" s="42">
        <f t="shared" si="23"/>
        <v>0</v>
      </c>
      <c r="I257" s="42" t="e">
        <f t="shared" si="20"/>
        <v>#NUM!</v>
      </c>
      <c r="J257" s="48" t="e">
        <f t="shared" si="21"/>
        <v>#NUM!</v>
      </c>
    </row>
    <row r="258" spans="3:10">
      <c r="C258" s="20">
        <v>245</v>
      </c>
      <c r="D258" s="42" t="e">
        <f t="shared" si="22"/>
        <v>#NUM!</v>
      </c>
      <c r="E258" s="42" t="e">
        <f t="shared" si="18"/>
        <v>#NUM!</v>
      </c>
      <c r="F258" s="42"/>
      <c r="G258" s="42" t="e">
        <f t="shared" si="19"/>
        <v>#NUM!</v>
      </c>
      <c r="H258" s="42">
        <f t="shared" si="23"/>
        <v>0</v>
      </c>
      <c r="I258" s="42" t="e">
        <f t="shared" si="20"/>
        <v>#NUM!</v>
      </c>
      <c r="J258" s="48" t="e">
        <f t="shared" si="21"/>
        <v>#NUM!</v>
      </c>
    </row>
    <row r="259" spans="3:10">
      <c r="C259" s="20">
        <v>246</v>
      </c>
      <c r="D259" s="42" t="e">
        <f t="shared" si="22"/>
        <v>#NUM!</v>
      </c>
      <c r="E259" s="42" t="e">
        <f t="shared" si="18"/>
        <v>#NUM!</v>
      </c>
      <c r="F259" s="42"/>
      <c r="G259" s="42" t="e">
        <f t="shared" si="19"/>
        <v>#NUM!</v>
      </c>
      <c r="H259" s="42">
        <f t="shared" si="23"/>
        <v>0</v>
      </c>
      <c r="I259" s="42" t="e">
        <f t="shared" si="20"/>
        <v>#NUM!</v>
      </c>
      <c r="J259" s="48" t="e">
        <f t="shared" si="21"/>
        <v>#NUM!</v>
      </c>
    </row>
    <row r="260" spans="3:10">
      <c r="C260" s="20">
        <v>247</v>
      </c>
      <c r="D260" s="42" t="e">
        <f t="shared" si="22"/>
        <v>#NUM!</v>
      </c>
      <c r="E260" s="42" t="e">
        <f t="shared" si="18"/>
        <v>#NUM!</v>
      </c>
      <c r="F260" s="42"/>
      <c r="G260" s="42" t="e">
        <f t="shared" si="19"/>
        <v>#NUM!</v>
      </c>
      <c r="H260" s="42">
        <f t="shared" si="23"/>
        <v>0</v>
      </c>
      <c r="I260" s="42" t="e">
        <f t="shared" si="20"/>
        <v>#NUM!</v>
      </c>
      <c r="J260" s="48" t="e">
        <f t="shared" si="21"/>
        <v>#NUM!</v>
      </c>
    </row>
    <row r="261" spans="3:10">
      <c r="C261" s="20">
        <v>248</v>
      </c>
      <c r="D261" s="42" t="e">
        <f t="shared" si="22"/>
        <v>#NUM!</v>
      </c>
      <c r="E261" s="42" t="e">
        <f t="shared" si="18"/>
        <v>#NUM!</v>
      </c>
      <c r="F261" s="42"/>
      <c r="G261" s="42" t="e">
        <f t="shared" si="19"/>
        <v>#NUM!</v>
      </c>
      <c r="H261" s="42">
        <f t="shared" si="23"/>
        <v>0</v>
      </c>
      <c r="I261" s="42" t="e">
        <f t="shared" si="20"/>
        <v>#NUM!</v>
      </c>
      <c r="J261" s="48" t="e">
        <f t="shared" si="21"/>
        <v>#NUM!</v>
      </c>
    </row>
    <row r="262" spans="3:10">
      <c r="C262" s="20">
        <v>249</v>
      </c>
      <c r="D262" s="42" t="e">
        <f t="shared" si="22"/>
        <v>#NUM!</v>
      </c>
      <c r="E262" s="42" t="e">
        <f t="shared" si="18"/>
        <v>#NUM!</v>
      </c>
      <c r="F262" s="42"/>
      <c r="G262" s="42" t="e">
        <f t="shared" si="19"/>
        <v>#NUM!</v>
      </c>
      <c r="H262" s="42">
        <f t="shared" si="23"/>
        <v>0</v>
      </c>
      <c r="I262" s="42" t="e">
        <f t="shared" si="20"/>
        <v>#NUM!</v>
      </c>
      <c r="J262" s="48" t="e">
        <f t="shared" si="21"/>
        <v>#NUM!</v>
      </c>
    </row>
    <row r="263" spans="3:10">
      <c r="C263" s="20">
        <v>250</v>
      </c>
      <c r="D263" s="42" t="e">
        <f t="shared" si="22"/>
        <v>#NUM!</v>
      </c>
      <c r="E263" s="42" t="e">
        <f t="shared" si="18"/>
        <v>#NUM!</v>
      </c>
      <c r="F263" s="42"/>
      <c r="G263" s="42" t="e">
        <f t="shared" si="19"/>
        <v>#NUM!</v>
      </c>
      <c r="H263" s="42">
        <f t="shared" si="23"/>
        <v>0</v>
      </c>
      <c r="I263" s="42" t="e">
        <f t="shared" si="20"/>
        <v>#NUM!</v>
      </c>
      <c r="J263" s="48" t="e">
        <f t="shared" si="21"/>
        <v>#NUM!</v>
      </c>
    </row>
    <row r="264" spans="3:10">
      <c r="C264" s="20">
        <v>251</v>
      </c>
      <c r="D264" s="42" t="e">
        <f t="shared" si="22"/>
        <v>#NUM!</v>
      </c>
      <c r="E264" s="42" t="e">
        <f t="shared" si="18"/>
        <v>#NUM!</v>
      </c>
      <c r="F264" s="42"/>
      <c r="G264" s="42" t="e">
        <f t="shared" si="19"/>
        <v>#NUM!</v>
      </c>
      <c r="H264" s="42">
        <f t="shared" si="23"/>
        <v>0</v>
      </c>
      <c r="I264" s="42" t="e">
        <f t="shared" si="20"/>
        <v>#NUM!</v>
      </c>
      <c r="J264" s="48" t="e">
        <f t="shared" si="21"/>
        <v>#NUM!</v>
      </c>
    </row>
    <row r="265" spans="3:10">
      <c r="C265" s="20">
        <v>252</v>
      </c>
      <c r="D265" s="42" t="e">
        <f t="shared" si="22"/>
        <v>#NUM!</v>
      </c>
      <c r="E265" s="42" t="e">
        <f t="shared" si="18"/>
        <v>#NUM!</v>
      </c>
      <c r="F265" s="42"/>
      <c r="G265" s="42" t="e">
        <f t="shared" si="19"/>
        <v>#NUM!</v>
      </c>
      <c r="H265" s="42">
        <f t="shared" si="23"/>
        <v>0</v>
      </c>
      <c r="I265" s="42" t="e">
        <f t="shared" si="20"/>
        <v>#NUM!</v>
      </c>
      <c r="J265" s="48" t="e">
        <f t="shared" si="21"/>
        <v>#NUM!</v>
      </c>
    </row>
    <row r="266" spans="3:10">
      <c r="C266" s="20">
        <v>253</v>
      </c>
      <c r="D266" s="42" t="e">
        <f t="shared" si="22"/>
        <v>#NUM!</v>
      </c>
      <c r="E266" s="42" t="e">
        <f t="shared" si="18"/>
        <v>#NUM!</v>
      </c>
      <c r="F266" s="42"/>
      <c r="G266" s="42" t="e">
        <f t="shared" si="19"/>
        <v>#NUM!</v>
      </c>
      <c r="H266" s="42">
        <f t="shared" si="23"/>
        <v>0</v>
      </c>
      <c r="I266" s="42" t="e">
        <f t="shared" si="20"/>
        <v>#NUM!</v>
      </c>
      <c r="J266" s="48" t="e">
        <f t="shared" si="21"/>
        <v>#NUM!</v>
      </c>
    </row>
    <row r="267" spans="3:10">
      <c r="C267" s="20">
        <v>254</v>
      </c>
      <c r="D267" s="42" t="e">
        <f t="shared" si="22"/>
        <v>#NUM!</v>
      </c>
      <c r="E267" s="42" t="e">
        <f t="shared" si="18"/>
        <v>#NUM!</v>
      </c>
      <c r="F267" s="42"/>
      <c r="G267" s="42" t="e">
        <f t="shared" si="19"/>
        <v>#NUM!</v>
      </c>
      <c r="H267" s="42">
        <f t="shared" si="23"/>
        <v>0</v>
      </c>
      <c r="I267" s="42" t="e">
        <f t="shared" si="20"/>
        <v>#NUM!</v>
      </c>
      <c r="J267" s="48" t="e">
        <f t="shared" si="21"/>
        <v>#NUM!</v>
      </c>
    </row>
    <row r="268" spans="3:10">
      <c r="C268" s="20">
        <v>255</v>
      </c>
      <c r="D268" s="42" t="e">
        <f t="shared" si="22"/>
        <v>#NUM!</v>
      </c>
      <c r="E268" s="42" t="e">
        <f t="shared" si="18"/>
        <v>#NUM!</v>
      </c>
      <c r="F268" s="42"/>
      <c r="G268" s="42" t="e">
        <f t="shared" si="19"/>
        <v>#NUM!</v>
      </c>
      <c r="H268" s="42">
        <f t="shared" si="23"/>
        <v>0</v>
      </c>
      <c r="I268" s="42" t="e">
        <f t="shared" si="20"/>
        <v>#NUM!</v>
      </c>
      <c r="J268" s="48" t="e">
        <f t="shared" si="21"/>
        <v>#NUM!</v>
      </c>
    </row>
    <row r="269" spans="3:10">
      <c r="C269" s="20">
        <v>256</v>
      </c>
      <c r="D269" s="42" t="e">
        <f t="shared" si="22"/>
        <v>#NUM!</v>
      </c>
      <c r="E269" s="42" t="e">
        <f t="shared" si="18"/>
        <v>#NUM!</v>
      </c>
      <c r="F269" s="42"/>
      <c r="G269" s="42" t="e">
        <f t="shared" si="19"/>
        <v>#NUM!</v>
      </c>
      <c r="H269" s="42">
        <f t="shared" si="23"/>
        <v>0</v>
      </c>
      <c r="I269" s="42" t="e">
        <f t="shared" si="20"/>
        <v>#NUM!</v>
      </c>
      <c r="J269" s="48" t="e">
        <f t="shared" si="21"/>
        <v>#NUM!</v>
      </c>
    </row>
    <row r="270" spans="3:10">
      <c r="C270" s="20">
        <v>257</v>
      </c>
      <c r="D270" s="42" t="e">
        <f t="shared" si="22"/>
        <v>#NUM!</v>
      </c>
      <c r="E270" s="42" t="e">
        <f t="shared" ref="E270:E333" si="24">D270*($E$5/12)</f>
        <v>#NUM!</v>
      </c>
      <c r="F270" s="42"/>
      <c r="G270" s="42" t="e">
        <f t="shared" ref="G270:G333" si="25">+I270-H270-E270</f>
        <v>#NUM!</v>
      </c>
      <c r="H270" s="42">
        <f t="shared" si="23"/>
        <v>0</v>
      </c>
      <c r="I270" s="42" t="e">
        <f t="shared" ref="I270:I333" si="26">IF(C270&lt;=$E$6,E270,$E$8)</f>
        <v>#NUM!</v>
      </c>
      <c r="J270" s="48" t="e">
        <f t="shared" ref="J270:J333" si="27">D270-G270-H270</f>
        <v>#NUM!</v>
      </c>
    </row>
    <row r="271" spans="3:10">
      <c r="C271" s="20">
        <v>258</v>
      </c>
      <c r="D271" s="42" t="e">
        <f t="shared" ref="D271:D334" si="28">J270</f>
        <v>#NUM!</v>
      </c>
      <c r="E271" s="42" t="e">
        <f t="shared" si="24"/>
        <v>#NUM!</v>
      </c>
      <c r="F271" s="42"/>
      <c r="G271" s="42" t="e">
        <f t="shared" si="25"/>
        <v>#NUM!</v>
      </c>
      <c r="H271" s="42">
        <f t="shared" ref="H271:H334" si="29">+H270</f>
        <v>0</v>
      </c>
      <c r="I271" s="42" t="e">
        <f t="shared" si="26"/>
        <v>#NUM!</v>
      </c>
      <c r="J271" s="48" t="e">
        <f t="shared" si="27"/>
        <v>#NUM!</v>
      </c>
    </row>
    <row r="272" spans="3:10">
      <c r="C272" s="20">
        <v>259</v>
      </c>
      <c r="D272" s="42" t="e">
        <f t="shared" si="28"/>
        <v>#NUM!</v>
      </c>
      <c r="E272" s="42" t="e">
        <f t="shared" si="24"/>
        <v>#NUM!</v>
      </c>
      <c r="F272" s="42"/>
      <c r="G272" s="42" t="e">
        <f t="shared" si="25"/>
        <v>#NUM!</v>
      </c>
      <c r="H272" s="42">
        <f t="shared" si="29"/>
        <v>0</v>
      </c>
      <c r="I272" s="42" t="e">
        <f t="shared" si="26"/>
        <v>#NUM!</v>
      </c>
      <c r="J272" s="48" t="e">
        <f t="shared" si="27"/>
        <v>#NUM!</v>
      </c>
    </row>
    <row r="273" spans="3:10">
      <c r="C273" s="20">
        <v>260</v>
      </c>
      <c r="D273" s="42" t="e">
        <f t="shared" si="28"/>
        <v>#NUM!</v>
      </c>
      <c r="E273" s="42" t="e">
        <f t="shared" si="24"/>
        <v>#NUM!</v>
      </c>
      <c r="F273" s="42"/>
      <c r="G273" s="42" t="e">
        <f t="shared" si="25"/>
        <v>#NUM!</v>
      </c>
      <c r="H273" s="42">
        <f t="shared" si="29"/>
        <v>0</v>
      </c>
      <c r="I273" s="42" t="e">
        <f t="shared" si="26"/>
        <v>#NUM!</v>
      </c>
      <c r="J273" s="48" t="e">
        <f t="shared" si="27"/>
        <v>#NUM!</v>
      </c>
    </row>
    <row r="274" spans="3:10">
      <c r="C274" s="20">
        <v>261</v>
      </c>
      <c r="D274" s="42" t="e">
        <f t="shared" si="28"/>
        <v>#NUM!</v>
      </c>
      <c r="E274" s="42" t="e">
        <f t="shared" si="24"/>
        <v>#NUM!</v>
      </c>
      <c r="F274" s="42"/>
      <c r="G274" s="42" t="e">
        <f t="shared" si="25"/>
        <v>#NUM!</v>
      </c>
      <c r="H274" s="42">
        <f t="shared" si="29"/>
        <v>0</v>
      </c>
      <c r="I274" s="42" t="e">
        <f t="shared" si="26"/>
        <v>#NUM!</v>
      </c>
      <c r="J274" s="48" t="e">
        <f t="shared" si="27"/>
        <v>#NUM!</v>
      </c>
    </row>
    <row r="275" spans="3:10">
      <c r="C275" s="20">
        <v>262</v>
      </c>
      <c r="D275" s="42" t="e">
        <f t="shared" si="28"/>
        <v>#NUM!</v>
      </c>
      <c r="E275" s="42" t="e">
        <f t="shared" si="24"/>
        <v>#NUM!</v>
      </c>
      <c r="F275" s="42"/>
      <c r="G275" s="42" t="e">
        <f t="shared" si="25"/>
        <v>#NUM!</v>
      </c>
      <c r="H275" s="42">
        <f t="shared" si="29"/>
        <v>0</v>
      </c>
      <c r="I275" s="42" t="e">
        <f t="shared" si="26"/>
        <v>#NUM!</v>
      </c>
      <c r="J275" s="48" t="e">
        <f t="shared" si="27"/>
        <v>#NUM!</v>
      </c>
    </row>
    <row r="276" spans="3:10">
      <c r="C276" s="20">
        <v>263</v>
      </c>
      <c r="D276" s="42" t="e">
        <f t="shared" si="28"/>
        <v>#NUM!</v>
      </c>
      <c r="E276" s="42" t="e">
        <f t="shared" si="24"/>
        <v>#NUM!</v>
      </c>
      <c r="F276" s="42"/>
      <c r="G276" s="42" t="e">
        <f t="shared" si="25"/>
        <v>#NUM!</v>
      </c>
      <c r="H276" s="42">
        <f t="shared" si="29"/>
        <v>0</v>
      </c>
      <c r="I276" s="42" t="e">
        <f t="shared" si="26"/>
        <v>#NUM!</v>
      </c>
      <c r="J276" s="48" t="e">
        <f t="shared" si="27"/>
        <v>#NUM!</v>
      </c>
    </row>
    <row r="277" spans="3:10">
      <c r="C277" s="20">
        <v>264</v>
      </c>
      <c r="D277" s="42" t="e">
        <f t="shared" si="28"/>
        <v>#NUM!</v>
      </c>
      <c r="E277" s="42" t="e">
        <f t="shared" si="24"/>
        <v>#NUM!</v>
      </c>
      <c r="F277" s="42"/>
      <c r="G277" s="42" t="e">
        <f t="shared" si="25"/>
        <v>#NUM!</v>
      </c>
      <c r="H277" s="42">
        <f t="shared" si="29"/>
        <v>0</v>
      </c>
      <c r="I277" s="42" t="e">
        <f t="shared" si="26"/>
        <v>#NUM!</v>
      </c>
      <c r="J277" s="48" t="e">
        <f t="shared" si="27"/>
        <v>#NUM!</v>
      </c>
    </row>
    <row r="278" spans="3:10">
      <c r="C278" s="20">
        <v>265</v>
      </c>
      <c r="D278" s="42" t="e">
        <f t="shared" si="28"/>
        <v>#NUM!</v>
      </c>
      <c r="E278" s="42" t="e">
        <f t="shared" si="24"/>
        <v>#NUM!</v>
      </c>
      <c r="F278" s="42"/>
      <c r="G278" s="42" t="e">
        <f t="shared" si="25"/>
        <v>#NUM!</v>
      </c>
      <c r="H278" s="42">
        <f t="shared" si="29"/>
        <v>0</v>
      </c>
      <c r="I278" s="42" t="e">
        <f t="shared" si="26"/>
        <v>#NUM!</v>
      </c>
      <c r="J278" s="48" t="e">
        <f t="shared" si="27"/>
        <v>#NUM!</v>
      </c>
    </row>
    <row r="279" spans="3:10">
      <c r="C279" s="20">
        <v>266</v>
      </c>
      <c r="D279" s="42" t="e">
        <f t="shared" si="28"/>
        <v>#NUM!</v>
      </c>
      <c r="E279" s="42" t="e">
        <f t="shared" si="24"/>
        <v>#NUM!</v>
      </c>
      <c r="F279" s="42"/>
      <c r="G279" s="42" t="e">
        <f t="shared" si="25"/>
        <v>#NUM!</v>
      </c>
      <c r="H279" s="42">
        <f t="shared" si="29"/>
        <v>0</v>
      </c>
      <c r="I279" s="42" t="e">
        <f t="shared" si="26"/>
        <v>#NUM!</v>
      </c>
      <c r="J279" s="48" t="e">
        <f t="shared" si="27"/>
        <v>#NUM!</v>
      </c>
    </row>
    <row r="280" spans="3:10">
      <c r="C280" s="20">
        <v>267</v>
      </c>
      <c r="D280" s="42" t="e">
        <f t="shared" si="28"/>
        <v>#NUM!</v>
      </c>
      <c r="E280" s="42" t="e">
        <f t="shared" si="24"/>
        <v>#NUM!</v>
      </c>
      <c r="F280" s="42"/>
      <c r="G280" s="42" t="e">
        <f t="shared" si="25"/>
        <v>#NUM!</v>
      </c>
      <c r="H280" s="42">
        <f t="shared" si="29"/>
        <v>0</v>
      </c>
      <c r="I280" s="42" t="e">
        <f t="shared" si="26"/>
        <v>#NUM!</v>
      </c>
      <c r="J280" s="48" t="e">
        <f t="shared" si="27"/>
        <v>#NUM!</v>
      </c>
    </row>
    <row r="281" spans="3:10">
      <c r="C281" s="20">
        <v>268</v>
      </c>
      <c r="D281" s="42" t="e">
        <f t="shared" si="28"/>
        <v>#NUM!</v>
      </c>
      <c r="E281" s="42" t="e">
        <f t="shared" si="24"/>
        <v>#NUM!</v>
      </c>
      <c r="F281" s="42"/>
      <c r="G281" s="42" t="e">
        <f t="shared" si="25"/>
        <v>#NUM!</v>
      </c>
      <c r="H281" s="42">
        <f t="shared" si="29"/>
        <v>0</v>
      </c>
      <c r="I281" s="42" t="e">
        <f t="shared" si="26"/>
        <v>#NUM!</v>
      </c>
      <c r="J281" s="48" t="e">
        <f t="shared" si="27"/>
        <v>#NUM!</v>
      </c>
    </row>
    <row r="282" spans="3:10">
      <c r="C282" s="20">
        <v>269</v>
      </c>
      <c r="D282" s="42" t="e">
        <f t="shared" si="28"/>
        <v>#NUM!</v>
      </c>
      <c r="E282" s="42" t="e">
        <f t="shared" si="24"/>
        <v>#NUM!</v>
      </c>
      <c r="F282" s="42"/>
      <c r="G282" s="42" t="e">
        <f t="shared" si="25"/>
        <v>#NUM!</v>
      </c>
      <c r="H282" s="42">
        <f t="shared" si="29"/>
        <v>0</v>
      </c>
      <c r="I282" s="42" t="e">
        <f t="shared" si="26"/>
        <v>#NUM!</v>
      </c>
      <c r="J282" s="48" t="e">
        <f t="shared" si="27"/>
        <v>#NUM!</v>
      </c>
    </row>
    <row r="283" spans="3:10">
      <c r="C283" s="20">
        <v>270</v>
      </c>
      <c r="D283" s="42" t="e">
        <f t="shared" si="28"/>
        <v>#NUM!</v>
      </c>
      <c r="E283" s="42" t="e">
        <f t="shared" si="24"/>
        <v>#NUM!</v>
      </c>
      <c r="F283" s="42"/>
      <c r="G283" s="42" t="e">
        <f t="shared" si="25"/>
        <v>#NUM!</v>
      </c>
      <c r="H283" s="42">
        <f t="shared" si="29"/>
        <v>0</v>
      </c>
      <c r="I283" s="42" t="e">
        <f t="shared" si="26"/>
        <v>#NUM!</v>
      </c>
      <c r="J283" s="48" t="e">
        <f t="shared" si="27"/>
        <v>#NUM!</v>
      </c>
    </row>
    <row r="284" spans="3:10">
      <c r="C284" s="20">
        <v>271</v>
      </c>
      <c r="D284" s="42" t="e">
        <f t="shared" si="28"/>
        <v>#NUM!</v>
      </c>
      <c r="E284" s="42" t="e">
        <f t="shared" si="24"/>
        <v>#NUM!</v>
      </c>
      <c r="F284" s="42"/>
      <c r="G284" s="42" t="e">
        <f t="shared" si="25"/>
        <v>#NUM!</v>
      </c>
      <c r="H284" s="42">
        <f t="shared" si="29"/>
        <v>0</v>
      </c>
      <c r="I284" s="42" t="e">
        <f t="shared" si="26"/>
        <v>#NUM!</v>
      </c>
      <c r="J284" s="48" t="e">
        <f t="shared" si="27"/>
        <v>#NUM!</v>
      </c>
    </row>
    <row r="285" spans="3:10">
      <c r="C285" s="20">
        <v>272</v>
      </c>
      <c r="D285" s="42" t="e">
        <f t="shared" si="28"/>
        <v>#NUM!</v>
      </c>
      <c r="E285" s="42" t="e">
        <f t="shared" si="24"/>
        <v>#NUM!</v>
      </c>
      <c r="F285" s="42"/>
      <c r="G285" s="42" t="e">
        <f t="shared" si="25"/>
        <v>#NUM!</v>
      </c>
      <c r="H285" s="42">
        <f t="shared" si="29"/>
        <v>0</v>
      </c>
      <c r="I285" s="42" t="e">
        <f t="shared" si="26"/>
        <v>#NUM!</v>
      </c>
      <c r="J285" s="48" t="e">
        <f t="shared" si="27"/>
        <v>#NUM!</v>
      </c>
    </row>
    <row r="286" spans="3:10">
      <c r="C286" s="20">
        <v>273</v>
      </c>
      <c r="D286" s="42" t="e">
        <f t="shared" si="28"/>
        <v>#NUM!</v>
      </c>
      <c r="E286" s="42" t="e">
        <f t="shared" si="24"/>
        <v>#NUM!</v>
      </c>
      <c r="F286" s="42"/>
      <c r="G286" s="42" t="e">
        <f t="shared" si="25"/>
        <v>#NUM!</v>
      </c>
      <c r="H286" s="42">
        <f t="shared" si="29"/>
        <v>0</v>
      </c>
      <c r="I286" s="42" t="e">
        <f t="shared" si="26"/>
        <v>#NUM!</v>
      </c>
      <c r="J286" s="48" t="e">
        <f t="shared" si="27"/>
        <v>#NUM!</v>
      </c>
    </row>
    <row r="287" spans="3:10">
      <c r="C287" s="20">
        <v>274</v>
      </c>
      <c r="D287" s="42" t="e">
        <f t="shared" si="28"/>
        <v>#NUM!</v>
      </c>
      <c r="E287" s="42" t="e">
        <f t="shared" si="24"/>
        <v>#NUM!</v>
      </c>
      <c r="F287" s="42"/>
      <c r="G287" s="42" t="e">
        <f t="shared" si="25"/>
        <v>#NUM!</v>
      </c>
      <c r="H287" s="42">
        <f t="shared" si="29"/>
        <v>0</v>
      </c>
      <c r="I287" s="42" t="e">
        <f t="shared" si="26"/>
        <v>#NUM!</v>
      </c>
      <c r="J287" s="48" t="e">
        <f t="shared" si="27"/>
        <v>#NUM!</v>
      </c>
    </row>
    <row r="288" spans="3:10">
      <c r="C288" s="20">
        <v>275</v>
      </c>
      <c r="D288" s="42" t="e">
        <f t="shared" si="28"/>
        <v>#NUM!</v>
      </c>
      <c r="E288" s="42" t="e">
        <f t="shared" si="24"/>
        <v>#NUM!</v>
      </c>
      <c r="F288" s="42"/>
      <c r="G288" s="42" t="e">
        <f t="shared" si="25"/>
        <v>#NUM!</v>
      </c>
      <c r="H288" s="42">
        <f t="shared" si="29"/>
        <v>0</v>
      </c>
      <c r="I288" s="42" t="e">
        <f t="shared" si="26"/>
        <v>#NUM!</v>
      </c>
      <c r="J288" s="48" t="e">
        <f t="shared" si="27"/>
        <v>#NUM!</v>
      </c>
    </row>
    <row r="289" spans="3:10">
      <c r="C289" s="20">
        <v>276</v>
      </c>
      <c r="D289" s="42" t="e">
        <f t="shared" si="28"/>
        <v>#NUM!</v>
      </c>
      <c r="E289" s="42" t="e">
        <f t="shared" si="24"/>
        <v>#NUM!</v>
      </c>
      <c r="F289" s="42"/>
      <c r="G289" s="42" t="e">
        <f t="shared" si="25"/>
        <v>#NUM!</v>
      </c>
      <c r="H289" s="42">
        <f t="shared" si="29"/>
        <v>0</v>
      </c>
      <c r="I289" s="42" t="e">
        <f t="shared" si="26"/>
        <v>#NUM!</v>
      </c>
      <c r="J289" s="48" t="e">
        <f t="shared" si="27"/>
        <v>#NUM!</v>
      </c>
    </row>
    <row r="290" spans="3:10">
      <c r="C290" s="20">
        <v>277</v>
      </c>
      <c r="D290" s="42" t="e">
        <f t="shared" si="28"/>
        <v>#NUM!</v>
      </c>
      <c r="E290" s="42" t="e">
        <f t="shared" si="24"/>
        <v>#NUM!</v>
      </c>
      <c r="F290" s="42"/>
      <c r="G290" s="42" t="e">
        <f t="shared" si="25"/>
        <v>#NUM!</v>
      </c>
      <c r="H290" s="42">
        <f t="shared" si="29"/>
        <v>0</v>
      </c>
      <c r="I290" s="42" t="e">
        <f t="shared" si="26"/>
        <v>#NUM!</v>
      </c>
      <c r="J290" s="48" t="e">
        <f t="shared" si="27"/>
        <v>#NUM!</v>
      </c>
    </row>
    <row r="291" spans="3:10">
      <c r="C291" s="20">
        <v>278</v>
      </c>
      <c r="D291" s="42" t="e">
        <f t="shared" si="28"/>
        <v>#NUM!</v>
      </c>
      <c r="E291" s="42" t="e">
        <f t="shared" si="24"/>
        <v>#NUM!</v>
      </c>
      <c r="F291" s="42"/>
      <c r="G291" s="42" t="e">
        <f t="shared" si="25"/>
        <v>#NUM!</v>
      </c>
      <c r="H291" s="42">
        <f t="shared" si="29"/>
        <v>0</v>
      </c>
      <c r="I291" s="42" t="e">
        <f t="shared" si="26"/>
        <v>#NUM!</v>
      </c>
      <c r="J291" s="48" t="e">
        <f t="shared" si="27"/>
        <v>#NUM!</v>
      </c>
    </row>
    <row r="292" spans="3:10">
      <c r="C292" s="20">
        <v>279</v>
      </c>
      <c r="D292" s="42" t="e">
        <f t="shared" si="28"/>
        <v>#NUM!</v>
      </c>
      <c r="E292" s="42" t="e">
        <f t="shared" si="24"/>
        <v>#NUM!</v>
      </c>
      <c r="F292" s="42"/>
      <c r="G292" s="42" t="e">
        <f t="shared" si="25"/>
        <v>#NUM!</v>
      </c>
      <c r="H292" s="42">
        <f t="shared" si="29"/>
        <v>0</v>
      </c>
      <c r="I292" s="42" t="e">
        <f t="shared" si="26"/>
        <v>#NUM!</v>
      </c>
      <c r="J292" s="48" t="e">
        <f t="shared" si="27"/>
        <v>#NUM!</v>
      </c>
    </row>
    <row r="293" spans="3:10">
      <c r="C293" s="20">
        <v>280</v>
      </c>
      <c r="D293" s="42" t="e">
        <f t="shared" si="28"/>
        <v>#NUM!</v>
      </c>
      <c r="E293" s="42" t="e">
        <f t="shared" si="24"/>
        <v>#NUM!</v>
      </c>
      <c r="F293" s="42"/>
      <c r="G293" s="42" t="e">
        <f t="shared" si="25"/>
        <v>#NUM!</v>
      </c>
      <c r="H293" s="42">
        <f t="shared" si="29"/>
        <v>0</v>
      </c>
      <c r="I293" s="42" t="e">
        <f t="shared" si="26"/>
        <v>#NUM!</v>
      </c>
      <c r="J293" s="48" t="e">
        <f t="shared" si="27"/>
        <v>#NUM!</v>
      </c>
    </row>
    <row r="294" spans="3:10">
      <c r="C294" s="20">
        <v>281</v>
      </c>
      <c r="D294" s="42" t="e">
        <f t="shared" si="28"/>
        <v>#NUM!</v>
      </c>
      <c r="E294" s="42" t="e">
        <f t="shared" si="24"/>
        <v>#NUM!</v>
      </c>
      <c r="F294" s="42"/>
      <c r="G294" s="42" t="e">
        <f t="shared" si="25"/>
        <v>#NUM!</v>
      </c>
      <c r="H294" s="42">
        <f t="shared" si="29"/>
        <v>0</v>
      </c>
      <c r="I294" s="42" t="e">
        <f t="shared" si="26"/>
        <v>#NUM!</v>
      </c>
      <c r="J294" s="48" t="e">
        <f t="shared" si="27"/>
        <v>#NUM!</v>
      </c>
    </row>
    <row r="295" spans="3:10">
      <c r="C295" s="20">
        <v>282</v>
      </c>
      <c r="D295" s="42" t="e">
        <f t="shared" si="28"/>
        <v>#NUM!</v>
      </c>
      <c r="E295" s="42" t="e">
        <f t="shared" si="24"/>
        <v>#NUM!</v>
      </c>
      <c r="F295" s="42"/>
      <c r="G295" s="42" t="e">
        <f t="shared" si="25"/>
        <v>#NUM!</v>
      </c>
      <c r="H295" s="42">
        <f t="shared" si="29"/>
        <v>0</v>
      </c>
      <c r="I295" s="42" t="e">
        <f t="shared" si="26"/>
        <v>#NUM!</v>
      </c>
      <c r="J295" s="48" t="e">
        <f t="shared" si="27"/>
        <v>#NUM!</v>
      </c>
    </row>
    <row r="296" spans="3:10">
      <c r="C296" s="20">
        <v>283</v>
      </c>
      <c r="D296" s="42" t="e">
        <f t="shared" si="28"/>
        <v>#NUM!</v>
      </c>
      <c r="E296" s="42" t="e">
        <f t="shared" si="24"/>
        <v>#NUM!</v>
      </c>
      <c r="F296" s="42"/>
      <c r="G296" s="42" t="e">
        <f t="shared" si="25"/>
        <v>#NUM!</v>
      </c>
      <c r="H296" s="42">
        <f t="shared" si="29"/>
        <v>0</v>
      </c>
      <c r="I296" s="42" t="e">
        <f t="shared" si="26"/>
        <v>#NUM!</v>
      </c>
      <c r="J296" s="48" t="e">
        <f t="shared" si="27"/>
        <v>#NUM!</v>
      </c>
    </row>
    <row r="297" spans="3:10">
      <c r="C297" s="20">
        <v>284</v>
      </c>
      <c r="D297" s="42" t="e">
        <f t="shared" si="28"/>
        <v>#NUM!</v>
      </c>
      <c r="E297" s="42" t="e">
        <f t="shared" si="24"/>
        <v>#NUM!</v>
      </c>
      <c r="F297" s="42"/>
      <c r="G297" s="42" t="e">
        <f t="shared" si="25"/>
        <v>#NUM!</v>
      </c>
      <c r="H297" s="42">
        <f t="shared" si="29"/>
        <v>0</v>
      </c>
      <c r="I297" s="42" t="e">
        <f t="shared" si="26"/>
        <v>#NUM!</v>
      </c>
      <c r="J297" s="48" t="e">
        <f t="shared" si="27"/>
        <v>#NUM!</v>
      </c>
    </row>
    <row r="298" spans="3:10">
      <c r="C298" s="20">
        <v>285</v>
      </c>
      <c r="D298" s="42" t="e">
        <f t="shared" si="28"/>
        <v>#NUM!</v>
      </c>
      <c r="E298" s="42" t="e">
        <f t="shared" si="24"/>
        <v>#NUM!</v>
      </c>
      <c r="F298" s="42"/>
      <c r="G298" s="42" t="e">
        <f t="shared" si="25"/>
        <v>#NUM!</v>
      </c>
      <c r="H298" s="42">
        <f t="shared" si="29"/>
        <v>0</v>
      </c>
      <c r="I298" s="42" t="e">
        <f t="shared" si="26"/>
        <v>#NUM!</v>
      </c>
      <c r="J298" s="48" t="e">
        <f t="shared" si="27"/>
        <v>#NUM!</v>
      </c>
    </row>
    <row r="299" spans="3:10">
      <c r="C299" s="20">
        <v>286</v>
      </c>
      <c r="D299" s="42" t="e">
        <f t="shared" si="28"/>
        <v>#NUM!</v>
      </c>
      <c r="E299" s="42" t="e">
        <f t="shared" si="24"/>
        <v>#NUM!</v>
      </c>
      <c r="F299" s="42"/>
      <c r="G299" s="42" t="e">
        <f t="shared" si="25"/>
        <v>#NUM!</v>
      </c>
      <c r="H299" s="42">
        <f t="shared" si="29"/>
        <v>0</v>
      </c>
      <c r="I299" s="42" t="e">
        <f t="shared" si="26"/>
        <v>#NUM!</v>
      </c>
      <c r="J299" s="48" t="e">
        <f t="shared" si="27"/>
        <v>#NUM!</v>
      </c>
    </row>
    <row r="300" spans="3:10">
      <c r="C300" s="20">
        <v>287</v>
      </c>
      <c r="D300" s="42" t="e">
        <f t="shared" si="28"/>
        <v>#NUM!</v>
      </c>
      <c r="E300" s="42" t="e">
        <f t="shared" si="24"/>
        <v>#NUM!</v>
      </c>
      <c r="F300" s="42"/>
      <c r="G300" s="42" t="e">
        <f t="shared" si="25"/>
        <v>#NUM!</v>
      </c>
      <c r="H300" s="42">
        <f t="shared" si="29"/>
        <v>0</v>
      </c>
      <c r="I300" s="42" t="e">
        <f t="shared" si="26"/>
        <v>#NUM!</v>
      </c>
      <c r="J300" s="48" t="e">
        <f t="shared" si="27"/>
        <v>#NUM!</v>
      </c>
    </row>
    <row r="301" spans="3:10">
      <c r="C301" s="20">
        <v>288</v>
      </c>
      <c r="D301" s="42" t="e">
        <f t="shared" si="28"/>
        <v>#NUM!</v>
      </c>
      <c r="E301" s="42" t="e">
        <f t="shared" si="24"/>
        <v>#NUM!</v>
      </c>
      <c r="F301" s="42"/>
      <c r="G301" s="42" t="e">
        <f t="shared" si="25"/>
        <v>#NUM!</v>
      </c>
      <c r="H301" s="42">
        <f t="shared" si="29"/>
        <v>0</v>
      </c>
      <c r="I301" s="42" t="e">
        <f t="shared" si="26"/>
        <v>#NUM!</v>
      </c>
      <c r="J301" s="48" t="e">
        <f t="shared" si="27"/>
        <v>#NUM!</v>
      </c>
    </row>
    <row r="302" spans="3:10">
      <c r="C302" s="20">
        <v>289</v>
      </c>
      <c r="D302" s="42" t="e">
        <f t="shared" si="28"/>
        <v>#NUM!</v>
      </c>
      <c r="E302" s="42" t="e">
        <f t="shared" si="24"/>
        <v>#NUM!</v>
      </c>
      <c r="F302" s="42"/>
      <c r="G302" s="42" t="e">
        <f t="shared" si="25"/>
        <v>#NUM!</v>
      </c>
      <c r="H302" s="42">
        <f t="shared" si="29"/>
        <v>0</v>
      </c>
      <c r="I302" s="42" t="e">
        <f t="shared" si="26"/>
        <v>#NUM!</v>
      </c>
      <c r="J302" s="48" t="e">
        <f t="shared" si="27"/>
        <v>#NUM!</v>
      </c>
    </row>
    <row r="303" spans="3:10">
      <c r="C303" s="20">
        <v>290</v>
      </c>
      <c r="D303" s="42" t="e">
        <f t="shared" si="28"/>
        <v>#NUM!</v>
      </c>
      <c r="E303" s="42" t="e">
        <f t="shared" si="24"/>
        <v>#NUM!</v>
      </c>
      <c r="F303" s="42"/>
      <c r="G303" s="42" t="e">
        <f t="shared" si="25"/>
        <v>#NUM!</v>
      </c>
      <c r="H303" s="42">
        <f t="shared" si="29"/>
        <v>0</v>
      </c>
      <c r="I303" s="42" t="e">
        <f t="shared" si="26"/>
        <v>#NUM!</v>
      </c>
      <c r="J303" s="48" t="e">
        <f t="shared" si="27"/>
        <v>#NUM!</v>
      </c>
    </row>
    <row r="304" spans="3:10">
      <c r="C304" s="20">
        <v>291</v>
      </c>
      <c r="D304" s="42" t="e">
        <f t="shared" si="28"/>
        <v>#NUM!</v>
      </c>
      <c r="E304" s="42" t="e">
        <f t="shared" si="24"/>
        <v>#NUM!</v>
      </c>
      <c r="F304" s="42"/>
      <c r="G304" s="42" t="e">
        <f t="shared" si="25"/>
        <v>#NUM!</v>
      </c>
      <c r="H304" s="42">
        <f t="shared" si="29"/>
        <v>0</v>
      </c>
      <c r="I304" s="42" t="e">
        <f t="shared" si="26"/>
        <v>#NUM!</v>
      </c>
      <c r="J304" s="48" t="e">
        <f t="shared" si="27"/>
        <v>#NUM!</v>
      </c>
    </row>
    <row r="305" spans="3:10">
      <c r="C305" s="20">
        <v>292</v>
      </c>
      <c r="D305" s="42" t="e">
        <f t="shared" si="28"/>
        <v>#NUM!</v>
      </c>
      <c r="E305" s="42" t="e">
        <f t="shared" si="24"/>
        <v>#NUM!</v>
      </c>
      <c r="F305" s="42"/>
      <c r="G305" s="42" t="e">
        <f t="shared" si="25"/>
        <v>#NUM!</v>
      </c>
      <c r="H305" s="42">
        <f t="shared" si="29"/>
        <v>0</v>
      </c>
      <c r="I305" s="42" t="e">
        <f t="shared" si="26"/>
        <v>#NUM!</v>
      </c>
      <c r="J305" s="48" t="e">
        <f t="shared" si="27"/>
        <v>#NUM!</v>
      </c>
    </row>
    <row r="306" spans="3:10">
      <c r="C306" s="20">
        <v>293</v>
      </c>
      <c r="D306" s="42" t="e">
        <f t="shared" si="28"/>
        <v>#NUM!</v>
      </c>
      <c r="E306" s="42" t="e">
        <f t="shared" si="24"/>
        <v>#NUM!</v>
      </c>
      <c r="F306" s="42"/>
      <c r="G306" s="42" t="e">
        <f t="shared" si="25"/>
        <v>#NUM!</v>
      </c>
      <c r="H306" s="42">
        <f t="shared" si="29"/>
        <v>0</v>
      </c>
      <c r="I306" s="42" t="e">
        <f t="shared" si="26"/>
        <v>#NUM!</v>
      </c>
      <c r="J306" s="48" t="e">
        <f t="shared" si="27"/>
        <v>#NUM!</v>
      </c>
    </row>
    <row r="307" spans="3:10">
      <c r="C307" s="20">
        <v>294</v>
      </c>
      <c r="D307" s="42" t="e">
        <f t="shared" si="28"/>
        <v>#NUM!</v>
      </c>
      <c r="E307" s="42" t="e">
        <f t="shared" si="24"/>
        <v>#NUM!</v>
      </c>
      <c r="F307" s="42"/>
      <c r="G307" s="42" t="e">
        <f t="shared" si="25"/>
        <v>#NUM!</v>
      </c>
      <c r="H307" s="42">
        <f t="shared" si="29"/>
        <v>0</v>
      </c>
      <c r="I307" s="42" t="e">
        <f t="shared" si="26"/>
        <v>#NUM!</v>
      </c>
      <c r="J307" s="48" t="e">
        <f t="shared" si="27"/>
        <v>#NUM!</v>
      </c>
    </row>
    <row r="308" spans="3:10">
      <c r="C308" s="20">
        <v>295</v>
      </c>
      <c r="D308" s="42" t="e">
        <f t="shared" si="28"/>
        <v>#NUM!</v>
      </c>
      <c r="E308" s="42" t="e">
        <f t="shared" si="24"/>
        <v>#NUM!</v>
      </c>
      <c r="F308" s="42"/>
      <c r="G308" s="42" t="e">
        <f t="shared" si="25"/>
        <v>#NUM!</v>
      </c>
      <c r="H308" s="42">
        <f t="shared" si="29"/>
        <v>0</v>
      </c>
      <c r="I308" s="42" t="e">
        <f t="shared" si="26"/>
        <v>#NUM!</v>
      </c>
      <c r="J308" s="48" t="e">
        <f t="shared" si="27"/>
        <v>#NUM!</v>
      </c>
    </row>
    <row r="309" spans="3:10">
      <c r="C309" s="20">
        <v>296</v>
      </c>
      <c r="D309" s="42" t="e">
        <f t="shared" si="28"/>
        <v>#NUM!</v>
      </c>
      <c r="E309" s="42" t="e">
        <f t="shared" si="24"/>
        <v>#NUM!</v>
      </c>
      <c r="F309" s="42"/>
      <c r="G309" s="42" t="e">
        <f t="shared" si="25"/>
        <v>#NUM!</v>
      </c>
      <c r="H309" s="42">
        <f t="shared" si="29"/>
        <v>0</v>
      </c>
      <c r="I309" s="42" t="e">
        <f t="shared" si="26"/>
        <v>#NUM!</v>
      </c>
      <c r="J309" s="48" t="e">
        <f t="shared" si="27"/>
        <v>#NUM!</v>
      </c>
    </row>
    <row r="310" spans="3:10">
      <c r="C310" s="20">
        <v>297</v>
      </c>
      <c r="D310" s="42" t="e">
        <f t="shared" si="28"/>
        <v>#NUM!</v>
      </c>
      <c r="E310" s="42" t="e">
        <f t="shared" si="24"/>
        <v>#NUM!</v>
      </c>
      <c r="F310" s="42"/>
      <c r="G310" s="42" t="e">
        <f t="shared" si="25"/>
        <v>#NUM!</v>
      </c>
      <c r="H310" s="42">
        <f t="shared" si="29"/>
        <v>0</v>
      </c>
      <c r="I310" s="42" t="e">
        <f t="shared" si="26"/>
        <v>#NUM!</v>
      </c>
      <c r="J310" s="48" t="e">
        <f t="shared" si="27"/>
        <v>#NUM!</v>
      </c>
    </row>
    <row r="311" spans="3:10">
      <c r="C311" s="20">
        <v>298</v>
      </c>
      <c r="D311" s="42" t="e">
        <f t="shared" si="28"/>
        <v>#NUM!</v>
      </c>
      <c r="E311" s="42" t="e">
        <f t="shared" si="24"/>
        <v>#NUM!</v>
      </c>
      <c r="F311" s="42"/>
      <c r="G311" s="42" t="e">
        <f t="shared" si="25"/>
        <v>#NUM!</v>
      </c>
      <c r="H311" s="42">
        <f t="shared" si="29"/>
        <v>0</v>
      </c>
      <c r="I311" s="42" t="e">
        <f t="shared" si="26"/>
        <v>#NUM!</v>
      </c>
      <c r="J311" s="48" t="e">
        <f t="shared" si="27"/>
        <v>#NUM!</v>
      </c>
    </row>
    <row r="312" spans="3:10">
      <c r="C312" s="20">
        <v>299</v>
      </c>
      <c r="D312" s="42" t="e">
        <f t="shared" si="28"/>
        <v>#NUM!</v>
      </c>
      <c r="E312" s="42" t="e">
        <f t="shared" si="24"/>
        <v>#NUM!</v>
      </c>
      <c r="F312" s="42"/>
      <c r="G312" s="42" t="e">
        <f t="shared" si="25"/>
        <v>#NUM!</v>
      </c>
      <c r="H312" s="42">
        <f t="shared" si="29"/>
        <v>0</v>
      </c>
      <c r="I312" s="42" t="e">
        <f t="shared" si="26"/>
        <v>#NUM!</v>
      </c>
      <c r="J312" s="48" t="e">
        <f t="shared" si="27"/>
        <v>#NUM!</v>
      </c>
    </row>
    <row r="313" spans="3:10">
      <c r="C313" s="20">
        <v>300</v>
      </c>
      <c r="D313" s="42" t="e">
        <f t="shared" si="28"/>
        <v>#NUM!</v>
      </c>
      <c r="E313" s="42" t="e">
        <f t="shared" si="24"/>
        <v>#NUM!</v>
      </c>
      <c r="F313" s="42"/>
      <c r="G313" s="42" t="e">
        <f t="shared" si="25"/>
        <v>#NUM!</v>
      </c>
      <c r="H313" s="42">
        <f t="shared" si="29"/>
        <v>0</v>
      </c>
      <c r="I313" s="42" t="e">
        <f t="shared" si="26"/>
        <v>#NUM!</v>
      </c>
      <c r="J313" s="48" t="e">
        <f t="shared" si="27"/>
        <v>#NUM!</v>
      </c>
    </row>
    <row r="314" spans="3:10">
      <c r="C314" s="20">
        <v>301</v>
      </c>
      <c r="D314" s="42" t="e">
        <f t="shared" si="28"/>
        <v>#NUM!</v>
      </c>
      <c r="E314" s="42" t="e">
        <f t="shared" si="24"/>
        <v>#NUM!</v>
      </c>
      <c r="F314" s="42"/>
      <c r="G314" s="42" t="e">
        <f t="shared" si="25"/>
        <v>#NUM!</v>
      </c>
      <c r="H314" s="42">
        <f t="shared" si="29"/>
        <v>0</v>
      </c>
      <c r="I314" s="42" t="e">
        <f t="shared" si="26"/>
        <v>#NUM!</v>
      </c>
      <c r="J314" s="48" t="e">
        <f t="shared" si="27"/>
        <v>#NUM!</v>
      </c>
    </row>
    <row r="315" spans="3:10">
      <c r="C315" s="20">
        <v>302</v>
      </c>
      <c r="D315" s="42" t="e">
        <f t="shared" si="28"/>
        <v>#NUM!</v>
      </c>
      <c r="E315" s="42" t="e">
        <f t="shared" si="24"/>
        <v>#NUM!</v>
      </c>
      <c r="F315" s="42"/>
      <c r="G315" s="42" t="e">
        <f t="shared" si="25"/>
        <v>#NUM!</v>
      </c>
      <c r="H315" s="42">
        <f t="shared" si="29"/>
        <v>0</v>
      </c>
      <c r="I315" s="42" t="e">
        <f t="shared" si="26"/>
        <v>#NUM!</v>
      </c>
      <c r="J315" s="48" t="e">
        <f t="shared" si="27"/>
        <v>#NUM!</v>
      </c>
    </row>
    <row r="316" spans="3:10">
      <c r="C316" s="20">
        <v>303</v>
      </c>
      <c r="D316" s="42" t="e">
        <f t="shared" si="28"/>
        <v>#NUM!</v>
      </c>
      <c r="E316" s="42" t="e">
        <f t="shared" si="24"/>
        <v>#NUM!</v>
      </c>
      <c r="F316" s="42"/>
      <c r="G316" s="42" t="e">
        <f t="shared" si="25"/>
        <v>#NUM!</v>
      </c>
      <c r="H316" s="42">
        <f t="shared" si="29"/>
        <v>0</v>
      </c>
      <c r="I316" s="42" t="e">
        <f t="shared" si="26"/>
        <v>#NUM!</v>
      </c>
      <c r="J316" s="48" t="e">
        <f t="shared" si="27"/>
        <v>#NUM!</v>
      </c>
    </row>
    <row r="317" spans="3:10">
      <c r="C317" s="20">
        <v>304</v>
      </c>
      <c r="D317" s="42" t="e">
        <f t="shared" si="28"/>
        <v>#NUM!</v>
      </c>
      <c r="E317" s="42" t="e">
        <f t="shared" si="24"/>
        <v>#NUM!</v>
      </c>
      <c r="F317" s="42"/>
      <c r="G317" s="42" t="e">
        <f t="shared" si="25"/>
        <v>#NUM!</v>
      </c>
      <c r="H317" s="42">
        <f t="shared" si="29"/>
        <v>0</v>
      </c>
      <c r="I317" s="42" t="e">
        <f t="shared" si="26"/>
        <v>#NUM!</v>
      </c>
      <c r="J317" s="48" t="e">
        <f t="shared" si="27"/>
        <v>#NUM!</v>
      </c>
    </row>
    <row r="318" spans="3:10">
      <c r="C318" s="20">
        <v>305</v>
      </c>
      <c r="D318" s="42" t="e">
        <f t="shared" si="28"/>
        <v>#NUM!</v>
      </c>
      <c r="E318" s="42" t="e">
        <f t="shared" si="24"/>
        <v>#NUM!</v>
      </c>
      <c r="F318" s="42"/>
      <c r="G318" s="42" t="e">
        <f t="shared" si="25"/>
        <v>#NUM!</v>
      </c>
      <c r="H318" s="42">
        <f t="shared" si="29"/>
        <v>0</v>
      </c>
      <c r="I318" s="42" t="e">
        <f t="shared" si="26"/>
        <v>#NUM!</v>
      </c>
      <c r="J318" s="48" t="e">
        <f t="shared" si="27"/>
        <v>#NUM!</v>
      </c>
    </row>
    <row r="319" spans="3:10">
      <c r="C319" s="20">
        <v>306</v>
      </c>
      <c r="D319" s="42" t="e">
        <f t="shared" si="28"/>
        <v>#NUM!</v>
      </c>
      <c r="E319" s="42" t="e">
        <f t="shared" si="24"/>
        <v>#NUM!</v>
      </c>
      <c r="F319" s="42"/>
      <c r="G319" s="42" t="e">
        <f t="shared" si="25"/>
        <v>#NUM!</v>
      </c>
      <c r="H319" s="42">
        <f t="shared" si="29"/>
        <v>0</v>
      </c>
      <c r="I319" s="42" t="e">
        <f t="shared" si="26"/>
        <v>#NUM!</v>
      </c>
      <c r="J319" s="48" t="e">
        <f t="shared" si="27"/>
        <v>#NUM!</v>
      </c>
    </row>
    <row r="320" spans="3:10">
      <c r="C320" s="20">
        <v>307</v>
      </c>
      <c r="D320" s="42" t="e">
        <f t="shared" si="28"/>
        <v>#NUM!</v>
      </c>
      <c r="E320" s="42" t="e">
        <f t="shared" si="24"/>
        <v>#NUM!</v>
      </c>
      <c r="F320" s="42"/>
      <c r="G320" s="42" t="e">
        <f t="shared" si="25"/>
        <v>#NUM!</v>
      </c>
      <c r="H320" s="42">
        <f t="shared" si="29"/>
        <v>0</v>
      </c>
      <c r="I320" s="42" t="e">
        <f t="shared" si="26"/>
        <v>#NUM!</v>
      </c>
      <c r="J320" s="48" t="e">
        <f t="shared" si="27"/>
        <v>#NUM!</v>
      </c>
    </row>
    <row r="321" spans="3:10">
      <c r="C321" s="20">
        <v>308</v>
      </c>
      <c r="D321" s="42" t="e">
        <f t="shared" si="28"/>
        <v>#NUM!</v>
      </c>
      <c r="E321" s="42" t="e">
        <f t="shared" si="24"/>
        <v>#NUM!</v>
      </c>
      <c r="F321" s="42"/>
      <c r="G321" s="42" t="e">
        <f t="shared" si="25"/>
        <v>#NUM!</v>
      </c>
      <c r="H321" s="42">
        <f t="shared" si="29"/>
        <v>0</v>
      </c>
      <c r="I321" s="42" t="e">
        <f t="shared" si="26"/>
        <v>#NUM!</v>
      </c>
      <c r="J321" s="48" t="e">
        <f t="shared" si="27"/>
        <v>#NUM!</v>
      </c>
    </row>
    <row r="322" spans="3:10">
      <c r="C322" s="20">
        <v>309</v>
      </c>
      <c r="D322" s="42" t="e">
        <f t="shared" si="28"/>
        <v>#NUM!</v>
      </c>
      <c r="E322" s="42" t="e">
        <f t="shared" si="24"/>
        <v>#NUM!</v>
      </c>
      <c r="F322" s="42"/>
      <c r="G322" s="42" t="e">
        <f t="shared" si="25"/>
        <v>#NUM!</v>
      </c>
      <c r="H322" s="42">
        <f t="shared" si="29"/>
        <v>0</v>
      </c>
      <c r="I322" s="42" t="e">
        <f t="shared" si="26"/>
        <v>#NUM!</v>
      </c>
      <c r="J322" s="48" t="e">
        <f t="shared" si="27"/>
        <v>#NUM!</v>
      </c>
    </row>
    <row r="323" spans="3:10">
      <c r="C323" s="20">
        <v>310</v>
      </c>
      <c r="D323" s="42" t="e">
        <f t="shared" si="28"/>
        <v>#NUM!</v>
      </c>
      <c r="E323" s="42" t="e">
        <f t="shared" si="24"/>
        <v>#NUM!</v>
      </c>
      <c r="F323" s="42"/>
      <c r="G323" s="42" t="e">
        <f t="shared" si="25"/>
        <v>#NUM!</v>
      </c>
      <c r="H323" s="42">
        <f t="shared" si="29"/>
        <v>0</v>
      </c>
      <c r="I323" s="42" t="e">
        <f t="shared" si="26"/>
        <v>#NUM!</v>
      </c>
      <c r="J323" s="48" t="e">
        <f t="shared" si="27"/>
        <v>#NUM!</v>
      </c>
    </row>
    <row r="324" spans="3:10">
      <c r="C324" s="20">
        <v>311</v>
      </c>
      <c r="D324" s="42" t="e">
        <f t="shared" si="28"/>
        <v>#NUM!</v>
      </c>
      <c r="E324" s="42" t="e">
        <f t="shared" si="24"/>
        <v>#NUM!</v>
      </c>
      <c r="F324" s="42"/>
      <c r="G324" s="42" t="e">
        <f t="shared" si="25"/>
        <v>#NUM!</v>
      </c>
      <c r="H324" s="42">
        <f t="shared" si="29"/>
        <v>0</v>
      </c>
      <c r="I324" s="42" t="e">
        <f t="shared" si="26"/>
        <v>#NUM!</v>
      </c>
      <c r="J324" s="48" t="e">
        <f t="shared" si="27"/>
        <v>#NUM!</v>
      </c>
    </row>
    <row r="325" spans="3:10">
      <c r="C325" s="20">
        <v>312</v>
      </c>
      <c r="D325" s="42" t="e">
        <f t="shared" si="28"/>
        <v>#NUM!</v>
      </c>
      <c r="E325" s="42" t="e">
        <f t="shared" si="24"/>
        <v>#NUM!</v>
      </c>
      <c r="F325" s="42"/>
      <c r="G325" s="42" t="e">
        <f t="shared" si="25"/>
        <v>#NUM!</v>
      </c>
      <c r="H325" s="42">
        <f t="shared" si="29"/>
        <v>0</v>
      </c>
      <c r="I325" s="42" t="e">
        <f t="shared" si="26"/>
        <v>#NUM!</v>
      </c>
      <c r="J325" s="48" t="e">
        <f t="shared" si="27"/>
        <v>#NUM!</v>
      </c>
    </row>
    <row r="326" spans="3:10">
      <c r="C326" s="20">
        <v>313</v>
      </c>
      <c r="D326" s="42" t="e">
        <f t="shared" si="28"/>
        <v>#NUM!</v>
      </c>
      <c r="E326" s="42" t="e">
        <f t="shared" si="24"/>
        <v>#NUM!</v>
      </c>
      <c r="F326" s="42"/>
      <c r="G326" s="42" t="e">
        <f t="shared" si="25"/>
        <v>#NUM!</v>
      </c>
      <c r="H326" s="42">
        <f t="shared" si="29"/>
        <v>0</v>
      </c>
      <c r="I326" s="42" t="e">
        <f t="shared" si="26"/>
        <v>#NUM!</v>
      </c>
      <c r="J326" s="48" t="e">
        <f t="shared" si="27"/>
        <v>#NUM!</v>
      </c>
    </row>
    <row r="327" spans="3:10">
      <c r="C327" s="20">
        <v>314</v>
      </c>
      <c r="D327" s="42" t="e">
        <f t="shared" si="28"/>
        <v>#NUM!</v>
      </c>
      <c r="E327" s="42" t="e">
        <f t="shared" si="24"/>
        <v>#NUM!</v>
      </c>
      <c r="F327" s="42"/>
      <c r="G327" s="42" t="e">
        <f t="shared" si="25"/>
        <v>#NUM!</v>
      </c>
      <c r="H327" s="42">
        <f t="shared" si="29"/>
        <v>0</v>
      </c>
      <c r="I327" s="42" t="e">
        <f t="shared" si="26"/>
        <v>#NUM!</v>
      </c>
      <c r="J327" s="48" t="e">
        <f t="shared" si="27"/>
        <v>#NUM!</v>
      </c>
    </row>
    <row r="328" spans="3:10">
      <c r="C328" s="20">
        <v>315</v>
      </c>
      <c r="D328" s="42" t="e">
        <f t="shared" si="28"/>
        <v>#NUM!</v>
      </c>
      <c r="E328" s="42" t="e">
        <f t="shared" si="24"/>
        <v>#NUM!</v>
      </c>
      <c r="F328" s="42"/>
      <c r="G328" s="42" t="e">
        <f t="shared" si="25"/>
        <v>#NUM!</v>
      </c>
      <c r="H328" s="42">
        <f t="shared" si="29"/>
        <v>0</v>
      </c>
      <c r="I328" s="42" t="e">
        <f t="shared" si="26"/>
        <v>#NUM!</v>
      </c>
      <c r="J328" s="48" t="e">
        <f t="shared" si="27"/>
        <v>#NUM!</v>
      </c>
    </row>
    <row r="329" spans="3:10">
      <c r="C329" s="20">
        <v>316</v>
      </c>
      <c r="D329" s="42" t="e">
        <f t="shared" si="28"/>
        <v>#NUM!</v>
      </c>
      <c r="E329" s="42" t="e">
        <f t="shared" si="24"/>
        <v>#NUM!</v>
      </c>
      <c r="F329" s="42"/>
      <c r="G329" s="42" t="e">
        <f t="shared" si="25"/>
        <v>#NUM!</v>
      </c>
      <c r="H329" s="42">
        <f t="shared" si="29"/>
        <v>0</v>
      </c>
      <c r="I329" s="42" t="e">
        <f t="shared" si="26"/>
        <v>#NUM!</v>
      </c>
      <c r="J329" s="48" t="e">
        <f t="shared" si="27"/>
        <v>#NUM!</v>
      </c>
    </row>
    <row r="330" spans="3:10">
      <c r="C330" s="20">
        <v>317</v>
      </c>
      <c r="D330" s="42" t="e">
        <f t="shared" si="28"/>
        <v>#NUM!</v>
      </c>
      <c r="E330" s="42" t="e">
        <f t="shared" si="24"/>
        <v>#NUM!</v>
      </c>
      <c r="F330" s="42"/>
      <c r="G330" s="42" t="e">
        <f t="shared" si="25"/>
        <v>#NUM!</v>
      </c>
      <c r="H330" s="42">
        <f t="shared" si="29"/>
        <v>0</v>
      </c>
      <c r="I330" s="42" t="e">
        <f t="shared" si="26"/>
        <v>#NUM!</v>
      </c>
      <c r="J330" s="48" t="e">
        <f t="shared" si="27"/>
        <v>#NUM!</v>
      </c>
    </row>
    <row r="331" spans="3:10">
      <c r="C331" s="20">
        <v>318</v>
      </c>
      <c r="D331" s="42" t="e">
        <f t="shared" si="28"/>
        <v>#NUM!</v>
      </c>
      <c r="E331" s="42" t="e">
        <f t="shared" si="24"/>
        <v>#NUM!</v>
      </c>
      <c r="F331" s="42"/>
      <c r="G331" s="42" t="e">
        <f t="shared" si="25"/>
        <v>#NUM!</v>
      </c>
      <c r="H331" s="42">
        <f t="shared" si="29"/>
        <v>0</v>
      </c>
      <c r="I331" s="42" t="e">
        <f t="shared" si="26"/>
        <v>#NUM!</v>
      </c>
      <c r="J331" s="48" t="e">
        <f t="shared" si="27"/>
        <v>#NUM!</v>
      </c>
    </row>
    <row r="332" spans="3:10">
      <c r="C332" s="20">
        <v>319</v>
      </c>
      <c r="D332" s="42" t="e">
        <f t="shared" si="28"/>
        <v>#NUM!</v>
      </c>
      <c r="E332" s="42" t="e">
        <f t="shared" si="24"/>
        <v>#NUM!</v>
      </c>
      <c r="F332" s="42"/>
      <c r="G332" s="42" t="e">
        <f t="shared" si="25"/>
        <v>#NUM!</v>
      </c>
      <c r="H332" s="42">
        <f t="shared" si="29"/>
        <v>0</v>
      </c>
      <c r="I332" s="42" t="e">
        <f t="shared" si="26"/>
        <v>#NUM!</v>
      </c>
      <c r="J332" s="48" t="e">
        <f t="shared" si="27"/>
        <v>#NUM!</v>
      </c>
    </row>
    <row r="333" spans="3:10">
      <c r="C333" s="20">
        <v>320</v>
      </c>
      <c r="D333" s="42" t="e">
        <f t="shared" si="28"/>
        <v>#NUM!</v>
      </c>
      <c r="E333" s="42" t="e">
        <f t="shared" si="24"/>
        <v>#NUM!</v>
      </c>
      <c r="F333" s="42"/>
      <c r="G333" s="42" t="e">
        <f t="shared" si="25"/>
        <v>#NUM!</v>
      </c>
      <c r="H333" s="42">
        <f t="shared" si="29"/>
        <v>0</v>
      </c>
      <c r="I333" s="42" t="e">
        <f t="shared" si="26"/>
        <v>#NUM!</v>
      </c>
      <c r="J333" s="48" t="e">
        <f t="shared" si="27"/>
        <v>#NUM!</v>
      </c>
    </row>
    <row r="334" spans="3:10">
      <c r="C334" s="20">
        <v>321</v>
      </c>
      <c r="D334" s="42" t="e">
        <f t="shared" si="28"/>
        <v>#NUM!</v>
      </c>
      <c r="E334" s="42" t="e">
        <f t="shared" ref="E334:E373" si="30">D334*($E$5/12)</f>
        <v>#NUM!</v>
      </c>
      <c r="F334" s="42"/>
      <c r="G334" s="42" t="e">
        <f t="shared" ref="G334:G373" si="31">+I334-H334-E334</f>
        <v>#NUM!</v>
      </c>
      <c r="H334" s="42">
        <f t="shared" si="29"/>
        <v>0</v>
      </c>
      <c r="I334" s="42" t="e">
        <f t="shared" ref="I334:I373" si="32">IF(C334&lt;=$E$6,E334,$E$8)</f>
        <v>#NUM!</v>
      </c>
      <c r="J334" s="48" t="e">
        <f t="shared" ref="J334:J373" si="33">D334-G334-H334</f>
        <v>#NUM!</v>
      </c>
    </row>
    <row r="335" spans="3:10">
      <c r="C335" s="20">
        <v>322</v>
      </c>
      <c r="D335" s="42" t="e">
        <f t="shared" ref="D335:D373" si="34">J334</f>
        <v>#NUM!</v>
      </c>
      <c r="E335" s="42" t="e">
        <f t="shared" si="30"/>
        <v>#NUM!</v>
      </c>
      <c r="F335" s="42"/>
      <c r="G335" s="42" t="e">
        <f t="shared" si="31"/>
        <v>#NUM!</v>
      </c>
      <c r="H335" s="42">
        <f t="shared" ref="H335:H373" si="35">+H334</f>
        <v>0</v>
      </c>
      <c r="I335" s="42" t="e">
        <f t="shared" si="32"/>
        <v>#NUM!</v>
      </c>
      <c r="J335" s="48" t="e">
        <f t="shared" si="33"/>
        <v>#NUM!</v>
      </c>
    </row>
    <row r="336" spans="3:10">
      <c r="C336" s="20">
        <v>323</v>
      </c>
      <c r="D336" s="42" t="e">
        <f t="shared" si="34"/>
        <v>#NUM!</v>
      </c>
      <c r="E336" s="42" t="e">
        <f t="shared" si="30"/>
        <v>#NUM!</v>
      </c>
      <c r="F336" s="42"/>
      <c r="G336" s="42" t="e">
        <f t="shared" si="31"/>
        <v>#NUM!</v>
      </c>
      <c r="H336" s="42">
        <f t="shared" si="35"/>
        <v>0</v>
      </c>
      <c r="I336" s="42" t="e">
        <f t="shared" si="32"/>
        <v>#NUM!</v>
      </c>
      <c r="J336" s="48" t="e">
        <f t="shared" si="33"/>
        <v>#NUM!</v>
      </c>
    </row>
    <row r="337" spans="3:10">
      <c r="C337" s="20">
        <v>324</v>
      </c>
      <c r="D337" s="42" t="e">
        <f t="shared" si="34"/>
        <v>#NUM!</v>
      </c>
      <c r="E337" s="42" t="e">
        <f t="shared" si="30"/>
        <v>#NUM!</v>
      </c>
      <c r="F337" s="42"/>
      <c r="G337" s="42" t="e">
        <f t="shared" si="31"/>
        <v>#NUM!</v>
      </c>
      <c r="H337" s="42">
        <f t="shared" si="35"/>
        <v>0</v>
      </c>
      <c r="I337" s="42" t="e">
        <f t="shared" si="32"/>
        <v>#NUM!</v>
      </c>
      <c r="J337" s="48" t="e">
        <f t="shared" si="33"/>
        <v>#NUM!</v>
      </c>
    </row>
    <row r="338" spans="3:10">
      <c r="C338" s="20">
        <v>325</v>
      </c>
      <c r="D338" s="42" t="e">
        <f t="shared" si="34"/>
        <v>#NUM!</v>
      </c>
      <c r="E338" s="42" t="e">
        <f t="shared" si="30"/>
        <v>#NUM!</v>
      </c>
      <c r="F338" s="42"/>
      <c r="G338" s="42" t="e">
        <f t="shared" si="31"/>
        <v>#NUM!</v>
      </c>
      <c r="H338" s="42">
        <f t="shared" si="35"/>
        <v>0</v>
      </c>
      <c r="I338" s="42" t="e">
        <f t="shared" si="32"/>
        <v>#NUM!</v>
      </c>
      <c r="J338" s="48" t="e">
        <f t="shared" si="33"/>
        <v>#NUM!</v>
      </c>
    </row>
    <row r="339" spans="3:10">
      <c r="C339" s="20">
        <v>326</v>
      </c>
      <c r="D339" s="42" t="e">
        <f t="shared" si="34"/>
        <v>#NUM!</v>
      </c>
      <c r="E339" s="42" t="e">
        <f t="shared" si="30"/>
        <v>#NUM!</v>
      </c>
      <c r="F339" s="42"/>
      <c r="G339" s="42" t="e">
        <f t="shared" si="31"/>
        <v>#NUM!</v>
      </c>
      <c r="H339" s="42">
        <f t="shared" si="35"/>
        <v>0</v>
      </c>
      <c r="I339" s="42" t="e">
        <f t="shared" si="32"/>
        <v>#NUM!</v>
      </c>
      <c r="J339" s="48" t="e">
        <f t="shared" si="33"/>
        <v>#NUM!</v>
      </c>
    </row>
    <row r="340" spans="3:10">
      <c r="C340" s="20">
        <v>327</v>
      </c>
      <c r="D340" s="42" t="e">
        <f t="shared" si="34"/>
        <v>#NUM!</v>
      </c>
      <c r="E340" s="42" t="e">
        <f t="shared" si="30"/>
        <v>#NUM!</v>
      </c>
      <c r="F340" s="42"/>
      <c r="G340" s="42" t="e">
        <f t="shared" si="31"/>
        <v>#NUM!</v>
      </c>
      <c r="H340" s="42">
        <f t="shared" si="35"/>
        <v>0</v>
      </c>
      <c r="I340" s="42" t="e">
        <f t="shared" si="32"/>
        <v>#NUM!</v>
      </c>
      <c r="J340" s="48" t="e">
        <f t="shared" si="33"/>
        <v>#NUM!</v>
      </c>
    </row>
    <row r="341" spans="3:10">
      <c r="C341" s="20">
        <v>328</v>
      </c>
      <c r="D341" s="42" t="e">
        <f t="shared" si="34"/>
        <v>#NUM!</v>
      </c>
      <c r="E341" s="42" t="e">
        <f t="shared" si="30"/>
        <v>#NUM!</v>
      </c>
      <c r="F341" s="42"/>
      <c r="G341" s="42" t="e">
        <f t="shared" si="31"/>
        <v>#NUM!</v>
      </c>
      <c r="H341" s="42">
        <f t="shared" si="35"/>
        <v>0</v>
      </c>
      <c r="I341" s="42" t="e">
        <f t="shared" si="32"/>
        <v>#NUM!</v>
      </c>
      <c r="J341" s="48" t="e">
        <f t="shared" si="33"/>
        <v>#NUM!</v>
      </c>
    </row>
    <row r="342" spans="3:10">
      <c r="C342" s="20">
        <v>329</v>
      </c>
      <c r="D342" s="42" t="e">
        <f t="shared" si="34"/>
        <v>#NUM!</v>
      </c>
      <c r="E342" s="42" t="e">
        <f t="shared" si="30"/>
        <v>#NUM!</v>
      </c>
      <c r="F342" s="42"/>
      <c r="G342" s="42" t="e">
        <f t="shared" si="31"/>
        <v>#NUM!</v>
      </c>
      <c r="H342" s="42">
        <f t="shared" si="35"/>
        <v>0</v>
      </c>
      <c r="I342" s="42" t="e">
        <f t="shared" si="32"/>
        <v>#NUM!</v>
      </c>
      <c r="J342" s="48" t="e">
        <f t="shared" si="33"/>
        <v>#NUM!</v>
      </c>
    </row>
    <row r="343" spans="3:10">
      <c r="C343" s="20">
        <v>330</v>
      </c>
      <c r="D343" s="42" t="e">
        <f t="shared" si="34"/>
        <v>#NUM!</v>
      </c>
      <c r="E343" s="42" t="e">
        <f t="shared" si="30"/>
        <v>#NUM!</v>
      </c>
      <c r="F343" s="42"/>
      <c r="G343" s="42" t="e">
        <f t="shared" si="31"/>
        <v>#NUM!</v>
      </c>
      <c r="H343" s="42">
        <f t="shared" si="35"/>
        <v>0</v>
      </c>
      <c r="I343" s="42" t="e">
        <f t="shared" si="32"/>
        <v>#NUM!</v>
      </c>
      <c r="J343" s="48" t="e">
        <f t="shared" si="33"/>
        <v>#NUM!</v>
      </c>
    </row>
    <row r="344" spans="3:10">
      <c r="C344" s="20">
        <v>331</v>
      </c>
      <c r="D344" s="42" t="e">
        <f t="shared" si="34"/>
        <v>#NUM!</v>
      </c>
      <c r="E344" s="42" t="e">
        <f t="shared" si="30"/>
        <v>#NUM!</v>
      </c>
      <c r="F344" s="42"/>
      <c r="G344" s="42" t="e">
        <f t="shared" si="31"/>
        <v>#NUM!</v>
      </c>
      <c r="H344" s="42">
        <f t="shared" si="35"/>
        <v>0</v>
      </c>
      <c r="I344" s="42" t="e">
        <f t="shared" si="32"/>
        <v>#NUM!</v>
      </c>
      <c r="J344" s="48" t="e">
        <f t="shared" si="33"/>
        <v>#NUM!</v>
      </c>
    </row>
    <row r="345" spans="3:10">
      <c r="C345" s="20">
        <v>332</v>
      </c>
      <c r="D345" s="42" t="e">
        <f t="shared" si="34"/>
        <v>#NUM!</v>
      </c>
      <c r="E345" s="42" t="e">
        <f t="shared" si="30"/>
        <v>#NUM!</v>
      </c>
      <c r="F345" s="42"/>
      <c r="G345" s="42" t="e">
        <f t="shared" si="31"/>
        <v>#NUM!</v>
      </c>
      <c r="H345" s="42">
        <f t="shared" si="35"/>
        <v>0</v>
      </c>
      <c r="I345" s="42" t="e">
        <f t="shared" si="32"/>
        <v>#NUM!</v>
      </c>
      <c r="J345" s="48" t="e">
        <f t="shared" si="33"/>
        <v>#NUM!</v>
      </c>
    </row>
    <row r="346" spans="3:10">
      <c r="C346" s="20">
        <v>333</v>
      </c>
      <c r="D346" s="42" t="e">
        <f t="shared" si="34"/>
        <v>#NUM!</v>
      </c>
      <c r="E346" s="42" t="e">
        <f t="shared" si="30"/>
        <v>#NUM!</v>
      </c>
      <c r="F346" s="42"/>
      <c r="G346" s="42" t="e">
        <f t="shared" si="31"/>
        <v>#NUM!</v>
      </c>
      <c r="H346" s="42">
        <f t="shared" si="35"/>
        <v>0</v>
      </c>
      <c r="I346" s="42" t="e">
        <f t="shared" si="32"/>
        <v>#NUM!</v>
      </c>
      <c r="J346" s="48" t="e">
        <f t="shared" si="33"/>
        <v>#NUM!</v>
      </c>
    </row>
    <row r="347" spans="3:10">
      <c r="C347" s="20">
        <v>334</v>
      </c>
      <c r="D347" s="42" t="e">
        <f t="shared" si="34"/>
        <v>#NUM!</v>
      </c>
      <c r="E347" s="42" t="e">
        <f t="shared" si="30"/>
        <v>#NUM!</v>
      </c>
      <c r="F347" s="42"/>
      <c r="G347" s="42" t="e">
        <f t="shared" si="31"/>
        <v>#NUM!</v>
      </c>
      <c r="H347" s="42">
        <f t="shared" si="35"/>
        <v>0</v>
      </c>
      <c r="I347" s="42" t="e">
        <f t="shared" si="32"/>
        <v>#NUM!</v>
      </c>
      <c r="J347" s="48" t="e">
        <f t="shared" si="33"/>
        <v>#NUM!</v>
      </c>
    </row>
    <row r="348" spans="3:10">
      <c r="C348" s="20">
        <v>335</v>
      </c>
      <c r="D348" s="42" t="e">
        <f t="shared" si="34"/>
        <v>#NUM!</v>
      </c>
      <c r="E348" s="42" t="e">
        <f t="shared" si="30"/>
        <v>#NUM!</v>
      </c>
      <c r="F348" s="42"/>
      <c r="G348" s="42" t="e">
        <f t="shared" si="31"/>
        <v>#NUM!</v>
      </c>
      <c r="H348" s="42">
        <f t="shared" si="35"/>
        <v>0</v>
      </c>
      <c r="I348" s="42" t="e">
        <f t="shared" si="32"/>
        <v>#NUM!</v>
      </c>
      <c r="J348" s="48" t="e">
        <f t="shared" si="33"/>
        <v>#NUM!</v>
      </c>
    </row>
    <row r="349" spans="3:10">
      <c r="C349" s="20">
        <v>336</v>
      </c>
      <c r="D349" s="42" t="e">
        <f t="shared" si="34"/>
        <v>#NUM!</v>
      </c>
      <c r="E349" s="42" t="e">
        <f t="shared" si="30"/>
        <v>#NUM!</v>
      </c>
      <c r="F349" s="42"/>
      <c r="G349" s="42" t="e">
        <f t="shared" si="31"/>
        <v>#NUM!</v>
      </c>
      <c r="H349" s="42">
        <f t="shared" si="35"/>
        <v>0</v>
      </c>
      <c r="I349" s="42" t="e">
        <f t="shared" si="32"/>
        <v>#NUM!</v>
      </c>
      <c r="J349" s="48" t="e">
        <f t="shared" si="33"/>
        <v>#NUM!</v>
      </c>
    </row>
    <row r="350" spans="3:10">
      <c r="C350" s="20">
        <v>337</v>
      </c>
      <c r="D350" s="42" t="e">
        <f t="shared" si="34"/>
        <v>#NUM!</v>
      </c>
      <c r="E350" s="42" t="e">
        <f t="shared" si="30"/>
        <v>#NUM!</v>
      </c>
      <c r="F350" s="42"/>
      <c r="G350" s="42" t="e">
        <f t="shared" si="31"/>
        <v>#NUM!</v>
      </c>
      <c r="H350" s="42">
        <f t="shared" si="35"/>
        <v>0</v>
      </c>
      <c r="I350" s="42" t="e">
        <f t="shared" si="32"/>
        <v>#NUM!</v>
      </c>
      <c r="J350" s="48" t="e">
        <f t="shared" si="33"/>
        <v>#NUM!</v>
      </c>
    </row>
    <row r="351" spans="3:10">
      <c r="C351" s="20">
        <v>338</v>
      </c>
      <c r="D351" s="42" t="e">
        <f t="shared" si="34"/>
        <v>#NUM!</v>
      </c>
      <c r="E351" s="42" t="e">
        <f t="shared" si="30"/>
        <v>#NUM!</v>
      </c>
      <c r="F351" s="42"/>
      <c r="G351" s="42" t="e">
        <f t="shared" si="31"/>
        <v>#NUM!</v>
      </c>
      <c r="H351" s="42">
        <f t="shared" si="35"/>
        <v>0</v>
      </c>
      <c r="I351" s="42" t="e">
        <f t="shared" si="32"/>
        <v>#NUM!</v>
      </c>
      <c r="J351" s="48" t="e">
        <f t="shared" si="33"/>
        <v>#NUM!</v>
      </c>
    </row>
    <row r="352" spans="3:10">
      <c r="C352" s="20">
        <v>339</v>
      </c>
      <c r="D352" s="42" t="e">
        <f t="shared" si="34"/>
        <v>#NUM!</v>
      </c>
      <c r="E352" s="42" t="e">
        <f t="shared" si="30"/>
        <v>#NUM!</v>
      </c>
      <c r="F352" s="42"/>
      <c r="G352" s="42" t="e">
        <f t="shared" si="31"/>
        <v>#NUM!</v>
      </c>
      <c r="H352" s="42">
        <f t="shared" si="35"/>
        <v>0</v>
      </c>
      <c r="I352" s="42" t="e">
        <f t="shared" si="32"/>
        <v>#NUM!</v>
      </c>
      <c r="J352" s="48" t="e">
        <f t="shared" si="33"/>
        <v>#NUM!</v>
      </c>
    </row>
    <row r="353" spans="3:10">
      <c r="C353" s="20">
        <v>340</v>
      </c>
      <c r="D353" s="42" t="e">
        <f t="shared" si="34"/>
        <v>#NUM!</v>
      </c>
      <c r="E353" s="42" t="e">
        <f t="shared" si="30"/>
        <v>#NUM!</v>
      </c>
      <c r="F353" s="42"/>
      <c r="G353" s="42" t="e">
        <f t="shared" si="31"/>
        <v>#NUM!</v>
      </c>
      <c r="H353" s="42">
        <f t="shared" si="35"/>
        <v>0</v>
      </c>
      <c r="I353" s="42" t="e">
        <f t="shared" si="32"/>
        <v>#NUM!</v>
      </c>
      <c r="J353" s="48" t="e">
        <f t="shared" si="33"/>
        <v>#NUM!</v>
      </c>
    </row>
    <row r="354" spans="3:10">
      <c r="C354" s="20">
        <v>341</v>
      </c>
      <c r="D354" s="42" t="e">
        <f t="shared" si="34"/>
        <v>#NUM!</v>
      </c>
      <c r="E354" s="42" t="e">
        <f t="shared" si="30"/>
        <v>#NUM!</v>
      </c>
      <c r="F354" s="42"/>
      <c r="G354" s="42" t="e">
        <f t="shared" si="31"/>
        <v>#NUM!</v>
      </c>
      <c r="H354" s="42">
        <f t="shared" si="35"/>
        <v>0</v>
      </c>
      <c r="I354" s="42" t="e">
        <f t="shared" si="32"/>
        <v>#NUM!</v>
      </c>
      <c r="J354" s="48" t="e">
        <f t="shared" si="33"/>
        <v>#NUM!</v>
      </c>
    </row>
    <row r="355" spans="3:10">
      <c r="C355" s="20">
        <v>342</v>
      </c>
      <c r="D355" s="42" t="e">
        <f t="shared" si="34"/>
        <v>#NUM!</v>
      </c>
      <c r="E355" s="42" t="e">
        <f t="shared" si="30"/>
        <v>#NUM!</v>
      </c>
      <c r="F355" s="42"/>
      <c r="G355" s="42" t="e">
        <f t="shared" si="31"/>
        <v>#NUM!</v>
      </c>
      <c r="H355" s="42">
        <f t="shared" si="35"/>
        <v>0</v>
      </c>
      <c r="I355" s="42" t="e">
        <f t="shared" si="32"/>
        <v>#NUM!</v>
      </c>
      <c r="J355" s="48" t="e">
        <f t="shared" si="33"/>
        <v>#NUM!</v>
      </c>
    </row>
    <row r="356" spans="3:10">
      <c r="C356" s="20">
        <v>343</v>
      </c>
      <c r="D356" s="42" t="e">
        <f t="shared" si="34"/>
        <v>#NUM!</v>
      </c>
      <c r="E356" s="42" t="e">
        <f t="shared" si="30"/>
        <v>#NUM!</v>
      </c>
      <c r="F356" s="42"/>
      <c r="G356" s="42" t="e">
        <f t="shared" si="31"/>
        <v>#NUM!</v>
      </c>
      <c r="H356" s="42">
        <f t="shared" si="35"/>
        <v>0</v>
      </c>
      <c r="I356" s="42" t="e">
        <f t="shared" si="32"/>
        <v>#NUM!</v>
      </c>
      <c r="J356" s="48" t="e">
        <f t="shared" si="33"/>
        <v>#NUM!</v>
      </c>
    </row>
    <row r="357" spans="3:10">
      <c r="C357" s="20">
        <v>344</v>
      </c>
      <c r="D357" s="42" t="e">
        <f t="shared" si="34"/>
        <v>#NUM!</v>
      </c>
      <c r="E357" s="42" t="e">
        <f t="shared" si="30"/>
        <v>#NUM!</v>
      </c>
      <c r="F357" s="42"/>
      <c r="G357" s="42" t="e">
        <f t="shared" si="31"/>
        <v>#NUM!</v>
      </c>
      <c r="H357" s="42">
        <f t="shared" si="35"/>
        <v>0</v>
      </c>
      <c r="I357" s="42" t="e">
        <f t="shared" si="32"/>
        <v>#NUM!</v>
      </c>
      <c r="J357" s="48" t="e">
        <f t="shared" si="33"/>
        <v>#NUM!</v>
      </c>
    </row>
    <row r="358" spans="3:10">
      <c r="C358" s="20">
        <v>345</v>
      </c>
      <c r="D358" s="42" t="e">
        <f t="shared" si="34"/>
        <v>#NUM!</v>
      </c>
      <c r="E358" s="42" t="e">
        <f t="shared" si="30"/>
        <v>#NUM!</v>
      </c>
      <c r="F358" s="42"/>
      <c r="G358" s="42" t="e">
        <f t="shared" si="31"/>
        <v>#NUM!</v>
      </c>
      <c r="H358" s="42">
        <f t="shared" si="35"/>
        <v>0</v>
      </c>
      <c r="I358" s="42" t="e">
        <f t="shared" si="32"/>
        <v>#NUM!</v>
      </c>
      <c r="J358" s="48" t="e">
        <f t="shared" si="33"/>
        <v>#NUM!</v>
      </c>
    </row>
    <row r="359" spans="3:10">
      <c r="C359" s="20">
        <v>346</v>
      </c>
      <c r="D359" s="42" t="e">
        <f t="shared" si="34"/>
        <v>#NUM!</v>
      </c>
      <c r="E359" s="42" t="e">
        <f t="shared" si="30"/>
        <v>#NUM!</v>
      </c>
      <c r="F359" s="42"/>
      <c r="G359" s="42" t="e">
        <f t="shared" si="31"/>
        <v>#NUM!</v>
      </c>
      <c r="H359" s="42">
        <f t="shared" si="35"/>
        <v>0</v>
      </c>
      <c r="I359" s="42" t="e">
        <f t="shared" si="32"/>
        <v>#NUM!</v>
      </c>
      <c r="J359" s="48" t="e">
        <f t="shared" si="33"/>
        <v>#NUM!</v>
      </c>
    </row>
    <row r="360" spans="3:10">
      <c r="C360" s="20">
        <v>347</v>
      </c>
      <c r="D360" s="42" t="e">
        <f t="shared" si="34"/>
        <v>#NUM!</v>
      </c>
      <c r="E360" s="42" t="e">
        <f t="shared" si="30"/>
        <v>#NUM!</v>
      </c>
      <c r="F360" s="42"/>
      <c r="G360" s="42" t="e">
        <f t="shared" si="31"/>
        <v>#NUM!</v>
      </c>
      <c r="H360" s="42">
        <f t="shared" si="35"/>
        <v>0</v>
      </c>
      <c r="I360" s="42" t="e">
        <f t="shared" si="32"/>
        <v>#NUM!</v>
      </c>
      <c r="J360" s="48" t="e">
        <f t="shared" si="33"/>
        <v>#NUM!</v>
      </c>
    </row>
    <row r="361" spans="3:10">
      <c r="C361" s="20">
        <v>348</v>
      </c>
      <c r="D361" s="42" t="e">
        <f t="shared" si="34"/>
        <v>#NUM!</v>
      </c>
      <c r="E361" s="42" t="e">
        <f t="shared" si="30"/>
        <v>#NUM!</v>
      </c>
      <c r="F361" s="42"/>
      <c r="G361" s="42" t="e">
        <f t="shared" si="31"/>
        <v>#NUM!</v>
      </c>
      <c r="H361" s="42">
        <f t="shared" si="35"/>
        <v>0</v>
      </c>
      <c r="I361" s="42" t="e">
        <f t="shared" si="32"/>
        <v>#NUM!</v>
      </c>
      <c r="J361" s="48" t="e">
        <f t="shared" si="33"/>
        <v>#NUM!</v>
      </c>
    </row>
    <row r="362" spans="3:10">
      <c r="C362" s="20">
        <v>349</v>
      </c>
      <c r="D362" s="42" t="e">
        <f t="shared" si="34"/>
        <v>#NUM!</v>
      </c>
      <c r="E362" s="42" t="e">
        <f t="shared" si="30"/>
        <v>#NUM!</v>
      </c>
      <c r="F362" s="42"/>
      <c r="G362" s="42" t="e">
        <f t="shared" si="31"/>
        <v>#NUM!</v>
      </c>
      <c r="H362" s="42">
        <f t="shared" si="35"/>
        <v>0</v>
      </c>
      <c r="I362" s="42" t="e">
        <f t="shared" si="32"/>
        <v>#NUM!</v>
      </c>
      <c r="J362" s="48" t="e">
        <f t="shared" si="33"/>
        <v>#NUM!</v>
      </c>
    </row>
    <row r="363" spans="3:10">
      <c r="C363" s="20">
        <v>350</v>
      </c>
      <c r="D363" s="42" t="e">
        <f t="shared" si="34"/>
        <v>#NUM!</v>
      </c>
      <c r="E363" s="42" t="e">
        <f t="shared" si="30"/>
        <v>#NUM!</v>
      </c>
      <c r="F363" s="42"/>
      <c r="G363" s="42" t="e">
        <f t="shared" si="31"/>
        <v>#NUM!</v>
      </c>
      <c r="H363" s="42">
        <f t="shared" si="35"/>
        <v>0</v>
      </c>
      <c r="I363" s="42" t="e">
        <f t="shared" si="32"/>
        <v>#NUM!</v>
      </c>
      <c r="J363" s="48" t="e">
        <f t="shared" si="33"/>
        <v>#NUM!</v>
      </c>
    </row>
    <row r="364" spans="3:10">
      <c r="C364" s="20">
        <v>351</v>
      </c>
      <c r="D364" s="42" t="e">
        <f t="shared" si="34"/>
        <v>#NUM!</v>
      </c>
      <c r="E364" s="42" t="e">
        <f t="shared" si="30"/>
        <v>#NUM!</v>
      </c>
      <c r="F364" s="42"/>
      <c r="G364" s="42" t="e">
        <f t="shared" si="31"/>
        <v>#NUM!</v>
      </c>
      <c r="H364" s="42">
        <f t="shared" si="35"/>
        <v>0</v>
      </c>
      <c r="I364" s="42" t="e">
        <f t="shared" si="32"/>
        <v>#NUM!</v>
      </c>
      <c r="J364" s="48" t="e">
        <f t="shared" si="33"/>
        <v>#NUM!</v>
      </c>
    </row>
    <row r="365" spans="3:10">
      <c r="C365" s="20">
        <v>352</v>
      </c>
      <c r="D365" s="42" t="e">
        <f t="shared" si="34"/>
        <v>#NUM!</v>
      </c>
      <c r="E365" s="42" t="e">
        <f t="shared" si="30"/>
        <v>#NUM!</v>
      </c>
      <c r="F365" s="42"/>
      <c r="G365" s="42" t="e">
        <f t="shared" si="31"/>
        <v>#NUM!</v>
      </c>
      <c r="H365" s="42">
        <f t="shared" si="35"/>
        <v>0</v>
      </c>
      <c r="I365" s="42" t="e">
        <f t="shared" si="32"/>
        <v>#NUM!</v>
      </c>
      <c r="J365" s="48" t="e">
        <f t="shared" si="33"/>
        <v>#NUM!</v>
      </c>
    </row>
    <row r="366" spans="3:10">
      <c r="C366" s="20">
        <v>353</v>
      </c>
      <c r="D366" s="42" t="e">
        <f t="shared" si="34"/>
        <v>#NUM!</v>
      </c>
      <c r="E366" s="42" t="e">
        <f t="shared" si="30"/>
        <v>#NUM!</v>
      </c>
      <c r="F366" s="42"/>
      <c r="G366" s="42" t="e">
        <f t="shared" si="31"/>
        <v>#NUM!</v>
      </c>
      <c r="H366" s="42">
        <f t="shared" si="35"/>
        <v>0</v>
      </c>
      <c r="I366" s="42" t="e">
        <f t="shared" si="32"/>
        <v>#NUM!</v>
      </c>
      <c r="J366" s="48" t="e">
        <f t="shared" si="33"/>
        <v>#NUM!</v>
      </c>
    </row>
    <row r="367" spans="3:10">
      <c r="C367" s="20">
        <v>354</v>
      </c>
      <c r="D367" s="42" t="e">
        <f t="shared" si="34"/>
        <v>#NUM!</v>
      </c>
      <c r="E367" s="42" t="e">
        <f t="shared" si="30"/>
        <v>#NUM!</v>
      </c>
      <c r="F367" s="42"/>
      <c r="G367" s="42" t="e">
        <f t="shared" si="31"/>
        <v>#NUM!</v>
      </c>
      <c r="H367" s="42">
        <f t="shared" si="35"/>
        <v>0</v>
      </c>
      <c r="I367" s="42" t="e">
        <f t="shared" si="32"/>
        <v>#NUM!</v>
      </c>
      <c r="J367" s="48" t="e">
        <f t="shared" si="33"/>
        <v>#NUM!</v>
      </c>
    </row>
    <row r="368" spans="3:10">
      <c r="C368" s="20">
        <v>355</v>
      </c>
      <c r="D368" s="42" t="e">
        <f t="shared" si="34"/>
        <v>#NUM!</v>
      </c>
      <c r="E368" s="42" t="e">
        <f t="shared" si="30"/>
        <v>#NUM!</v>
      </c>
      <c r="F368" s="42"/>
      <c r="G368" s="42" t="e">
        <f t="shared" si="31"/>
        <v>#NUM!</v>
      </c>
      <c r="H368" s="42">
        <f t="shared" si="35"/>
        <v>0</v>
      </c>
      <c r="I368" s="42" t="e">
        <f t="shared" si="32"/>
        <v>#NUM!</v>
      </c>
      <c r="J368" s="48" t="e">
        <f t="shared" si="33"/>
        <v>#NUM!</v>
      </c>
    </row>
    <row r="369" spans="3:10">
      <c r="C369" s="20">
        <v>356</v>
      </c>
      <c r="D369" s="42" t="e">
        <f t="shared" si="34"/>
        <v>#NUM!</v>
      </c>
      <c r="E369" s="42" t="e">
        <f t="shared" si="30"/>
        <v>#NUM!</v>
      </c>
      <c r="F369" s="42"/>
      <c r="G369" s="42" t="e">
        <f t="shared" si="31"/>
        <v>#NUM!</v>
      </c>
      <c r="H369" s="42">
        <f t="shared" si="35"/>
        <v>0</v>
      </c>
      <c r="I369" s="42" t="e">
        <f t="shared" si="32"/>
        <v>#NUM!</v>
      </c>
      <c r="J369" s="48" t="e">
        <f t="shared" si="33"/>
        <v>#NUM!</v>
      </c>
    </row>
    <row r="370" spans="3:10">
      <c r="C370" s="20">
        <v>357</v>
      </c>
      <c r="D370" s="42" t="e">
        <f t="shared" si="34"/>
        <v>#NUM!</v>
      </c>
      <c r="E370" s="42" t="e">
        <f t="shared" si="30"/>
        <v>#NUM!</v>
      </c>
      <c r="F370" s="42"/>
      <c r="G370" s="42" t="e">
        <f t="shared" si="31"/>
        <v>#NUM!</v>
      </c>
      <c r="H370" s="42">
        <f t="shared" si="35"/>
        <v>0</v>
      </c>
      <c r="I370" s="42" t="e">
        <f t="shared" si="32"/>
        <v>#NUM!</v>
      </c>
      <c r="J370" s="48" t="e">
        <f t="shared" si="33"/>
        <v>#NUM!</v>
      </c>
    </row>
    <row r="371" spans="3:10">
      <c r="C371" s="20">
        <v>358</v>
      </c>
      <c r="D371" s="42" t="e">
        <f t="shared" si="34"/>
        <v>#NUM!</v>
      </c>
      <c r="E371" s="42" t="e">
        <f t="shared" si="30"/>
        <v>#NUM!</v>
      </c>
      <c r="F371" s="42"/>
      <c r="G371" s="42" t="e">
        <f t="shared" si="31"/>
        <v>#NUM!</v>
      </c>
      <c r="H371" s="42">
        <f t="shared" si="35"/>
        <v>0</v>
      </c>
      <c r="I371" s="42" t="e">
        <f t="shared" si="32"/>
        <v>#NUM!</v>
      </c>
      <c r="J371" s="48" t="e">
        <f t="shared" si="33"/>
        <v>#NUM!</v>
      </c>
    </row>
    <row r="372" spans="3:10">
      <c r="C372" s="20">
        <v>359</v>
      </c>
      <c r="D372" s="42" t="e">
        <f t="shared" si="34"/>
        <v>#NUM!</v>
      </c>
      <c r="E372" s="42" t="e">
        <f t="shared" si="30"/>
        <v>#NUM!</v>
      </c>
      <c r="F372" s="42"/>
      <c r="G372" s="42" t="e">
        <f t="shared" si="31"/>
        <v>#NUM!</v>
      </c>
      <c r="H372" s="42">
        <f t="shared" si="35"/>
        <v>0</v>
      </c>
      <c r="I372" s="42" t="e">
        <f t="shared" si="32"/>
        <v>#NUM!</v>
      </c>
      <c r="J372" s="48" t="e">
        <f t="shared" si="33"/>
        <v>#NUM!</v>
      </c>
    </row>
    <row r="373" spans="3:10">
      <c r="C373" s="20">
        <v>360</v>
      </c>
      <c r="D373" s="42" t="e">
        <f t="shared" si="34"/>
        <v>#NUM!</v>
      </c>
      <c r="E373" s="42" t="e">
        <f t="shared" si="30"/>
        <v>#NUM!</v>
      </c>
      <c r="F373" s="42"/>
      <c r="G373" s="42" t="e">
        <f t="shared" si="31"/>
        <v>#NUM!</v>
      </c>
      <c r="H373" s="42">
        <f t="shared" si="35"/>
        <v>0</v>
      </c>
      <c r="I373" s="42" t="e">
        <f t="shared" si="32"/>
        <v>#NUM!</v>
      </c>
      <c r="J373" s="48" t="e">
        <f t="shared" si="33"/>
        <v>#NUM!</v>
      </c>
    </row>
    <row r="374" spans="3:10">
      <c r="D374" s="42"/>
      <c r="E374" s="42"/>
      <c r="F374" s="42"/>
      <c r="G374" s="42"/>
      <c r="H374" s="42"/>
      <c r="I374" s="42"/>
      <c r="J374" s="42"/>
    </row>
    <row r="375" spans="3:10">
      <c r="E375" s="67"/>
      <c r="G375" s="67"/>
    </row>
    <row r="377" spans="3:10">
      <c r="I377" s="68"/>
    </row>
    <row r="378" spans="3:10">
      <c r="I378" s="69"/>
    </row>
    <row r="379" spans="3:10">
      <c r="I379" s="68"/>
    </row>
  </sheetData>
  <printOptions horizontalCentered="1"/>
  <pageMargins left="0.5" right="0.5" top="0.75" bottom="1" header="0.5" footer="0.5"/>
  <pageSetup scale="87"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8E66F-2418-48E0-95D0-77BE6420520C}">
  <sheetPr codeName="Sheet2"/>
  <dimension ref="B2:H125"/>
  <sheetViews>
    <sheetView showGridLines="0" workbookViewId="0">
      <selection activeCell="I15" sqref="I15"/>
    </sheetView>
  </sheetViews>
  <sheetFormatPr defaultRowHeight="14.5"/>
  <cols>
    <col min="2" max="2" width="10.7265625" bestFit="1" customWidth="1"/>
    <col min="3" max="3" width="10.7265625" customWidth="1"/>
    <col min="4" max="4" width="32.26953125" customWidth="1"/>
    <col min="5" max="5" width="32.26953125" bestFit="1" customWidth="1"/>
    <col min="7" max="7" width="12.81640625" bestFit="1" customWidth="1"/>
  </cols>
  <sheetData>
    <row r="2" spans="2:8">
      <c r="G2" s="822" t="s">
        <v>213</v>
      </c>
      <c r="H2" s="823" t="s">
        <v>214</v>
      </c>
    </row>
    <row r="3" spans="2:8" ht="15" thickBot="1">
      <c r="B3" s="824" t="s">
        <v>215</v>
      </c>
      <c r="D3" s="825"/>
      <c r="E3" s="824" t="s">
        <v>215</v>
      </c>
    </row>
    <row r="4" spans="2:8">
      <c r="B4" s="807" t="s">
        <v>216</v>
      </c>
      <c r="C4" s="806" t="s">
        <v>203</v>
      </c>
      <c r="D4" s="822" t="s">
        <v>217</v>
      </c>
      <c r="E4" s="808" t="s">
        <v>218</v>
      </c>
    </row>
    <row r="5" spans="2:8">
      <c r="B5" s="1685">
        <v>45698</v>
      </c>
      <c r="C5" s="810">
        <v>1</v>
      </c>
      <c r="D5" s="809">
        <f>IF('Debt Sizing'!$O$65="Curve On",MIN('1 Month Term SOFR Forward Curve'!E5,'Debt Sizing'!$O$66),'1 Month Term SOFR Forward Curve'!E5)</f>
        <v>0.04</v>
      </c>
      <c r="E5" s="1683">
        <v>4.3134400000000003E-2</v>
      </c>
    </row>
    <row r="6" spans="2:8">
      <c r="B6" s="1686">
        <v>45726</v>
      </c>
      <c r="C6" s="811">
        <f>+C5+1</f>
        <v>2</v>
      </c>
      <c r="D6" s="809">
        <f>IF('Debt Sizing'!$O$65="Curve On",MIN('1 Month Term SOFR Forward Curve'!E6,'Debt Sizing'!$O$66),'1 Month Term SOFR Forward Curve'!E6)</f>
        <v>0.04</v>
      </c>
      <c r="E6" s="1684">
        <v>4.2901599999999998E-2</v>
      </c>
    </row>
    <row r="7" spans="2:8">
      <c r="B7" s="1685">
        <v>45757</v>
      </c>
      <c r="C7" s="811">
        <f t="shared" ref="C7:C70" si="0">+C6+1</f>
        <v>3</v>
      </c>
      <c r="D7" s="809">
        <f>IF('Debt Sizing'!$O$65="Curve On",MIN('1 Month Term SOFR Forward Curve'!E7,'Debt Sizing'!$O$66),'1 Month Term SOFR Forward Curve'!E7)</f>
        <v>0.04</v>
      </c>
      <c r="E7" s="1683">
        <v>4.2620600000000002E-2</v>
      </c>
    </row>
    <row r="8" spans="2:8">
      <c r="B8" s="1686">
        <v>45789</v>
      </c>
      <c r="C8" s="811">
        <f t="shared" si="0"/>
        <v>4</v>
      </c>
      <c r="D8" s="809">
        <f>IF('Debt Sizing'!$O$65="Curve On",MIN('1 Month Term SOFR Forward Curve'!E8,'Debt Sizing'!$O$66),'1 Month Term SOFR Forward Curve'!E8)</f>
        <v>0.04</v>
      </c>
      <c r="E8" s="1684">
        <v>4.1994499999999997E-2</v>
      </c>
    </row>
    <row r="9" spans="2:8">
      <c r="B9" s="1685">
        <v>45818</v>
      </c>
      <c r="C9" s="811">
        <f t="shared" si="0"/>
        <v>5</v>
      </c>
      <c r="D9" s="809">
        <f>IF('Debt Sizing'!$O$65="Curve On",MIN('1 Month Term SOFR Forward Curve'!E9,'Debt Sizing'!$O$66),'1 Month Term SOFR Forward Curve'!E9)</f>
        <v>0.04</v>
      </c>
      <c r="E9" s="1683">
        <v>4.1511300000000001E-2</v>
      </c>
    </row>
    <row r="10" spans="2:8">
      <c r="B10" s="1686">
        <v>45848</v>
      </c>
      <c r="C10" s="811">
        <f t="shared" si="0"/>
        <v>6</v>
      </c>
      <c r="D10" s="809">
        <f>IF('Debt Sizing'!$O$65="Curve On",MIN('1 Month Term SOFR Forward Curve'!E10,'Debt Sizing'!$O$66),'1 Month Term SOFR Forward Curve'!E10)</f>
        <v>0.04</v>
      </c>
      <c r="E10" s="1684">
        <v>4.1027300000000003E-2</v>
      </c>
    </row>
    <row r="11" spans="2:8">
      <c r="B11" s="1685">
        <v>45880</v>
      </c>
      <c r="C11" s="811">
        <f t="shared" si="0"/>
        <v>7</v>
      </c>
      <c r="D11" s="809">
        <f>IF('Debt Sizing'!$O$65="Curve On",MIN('1 Month Term SOFR Forward Curve'!E11,'Debt Sizing'!$O$66),'1 Month Term SOFR Forward Curve'!E11)</f>
        <v>0.04</v>
      </c>
      <c r="E11" s="1683">
        <v>4.07316E-2</v>
      </c>
    </row>
    <row r="12" spans="2:8">
      <c r="B12" s="1686">
        <v>45910</v>
      </c>
      <c r="C12" s="811">
        <f t="shared" si="0"/>
        <v>8</v>
      </c>
      <c r="D12" s="809">
        <f>IF('Debt Sizing'!$O$65="Curve On",MIN('1 Month Term SOFR Forward Curve'!E12,'Debt Sizing'!$O$66),'1 Month Term SOFR Forward Curve'!E12)</f>
        <v>0.04</v>
      </c>
      <c r="E12" s="1684">
        <v>4.0045900000000002E-2</v>
      </c>
    </row>
    <row r="13" spans="2:8">
      <c r="B13" s="1685">
        <v>45940</v>
      </c>
      <c r="C13" s="811">
        <f t="shared" si="0"/>
        <v>9</v>
      </c>
      <c r="D13" s="809">
        <f>IF('Debt Sizing'!$O$65="Curve On",MIN('1 Month Term SOFR Forward Curve'!E13,'Debt Sizing'!$O$66),'1 Month Term SOFR Forward Curve'!E13)</f>
        <v>3.9840100000000003E-2</v>
      </c>
      <c r="E13" s="1683">
        <v>3.9840100000000003E-2</v>
      </c>
    </row>
    <row r="14" spans="2:8">
      <c r="B14" s="1686">
        <v>45971</v>
      </c>
      <c r="C14" s="811">
        <f t="shared" si="0"/>
        <v>10</v>
      </c>
      <c r="D14" s="809">
        <f>IF('Debt Sizing'!$O$65="Curve On",MIN('1 Month Term SOFR Forward Curve'!E14,'Debt Sizing'!$O$66),'1 Month Term SOFR Forward Curve'!E14)</f>
        <v>3.9837900000000002E-2</v>
      </c>
      <c r="E14" s="1684">
        <v>3.9837900000000002E-2</v>
      </c>
    </row>
    <row r="15" spans="2:8">
      <c r="B15" s="1685">
        <v>46001</v>
      </c>
      <c r="C15" s="811">
        <f t="shared" si="0"/>
        <v>11</v>
      </c>
      <c r="D15" s="809">
        <f>IF('Debt Sizing'!$O$65="Curve On",MIN('1 Month Term SOFR Forward Curve'!E15,'Debt Sizing'!$O$66),'1 Month Term SOFR Forward Curve'!E15)</f>
        <v>3.9282999999999998E-2</v>
      </c>
      <c r="E15" s="1683">
        <v>3.9282999999999998E-2</v>
      </c>
    </row>
    <row r="16" spans="2:8">
      <c r="B16" s="1686">
        <v>46034</v>
      </c>
      <c r="C16" s="811">
        <f t="shared" si="0"/>
        <v>12</v>
      </c>
      <c r="D16" s="809">
        <f>IF('Debt Sizing'!$O$65="Curve On",MIN('1 Month Term SOFR Forward Curve'!E16,'Debt Sizing'!$O$66),'1 Month Term SOFR Forward Curve'!E16)</f>
        <v>3.9127599999999998E-2</v>
      </c>
      <c r="E16" s="1684">
        <v>3.9127599999999998E-2</v>
      </c>
    </row>
    <row r="17" spans="2:5">
      <c r="B17" s="1685">
        <v>46063</v>
      </c>
      <c r="C17" s="811">
        <f t="shared" si="0"/>
        <v>13</v>
      </c>
      <c r="D17" s="809">
        <f>IF('Debt Sizing'!$O$65="Curve On",MIN('1 Month Term SOFR Forward Curve'!E17,'Debt Sizing'!$O$66),'1 Month Term SOFR Forward Curve'!E17)</f>
        <v>3.9121299999999998E-2</v>
      </c>
      <c r="E17" s="1683">
        <v>3.9121299999999998E-2</v>
      </c>
    </row>
    <row r="18" spans="2:5">
      <c r="B18" s="1686">
        <v>46091</v>
      </c>
      <c r="C18" s="811">
        <f t="shared" si="0"/>
        <v>14</v>
      </c>
      <c r="D18" s="809">
        <f>IF('Debt Sizing'!$O$65="Curve On",MIN('1 Month Term SOFR Forward Curve'!E18,'Debt Sizing'!$O$66),'1 Month Term SOFR Forward Curve'!E18)</f>
        <v>3.8780299999999997E-2</v>
      </c>
      <c r="E18" s="1684">
        <v>3.8780299999999997E-2</v>
      </c>
    </row>
    <row r="19" spans="2:5">
      <c r="B19" s="1685">
        <v>46122</v>
      </c>
      <c r="C19" s="811">
        <f t="shared" si="0"/>
        <v>15</v>
      </c>
      <c r="D19" s="809">
        <f>IF('Debt Sizing'!$O$65="Curve On",MIN('1 Month Term SOFR Forward Curve'!E19,'Debt Sizing'!$O$66),'1 Month Term SOFR Forward Curve'!E19)</f>
        <v>3.8659499999999999E-2</v>
      </c>
      <c r="E19" s="1683">
        <v>3.8659499999999999E-2</v>
      </c>
    </row>
    <row r="20" spans="2:5">
      <c r="B20" s="1686">
        <v>46153</v>
      </c>
      <c r="C20" s="811">
        <f t="shared" si="0"/>
        <v>16</v>
      </c>
      <c r="D20" s="809">
        <f>IF('Debt Sizing'!$O$65="Curve On",MIN('1 Month Term SOFR Forward Curve'!E20,'Debt Sizing'!$O$66),'1 Month Term SOFR Forward Curve'!E20)</f>
        <v>3.8659499999999999E-2</v>
      </c>
      <c r="E20" s="1684">
        <v>3.8659499999999999E-2</v>
      </c>
    </row>
    <row r="21" spans="2:5">
      <c r="B21" s="1685">
        <v>46183</v>
      </c>
      <c r="C21" s="811">
        <f t="shared" si="0"/>
        <v>17</v>
      </c>
      <c r="D21" s="809">
        <f>IF('Debt Sizing'!$O$65="Curve On",MIN('1 Month Term SOFR Forward Curve'!E21,'Debt Sizing'!$O$66),'1 Month Term SOFR Forward Curve'!E21)</f>
        <v>3.8564099999999997E-2</v>
      </c>
      <c r="E21" s="1683">
        <v>3.8564099999999997E-2</v>
      </c>
    </row>
    <row r="22" spans="2:5">
      <c r="B22" s="1686">
        <v>46213</v>
      </c>
      <c r="C22" s="811">
        <f t="shared" si="0"/>
        <v>18</v>
      </c>
      <c r="D22" s="809">
        <f>IF('Debt Sizing'!$O$65="Curve On",MIN('1 Month Term SOFR Forward Curve'!E22,'Debt Sizing'!$O$66),'1 Month Term SOFR Forward Curve'!E22)</f>
        <v>3.8519699999999997E-2</v>
      </c>
      <c r="E22" s="1684">
        <v>3.8519699999999997E-2</v>
      </c>
    </row>
    <row r="23" spans="2:5">
      <c r="B23" s="1685">
        <v>46244</v>
      </c>
      <c r="C23" s="811">
        <f t="shared" si="0"/>
        <v>19</v>
      </c>
      <c r="D23" s="809">
        <f>IF('Debt Sizing'!$O$65="Curve On",MIN('1 Month Term SOFR Forward Curve'!E23,'Debt Sizing'!$O$66),'1 Month Term SOFR Forward Curve'!E23)</f>
        <v>3.8501300000000002E-2</v>
      </c>
      <c r="E23" s="1683">
        <v>3.8501300000000002E-2</v>
      </c>
    </row>
    <row r="24" spans="2:5">
      <c r="B24" s="1686">
        <v>46275</v>
      </c>
      <c r="C24" s="811">
        <f t="shared" si="0"/>
        <v>20</v>
      </c>
      <c r="D24" s="809">
        <f>IF('Debt Sizing'!$O$65="Curve On",MIN('1 Month Term SOFR Forward Curve'!E24,'Debt Sizing'!$O$66),'1 Month Term SOFR Forward Curve'!E24)</f>
        <v>3.8489200000000001E-2</v>
      </c>
      <c r="E24" s="1684">
        <v>3.8489200000000001E-2</v>
      </c>
    </row>
    <row r="25" spans="2:5">
      <c r="B25" s="1685">
        <v>46308</v>
      </c>
      <c r="C25" s="811">
        <f t="shared" si="0"/>
        <v>21</v>
      </c>
      <c r="D25" s="809">
        <f>IF('Debt Sizing'!$O$65="Curve On",MIN('1 Month Term SOFR Forward Curve'!E25,'Debt Sizing'!$O$66),'1 Month Term SOFR Forward Curve'!E25)</f>
        <v>3.8471600000000002E-2</v>
      </c>
      <c r="E25" s="1683">
        <v>3.8471600000000002E-2</v>
      </c>
    </row>
    <row r="26" spans="2:5">
      <c r="B26" s="1686">
        <v>46336</v>
      </c>
      <c r="C26" s="811">
        <f t="shared" si="0"/>
        <v>22</v>
      </c>
      <c r="D26" s="809">
        <f>IF('Debt Sizing'!$O$65="Curve On",MIN('1 Month Term SOFR Forward Curve'!E26,'Debt Sizing'!$O$66),'1 Month Term SOFR Forward Curve'!E26)</f>
        <v>3.8460099999999997E-2</v>
      </c>
      <c r="E26" s="1684">
        <v>3.8460099999999997E-2</v>
      </c>
    </row>
    <row r="27" spans="2:5">
      <c r="B27" s="1685">
        <v>46366</v>
      </c>
      <c r="C27" s="811">
        <f t="shared" si="0"/>
        <v>23</v>
      </c>
      <c r="D27" s="809">
        <f>IF('Debt Sizing'!$O$65="Curve On",MIN('1 Month Term SOFR Forward Curve'!E27,'Debt Sizing'!$O$66),'1 Month Term SOFR Forward Curve'!E27)</f>
        <v>3.84561E-2</v>
      </c>
      <c r="E27" s="1683">
        <v>3.84561E-2</v>
      </c>
    </row>
    <row r="28" spans="2:5">
      <c r="B28" s="1686">
        <v>46398</v>
      </c>
      <c r="C28" s="811">
        <f t="shared" si="0"/>
        <v>24</v>
      </c>
      <c r="D28" s="809">
        <f>IF('Debt Sizing'!$O$65="Curve On",MIN('1 Month Term SOFR Forward Curve'!E28,'Debt Sizing'!$O$66),'1 Month Term SOFR Forward Curve'!E28)</f>
        <v>3.8448499999999997E-2</v>
      </c>
      <c r="E28" s="1684">
        <v>3.8448499999999997E-2</v>
      </c>
    </row>
    <row r="29" spans="2:5">
      <c r="B29" s="1685">
        <v>46428</v>
      </c>
      <c r="C29" s="811">
        <f t="shared" si="0"/>
        <v>25</v>
      </c>
      <c r="D29" s="809">
        <f>IF('Debt Sizing'!$O$65="Curve On",MIN('1 Month Term SOFR Forward Curve'!E29,'Debt Sizing'!$O$66),'1 Month Term SOFR Forward Curve'!E29)</f>
        <v>3.8439399999999999E-2</v>
      </c>
      <c r="E29" s="1683">
        <v>3.8439399999999999E-2</v>
      </c>
    </row>
    <row r="30" spans="2:5">
      <c r="B30" s="1686">
        <v>46456</v>
      </c>
      <c r="C30" s="811">
        <f t="shared" si="0"/>
        <v>26</v>
      </c>
      <c r="D30" s="809">
        <f>IF('Debt Sizing'!$O$65="Curve On",MIN('1 Month Term SOFR Forward Curve'!E30,'Debt Sizing'!$O$66),'1 Month Term SOFR Forward Curve'!E30)</f>
        <v>3.8448000000000003E-2</v>
      </c>
      <c r="E30" s="1684">
        <v>3.8448000000000003E-2</v>
      </c>
    </row>
    <row r="31" spans="2:5">
      <c r="B31" s="1685">
        <v>46489</v>
      </c>
      <c r="C31" s="811">
        <f t="shared" si="0"/>
        <v>27</v>
      </c>
      <c r="D31" s="809">
        <f>IF('Debt Sizing'!$O$65="Curve On",MIN('1 Month Term SOFR Forward Curve'!E31,'Debt Sizing'!$O$66),'1 Month Term SOFR Forward Curve'!E31)</f>
        <v>3.8441599999999999E-2</v>
      </c>
      <c r="E31" s="1683">
        <v>3.8441599999999999E-2</v>
      </c>
    </row>
    <row r="32" spans="2:5">
      <c r="B32" s="1686">
        <v>46517</v>
      </c>
      <c r="C32" s="811">
        <f t="shared" si="0"/>
        <v>28</v>
      </c>
      <c r="D32" s="809">
        <f>IF('Debt Sizing'!$O$65="Curve On",MIN('1 Month Term SOFR Forward Curve'!E32,'Debt Sizing'!$O$66),'1 Month Term SOFR Forward Curve'!E32)</f>
        <v>3.8444699999999998E-2</v>
      </c>
      <c r="E32" s="1684">
        <v>3.8444699999999998E-2</v>
      </c>
    </row>
    <row r="33" spans="2:5">
      <c r="B33" s="1685">
        <v>46548</v>
      </c>
      <c r="C33" s="811">
        <f t="shared" si="0"/>
        <v>29</v>
      </c>
      <c r="D33" s="809">
        <f>IF('Debt Sizing'!$O$65="Curve On",MIN('1 Month Term SOFR Forward Curve'!E33,'Debt Sizing'!$O$66),'1 Month Term SOFR Forward Curve'!E33)</f>
        <v>3.8449299999999999E-2</v>
      </c>
      <c r="E33" s="1683">
        <v>3.8449299999999999E-2</v>
      </c>
    </row>
    <row r="34" spans="2:5">
      <c r="B34" s="1686">
        <v>46580</v>
      </c>
      <c r="C34" s="811">
        <f t="shared" si="0"/>
        <v>30</v>
      </c>
      <c r="D34" s="809">
        <f>IF('Debt Sizing'!$O$65="Curve On",MIN('1 Month Term SOFR Forward Curve'!E34,'Debt Sizing'!$O$66),'1 Month Term SOFR Forward Curve'!E34)</f>
        <v>3.8451199999999998E-2</v>
      </c>
      <c r="E34" s="1684">
        <v>3.8451199999999998E-2</v>
      </c>
    </row>
    <row r="35" spans="2:5">
      <c r="B35" s="1685">
        <v>46609</v>
      </c>
      <c r="C35" s="811">
        <f t="shared" si="0"/>
        <v>31</v>
      </c>
      <c r="D35" s="809">
        <f>IF('Debt Sizing'!$O$65="Curve On",MIN('1 Month Term SOFR Forward Curve'!E35,'Debt Sizing'!$O$66),'1 Month Term SOFR Forward Curve'!E35)</f>
        <v>3.8456200000000003E-2</v>
      </c>
      <c r="E35" s="1683">
        <v>3.8456200000000003E-2</v>
      </c>
    </row>
    <row r="36" spans="2:5">
      <c r="B36" s="1686">
        <v>46640</v>
      </c>
      <c r="C36" s="811">
        <f t="shared" si="0"/>
        <v>32</v>
      </c>
      <c r="D36" s="809">
        <f>IF('Debt Sizing'!$O$65="Curve On",MIN('1 Month Term SOFR Forward Curve'!E36,'Debt Sizing'!$O$66),'1 Month Term SOFR Forward Curve'!E36)</f>
        <v>3.8464999999999999E-2</v>
      </c>
      <c r="E36" s="1684">
        <v>3.8464999999999999E-2</v>
      </c>
    </row>
    <row r="37" spans="2:5">
      <c r="B37" s="1685">
        <v>46672</v>
      </c>
      <c r="C37" s="811">
        <f t="shared" si="0"/>
        <v>33</v>
      </c>
      <c r="D37" s="809">
        <f>IF('Debt Sizing'!$O$65="Curve On",MIN('1 Month Term SOFR Forward Curve'!E37,'Debt Sizing'!$O$66),'1 Month Term SOFR Forward Curve'!E37)</f>
        <v>3.8471199999999997E-2</v>
      </c>
      <c r="E37" s="1683">
        <v>3.8471199999999997E-2</v>
      </c>
    </row>
    <row r="38" spans="2:5">
      <c r="B38" s="1686">
        <v>46701</v>
      </c>
      <c r="C38" s="811">
        <f t="shared" si="0"/>
        <v>34</v>
      </c>
      <c r="D38" s="809">
        <f>IF('Debt Sizing'!$O$65="Curve On",MIN('1 Month Term SOFR Forward Curve'!E38,'Debt Sizing'!$O$66),'1 Month Term SOFR Forward Curve'!E38)</f>
        <v>3.8477900000000002E-2</v>
      </c>
      <c r="E38" s="1684">
        <v>3.8477900000000002E-2</v>
      </c>
    </row>
    <row r="39" spans="2:5">
      <c r="B39" s="1685">
        <v>46731</v>
      </c>
      <c r="C39" s="811">
        <f t="shared" si="0"/>
        <v>35</v>
      </c>
      <c r="D39" s="809">
        <f>IF('Debt Sizing'!$O$65="Curve On",MIN('1 Month Term SOFR Forward Curve'!E39,'Debt Sizing'!$O$66),'1 Month Term SOFR Forward Curve'!E39)</f>
        <v>3.84906E-2</v>
      </c>
      <c r="E39" s="1683">
        <v>3.84906E-2</v>
      </c>
    </row>
    <row r="40" spans="2:5">
      <c r="B40" s="1686">
        <v>46762</v>
      </c>
      <c r="C40" s="811">
        <f t="shared" si="0"/>
        <v>36</v>
      </c>
      <c r="D40" s="809">
        <f>IF('Debt Sizing'!$O$65="Curve On",MIN('1 Month Term SOFR Forward Curve'!E40,'Debt Sizing'!$O$66),'1 Month Term SOFR Forward Curve'!E40)</f>
        <v>3.8502799999999997E-2</v>
      </c>
      <c r="E40" s="1684">
        <v>3.8502799999999997E-2</v>
      </c>
    </row>
    <row r="41" spans="2:5">
      <c r="B41" s="1685">
        <v>46793</v>
      </c>
      <c r="C41" s="811">
        <f t="shared" si="0"/>
        <v>37</v>
      </c>
      <c r="D41" s="809">
        <f>IF('Debt Sizing'!$O$65="Curve On",MIN('1 Month Term SOFR Forward Curve'!E41,'Debt Sizing'!$O$66),'1 Month Term SOFR Forward Curve'!E41)</f>
        <v>3.85116E-2</v>
      </c>
      <c r="E41" s="1683">
        <v>3.85116E-2</v>
      </c>
    </row>
    <row r="42" spans="2:5">
      <c r="B42" s="1686">
        <v>46822</v>
      </c>
      <c r="C42" s="811">
        <f t="shared" si="0"/>
        <v>38</v>
      </c>
      <c r="D42" s="809">
        <f>IF('Debt Sizing'!$O$65="Curve On",MIN('1 Month Term SOFR Forward Curve'!E42,'Debt Sizing'!$O$66),'1 Month Term SOFR Forward Curve'!E42)</f>
        <v>3.8528600000000003E-2</v>
      </c>
      <c r="E42" s="1684">
        <v>3.8528600000000003E-2</v>
      </c>
    </row>
    <row r="43" spans="2:5">
      <c r="B43" s="1685">
        <v>46853</v>
      </c>
      <c r="C43" s="811">
        <f t="shared" si="0"/>
        <v>39</v>
      </c>
      <c r="D43" s="809">
        <f>IF('Debt Sizing'!$O$65="Curve On",MIN('1 Month Term SOFR Forward Curve'!E43,'Debt Sizing'!$O$66),'1 Month Term SOFR Forward Curve'!E43)</f>
        <v>3.8539299999999999E-2</v>
      </c>
      <c r="E43" s="1683">
        <v>3.8539299999999999E-2</v>
      </c>
    </row>
    <row r="44" spans="2:5">
      <c r="B44" s="1686">
        <v>46883</v>
      </c>
      <c r="C44" s="811">
        <f t="shared" si="0"/>
        <v>40</v>
      </c>
      <c r="D44" s="809">
        <f>IF('Debt Sizing'!$O$65="Curve On",MIN('1 Month Term SOFR Forward Curve'!E44,'Debt Sizing'!$O$66),'1 Month Term SOFR Forward Curve'!E44)</f>
        <v>3.85584E-2</v>
      </c>
      <c r="E44" s="1684">
        <v>3.85584E-2</v>
      </c>
    </row>
    <row r="45" spans="2:5">
      <c r="B45" s="1685">
        <v>46916</v>
      </c>
      <c r="C45" s="811">
        <f t="shared" si="0"/>
        <v>41</v>
      </c>
      <c r="D45" s="809">
        <f>IF('Debt Sizing'!$O$65="Curve On",MIN('1 Month Term SOFR Forward Curve'!E45,'Debt Sizing'!$O$66),'1 Month Term SOFR Forward Curve'!E45)</f>
        <v>3.8564800000000003E-2</v>
      </c>
      <c r="E45" s="1683">
        <v>3.8564800000000003E-2</v>
      </c>
    </row>
    <row r="46" spans="2:5">
      <c r="B46" s="1686">
        <v>46944</v>
      </c>
      <c r="C46" s="811">
        <f t="shared" si="0"/>
        <v>42</v>
      </c>
      <c r="D46" s="809">
        <f>IF('Debt Sizing'!$O$65="Curve On",MIN('1 Month Term SOFR Forward Curve'!E46,'Debt Sizing'!$O$66),'1 Month Term SOFR Forward Curve'!E46)</f>
        <v>3.8578000000000001E-2</v>
      </c>
      <c r="E46" s="1684">
        <v>3.8578000000000001E-2</v>
      </c>
    </row>
    <row r="47" spans="2:5">
      <c r="B47" s="1685">
        <v>46975</v>
      </c>
      <c r="C47" s="811">
        <f t="shared" si="0"/>
        <v>43</v>
      </c>
      <c r="D47" s="809">
        <f>IF('Debt Sizing'!$O$65="Curve On",MIN('1 Month Term SOFR Forward Curve'!E47,'Debt Sizing'!$O$66),'1 Month Term SOFR Forward Curve'!E47)</f>
        <v>3.8592000000000001E-2</v>
      </c>
      <c r="E47" s="1683">
        <v>3.8592000000000001E-2</v>
      </c>
    </row>
    <row r="48" spans="2:5">
      <c r="B48" s="1686">
        <v>47007</v>
      </c>
      <c r="C48" s="811">
        <f t="shared" si="0"/>
        <v>44</v>
      </c>
      <c r="D48" s="809">
        <f>IF('Debt Sizing'!$O$65="Curve On",MIN('1 Month Term SOFR Forward Curve'!E48,'Debt Sizing'!$O$66),'1 Month Term SOFR Forward Curve'!E48)</f>
        <v>3.8599300000000003E-2</v>
      </c>
      <c r="E48" s="1684">
        <v>3.8599300000000003E-2</v>
      </c>
    </row>
    <row r="49" spans="2:5">
      <c r="B49" s="1685">
        <v>47036</v>
      </c>
      <c r="C49" s="811">
        <f t="shared" si="0"/>
        <v>45</v>
      </c>
      <c r="D49" s="809">
        <f>IF('Debt Sizing'!$O$65="Curve On",MIN('1 Month Term SOFR Forward Curve'!E49,'Debt Sizing'!$O$66),'1 Month Term SOFR Forward Curve'!E49)</f>
        <v>3.8611899999999998E-2</v>
      </c>
      <c r="E49" s="1683">
        <v>3.8611899999999998E-2</v>
      </c>
    </row>
    <row r="50" spans="2:5">
      <c r="B50" s="1686">
        <v>47067</v>
      </c>
      <c r="C50" s="811">
        <f t="shared" si="0"/>
        <v>46</v>
      </c>
      <c r="D50" s="809">
        <f>IF('Debt Sizing'!$O$65="Curve On",MIN('1 Month Term SOFR Forward Curve'!E50,'Debt Sizing'!$O$66),'1 Month Term SOFR Forward Curve'!E50)</f>
        <v>3.8622700000000003E-2</v>
      </c>
      <c r="E50" s="1684">
        <v>3.8622700000000003E-2</v>
      </c>
    </row>
    <row r="51" spans="2:5">
      <c r="B51" s="1685">
        <v>47098</v>
      </c>
      <c r="C51" s="811">
        <f t="shared" si="0"/>
        <v>47</v>
      </c>
      <c r="D51" s="809">
        <f>IF('Debt Sizing'!$O$65="Curve On",MIN('1 Month Term SOFR Forward Curve'!E51,'Debt Sizing'!$O$66),'1 Month Term SOFR Forward Curve'!E51)</f>
        <v>3.8633199999999999E-2</v>
      </c>
      <c r="E51" s="1683">
        <v>3.8633199999999999E-2</v>
      </c>
    </row>
    <row r="52" spans="2:5">
      <c r="B52" s="1686">
        <v>47128</v>
      </c>
      <c r="C52" s="811">
        <f t="shared" si="0"/>
        <v>48</v>
      </c>
      <c r="D52" s="809">
        <f>IF('Debt Sizing'!$O$65="Curve On",MIN('1 Month Term SOFR Forward Curve'!E52,'Debt Sizing'!$O$66),'1 Month Term SOFR Forward Curve'!E52)</f>
        <v>3.8647500000000001E-2</v>
      </c>
      <c r="E52" s="1684">
        <v>3.8647500000000001E-2</v>
      </c>
    </row>
    <row r="53" spans="2:5">
      <c r="B53" s="1685">
        <v>47161</v>
      </c>
      <c r="C53" s="811">
        <f t="shared" si="0"/>
        <v>49</v>
      </c>
      <c r="D53" s="809">
        <f>IF('Debt Sizing'!$O$65="Curve On",MIN('1 Month Term SOFR Forward Curve'!E53,'Debt Sizing'!$O$66),'1 Month Term SOFR Forward Curve'!E53)</f>
        <v>3.86472E-2</v>
      </c>
      <c r="E53" s="1683">
        <v>3.86472E-2</v>
      </c>
    </row>
    <row r="54" spans="2:5">
      <c r="B54" s="1686">
        <v>47189</v>
      </c>
      <c r="C54" s="811">
        <f t="shared" si="0"/>
        <v>50</v>
      </c>
      <c r="D54" s="809">
        <f>IF('Debt Sizing'!$O$65="Curve On",MIN('1 Month Term SOFR Forward Curve'!E54,'Debt Sizing'!$O$66),'1 Month Term SOFR Forward Curve'!E54)</f>
        <v>3.8664499999999997E-2</v>
      </c>
      <c r="E54" s="1684">
        <v>3.8664499999999997E-2</v>
      </c>
    </row>
    <row r="55" spans="2:5">
      <c r="B55" s="1685">
        <v>47218</v>
      </c>
      <c r="C55" s="811">
        <f t="shared" si="0"/>
        <v>51</v>
      </c>
      <c r="D55" s="809">
        <f>IF('Debt Sizing'!$O$65="Curve On",MIN('1 Month Term SOFR Forward Curve'!E55,'Debt Sizing'!$O$66),'1 Month Term SOFR Forward Curve'!E55)</f>
        <v>3.8674800000000002E-2</v>
      </c>
      <c r="E55" s="1683">
        <v>3.8674800000000002E-2</v>
      </c>
    </row>
    <row r="56" spans="2:5">
      <c r="B56" s="1686">
        <v>47248</v>
      </c>
      <c r="C56" s="811">
        <f t="shared" si="0"/>
        <v>52</v>
      </c>
      <c r="D56" s="809">
        <f>IF('Debt Sizing'!$O$65="Curve On",MIN('1 Month Term SOFR Forward Curve'!E56,'Debt Sizing'!$O$66),'1 Month Term SOFR Forward Curve'!E56)</f>
        <v>3.8694199999999998E-2</v>
      </c>
      <c r="E56" s="1684">
        <v>3.8694199999999998E-2</v>
      </c>
    </row>
    <row r="57" spans="2:5">
      <c r="B57" s="1685">
        <v>47280</v>
      </c>
      <c r="C57" s="811">
        <f t="shared" si="0"/>
        <v>53</v>
      </c>
      <c r="D57" s="809">
        <f>IF('Debt Sizing'!$O$65="Curve On",MIN('1 Month Term SOFR Forward Curve'!E57,'Debt Sizing'!$O$66),'1 Month Term SOFR Forward Curve'!E57)</f>
        <v>3.87073E-2</v>
      </c>
      <c r="E57" s="1683">
        <v>3.87073E-2</v>
      </c>
    </row>
    <row r="58" spans="2:5">
      <c r="B58" s="1686">
        <v>47309</v>
      </c>
      <c r="C58" s="811">
        <f t="shared" si="0"/>
        <v>54</v>
      </c>
      <c r="D58" s="809">
        <f>IF('Debt Sizing'!$O$65="Curve On",MIN('1 Month Term SOFR Forward Curve'!E58,'Debt Sizing'!$O$66),'1 Month Term SOFR Forward Curve'!E58)</f>
        <v>3.8727499999999998E-2</v>
      </c>
      <c r="E58" s="1684">
        <v>3.8727499999999998E-2</v>
      </c>
    </row>
    <row r="59" spans="2:5">
      <c r="B59" s="1685">
        <v>47340</v>
      </c>
      <c r="C59" s="811">
        <f t="shared" si="0"/>
        <v>55</v>
      </c>
      <c r="D59" s="809">
        <f>IF('Debt Sizing'!$O$65="Curve On",MIN('1 Month Term SOFR Forward Curve'!E59,'Debt Sizing'!$O$66),'1 Month Term SOFR Forward Curve'!E59)</f>
        <v>3.8748499999999998E-2</v>
      </c>
      <c r="E59" s="1683">
        <v>3.8748499999999998E-2</v>
      </c>
    </row>
    <row r="60" spans="2:5">
      <c r="B60" s="1686">
        <v>47371</v>
      </c>
      <c r="C60" s="811">
        <f t="shared" si="0"/>
        <v>56</v>
      </c>
      <c r="D60" s="809">
        <f>IF('Debt Sizing'!$O$65="Curve On",MIN('1 Month Term SOFR Forward Curve'!E60,'Debt Sizing'!$O$66),'1 Month Term SOFR Forward Curve'!E60)</f>
        <v>3.8768999999999998E-2</v>
      </c>
      <c r="E60" s="1684">
        <v>3.8768999999999998E-2</v>
      </c>
    </row>
    <row r="61" spans="2:5">
      <c r="B61" s="1685">
        <v>47401</v>
      </c>
      <c r="C61" s="811">
        <f t="shared" si="0"/>
        <v>57</v>
      </c>
      <c r="D61" s="809">
        <f>IF('Debt Sizing'!$O$65="Curve On",MIN('1 Month Term SOFR Forward Curve'!E61,'Debt Sizing'!$O$66),'1 Month Term SOFR Forward Curve'!E61)</f>
        <v>3.8802999999999997E-2</v>
      </c>
      <c r="E61" s="1683">
        <v>3.8802999999999997E-2</v>
      </c>
    </row>
    <row r="62" spans="2:5">
      <c r="B62" s="1686">
        <v>47435</v>
      </c>
      <c r="C62" s="811">
        <f t="shared" si="0"/>
        <v>58</v>
      </c>
      <c r="D62" s="809">
        <f>IF('Debt Sizing'!$O$65="Curve On",MIN('1 Month Term SOFR Forward Curve'!E62,'Debt Sizing'!$O$66),'1 Month Term SOFR Forward Curve'!E62)</f>
        <v>3.88224E-2</v>
      </c>
      <c r="E62" s="1684">
        <v>3.88224E-2</v>
      </c>
    </row>
    <row r="63" spans="2:5">
      <c r="B63" s="1685">
        <v>47462</v>
      </c>
      <c r="C63" s="811">
        <f t="shared" si="0"/>
        <v>59</v>
      </c>
      <c r="D63" s="809">
        <f>IF('Debt Sizing'!$O$65="Curve On",MIN('1 Month Term SOFR Forward Curve'!E63,'Debt Sizing'!$O$66),'1 Month Term SOFR Forward Curve'!E63)</f>
        <v>3.88499E-2</v>
      </c>
      <c r="E63" s="1683">
        <v>3.88499E-2</v>
      </c>
    </row>
    <row r="64" spans="2:5">
      <c r="B64" s="1686">
        <v>47493</v>
      </c>
      <c r="C64" s="811">
        <f t="shared" si="0"/>
        <v>60</v>
      </c>
      <c r="D64" s="809">
        <f>IF('Debt Sizing'!$O$65="Curve On",MIN('1 Month Term SOFR Forward Curve'!E64,'Debt Sizing'!$O$66),'1 Month Term SOFR Forward Curve'!E64)</f>
        <v>3.8883099999999997E-2</v>
      </c>
      <c r="E64" s="1684">
        <v>3.8883099999999997E-2</v>
      </c>
    </row>
    <row r="65" spans="2:5">
      <c r="B65" s="1685">
        <v>47525</v>
      </c>
      <c r="C65" s="811">
        <f t="shared" si="0"/>
        <v>61</v>
      </c>
      <c r="D65" s="809">
        <f>IF('Debt Sizing'!$O$65="Curve On",MIN('1 Month Term SOFR Forward Curve'!E65,'Debt Sizing'!$O$66),'1 Month Term SOFR Forward Curve'!E65)</f>
        <v>3.8905599999999999E-2</v>
      </c>
      <c r="E65" s="1683">
        <v>3.8905599999999999E-2</v>
      </c>
    </row>
    <row r="66" spans="2:5">
      <c r="B66" s="1686">
        <v>47553</v>
      </c>
      <c r="C66" s="811">
        <f t="shared" si="0"/>
        <v>62</v>
      </c>
      <c r="D66" s="809">
        <f>IF('Debt Sizing'!$O$65="Curve On",MIN('1 Month Term SOFR Forward Curve'!E66,'Debt Sizing'!$O$66),'1 Month Term SOFR Forward Curve'!E66)</f>
        <v>3.8941900000000002E-2</v>
      </c>
      <c r="E66" s="1684">
        <v>3.8941900000000002E-2</v>
      </c>
    </row>
    <row r="67" spans="2:5">
      <c r="B67" s="1685">
        <v>47583</v>
      </c>
      <c r="C67" s="811">
        <f t="shared" si="0"/>
        <v>63</v>
      </c>
      <c r="D67" s="809">
        <f>IF('Debt Sizing'!$O$65="Curve On",MIN('1 Month Term SOFR Forward Curve'!E67,'Debt Sizing'!$O$66),'1 Month Term SOFR Forward Curve'!E67)</f>
        <v>3.8968599999999999E-2</v>
      </c>
      <c r="E67" s="1683">
        <v>3.8968599999999999E-2</v>
      </c>
    </row>
    <row r="68" spans="2:5">
      <c r="B68" s="1686">
        <v>47613</v>
      </c>
      <c r="C68" s="811">
        <f t="shared" si="0"/>
        <v>64</v>
      </c>
      <c r="D68" s="809">
        <f>IF('Debt Sizing'!$O$65="Curve On",MIN('1 Month Term SOFR Forward Curve'!E68,'Debt Sizing'!$O$66),'1 Month Term SOFR Forward Curve'!E68)</f>
        <v>3.8999399999999997E-2</v>
      </c>
      <c r="E68" s="1684">
        <v>3.8999399999999997E-2</v>
      </c>
    </row>
    <row r="69" spans="2:5">
      <c r="B69" s="1685">
        <v>47644</v>
      </c>
      <c r="C69" s="811">
        <f t="shared" si="0"/>
        <v>65</v>
      </c>
      <c r="D69" s="809">
        <f>IF('Debt Sizing'!$O$65="Curve On",MIN('1 Month Term SOFR Forward Curve'!E69,'Debt Sizing'!$O$66),'1 Month Term SOFR Forward Curve'!E69)</f>
        <v>3.9024900000000001E-2</v>
      </c>
      <c r="E69" s="1683">
        <v>3.9024900000000001E-2</v>
      </c>
    </row>
    <row r="70" spans="2:5">
      <c r="B70" s="1686">
        <v>47674</v>
      </c>
      <c r="C70" s="811">
        <f t="shared" si="0"/>
        <v>66</v>
      </c>
      <c r="D70" s="809">
        <f>IF('Debt Sizing'!$O$65="Curve On",MIN('1 Month Term SOFR Forward Curve'!E70,'Debt Sizing'!$O$66),'1 Month Term SOFR Forward Curve'!E70)</f>
        <v>3.9058500000000003E-2</v>
      </c>
      <c r="E70" s="1684">
        <v>3.9058500000000003E-2</v>
      </c>
    </row>
    <row r="71" spans="2:5">
      <c r="B71" s="1685">
        <v>47707</v>
      </c>
      <c r="C71" s="811">
        <f t="shared" ref="C71:C125" si="1">+C70+1</f>
        <v>67</v>
      </c>
      <c r="D71" s="809">
        <f>IF('Debt Sizing'!$O$65="Curve On",MIN('1 Month Term SOFR Forward Curve'!E71,'Debt Sizing'!$O$66),'1 Month Term SOFR Forward Curve'!E71)</f>
        <v>3.9080799999999999E-2</v>
      </c>
      <c r="E71" s="1683">
        <v>3.9080799999999999E-2</v>
      </c>
    </row>
    <row r="72" spans="2:5">
      <c r="B72" s="1686">
        <v>47736</v>
      </c>
      <c r="C72" s="811">
        <f t="shared" si="1"/>
        <v>68</v>
      </c>
      <c r="D72" s="809">
        <f>IF('Debt Sizing'!$O$65="Curve On",MIN('1 Month Term SOFR Forward Curve'!E72,'Debt Sizing'!$O$66),'1 Month Term SOFR Forward Curve'!E72)</f>
        <v>3.9101200000000003E-2</v>
      </c>
      <c r="E72" s="1684">
        <v>3.9101200000000003E-2</v>
      </c>
    </row>
    <row r="73" spans="2:5">
      <c r="B73" s="1685">
        <v>47766</v>
      </c>
      <c r="C73" s="811">
        <f t="shared" si="1"/>
        <v>69</v>
      </c>
      <c r="D73" s="809">
        <f>IF('Debt Sizing'!$O$65="Curve On",MIN('1 Month Term SOFR Forward Curve'!E73,'Debt Sizing'!$O$66),'1 Month Term SOFR Forward Curve'!E73)</f>
        <v>3.9131399999999997E-2</v>
      </c>
      <c r="E73" s="1683">
        <v>3.9131399999999997E-2</v>
      </c>
    </row>
    <row r="74" spans="2:5">
      <c r="B74" s="1686">
        <v>47799</v>
      </c>
      <c r="C74" s="811">
        <f t="shared" si="1"/>
        <v>70</v>
      </c>
      <c r="D74" s="809">
        <f>IF('Debt Sizing'!$O$65="Curve On",MIN('1 Month Term SOFR Forward Curve'!E74,'Debt Sizing'!$O$66),'1 Month Term SOFR Forward Curve'!E74)</f>
        <v>3.9147599999999998E-2</v>
      </c>
      <c r="E74" s="1684">
        <v>3.9147599999999998E-2</v>
      </c>
    </row>
    <row r="75" spans="2:5">
      <c r="B75" s="1685">
        <v>47827</v>
      </c>
      <c r="C75" s="811">
        <f t="shared" si="1"/>
        <v>71</v>
      </c>
      <c r="D75" s="809">
        <f>IF('Debt Sizing'!$O$65="Curve On",MIN('1 Month Term SOFR Forward Curve'!E75,'Debt Sizing'!$O$66),'1 Month Term SOFR Forward Curve'!E75)</f>
        <v>3.9169000000000002E-2</v>
      </c>
      <c r="E75" s="1683">
        <v>3.9169000000000002E-2</v>
      </c>
    </row>
    <row r="76" spans="2:5">
      <c r="B76" s="1686">
        <v>47858</v>
      </c>
      <c r="C76" s="811">
        <f t="shared" si="1"/>
        <v>72</v>
      </c>
      <c r="D76" s="809">
        <f>IF('Debt Sizing'!$O$65="Curve On",MIN('1 Month Term SOFR Forward Curve'!E76,'Debt Sizing'!$O$66),'1 Month Term SOFR Forward Curve'!E76)</f>
        <v>3.9189000000000002E-2</v>
      </c>
      <c r="E76" s="1684">
        <v>3.9189000000000002E-2</v>
      </c>
    </row>
    <row r="77" spans="2:5">
      <c r="B77" s="1685">
        <v>47889</v>
      </c>
      <c r="C77" s="811">
        <f t="shared" si="1"/>
        <v>73</v>
      </c>
      <c r="D77" s="809">
        <f>IF('Debt Sizing'!$O$65="Curve On",MIN('1 Month Term SOFR Forward Curve'!E77,'Debt Sizing'!$O$66),'1 Month Term SOFR Forward Curve'!E77)</f>
        <v>3.9200499999999999E-2</v>
      </c>
      <c r="E77" s="1683">
        <v>3.9200499999999999E-2</v>
      </c>
    </row>
    <row r="78" spans="2:5">
      <c r="B78" s="1686">
        <v>47917</v>
      </c>
      <c r="C78" s="811">
        <f t="shared" si="1"/>
        <v>74</v>
      </c>
      <c r="D78" s="809">
        <f>IF('Debt Sizing'!$O$65="Curve On",MIN('1 Month Term SOFR Forward Curve'!E78,'Debt Sizing'!$O$66),'1 Month Term SOFR Forward Curve'!E78)</f>
        <v>3.92237E-2</v>
      </c>
      <c r="E78" s="1684">
        <v>3.92237E-2</v>
      </c>
    </row>
    <row r="79" spans="2:5">
      <c r="B79" s="1685">
        <v>47948</v>
      </c>
      <c r="C79" s="811">
        <f t="shared" si="1"/>
        <v>75</v>
      </c>
      <c r="D79" s="809">
        <f>IF('Debt Sizing'!$O$65="Curve On",MIN('1 Month Term SOFR Forward Curve'!E79,'Debt Sizing'!$O$66),'1 Month Term SOFR Forward Curve'!E79)</f>
        <v>3.9242600000000002E-2</v>
      </c>
      <c r="E79" s="1683">
        <v>3.9242600000000002E-2</v>
      </c>
    </row>
    <row r="80" spans="2:5">
      <c r="B80" s="1686">
        <v>47980</v>
      </c>
      <c r="C80" s="811">
        <f t="shared" si="1"/>
        <v>76</v>
      </c>
      <c r="D80" s="809">
        <f>IF('Debt Sizing'!$O$65="Curve On",MIN('1 Month Term SOFR Forward Curve'!E80,'Debt Sizing'!$O$66),'1 Month Term SOFR Forward Curve'!E80)</f>
        <v>3.9256100000000002E-2</v>
      </c>
      <c r="E80" s="1684">
        <v>3.9256100000000002E-2</v>
      </c>
    </row>
    <row r="81" spans="2:5">
      <c r="B81" s="1685">
        <v>48009</v>
      </c>
      <c r="C81" s="811">
        <f t="shared" si="1"/>
        <v>77</v>
      </c>
      <c r="D81" s="809">
        <f>IF('Debt Sizing'!$O$65="Curve On",MIN('1 Month Term SOFR Forward Curve'!E81,'Debt Sizing'!$O$66),'1 Month Term SOFR Forward Curve'!E81)</f>
        <v>3.9267000000000003E-2</v>
      </c>
      <c r="E81" s="1683">
        <v>3.9267000000000003E-2</v>
      </c>
    </row>
    <row r="82" spans="2:5">
      <c r="B82" s="1686">
        <v>48039</v>
      </c>
      <c r="C82" s="811">
        <f t="shared" si="1"/>
        <v>78</v>
      </c>
      <c r="D82" s="809">
        <f>IF('Debt Sizing'!$O$65="Curve On",MIN('1 Month Term SOFR Forward Curve'!E82,'Debt Sizing'!$O$66),'1 Month Term SOFR Forward Curve'!E82)</f>
        <v>3.9284399999999997E-2</v>
      </c>
      <c r="E82" s="1684">
        <v>3.9284399999999997E-2</v>
      </c>
    </row>
    <row r="83" spans="2:5">
      <c r="B83" s="1685">
        <v>48071</v>
      </c>
      <c r="C83" s="811">
        <f t="shared" si="1"/>
        <v>79</v>
      </c>
      <c r="D83" s="809">
        <f>IF('Debt Sizing'!$O$65="Curve On",MIN('1 Month Term SOFR Forward Curve'!E83,'Debt Sizing'!$O$66),'1 Month Term SOFR Forward Curve'!E83)</f>
        <v>3.9294299999999997E-2</v>
      </c>
      <c r="E83" s="1683">
        <v>3.9294299999999997E-2</v>
      </c>
    </row>
    <row r="84" spans="2:5">
      <c r="B84" s="1686">
        <v>48101</v>
      </c>
      <c r="C84" s="811">
        <f t="shared" si="1"/>
        <v>80</v>
      </c>
      <c r="D84" s="809">
        <f>IF('Debt Sizing'!$O$65="Curve On",MIN('1 Month Term SOFR Forward Curve'!E84,'Debt Sizing'!$O$66),'1 Month Term SOFR Forward Curve'!E84)</f>
        <v>3.9302400000000001E-2</v>
      </c>
      <c r="E84" s="1684">
        <v>3.9302400000000001E-2</v>
      </c>
    </row>
    <row r="85" spans="2:5">
      <c r="B85" s="1685">
        <v>48131</v>
      </c>
      <c r="C85" s="811">
        <f t="shared" si="1"/>
        <v>81</v>
      </c>
      <c r="D85" s="809">
        <f>IF('Debt Sizing'!$O$65="Curve On",MIN('1 Month Term SOFR Forward Curve'!E85,'Debt Sizing'!$O$66),'1 Month Term SOFR Forward Curve'!E85)</f>
        <v>3.9314000000000002E-2</v>
      </c>
      <c r="E85" s="1683">
        <v>3.9314000000000002E-2</v>
      </c>
    </row>
    <row r="86" spans="2:5">
      <c r="B86" s="1686">
        <v>48162</v>
      </c>
      <c r="C86" s="811">
        <f t="shared" si="1"/>
        <v>82</v>
      </c>
      <c r="D86" s="809">
        <f>IF('Debt Sizing'!$O$65="Curve On",MIN('1 Month Term SOFR Forward Curve'!E86,'Debt Sizing'!$O$66),'1 Month Term SOFR Forward Curve'!E86)</f>
        <v>3.93202E-2</v>
      </c>
      <c r="E86" s="1684">
        <v>3.93202E-2</v>
      </c>
    </row>
    <row r="87" spans="2:5">
      <c r="B87" s="1685">
        <v>48192</v>
      </c>
      <c r="C87" s="811">
        <f t="shared" si="1"/>
        <v>83</v>
      </c>
      <c r="D87" s="809">
        <f>IF('Debt Sizing'!$O$65="Curve On",MIN('1 Month Term SOFR Forward Curve'!E87,'Debt Sizing'!$O$66),'1 Month Term SOFR Forward Curve'!E87)</f>
        <v>3.9334000000000001E-2</v>
      </c>
      <c r="E87" s="1683">
        <v>3.9334000000000001E-2</v>
      </c>
    </row>
    <row r="88" spans="2:5">
      <c r="B88" s="1686">
        <v>48225</v>
      </c>
      <c r="C88" s="811">
        <f t="shared" si="1"/>
        <v>84</v>
      </c>
      <c r="D88" s="809">
        <f>IF('Debt Sizing'!$O$65="Curve On",MIN('1 Month Term SOFR Forward Curve'!E88,'Debt Sizing'!$O$66),'1 Month Term SOFR Forward Curve'!E88)</f>
        <v>3.9336000000000003E-2</v>
      </c>
      <c r="E88" s="1684">
        <v>3.9336000000000003E-2</v>
      </c>
    </row>
    <row r="89" spans="2:5">
      <c r="B89" s="1685">
        <v>48254</v>
      </c>
      <c r="C89" s="811">
        <f t="shared" si="1"/>
        <v>85</v>
      </c>
      <c r="D89" s="809">
        <f>IF('Debt Sizing'!$O$65="Curve On",MIN('1 Month Term SOFR Forward Curve'!E89,'Debt Sizing'!$O$66),'1 Month Term SOFR Forward Curve'!E89)</f>
        <v>3.9336599999999999E-2</v>
      </c>
      <c r="E89" s="1683">
        <v>3.9336599999999999E-2</v>
      </c>
    </row>
    <row r="90" spans="2:5">
      <c r="B90" s="1686">
        <v>48283</v>
      </c>
      <c r="C90" s="811">
        <f t="shared" si="1"/>
        <v>86</v>
      </c>
      <c r="D90" s="809">
        <f>IF('Debt Sizing'!$O$65="Curve On",MIN('1 Month Term SOFR Forward Curve'!E90,'Debt Sizing'!$O$66),'1 Month Term SOFR Forward Curve'!E90)</f>
        <v>3.9351499999999998E-2</v>
      </c>
      <c r="E90" s="1684">
        <v>3.9351499999999998E-2</v>
      </c>
    </row>
    <row r="91" spans="2:5">
      <c r="B91" s="1685">
        <v>48316</v>
      </c>
      <c r="C91" s="811">
        <f t="shared" si="1"/>
        <v>87</v>
      </c>
      <c r="D91" s="809">
        <f>IF('Debt Sizing'!$O$65="Curve On",MIN('1 Month Term SOFR Forward Curve'!E91,'Debt Sizing'!$O$66),'1 Month Term SOFR Forward Curve'!E91)</f>
        <v>3.93528E-2</v>
      </c>
      <c r="E91" s="1683">
        <v>3.93528E-2</v>
      </c>
    </row>
    <row r="92" spans="2:5">
      <c r="B92" s="1686">
        <v>48344</v>
      </c>
      <c r="C92" s="811">
        <f t="shared" si="1"/>
        <v>88</v>
      </c>
      <c r="D92" s="809">
        <f>IF('Debt Sizing'!$O$65="Curve On",MIN('1 Month Term SOFR Forward Curve'!E92,'Debt Sizing'!$O$66),'1 Month Term SOFR Forward Curve'!E92)</f>
        <v>3.9363200000000001E-2</v>
      </c>
      <c r="E92" s="1684">
        <v>3.9363200000000001E-2</v>
      </c>
    </row>
    <row r="93" spans="2:5">
      <c r="B93" s="1685">
        <v>48375</v>
      </c>
      <c r="C93" s="811">
        <f t="shared" si="1"/>
        <v>89</v>
      </c>
      <c r="D93" s="809">
        <f>IF('Debt Sizing'!$O$65="Curve On",MIN('1 Month Term SOFR Forward Curve'!E93,'Debt Sizing'!$O$66),'1 Month Term SOFR Forward Curve'!E93)</f>
        <v>3.93757E-2</v>
      </c>
      <c r="E93" s="1683">
        <v>3.93757E-2</v>
      </c>
    </row>
    <row r="94" spans="2:5">
      <c r="B94" s="1686">
        <v>48407</v>
      </c>
      <c r="C94" s="811">
        <f t="shared" si="1"/>
        <v>90</v>
      </c>
      <c r="D94" s="809">
        <f>IF('Debt Sizing'!$O$65="Curve On",MIN('1 Month Term SOFR Forward Curve'!E94,'Debt Sizing'!$O$66),'1 Month Term SOFR Forward Curve'!E94)</f>
        <v>3.9385400000000001E-2</v>
      </c>
      <c r="E94" s="1684">
        <v>3.9385400000000001E-2</v>
      </c>
    </row>
    <row r="95" spans="2:5">
      <c r="B95" s="1685">
        <v>48436</v>
      </c>
      <c r="C95" s="811">
        <f t="shared" si="1"/>
        <v>91</v>
      </c>
      <c r="D95" s="809">
        <f>IF('Debt Sizing'!$O$65="Curve On",MIN('1 Month Term SOFR Forward Curve'!E95,'Debt Sizing'!$O$66),'1 Month Term SOFR Forward Curve'!E95)</f>
        <v>3.9397500000000002E-2</v>
      </c>
      <c r="E95" s="1683">
        <v>3.9397500000000002E-2</v>
      </c>
    </row>
    <row r="96" spans="2:5">
      <c r="B96" s="1686">
        <v>48467</v>
      </c>
      <c r="C96" s="811">
        <f t="shared" si="1"/>
        <v>92</v>
      </c>
      <c r="D96" s="809">
        <f>IF('Debt Sizing'!$O$65="Curve On",MIN('1 Month Term SOFR Forward Curve'!E96,'Debt Sizing'!$O$66),'1 Month Term SOFR Forward Curve'!E96)</f>
        <v>3.9414200000000003E-2</v>
      </c>
      <c r="E96" s="1684">
        <v>3.9414200000000003E-2</v>
      </c>
    </row>
    <row r="97" spans="2:5">
      <c r="B97" s="1685">
        <v>48499</v>
      </c>
      <c r="C97" s="811">
        <f t="shared" si="1"/>
        <v>93</v>
      </c>
      <c r="D97" s="809">
        <f>IF('Debt Sizing'!$O$65="Curve On",MIN('1 Month Term SOFR Forward Curve'!E97,'Debt Sizing'!$O$66),'1 Month Term SOFR Forward Curve'!E97)</f>
        <v>3.9427900000000002E-2</v>
      </c>
      <c r="E97" s="1683">
        <v>3.9427900000000002E-2</v>
      </c>
    </row>
    <row r="98" spans="2:5">
      <c r="B98" s="1686">
        <v>48528</v>
      </c>
      <c r="C98" s="811">
        <f t="shared" si="1"/>
        <v>94</v>
      </c>
      <c r="D98" s="809">
        <f>IF('Debt Sizing'!$O$65="Curve On",MIN('1 Month Term SOFR Forward Curve'!E98,'Debt Sizing'!$O$66),'1 Month Term SOFR Forward Curve'!E98)</f>
        <v>3.9441299999999999E-2</v>
      </c>
      <c r="E98" s="1684">
        <v>3.9441299999999999E-2</v>
      </c>
    </row>
    <row r="99" spans="2:5">
      <c r="B99" s="1685">
        <v>48558</v>
      </c>
      <c r="C99" s="811">
        <f t="shared" si="1"/>
        <v>95</v>
      </c>
      <c r="D99" s="809">
        <f>IF('Debt Sizing'!$O$65="Curve On",MIN('1 Month Term SOFR Forward Curve'!E99,'Debt Sizing'!$O$66),'1 Month Term SOFR Forward Curve'!E99)</f>
        <v>3.9461400000000001E-2</v>
      </c>
      <c r="E99" s="1683">
        <v>3.9461400000000001E-2</v>
      </c>
    </row>
    <row r="100" spans="2:5">
      <c r="B100" s="1686">
        <v>48589</v>
      </c>
      <c r="C100" s="811">
        <f t="shared" si="1"/>
        <v>96</v>
      </c>
      <c r="D100" s="809">
        <f>IF('Debt Sizing'!$O$65="Curve On",MIN('1 Month Term SOFR Forward Curve'!E100,'Debt Sizing'!$O$66),'1 Month Term SOFR Forward Curve'!E100)</f>
        <v>3.9481000000000002E-2</v>
      </c>
      <c r="E100" s="1684">
        <v>3.9481000000000002E-2</v>
      </c>
    </row>
    <row r="101" spans="2:5">
      <c r="B101" s="1685">
        <v>48620</v>
      </c>
      <c r="C101" s="811">
        <f t="shared" si="1"/>
        <v>97</v>
      </c>
      <c r="D101" s="809">
        <f>IF('Debt Sizing'!$O$65="Curve On",MIN('1 Month Term SOFR Forward Curve'!E101,'Debt Sizing'!$O$66),'1 Month Term SOFR Forward Curve'!E101)</f>
        <v>3.9494399999999999E-2</v>
      </c>
      <c r="E101" s="1683">
        <v>3.9494399999999999E-2</v>
      </c>
    </row>
    <row r="102" spans="2:5">
      <c r="B102" s="1686">
        <v>48648</v>
      </c>
      <c r="C102" s="811">
        <f t="shared" si="1"/>
        <v>98</v>
      </c>
      <c r="D102" s="809">
        <f>IF('Debt Sizing'!$O$65="Curve On",MIN('1 Month Term SOFR Forward Curve'!E102,'Debt Sizing'!$O$66),'1 Month Term SOFR Forward Curve'!E102)</f>
        <v>3.9524499999999997E-2</v>
      </c>
      <c r="E102" s="1684">
        <v>3.9524499999999997E-2</v>
      </c>
    </row>
    <row r="103" spans="2:5">
      <c r="B103" s="1685">
        <v>48680</v>
      </c>
      <c r="C103" s="811">
        <f t="shared" si="1"/>
        <v>99</v>
      </c>
      <c r="D103" s="809">
        <f>IF('Debt Sizing'!$O$65="Curve On",MIN('1 Month Term SOFR Forward Curve'!E103,'Debt Sizing'!$O$66),'1 Month Term SOFR Forward Curve'!E103)</f>
        <v>3.9543700000000001E-2</v>
      </c>
      <c r="E103" s="1683">
        <v>3.9543700000000001E-2</v>
      </c>
    </row>
    <row r="104" spans="2:5">
      <c r="B104" s="1686">
        <v>48709</v>
      </c>
      <c r="C104" s="811">
        <f t="shared" si="1"/>
        <v>100</v>
      </c>
      <c r="D104" s="809">
        <f>IF('Debt Sizing'!$O$65="Curve On",MIN('1 Month Term SOFR Forward Curve'!E104,'Debt Sizing'!$O$66),'1 Month Term SOFR Forward Curve'!E104)</f>
        <v>3.9569500000000001E-2</v>
      </c>
      <c r="E104" s="1684">
        <v>3.9569500000000001E-2</v>
      </c>
    </row>
    <row r="105" spans="2:5">
      <c r="B105" s="1685">
        <v>48740</v>
      </c>
      <c r="C105" s="811">
        <f t="shared" si="1"/>
        <v>101</v>
      </c>
      <c r="D105" s="809">
        <f>IF('Debt Sizing'!$O$65="Curve On",MIN('1 Month Term SOFR Forward Curve'!E105,'Debt Sizing'!$O$66),'1 Month Term SOFR Forward Curve'!E105)</f>
        <v>3.9595600000000002E-2</v>
      </c>
      <c r="E105" s="1683">
        <v>3.9595600000000002E-2</v>
      </c>
    </row>
    <row r="106" spans="2:5">
      <c r="B106" s="1686">
        <v>48771</v>
      </c>
      <c r="C106" s="811">
        <f t="shared" si="1"/>
        <v>102</v>
      </c>
      <c r="D106" s="809">
        <f>IF('Debt Sizing'!$O$65="Curve On",MIN('1 Month Term SOFR Forward Curve'!E106,'Debt Sizing'!$O$66),'1 Month Term SOFR Forward Curve'!E106)</f>
        <v>3.9623100000000001E-2</v>
      </c>
      <c r="E106" s="1684">
        <v>3.9623100000000001E-2</v>
      </c>
    </row>
    <row r="107" spans="2:5">
      <c r="B107" s="1685">
        <v>48801</v>
      </c>
      <c r="C107" s="811">
        <f t="shared" si="1"/>
        <v>103</v>
      </c>
      <c r="D107" s="809">
        <f>IF('Debt Sizing'!$O$65="Curve On",MIN('1 Month Term SOFR Forward Curve'!E107,'Debt Sizing'!$O$66),'1 Month Term SOFR Forward Curve'!E107)</f>
        <v>3.9656299999999998E-2</v>
      </c>
      <c r="E107" s="1683">
        <v>3.9656299999999998E-2</v>
      </c>
    </row>
    <row r="108" spans="2:5">
      <c r="B108" s="1686">
        <v>48834</v>
      </c>
      <c r="C108" s="811">
        <f t="shared" si="1"/>
        <v>104</v>
      </c>
      <c r="D108" s="809">
        <f>IF('Debt Sizing'!$O$65="Curve On",MIN('1 Month Term SOFR Forward Curve'!E108,'Debt Sizing'!$O$66),'1 Month Term SOFR Forward Curve'!E108)</f>
        <v>3.96805E-2</v>
      </c>
      <c r="E108" s="1684">
        <v>3.96805E-2</v>
      </c>
    </row>
    <row r="109" spans="2:5">
      <c r="B109" s="1685">
        <v>48863</v>
      </c>
      <c r="C109" s="811">
        <f t="shared" si="1"/>
        <v>105</v>
      </c>
      <c r="D109" s="809">
        <f>IF('Debt Sizing'!$O$65="Curve On",MIN('1 Month Term SOFR Forward Curve'!E109,'Debt Sizing'!$O$66),'1 Month Term SOFR Forward Curve'!E109)</f>
        <v>3.9720800000000001E-2</v>
      </c>
      <c r="E109" s="1683">
        <v>3.9720800000000001E-2</v>
      </c>
    </row>
    <row r="110" spans="2:5">
      <c r="B110" s="1686">
        <v>48893</v>
      </c>
      <c r="C110" s="811">
        <f t="shared" si="1"/>
        <v>106</v>
      </c>
      <c r="D110" s="809">
        <f>IF('Debt Sizing'!$O$65="Curve On",MIN('1 Month Term SOFR Forward Curve'!E110,'Debt Sizing'!$O$66),'1 Month Term SOFR Forward Curve'!E110)</f>
        <v>3.9747200000000003E-2</v>
      </c>
      <c r="E110" s="1684">
        <v>3.9747200000000003E-2</v>
      </c>
    </row>
    <row r="111" spans="2:5">
      <c r="B111" s="1685">
        <v>48925</v>
      </c>
      <c r="C111" s="811">
        <f t="shared" si="1"/>
        <v>107</v>
      </c>
      <c r="D111" s="809">
        <f>IF('Debt Sizing'!$O$65="Curve On",MIN('1 Month Term SOFR Forward Curve'!E111,'Debt Sizing'!$O$66),'1 Month Term SOFR Forward Curve'!E111)</f>
        <v>3.9779700000000001E-2</v>
      </c>
      <c r="E111" s="1683">
        <v>3.9779700000000001E-2</v>
      </c>
    </row>
    <row r="112" spans="2:5">
      <c r="B112" s="1686">
        <v>48954</v>
      </c>
      <c r="C112" s="811">
        <f t="shared" si="1"/>
        <v>108</v>
      </c>
      <c r="D112" s="809">
        <f>IF('Debt Sizing'!$O$65="Curve On",MIN('1 Month Term SOFR Forward Curve'!E112,'Debt Sizing'!$O$66),'1 Month Term SOFR Forward Curve'!E112)</f>
        <v>3.9812899999999998E-2</v>
      </c>
      <c r="E112" s="1684">
        <v>3.9812899999999998E-2</v>
      </c>
    </row>
    <row r="113" spans="2:5">
      <c r="B113" s="1685">
        <v>48985</v>
      </c>
      <c r="C113" s="811">
        <f t="shared" si="1"/>
        <v>109</v>
      </c>
      <c r="D113" s="809">
        <f>IF('Debt Sizing'!$O$65="Curve On",MIN('1 Month Term SOFR Forward Curve'!E113,'Debt Sizing'!$O$66),'1 Month Term SOFR Forward Curve'!E113)</f>
        <v>3.9841300000000003E-2</v>
      </c>
      <c r="E113" s="1683">
        <v>3.9841300000000003E-2</v>
      </c>
    </row>
    <row r="114" spans="2:5">
      <c r="B114" s="1686">
        <v>49013</v>
      </c>
      <c r="C114" s="811">
        <f t="shared" si="1"/>
        <v>110</v>
      </c>
      <c r="D114" s="809">
        <f>IF('Debt Sizing'!$O$65="Curve On",MIN('1 Month Term SOFR Forward Curve'!E114,'Debt Sizing'!$O$66),'1 Month Term SOFR Forward Curve'!E114)</f>
        <v>3.9884200000000002E-2</v>
      </c>
      <c r="E114" s="1684">
        <v>3.9884200000000002E-2</v>
      </c>
    </row>
    <row r="115" spans="2:5">
      <c r="B115" s="1685">
        <v>49044</v>
      </c>
      <c r="C115" s="811">
        <f t="shared" si="1"/>
        <v>111</v>
      </c>
      <c r="D115" s="809">
        <f>IF('Debt Sizing'!$O$65="Curve On",MIN('1 Month Term SOFR Forward Curve'!E115,'Debt Sizing'!$O$66),'1 Month Term SOFR Forward Curve'!E115)</f>
        <v>3.9920700000000003E-2</v>
      </c>
      <c r="E115" s="1683">
        <v>3.9920700000000003E-2</v>
      </c>
    </row>
    <row r="116" spans="2:5">
      <c r="B116" s="1686">
        <v>49074</v>
      </c>
      <c r="C116" s="811">
        <f t="shared" si="1"/>
        <v>112</v>
      </c>
      <c r="D116" s="809">
        <f>IF('Debt Sizing'!$O$65="Curve On",MIN('1 Month Term SOFR Forward Curve'!E116,'Debt Sizing'!$O$66),'1 Month Term SOFR Forward Curve'!E116)</f>
        <v>3.9968799999999999E-2</v>
      </c>
      <c r="E116" s="1684">
        <v>3.9968799999999999E-2</v>
      </c>
    </row>
    <row r="117" spans="2:5">
      <c r="B117" s="1685">
        <v>49107</v>
      </c>
      <c r="C117" s="811">
        <f t="shared" si="1"/>
        <v>113</v>
      </c>
      <c r="D117" s="809">
        <f>IF('Debt Sizing'!$O$65="Curve On",MIN('1 Month Term SOFR Forward Curve'!E117,'Debt Sizing'!$O$66),'1 Month Term SOFR Forward Curve'!E117)</f>
        <v>0.04</v>
      </c>
      <c r="E117" s="1683">
        <v>4.0004900000000003E-2</v>
      </c>
    </row>
    <row r="118" spans="2:5">
      <c r="B118" s="1686">
        <v>49135</v>
      </c>
      <c r="C118" s="811">
        <f t="shared" si="1"/>
        <v>114</v>
      </c>
      <c r="D118" s="809">
        <f>IF('Debt Sizing'!$O$65="Curve On",MIN('1 Month Term SOFR Forward Curve'!E118,'Debt Sizing'!$O$66),'1 Month Term SOFR Forward Curve'!E118)</f>
        <v>0.04</v>
      </c>
      <c r="E118" s="1684">
        <v>4.0046999999999999E-2</v>
      </c>
    </row>
    <row r="119" spans="2:5">
      <c r="B119" s="1685">
        <v>49166</v>
      </c>
      <c r="C119" s="811">
        <f t="shared" si="1"/>
        <v>115</v>
      </c>
      <c r="D119" s="809">
        <f>IF('Debt Sizing'!$O$65="Curve On",MIN('1 Month Term SOFR Forward Curve'!E119,'Debt Sizing'!$O$66),'1 Month Term SOFR Forward Curve'!E119)</f>
        <v>0.04</v>
      </c>
      <c r="E119" s="1683">
        <v>4.0094699999999997E-2</v>
      </c>
    </row>
    <row r="120" spans="2:5">
      <c r="B120" s="1686">
        <v>49198</v>
      </c>
      <c r="C120" s="811">
        <f t="shared" si="1"/>
        <v>116</v>
      </c>
      <c r="D120" s="809">
        <f>IF('Debt Sizing'!$O$65="Curve On",MIN('1 Month Term SOFR Forward Curve'!E120,'Debt Sizing'!$O$66),'1 Month Term SOFR Forward Curve'!E120)</f>
        <v>0.04</v>
      </c>
      <c r="E120" s="1684">
        <v>4.01363E-2</v>
      </c>
    </row>
    <row r="121" spans="2:5">
      <c r="B121" s="1685">
        <v>49227</v>
      </c>
      <c r="C121" s="811">
        <f t="shared" si="1"/>
        <v>117</v>
      </c>
      <c r="D121" s="809">
        <f>IF('Debt Sizing'!$O$65="Curve On",MIN('1 Month Term SOFR Forward Curve'!E121,'Debt Sizing'!$O$66),'1 Month Term SOFR Forward Curve'!E121)</f>
        <v>0.04</v>
      </c>
      <c r="E121" s="1683">
        <v>4.01836E-2</v>
      </c>
    </row>
    <row r="122" spans="2:5">
      <c r="B122" s="1686">
        <v>49258</v>
      </c>
      <c r="C122" s="811">
        <f t="shared" si="1"/>
        <v>118</v>
      </c>
      <c r="D122" s="809">
        <f>IF('Debt Sizing'!$O$65="Curve On",MIN('1 Month Term SOFR Forward Curve'!E122,'Debt Sizing'!$O$66),'1 Month Term SOFR Forward Curve'!E122)</f>
        <v>0.04</v>
      </c>
      <c r="E122" s="1684">
        <v>4.0232299999999999E-2</v>
      </c>
    </row>
    <row r="123" spans="2:5">
      <c r="B123" s="1685">
        <v>49289</v>
      </c>
      <c r="C123" s="811">
        <f t="shared" si="1"/>
        <v>119</v>
      </c>
      <c r="D123" s="809">
        <f>IF('Debt Sizing'!$O$65="Curve On",MIN('1 Month Term SOFR Forward Curve'!E123,'Debt Sizing'!$O$66),'1 Month Term SOFR Forward Curve'!E123)</f>
        <v>0.04</v>
      </c>
      <c r="E123" s="1683">
        <v>4.0282400000000003E-2</v>
      </c>
    </row>
    <row r="124" spans="2:5">
      <c r="B124" s="1686">
        <v>49319</v>
      </c>
      <c r="C124" s="811">
        <f t="shared" si="1"/>
        <v>120</v>
      </c>
      <c r="D124" s="809">
        <f>IF('Debt Sizing'!$O$65="Curve On",MIN('1 Month Term SOFR Forward Curve'!E124,'Debt Sizing'!$O$66),'1 Month Term SOFR Forward Curve'!E124)</f>
        <v>0.04</v>
      </c>
      <c r="E124" s="1684">
        <v>4.0338400000000003E-2</v>
      </c>
    </row>
    <row r="125" spans="2:5">
      <c r="B125" s="1685">
        <v>49352</v>
      </c>
      <c r="C125" s="811">
        <f t="shared" si="1"/>
        <v>121</v>
      </c>
      <c r="D125" s="809">
        <f>IF('Debt Sizing'!$O$65="Curve On",MIN('1 Month Term SOFR Forward Curve'!E125,'Debt Sizing'!$O$66),'1 Month Term SOFR Forward Curve'!E125)</f>
        <v>0.04</v>
      </c>
      <c r="E125" s="1683">
        <v>4.0378499999999998E-2</v>
      </c>
    </row>
  </sheetData>
  <hyperlinks>
    <hyperlink ref="H2" r:id="rId1" xr:uid="{4FB1709C-1590-4373-8247-2D593B919611}"/>
  </hyperlinks>
  <pageMargins left="0.7" right="0.7" top="0.75" bottom="0.75" header="0.3" footer="0.3"/>
  <pageSetup orientation="portrait" horizontalDpi="1200" verticalDpi="1200"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7">
    <tabColor theme="9" tint="0.59999389629810485"/>
  </sheetPr>
  <dimension ref="A1:AC1004"/>
  <sheetViews>
    <sheetView showGridLines="0" zoomScale="80" zoomScaleNormal="80" workbookViewId="0">
      <selection activeCell="A3" sqref="A3"/>
    </sheetView>
  </sheetViews>
  <sheetFormatPr defaultColWidth="9.1796875" defaultRowHeight="19"/>
  <cols>
    <col min="1" max="1" width="26.7265625" style="104" bestFit="1" customWidth="1"/>
    <col min="2" max="2" width="13.453125" style="104" bestFit="1" customWidth="1"/>
    <col min="3" max="3" width="17.26953125" style="104" bestFit="1" customWidth="1"/>
    <col min="4" max="4" width="21.81640625" style="104" bestFit="1" customWidth="1"/>
    <col min="5" max="5" width="13.1796875" style="104" bestFit="1" customWidth="1"/>
    <col min="6" max="6" width="12.7265625" style="104" bestFit="1" customWidth="1"/>
    <col min="7" max="7" width="21.453125" style="104" bestFit="1" customWidth="1"/>
    <col min="8" max="8" width="11.54296875" style="104" customWidth="1"/>
    <col min="9" max="9" width="10.26953125" style="104" bestFit="1" customWidth="1"/>
    <col min="10" max="10" width="14.1796875" style="104" bestFit="1" customWidth="1"/>
    <col min="11" max="15" width="18.7265625" style="104" hidden="1" customWidth="1"/>
    <col min="16" max="19" width="16.7265625" style="104" hidden="1" customWidth="1"/>
    <col min="20" max="29" width="9.1796875" style="104"/>
    <col min="30" max="16384" width="9.1796875" style="161"/>
  </cols>
  <sheetData>
    <row r="1" spans="1:19" ht="21.75" customHeight="1">
      <c r="A1" s="104" t="s">
        <v>219</v>
      </c>
      <c r="K1" s="1573"/>
      <c r="L1" s="1573"/>
    </row>
    <row r="2" spans="1:19" ht="24.5">
      <c r="A2" s="868">
        <v>46023</v>
      </c>
      <c r="J2" s="869"/>
      <c r="K2" s="1574" t="s">
        <v>220</v>
      </c>
      <c r="L2" s="1574"/>
      <c r="M2" s="1566"/>
      <c r="N2" s="1566"/>
      <c r="O2" s="1566"/>
    </row>
    <row r="3" spans="1:19">
      <c r="A3" s="870" t="s">
        <v>221</v>
      </c>
      <c r="B3" s="870" t="s">
        <v>222</v>
      </c>
      <c r="C3" s="870" t="s">
        <v>223</v>
      </c>
      <c r="D3" s="871" t="s">
        <v>224</v>
      </c>
      <c r="E3" s="872" t="s">
        <v>225</v>
      </c>
      <c r="F3" s="873" t="s">
        <v>226</v>
      </c>
      <c r="G3" s="873" t="s">
        <v>227</v>
      </c>
      <c r="H3" s="873" t="s">
        <v>228</v>
      </c>
      <c r="J3" s="874"/>
      <c r="K3" s="874" t="s">
        <v>223</v>
      </c>
      <c r="L3" s="875" t="s">
        <v>229</v>
      </c>
      <c r="M3" s="875" t="s">
        <v>230</v>
      </c>
      <c r="N3" s="875" t="s">
        <v>231</v>
      </c>
      <c r="O3" s="875" t="s">
        <v>232</v>
      </c>
      <c r="P3" s="875" t="s">
        <v>233</v>
      </c>
      <c r="Q3" s="875" t="s">
        <v>234</v>
      </c>
      <c r="R3" s="875" t="s">
        <v>235</v>
      </c>
      <c r="S3" s="875" t="s">
        <v>236</v>
      </c>
    </row>
    <row r="4" spans="1:19">
      <c r="A4" s="1803" t="s">
        <v>237</v>
      </c>
      <c r="B4" s="1805" t="s">
        <v>238</v>
      </c>
      <c r="C4" s="1803" t="s">
        <v>239</v>
      </c>
      <c r="D4" s="1809">
        <v>1628</v>
      </c>
      <c r="E4" s="1807">
        <v>1130</v>
      </c>
      <c r="F4" s="1813">
        <v>2</v>
      </c>
      <c r="G4" s="1843">
        <v>45442</v>
      </c>
      <c r="H4" s="1811">
        <v>45807</v>
      </c>
      <c r="K4" s="1568" t="s">
        <v>240</v>
      </c>
      <c r="L4" s="1569">
        <f>SUM(L5:L100)</f>
        <v>188</v>
      </c>
      <c r="M4" s="1569">
        <f t="shared" ref="M4:O4" si="0">SUM(M5:M100)</f>
        <v>0</v>
      </c>
      <c r="N4" s="1569">
        <f t="shared" si="0"/>
        <v>0</v>
      </c>
      <c r="O4" s="1569">
        <f t="shared" si="0"/>
        <v>0</v>
      </c>
      <c r="P4" s="1572">
        <f>IFERROR(SUMPRODUCT(P5:P100,$L5:$L100)/$L4,"")</f>
        <v>1324.3341230186863</v>
      </c>
      <c r="Q4" s="1572" t="str">
        <f>IFERROR(SUMPRODUCT(Q5:Q100,$M5:$M100)/$M4,"")</f>
        <v/>
      </c>
      <c r="R4" s="1572" t="str">
        <f>IFERROR(SUMPRODUCT(R5:R100,$N5:$N100)/$N4,"")</f>
        <v/>
      </c>
      <c r="S4" s="1572" t="str">
        <f>IFERROR(SUMPRODUCT(S5:S100,$O5:$O100)/$O4,"")</f>
        <v/>
      </c>
    </row>
    <row r="5" spans="1:19">
      <c r="A5" s="1804" t="s">
        <v>237</v>
      </c>
      <c r="B5" s="1806" t="s">
        <v>241</v>
      </c>
      <c r="C5" s="1804" t="s">
        <v>242</v>
      </c>
      <c r="D5" s="1810">
        <v>1163</v>
      </c>
      <c r="E5" s="1808">
        <v>841</v>
      </c>
      <c r="F5" s="1814">
        <v>1</v>
      </c>
      <c r="G5" s="1843">
        <v>45897</v>
      </c>
      <c r="H5" s="1812">
        <v>45897</v>
      </c>
      <c r="J5" s="1570"/>
      <c r="K5" s="104" t="str">
        <f>'Rent Roll Analysis'!C6</f>
        <v>A1</v>
      </c>
      <c r="L5" s="1565" cm="1">
        <f t="array" ref="L5">IF(K5="","",SUM(IF($K5=$C$4:$C$191,1,0)))</f>
        <v>36</v>
      </c>
      <c r="M5" s="1565">
        <f t="shared" ref="M5:M36" si="1">IF(K5="","",COUNTIFS($F$4:$F$1001,"&gt;="&amp;($A$2-90),$C$4:$C$1001,"="&amp;$K5))</f>
        <v>0</v>
      </c>
      <c r="N5" s="1565">
        <f t="shared" ref="N5:N36" si="2">IF(M5="","",COUNTIFS($F$4:$F$1001,"&gt;="&amp;($A$2-60),$C$4:$C$1001,"="&amp;$K5))</f>
        <v>0</v>
      </c>
      <c r="O5" s="1565">
        <f t="shared" ref="O5:O36" si="3">IF(N5="","",COUNTIFS($F$4:$F$1001,"&gt;="&amp;($A$2-30),$C$4:$C$1001,"="&amp;$K5))</f>
        <v>0</v>
      </c>
      <c r="P5" s="1567">
        <f>IFERROR(INDEX('RRT Unit Mix (Paste)'!$G$3:$G$100,MATCH('RRT Summary (Paste)'!$K5,'RRT Unit Mix (Paste)'!$B$3:$B$100,0)),"")</f>
        <v>1208.5999999999999</v>
      </c>
      <c r="Q5" s="1567">
        <f t="shared" ref="Q5:Q36" si="4">IF($K5="","",IFERROR(SUMIFS($D$4:$D$1001,$C$4:$C$1001,"="&amp;$K5,$F$4:$F$1001,"&gt;="&amp;($A$2-90))/$M5,0))</f>
        <v>0</v>
      </c>
      <c r="R5" s="1567">
        <f t="shared" ref="R5:R36" si="5">IF(K5="","",IFERROR(SUMIFS($D$4:$D$1001,$C$4:$C$1001,"="&amp;$K5,$F$4:$F$1001,"&gt;="&amp;($A$2-60))/$N5,0))</f>
        <v>0</v>
      </c>
      <c r="S5" s="1567">
        <f t="shared" ref="S5:S36" si="6">IF($K5="","",IFERROR(SUMIFS($D$4:$D$1001,$C$4:$C$1001,"="&amp;$K5,$F$4:$F$1001,"&gt;="&amp;($A$2-30))/$O5,0))</f>
        <v>0</v>
      </c>
    </row>
    <row r="6" spans="1:19">
      <c r="A6" s="1803" t="s">
        <v>237</v>
      </c>
      <c r="B6" s="1803" t="s">
        <v>243</v>
      </c>
      <c r="C6" s="1803" t="s">
        <v>244</v>
      </c>
      <c r="D6" s="1809">
        <v>1471</v>
      </c>
      <c r="E6" s="1807">
        <v>1224</v>
      </c>
      <c r="F6" s="1813">
        <v>2</v>
      </c>
      <c r="G6" s="1843">
        <v>45775</v>
      </c>
      <c r="H6" s="1811">
        <v>45775</v>
      </c>
      <c r="J6" s="1570"/>
      <c r="K6" s="104" t="str">
        <f>'Rent Roll Analysis'!C7</f>
        <v>A2</v>
      </c>
      <c r="L6" s="1565" cm="1">
        <f t="array" ref="L6">IF(K6="","",SUM(IF($K6=$C$4:$C$191,1,0)))</f>
        <v>59</v>
      </c>
      <c r="M6" s="1565">
        <f t="shared" si="1"/>
        <v>0</v>
      </c>
      <c r="N6" s="1565">
        <f t="shared" si="2"/>
        <v>0</v>
      </c>
      <c r="O6" s="1565">
        <f t="shared" si="3"/>
        <v>0</v>
      </c>
      <c r="P6" s="1567">
        <f>IFERROR(INDEX('RRT Unit Mix (Paste)'!$G$3:$G$100,MATCH('RRT Summary (Paste)'!$K6,'RRT Unit Mix (Paste)'!$B$3:$B$100,0)),"")</f>
        <v>1172.6024096385499</v>
      </c>
      <c r="Q6" s="1567">
        <f t="shared" si="4"/>
        <v>0</v>
      </c>
      <c r="R6" s="1567">
        <f t="shared" si="5"/>
        <v>0</v>
      </c>
      <c r="S6" s="1567">
        <f t="shared" si="6"/>
        <v>0</v>
      </c>
    </row>
    <row r="7" spans="1:19">
      <c r="A7" s="1804" t="s">
        <v>237</v>
      </c>
      <c r="B7" s="1804" t="s">
        <v>245</v>
      </c>
      <c r="C7" s="1804" t="s">
        <v>242</v>
      </c>
      <c r="D7" s="1810">
        <v>1229</v>
      </c>
      <c r="E7" s="1808">
        <v>841</v>
      </c>
      <c r="F7" s="1814">
        <v>1</v>
      </c>
      <c r="G7" s="1843">
        <v>45687</v>
      </c>
      <c r="H7" s="1812">
        <v>46039</v>
      </c>
      <c r="J7" s="1570"/>
      <c r="K7" s="104" t="str">
        <f>'Rent Roll Analysis'!C8</f>
        <v>B1</v>
      </c>
      <c r="L7" s="1565" cm="1">
        <f t="array" ref="L7">IF(K7="","",SUM(IF($K7=$C$4:$C$191,1,0)))</f>
        <v>38</v>
      </c>
      <c r="M7" s="1565">
        <f t="shared" si="1"/>
        <v>0</v>
      </c>
      <c r="N7" s="1565">
        <f t="shared" si="2"/>
        <v>0</v>
      </c>
      <c r="O7" s="1565">
        <f t="shared" si="3"/>
        <v>0</v>
      </c>
      <c r="P7" s="1567">
        <f>IFERROR(INDEX('RRT Unit Mix (Paste)'!$G$3:$G$100,MATCH('RRT Summary (Paste)'!$K7,'RRT Unit Mix (Paste)'!$B$3:$B$100,0)),"")</f>
        <v>1382.1568627450999</v>
      </c>
      <c r="Q7" s="1567">
        <f t="shared" si="4"/>
        <v>0</v>
      </c>
      <c r="R7" s="1567">
        <f t="shared" si="5"/>
        <v>0</v>
      </c>
      <c r="S7" s="1567">
        <f t="shared" si="6"/>
        <v>0</v>
      </c>
    </row>
    <row r="8" spans="1:19">
      <c r="A8" s="1803" t="s">
        <v>237</v>
      </c>
      <c r="B8" s="1803" t="s">
        <v>246</v>
      </c>
      <c r="C8" s="1803" t="s">
        <v>242</v>
      </c>
      <c r="D8" s="1809">
        <v>1206</v>
      </c>
      <c r="E8" s="1807">
        <v>841</v>
      </c>
      <c r="F8" s="1813">
        <v>1</v>
      </c>
      <c r="G8" s="1843">
        <v>45996</v>
      </c>
      <c r="H8" s="1811">
        <v>45996</v>
      </c>
      <c r="J8" s="1570"/>
      <c r="K8" s="104" t="str">
        <f>'Rent Roll Analysis'!C9</f>
        <v>B3</v>
      </c>
      <c r="L8" s="1565" cm="1">
        <f t="array" ref="L8">IF(K8="","",SUM(IF($K8=$C$4:$C$191,1,0)))</f>
        <v>0</v>
      </c>
      <c r="M8" s="1565">
        <f t="shared" si="1"/>
        <v>0</v>
      </c>
      <c r="N8" s="1565">
        <f t="shared" si="2"/>
        <v>0</v>
      </c>
      <c r="O8" s="1565">
        <f t="shared" si="3"/>
        <v>0</v>
      </c>
      <c r="P8" s="1567">
        <f>IFERROR(INDEX('RRT Unit Mix (Paste)'!$G$3:$G$100,MATCH('RRT Summary (Paste)'!$K8,'RRT Unit Mix (Paste)'!$B$3:$B$100,0)),"")</f>
        <v>1375.0833333333301</v>
      </c>
      <c r="Q8" s="1567">
        <f t="shared" si="4"/>
        <v>0</v>
      </c>
      <c r="R8" s="1567">
        <f t="shared" si="5"/>
        <v>0</v>
      </c>
      <c r="S8" s="1567">
        <f t="shared" si="6"/>
        <v>0</v>
      </c>
    </row>
    <row r="9" spans="1:19">
      <c r="A9" s="1804" t="s">
        <v>237</v>
      </c>
      <c r="B9" s="1804" t="s">
        <v>247</v>
      </c>
      <c r="C9" s="1804" t="s">
        <v>239</v>
      </c>
      <c r="D9" s="1810">
        <v>1436</v>
      </c>
      <c r="E9" s="1808">
        <v>1130</v>
      </c>
      <c r="F9" s="1814">
        <v>2</v>
      </c>
      <c r="G9" s="1843">
        <v>45429</v>
      </c>
      <c r="H9" s="1812">
        <v>45429</v>
      </c>
      <c r="J9" s="1570"/>
      <c r="K9" s="104" t="str">
        <f>'Rent Roll Analysis'!C10</f>
        <v>B2</v>
      </c>
      <c r="L9" s="1565" cm="1">
        <f t="array" ref="L9">IF(K9="","",SUM(IF($K9=$C$4:$C$191,1,0)))</f>
        <v>37</v>
      </c>
      <c r="M9" s="1565">
        <f t="shared" si="1"/>
        <v>0</v>
      </c>
      <c r="N9" s="1565">
        <f t="shared" si="2"/>
        <v>0</v>
      </c>
      <c r="O9" s="1565">
        <f t="shared" si="3"/>
        <v>0</v>
      </c>
      <c r="P9" s="1567">
        <f>IFERROR(INDEX('RRT Unit Mix (Paste)'!$G$3:$G$100,MATCH('RRT Summary (Paste)'!$K9,'RRT Unit Mix (Paste)'!$B$3:$B$100,0)),"")</f>
        <v>1478.4693877550999</v>
      </c>
      <c r="Q9" s="1567">
        <f t="shared" si="4"/>
        <v>0</v>
      </c>
      <c r="R9" s="1567">
        <f t="shared" si="5"/>
        <v>0</v>
      </c>
      <c r="S9" s="1567">
        <f t="shared" si="6"/>
        <v>0</v>
      </c>
    </row>
    <row r="10" spans="1:19">
      <c r="A10" s="1803" t="s">
        <v>237</v>
      </c>
      <c r="B10" s="1803" t="s">
        <v>248</v>
      </c>
      <c r="C10" s="1803" t="s">
        <v>242</v>
      </c>
      <c r="D10" s="1809">
        <v>1164</v>
      </c>
      <c r="E10" s="1807">
        <v>841</v>
      </c>
      <c r="F10" s="1813">
        <v>1</v>
      </c>
      <c r="G10" s="1843">
        <v>45849</v>
      </c>
      <c r="H10" s="1811">
        <v>45849</v>
      </c>
      <c r="J10" s="1570"/>
      <c r="K10" s="104" t="str">
        <f>'Rent Roll Analysis'!C11</f>
        <v>C1</v>
      </c>
      <c r="L10" s="1565" cm="1">
        <f t="array" ref="L10">IF(K10="","",SUM(IF($K10=$C$4:$C$191,1,0)))</f>
        <v>18</v>
      </c>
      <c r="M10" s="1565">
        <f t="shared" si="1"/>
        <v>0</v>
      </c>
      <c r="N10" s="1565">
        <f t="shared" si="2"/>
        <v>0</v>
      </c>
      <c r="O10" s="1565">
        <f t="shared" si="3"/>
        <v>0</v>
      </c>
      <c r="P10" s="1567">
        <f>IFERROR(INDEX('RRT Unit Mix (Paste)'!$G$3:$G$100,MATCH('RRT Summary (Paste)'!$K10,'RRT Unit Mix (Paste)'!$B$3:$B$100,0)),"")</f>
        <v>1614.2413793103401</v>
      </c>
      <c r="Q10" s="1567">
        <f t="shared" si="4"/>
        <v>0</v>
      </c>
      <c r="R10" s="1567">
        <f t="shared" si="5"/>
        <v>0</v>
      </c>
      <c r="S10" s="1567">
        <f t="shared" si="6"/>
        <v>0</v>
      </c>
    </row>
    <row r="11" spans="1:19">
      <c r="A11" s="1804" t="s">
        <v>237</v>
      </c>
      <c r="B11" s="1804" t="s">
        <v>249</v>
      </c>
      <c r="C11" s="1804" t="s">
        <v>244</v>
      </c>
      <c r="D11" s="1810">
        <v>1558</v>
      </c>
      <c r="E11" s="1808">
        <v>1224</v>
      </c>
      <c r="F11" s="1814">
        <v>2</v>
      </c>
      <c r="G11" s="1843">
        <v>45474</v>
      </c>
      <c r="H11" s="1812">
        <v>45836</v>
      </c>
      <c r="J11" s="1570"/>
      <c r="K11" s="104" t="str">
        <f>'Rent Roll Analysis'!C12</f>
        <v/>
      </c>
      <c r="L11" s="1565" t="str" cm="1">
        <f t="array" ref="L11">IF(K11="","",SUM(IF($K11=$C$4:$C$191,1,0)))</f>
        <v/>
      </c>
      <c r="M11" s="1565" t="str">
        <f t="shared" si="1"/>
        <v/>
      </c>
      <c r="N11" s="1565" t="str">
        <f t="shared" si="2"/>
        <v/>
      </c>
      <c r="O11" s="1565" t="str">
        <f t="shared" si="3"/>
        <v/>
      </c>
      <c r="P11" s="1567" t="str">
        <f>IFERROR(INDEX('RRT Unit Mix (Paste)'!$G$3:$G$100,MATCH('RRT Summary (Paste)'!$K11,'RRT Unit Mix (Paste)'!$B$3:$B$100,0)),"")</f>
        <v/>
      </c>
      <c r="Q11" s="1567" t="str">
        <f t="shared" si="4"/>
        <v/>
      </c>
      <c r="R11" s="1567" t="str">
        <f t="shared" si="5"/>
        <v/>
      </c>
      <c r="S11" s="1567" t="str">
        <f t="shared" si="6"/>
        <v/>
      </c>
    </row>
    <row r="12" spans="1:19">
      <c r="A12" s="1803" t="s">
        <v>237</v>
      </c>
      <c r="B12" s="1803" t="s">
        <v>250</v>
      </c>
      <c r="C12" s="1803" t="s">
        <v>239</v>
      </c>
      <c r="D12" s="1809">
        <v>1383</v>
      </c>
      <c r="E12" s="1807">
        <v>1130</v>
      </c>
      <c r="F12" s="1813">
        <v>2</v>
      </c>
      <c r="G12" s="1843">
        <v>45960</v>
      </c>
      <c r="H12" s="1811">
        <v>45960</v>
      </c>
      <c r="J12" s="1570"/>
      <c r="K12" s="104" t="str">
        <f>'Rent Roll Analysis'!C13</f>
        <v/>
      </c>
      <c r="L12" s="1565" t="str" cm="1">
        <f t="array" ref="L12">IF(K12="","",SUM(IF($K12=$C$4:$C$191,1,0)))</f>
        <v/>
      </c>
      <c r="M12" s="1565" t="str">
        <f t="shared" si="1"/>
        <v/>
      </c>
      <c r="N12" s="1565" t="str">
        <f t="shared" si="2"/>
        <v/>
      </c>
      <c r="O12" s="1565" t="str">
        <f t="shared" si="3"/>
        <v/>
      </c>
      <c r="P12" s="1567" t="str">
        <f>IFERROR(INDEX('RRT Unit Mix (Paste)'!$G$3:$G$100,MATCH('RRT Summary (Paste)'!$K12,'RRT Unit Mix (Paste)'!$B$3:$B$100,0)),"")</f>
        <v/>
      </c>
      <c r="Q12" s="1567" t="str">
        <f t="shared" si="4"/>
        <v/>
      </c>
      <c r="R12" s="1567" t="str">
        <f t="shared" si="5"/>
        <v/>
      </c>
      <c r="S12" s="1567" t="str">
        <f t="shared" si="6"/>
        <v/>
      </c>
    </row>
    <row r="13" spans="1:19">
      <c r="A13" s="1804" t="s">
        <v>237</v>
      </c>
      <c r="B13" s="1804" t="s">
        <v>251</v>
      </c>
      <c r="C13" s="1804" t="s">
        <v>242</v>
      </c>
      <c r="D13" s="1810">
        <v>1126</v>
      </c>
      <c r="E13" s="1808">
        <v>841</v>
      </c>
      <c r="F13" s="1814">
        <v>1</v>
      </c>
      <c r="G13" s="1843">
        <v>45868</v>
      </c>
      <c r="H13" s="1812">
        <v>45868</v>
      </c>
      <c r="J13" s="1570"/>
      <c r="K13" s="104" t="str">
        <f>'Rent Roll Analysis'!C14</f>
        <v/>
      </c>
      <c r="L13" s="1565" t="str" cm="1">
        <f t="array" ref="L13">IF(K13="","",SUM(IF($K13=$C$4:$C$191,1,0)))</f>
        <v/>
      </c>
      <c r="M13" s="1565" t="str">
        <f t="shared" si="1"/>
        <v/>
      </c>
      <c r="N13" s="1565" t="str">
        <f t="shared" si="2"/>
        <v/>
      </c>
      <c r="O13" s="1565" t="str">
        <f t="shared" si="3"/>
        <v/>
      </c>
      <c r="P13" s="1567" t="str">
        <f>IFERROR(INDEX('RRT Unit Mix (Paste)'!$G$3:$G$100,MATCH('RRT Summary (Paste)'!$K13,'RRT Unit Mix (Paste)'!$B$3:$B$100,0)),"")</f>
        <v/>
      </c>
      <c r="Q13" s="1567" t="str">
        <f t="shared" si="4"/>
        <v/>
      </c>
      <c r="R13" s="1567" t="str">
        <f t="shared" si="5"/>
        <v/>
      </c>
      <c r="S13" s="1567" t="str">
        <f t="shared" si="6"/>
        <v/>
      </c>
    </row>
    <row r="14" spans="1:19">
      <c r="A14" s="1803" t="s">
        <v>237</v>
      </c>
      <c r="B14" s="1803" t="s">
        <v>252</v>
      </c>
      <c r="C14" s="1803" t="s">
        <v>244</v>
      </c>
      <c r="D14" s="1809">
        <v>1434</v>
      </c>
      <c r="E14" s="1807">
        <v>1224</v>
      </c>
      <c r="F14" s="1813">
        <v>2</v>
      </c>
      <c r="G14" s="1843">
        <v>45758</v>
      </c>
      <c r="H14" s="1811">
        <v>45972</v>
      </c>
      <c r="J14" s="1570"/>
      <c r="K14" s="104" t="str">
        <f>'Rent Roll Analysis'!C15</f>
        <v/>
      </c>
      <c r="L14" s="1565" t="str" cm="1">
        <f t="array" ref="L14">IF(K14="","",SUM(IF($K14=$C$4:$C$191,1,0)))</f>
        <v/>
      </c>
      <c r="M14" s="1565" t="str">
        <f t="shared" si="1"/>
        <v/>
      </c>
      <c r="N14" s="1565" t="str">
        <f t="shared" si="2"/>
        <v/>
      </c>
      <c r="O14" s="1565" t="str">
        <f t="shared" si="3"/>
        <v/>
      </c>
      <c r="P14" s="1567" t="str">
        <f>IFERROR(INDEX('RRT Unit Mix (Paste)'!$G$3:$G$100,MATCH('RRT Summary (Paste)'!$K14,'RRT Unit Mix (Paste)'!$B$3:$B$100,0)),"")</f>
        <v/>
      </c>
      <c r="Q14" s="1567" t="str">
        <f t="shared" si="4"/>
        <v/>
      </c>
      <c r="R14" s="1567" t="str">
        <f t="shared" si="5"/>
        <v/>
      </c>
      <c r="S14" s="1567" t="str">
        <f t="shared" si="6"/>
        <v/>
      </c>
    </row>
    <row r="15" spans="1:19">
      <c r="A15" s="1804" t="s">
        <v>237</v>
      </c>
      <c r="B15" s="1804" t="s">
        <v>253</v>
      </c>
      <c r="C15" s="1804" t="s">
        <v>242</v>
      </c>
      <c r="D15" s="1810">
        <v>1168</v>
      </c>
      <c r="E15" s="1808">
        <v>841</v>
      </c>
      <c r="F15" s="1814">
        <v>1</v>
      </c>
      <c r="G15" s="1843">
        <v>45992</v>
      </c>
      <c r="H15" s="1812">
        <v>45992</v>
      </c>
      <c r="J15" s="1570"/>
      <c r="K15" s="104" t="str">
        <f>'Rent Roll Analysis'!C16</f>
        <v/>
      </c>
      <c r="L15" s="1565" t="str" cm="1">
        <f t="array" ref="L15">IF(K15="","",SUM(IF($K15=$C$4:$C$191,1,0)))</f>
        <v/>
      </c>
      <c r="M15" s="1565" t="str">
        <f t="shared" si="1"/>
        <v/>
      </c>
      <c r="N15" s="1565" t="str">
        <f t="shared" si="2"/>
        <v/>
      </c>
      <c r="O15" s="1565" t="str">
        <f t="shared" si="3"/>
        <v/>
      </c>
      <c r="P15" s="1567" t="str">
        <f>IFERROR(INDEX('RRT Unit Mix (Paste)'!$G$3:$G$100,MATCH('RRT Summary (Paste)'!$K15,'RRT Unit Mix (Paste)'!$B$3:$B$100,0)),"")</f>
        <v/>
      </c>
      <c r="Q15" s="1567" t="str">
        <f t="shared" si="4"/>
        <v/>
      </c>
      <c r="R15" s="1567" t="str">
        <f t="shared" si="5"/>
        <v/>
      </c>
      <c r="S15" s="1567" t="str">
        <f t="shared" si="6"/>
        <v/>
      </c>
    </row>
    <row r="16" spans="1:19">
      <c r="A16" s="1803" t="s">
        <v>237</v>
      </c>
      <c r="B16" s="1803" t="s">
        <v>254</v>
      </c>
      <c r="C16" s="1803" t="s">
        <v>242</v>
      </c>
      <c r="D16" s="1809">
        <v>1148</v>
      </c>
      <c r="E16" s="1807">
        <v>841</v>
      </c>
      <c r="F16" s="1813">
        <v>1</v>
      </c>
      <c r="G16" s="1843">
        <v>45852</v>
      </c>
      <c r="H16" s="1811">
        <v>45852</v>
      </c>
      <c r="J16" s="1570"/>
      <c r="K16" s="104" t="str">
        <f>'Rent Roll Analysis'!C17</f>
        <v/>
      </c>
      <c r="L16" s="1565" t="str" cm="1">
        <f t="array" ref="L16">IF(K16="","",SUM(IF($K16=$C$4:$C$191,1,0)))</f>
        <v/>
      </c>
      <c r="M16" s="1565" t="str">
        <f t="shared" si="1"/>
        <v/>
      </c>
      <c r="N16" s="1565" t="str">
        <f t="shared" si="2"/>
        <v/>
      </c>
      <c r="O16" s="1565" t="str">
        <f t="shared" si="3"/>
        <v/>
      </c>
      <c r="P16" s="1567" t="str">
        <f>IFERROR(INDEX('RRT Unit Mix (Paste)'!$G$3:$G$100,MATCH('RRT Summary (Paste)'!$K16,'RRT Unit Mix (Paste)'!$B$3:$B$100,0)),"")</f>
        <v/>
      </c>
      <c r="Q16" s="1567" t="str">
        <f t="shared" si="4"/>
        <v/>
      </c>
      <c r="R16" s="1567" t="str">
        <f t="shared" si="5"/>
        <v/>
      </c>
      <c r="S16" s="1567" t="str">
        <f t="shared" si="6"/>
        <v/>
      </c>
    </row>
    <row r="17" spans="1:19">
      <c r="A17" s="1804" t="s">
        <v>237</v>
      </c>
      <c r="B17" s="1804" t="s">
        <v>255</v>
      </c>
      <c r="C17" s="1804" t="s">
        <v>239</v>
      </c>
      <c r="D17" s="1810">
        <v>1414</v>
      </c>
      <c r="E17" s="1808">
        <v>1130</v>
      </c>
      <c r="F17" s="1814">
        <v>2</v>
      </c>
      <c r="G17" s="1843">
        <v>45436</v>
      </c>
      <c r="H17" s="1812">
        <v>45801</v>
      </c>
      <c r="J17" s="1570"/>
      <c r="K17" s="104" t="str">
        <f>'Rent Roll Analysis'!C18</f>
        <v/>
      </c>
      <c r="L17" s="1565" t="str" cm="1">
        <f t="array" ref="L17">IF(K17="","",SUM(IF($K17=$C$4:$C$191,1,0)))</f>
        <v/>
      </c>
      <c r="M17" s="1565" t="str">
        <f t="shared" si="1"/>
        <v/>
      </c>
      <c r="N17" s="1565" t="str">
        <f t="shared" si="2"/>
        <v/>
      </c>
      <c r="O17" s="1565" t="str">
        <f t="shared" si="3"/>
        <v/>
      </c>
      <c r="P17" s="1567" t="str">
        <f>IFERROR(INDEX('RRT Unit Mix (Paste)'!$G$3:$G$100,MATCH('RRT Summary (Paste)'!$K17,'RRT Unit Mix (Paste)'!$B$3:$B$100,0)),"")</f>
        <v/>
      </c>
      <c r="Q17" s="1567" t="str">
        <f t="shared" si="4"/>
        <v/>
      </c>
      <c r="R17" s="1567" t="str">
        <f t="shared" si="5"/>
        <v/>
      </c>
      <c r="S17" s="1567" t="str">
        <f t="shared" si="6"/>
        <v/>
      </c>
    </row>
    <row r="18" spans="1:19">
      <c r="A18" s="1803" t="s">
        <v>237</v>
      </c>
      <c r="B18" s="1803" t="s">
        <v>256</v>
      </c>
      <c r="C18" s="1803" t="s">
        <v>242</v>
      </c>
      <c r="D18" s="1809">
        <v>1216</v>
      </c>
      <c r="E18" s="1807">
        <v>841</v>
      </c>
      <c r="F18" s="1813">
        <v>1</v>
      </c>
      <c r="G18" s="1843">
        <v>45505</v>
      </c>
      <c r="H18" s="1811">
        <v>45870</v>
      </c>
      <c r="J18" s="1570"/>
      <c r="K18" s="104" t="str">
        <f>'Rent Roll Analysis'!C19</f>
        <v/>
      </c>
      <c r="L18" s="1565" t="str" cm="1">
        <f t="array" ref="L18">IF(K18="","",SUM(IF($K18=$C$4:$C$191,1,0)))</f>
        <v/>
      </c>
      <c r="M18" s="1565" t="str">
        <f t="shared" si="1"/>
        <v/>
      </c>
      <c r="N18" s="1565" t="str">
        <f t="shared" si="2"/>
        <v/>
      </c>
      <c r="O18" s="1565" t="str">
        <f t="shared" si="3"/>
        <v/>
      </c>
      <c r="P18" s="1567" t="str">
        <f>IFERROR(INDEX('RRT Unit Mix (Paste)'!$G$3:$G$100,MATCH('RRT Summary (Paste)'!$K18,'RRT Unit Mix (Paste)'!$B$3:$B$100,0)),"")</f>
        <v/>
      </c>
      <c r="Q18" s="1567" t="str">
        <f t="shared" si="4"/>
        <v/>
      </c>
      <c r="R18" s="1567" t="str">
        <f t="shared" si="5"/>
        <v/>
      </c>
      <c r="S18" s="1567" t="str">
        <f t="shared" si="6"/>
        <v/>
      </c>
    </row>
    <row r="19" spans="1:19">
      <c r="A19" s="1804" t="s">
        <v>237</v>
      </c>
      <c r="B19" s="1804" t="s">
        <v>257</v>
      </c>
      <c r="C19" s="1804" t="s">
        <v>244</v>
      </c>
      <c r="D19" s="1810">
        <v>1365</v>
      </c>
      <c r="E19" s="1808">
        <v>1224</v>
      </c>
      <c r="F19" s="1814">
        <v>2</v>
      </c>
      <c r="G19" s="1843">
        <v>45887</v>
      </c>
      <c r="H19" s="1812">
        <v>45887</v>
      </c>
      <c r="J19" s="1570"/>
      <c r="K19" s="104" t="str">
        <f>IF('Rent Roll Analysis'!C20=0,"",'Rent Roll Analysis'!C20)</f>
        <v/>
      </c>
      <c r="L19" s="1565" t="str" cm="1">
        <f t="array" ref="L19">IF(K19="","",SUM(IF($K19=$C$4:$C$191,1,0)))</f>
        <v/>
      </c>
      <c r="M19" s="1565" t="str">
        <f t="shared" si="1"/>
        <v/>
      </c>
      <c r="N19" s="1565" t="str">
        <f t="shared" si="2"/>
        <v/>
      </c>
      <c r="O19" s="1565" t="str">
        <f t="shared" si="3"/>
        <v/>
      </c>
      <c r="P19" s="1567" t="str">
        <f>IFERROR(INDEX('RRT Unit Mix (Paste)'!$G$3:$G$100,MATCH('RRT Summary (Paste)'!$K19,'RRT Unit Mix (Paste)'!$B$3:$B$100,0)),"")</f>
        <v/>
      </c>
      <c r="Q19" s="1567" t="str">
        <f t="shared" si="4"/>
        <v/>
      </c>
      <c r="R19" s="1567" t="str">
        <f t="shared" si="5"/>
        <v/>
      </c>
      <c r="S19" s="1567" t="str">
        <f t="shared" si="6"/>
        <v/>
      </c>
    </row>
    <row r="20" spans="1:19">
      <c r="A20" s="1803" t="s">
        <v>237</v>
      </c>
      <c r="B20" s="1803" t="s">
        <v>258</v>
      </c>
      <c r="C20" s="1803" t="s">
        <v>239</v>
      </c>
      <c r="D20" s="1809">
        <v>1347</v>
      </c>
      <c r="E20" s="1807">
        <v>1130</v>
      </c>
      <c r="F20" s="1813">
        <v>2</v>
      </c>
      <c r="G20" s="1843">
        <v>45868</v>
      </c>
      <c r="H20" s="1811">
        <v>45868</v>
      </c>
      <c r="J20" s="1571"/>
      <c r="K20" s="104" t="str">
        <f>IF('Rent Roll Analysis'!C21=0,"",'Rent Roll Analysis'!C21)</f>
        <v/>
      </c>
      <c r="L20" s="1565" t="str" cm="1">
        <f t="array" ref="L20">IF(K20="","",SUM(IF($K20=$C$4:$C$191,1,0)))</f>
        <v/>
      </c>
      <c r="M20" s="1565" t="str">
        <f t="shared" si="1"/>
        <v/>
      </c>
      <c r="N20" s="1565" t="str">
        <f t="shared" si="2"/>
        <v/>
      </c>
      <c r="O20" s="1565" t="str">
        <f t="shared" si="3"/>
        <v/>
      </c>
      <c r="P20" s="876" t="str">
        <f>IFERROR(INDEX('RRT Unit Mix (Paste)'!$G$3:$G$100,MATCH('RRT Summary (Paste)'!$K20,'RRT Unit Mix (Paste)'!$B$3:$B$100,0)),"")</f>
        <v/>
      </c>
      <c r="Q20" s="876" t="str">
        <f t="shared" si="4"/>
        <v/>
      </c>
      <c r="R20" s="876" t="str">
        <f t="shared" si="5"/>
        <v/>
      </c>
      <c r="S20" s="1567" t="str">
        <f t="shared" si="6"/>
        <v/>
      </c>
    </row>
    <row r="21" spans="1:19">
      <c r="A21" s="1804" t="s">
        <v>237</v>
      </c>
      <c r="B21" s="1804" t="s">
        <v>259</v>
      </c>
      <c r="C21" s="1804" t="s">
        <v>242</v>
      </c>
      <c r="D21" s="1810">
        <v>1045</v>
      </c>
      <c r="E21" s="1808">
        <v>841</v>
      </c>
      <c r="F21" s="1814">
        <v>1</v>
      </c>
      <c r="G21" s="1843">
        <v>45806</v>
      </c>
      <c r="H21" s="1812">
        <v>45806</v>
      </c>
      <c r="J21" s="1571"/>
      <c r="K21" s="104" t="str">
        <f>IF('Rent Roll Analysis'!C22=0,"",'Rent Roll Analysis'!C22)</f>
        <v/>
      </c>
      <c r="L21" s="1565" t="str" cm="1">
        <f t="array" ref="L21">IF(K21="","",SUM(IF($K21=$C$4:$C$191,1,0)))</f>
        <v/>
      </c>
      <c r="M21" s="1565" t="str">
        <f t="shared" si="1"/>
        <v/>
      </c>
      <c r="N21" s="1565" t="str">
        <f t="shared" si="2"/>
        <v/>
      </c>
      <c r="O21" s="1565" t="str">
        <f t="shared" si="3"/>
        <v/>
      </c>
      <c r="P21" s="876" t="str">
        <f>IFERROR(INDEX('RRT Unit Mix (Paste)'!$G$3:$G$100,MATCH('RRT Summary (Paste)'!$K21,'RRT Unit Mix (Paste)'!$B$3:$B$100,0)),"")</f>
        <v/>
      </c>
      <c r="Q21" s="876" t="str">
        <f t="shared" si="4"/>
        <v/>
      </c>
      <c r="R21" s="876" t="str">
        <f t="shared" si="5"/>
        <v/>
      </c>
      <c r="S21" s="1567" t="str">
        <f t="shared" si="6"/>
        <v/>
      </c>
    </row>
    <row r="22" spans="1:19">
      <c r="A22" s="1803" t="s">
        <v>237</v>
      </c>
      <c r="B22" s="1803" t="s">
        <v>260</v>
      </c>
      <c r="C22" s="1803" t="s">
        <v>244</v>
      </c>
      <c r="D22" s="1809">
        <v>1563</v>
      </c>
      <c r="E22" s="1807">
        <v>1224</v>
      </c>
      <c r="F22" s="1813">
        <v>2</v>
      </c>
      <c r="G22" s="1843">
        <v>45427</v>
      </c>
      <c r="H22" s="1811">
        <v>45427</v>
      </c>
      <c r="J22" s="1571"/>
      <c r="K22" s="104" t="str">
        <f>IF('Rent Roll Analysis'!C23=0,"",'Rent Roll Analysis'!C23)</f>
        <v/>
      </c>
      <c r="L22" s="1565" t="str" cm="1">
        <f t="array" ref="L22">IF(K22="","",SUM(IF($K22=$C$4:$C$191,1,0)))</f>
        <v/>
      </c>
      <c r="M22" s="1565" t="str">
        <f t="shared" si="1"/>
        <v/>
      </c>
      <c r="N22" s="1565" t="str">
        <f t="shared" si="2"/>
        <v/>
      </c>
      <c r="O22" s="1565" t="str">
        <f t="shared" si="3"/>
        <v/>
      </c>
      <c r="P22" s="876" t="str">
        <f>IFERROR(INDEX('RRT Unit Mix (Paste)'!$G$3:$G$100,MATCH('RRT Summary (Paste)'!$K22,'RRT Unit Mix (Paste)'!$B$3:$B$100,0)),"")</f>
        <v/>
      </c>
      <c r="Q22" s="876" t="str">
        <f t="shared" si="4"/>
        <v/>
      </c>
      <c r="R22" s="876" t="str">
        <f t="shared" si="5"/>
        <v/>
      </c>
      <c r="S22" s="1567" t="str">
        <f t="shared" si="6"/>
        <v/>
      </c>
    </row>
    <row r="23" spans="1:19">
      <c r="A23" s="1804" t="s">
        <v>237</v>
      </c>
      <c r="B23" s="1804" t="s">
        <v>261</v>
      </c>
      <c r="C23" s="1804" t="s">
        <v>242</v>
      </c>
      <c r="D23" s="1810">
        <v>1153</v>
      </c>
      <c r="E23" s="1808">
        <v>841</v>
      </c>
      <c r="F23" s="1814">
        <v>1</v>
      </c>
      <c r="G23" s="1843">
        <v>45673</v>
      </c>
      <c r="H23" s="1812">
        <v>45673</v>
      </c>
      <c r="J23" s="1571"/>
      <c r="K23" s="104" t="str">
        <f>IF('Rent Roll Analysis'!C24=0,"",'Rent Roll Analysis'!C24)</f>
        <v/>
      </c>
      <c r="L23" s="1565" t="str" cm="1">
        <f t="array" ref="L23">IF(K23="","",SUM(IF($K23=$C$4:$C$191,1,0)))</f>
        <v/>
      </c>
      <c r="M23" s="1565" t="str">
        <f t="shared" si="1"/>
        <v/>
      </c>
      <c r="N23" s="1565" t="str">
        <f t="shared" si="2"/>
        <v/>
      </c>
      <c r="O23" s="1565" t="str">
        <f t="shared" si="3"/>
        <v/>
      </c>
      <c r="P23" s="876" t="str">
        <f>IFERROR(INDEX('RRT Unit Mix (Paste)'!$G$3:$G$100,MATCH('RRT Summary (Paste)'!$K23,'RRT Unit Mix (Paste)'!$B$3:$B$100,0)),"")</f>
        <v/>
      </c>
      <c r="Q23" s="876" t="str">
        <f t="shared" si="4"/>
        <v/>
      </c>
      <c r="R23" s="876" t="str">
        <f t="shared" si="5"/>
        <v/>
      </c>
      <c r="S23" s="1567" t="str">
        <f t="shared" si="6"/>
        <v/>
      </c>
    </row>
    <row r="24" spans="1:19">
      <c r="A24" s="1803" t="s">
        <v>237</v>
      </c>
      <c r="B24" s="1803" t="s">
        <v>262</v>
      </c>
      <c r="C24" s="1803" t="s">
        <v>242</v>
      </c>
      <c r="D24" s="1809">
        <v>1215</v>
      </c>
      <c r="E24" s="1807">
        <v>841</v>
      </c>
      <c r="F24" s="1813">
        <v>1</v>
      </c>
      <c r="G24" s="1843">
        <v>45964</v>
      </c>
      <c r="H24" s="1811">
        <v>45964</v>
      </c>
      <c r="J24" s="1571"/>
      <c r="K24" s="104" t="str">
        <f>IF('Rent Roll Analysis'!C25=0,"",'Rent Roll Analysis'!C25)</f>
        <v/>
      </c>
      <c r="L24" s="1565" t="str" cm="1">
        <f t="array" ref="L24">IF(K24="","",SUM(IF($K24=$C$4:$C$191,1,0)))</f>
        <v/>
      </c>
      <c r="M24" s="1565" t="str">
        <f t="shared" si="1"/>
        <v/>
      </c>
      <c r="N24" s="1565" t="str">
        <f t="shared" si="2"/>
        <v/>
      </c>
      <c r="O24" s="1565" t="str">
        <f t="shared" si="3"/>
        <v/>
      </c>
      <c r="P24" s="876" t="str">
        <f>IFERROR(INDEX('RRT Unit Mix (Paste)'!$G$3:$G$100,MATCH('RRT Summary (Paste)'!$K24,'RRT Unit Mix (Paste)'!$B$3:$B$100,0)),"")</f>
        <v/>
      </c>
      <c r="Q24" s="876" t="str">
        <f t="shared" si="4"/>
        <v/>
      </c>
      <c r="R24" s="876" t="str">
        <f t="shared" si="5"/>
        <v/>
      </c>
      <c r="S24" s="1567" t="str">
        <f t="shared" si="6"/>
        <v/>
      </c>
    </row>
    <row r="25" spans="1:19">
      <c r="A25" s="1804" t="s">
        <v>237</v>
      </c>
      <c r="B25" s="1804" t="s">
        <v>263</v>
      </c>
      <c r="C25" s="1804" t="s">
        <v>239</v>
      </c>
      <c r="D25" s="1810">
        <v>1503</v>
      </c>
      <c r="E25" s="1808">
        <v>1130</v>
      </c>
      <c r="F25" s="1814">
        <v>2</v>
      </c>
      <c r="G25" s="1843">
        <v>45434</v>
      </c>
      <c r="H25" s="1812">
        <v>45799</v>
      </c>
      <c r="J25" s="1571"/>
      <c r="K25" s="104" t="str">
        <f>IF('Rent Roll Analysis'!C26=0,"",'Rent Roll Analysis'!C26)</f>
        <v/>
      </c>
      <c r="L25" s="1565" t="str" cm="1">
        <f t="array" ref="L25">IF(K25="","",SUM(IF($K25=$C$4:$C$191,1,0)))</f>
        <v/>
      </c>
      <c r="M25" s="1565" t="str">
        <f t="shared" si="1"/>
        <v/>
      </c>
      <c r="N25" s="1565" t="str">
        <f t="shared" si="2"/>
        <v/>
      </c>
      <c r="O25" s="1565" t="str">
        <f t="shared" si="3"/>
        <v/>
      </c>
      <c r="P25" s="876" t="str">
        <f>IFERROR(INDEX('RRT Unit Mix (Paste)'!$G$3:$G$100,MATCH('RRT Summary (Paste)'!$K25,'RRT Unit Mix (Paste)'!$B$3:$B$100,0)),"")</f>
        <v/>
      </c>
      <c r="Q25" s="876" t="str">
        <f t="shared" si="4"/>
        <v/>
      </c>
      <c r="R25" s="876" t="str">
        <f t="shared" si="5"/>
        <v/>
      </c>
      <c r="S25" s="1567" t="str">
        <f t="shared" si="6"/>
        <v/>
      </c>
    </row>
    <row r="26" spans="1:19">
      <c r="A26" s="1803" t="s">
        <v>237</v>
      </c>
      <c r="B26" s="1803" t="s">
        <v>264</v>
      </c>
      <c r="C26" s="1803" t="s">
        <v>242</v>
      </c>
      <c r="D26" s="1809">
        <v>1112</v>
      </c>
      <c r="E26" s="1807">
        <v>841</v>
      </c>
      <c r="F26" s="1813">
        <v>1</v>
      </c>
      <c r="G26" s="1843">
        <v>45744</v>
      </c>
      <c r="H26" s="1811">
        <v>45744</v>
      </c>
      <c r="J26" s="1571"/>
      <c r="K26" s="104" t="str">
        <f>IF('Rent Roll Analysis'!C27=0,"",'Rent Roll Analysis'!C27)</f>
        <v/>
      </c>
      <c r="L26" s="1565" t="str" cm="1">
        <f t="array" ref="L26">IF(K26="","",SUM(IF($K26=$C$4:$C$191,1,0)))</f>
        <v/>
      </c>
      <c r="M26" s="1565" t="str">
        <f t="shared" si="1"/>
        <v/>
      </c>
      <c r="N26" s="1565" t="str">
        <f t="shared" si="2"/>
        <v/>
      </c>
      <c r="O26" s="1565" t="str">
        <f t="shared" si="3"/>
        <v/>
      </c>
      <c r="P26" s="876" t="str">
        <f>IFERROR(INDEX('RRT Unit Mix (Paste)'!$G$3:$G$100,MATCH('RRT Summary (Paste)'!$K26,'RRT Unit Mix (Paste)'!$B$3:$B$100,0)),"")</f>
        <v/>
      </c>
      <c r="Q26" s="876" t="str">
        <f t="shared" si="4"/>
        <v/>
      </c>
      <c r="R26" s="876" t="str">
        <f t="shared" si="5"/>
        <v/>
      </c>
      <c r="S26" s="1567" t="str">
        <f t="shared" si="6"/>
        <v/>
      </c>
    </row>
    <row r="27" spans="1:19">
      <c r="A27" s="1804" t="s">
        <v>237</v>
      </c>
      <c r="B27" s="1804" t="s">
        <v>265</v>
      </c>
      <c r="C27" s="1804" t="s">
        <v>244</v>
      </c>
      <c r="D27" s="1810">
        <v>1461</v>
      </c>
      <c r="E27" s="1808">
        <v>1224</v>
      </c>
      <c r="F27" s="1814">
        <v>2</v>
      </c>
      <c r="G27" s="1843">
        <v>45625</v>
      </c>
      <c r="H27" s="1812">
        <v>45625</v>
      </c>
      <c r="J27" s="1571"/>
      <c r="K27" s="104" t="str">
        <f>IF('Rent Roll Analysis'!C28=0,"",'Rent Roll Analysis'!C28)</f>
        <v/>
      </c>
      <c r="L27" s="1565" t="str" cm="1">
        <f t="array" ref="L27">IF(K27="","",SUM(IF($K27=$C$4:$C$191,1,0)))</f>
        <v/>
      </c>
      <c r="M27" s="1565" t="str">
        <f t="shared" si="1"/>
        <v/>
      </c>
      <c r="N27" s="1565" t="str">
        <f t="shared" si="2"/>
        <v/>
      </c>
      <c r="O27" s="1565" t="str">
        <f t="shared" si="3"/>
        <v/>
      </c>
      <c r="P27" s="876" t="str">
        <f>IFERROR(INDEX('RRT Unit Mix (Paste)'!$G$3:$G$100,MATCH('RRT Summary (Paste)'!$K27,'RRT Unit Mix (Paste)'!$B$3:$B$100,0)),"")</f>
        <v/>
      </c>
      <c r="Q27" s="876" t="str">
        <f t="shared" si="4"/>
        <v/>
      </c>
      <c r="R27" s="876" t="str">
        <f t="shared" si="5"/>
        <v/>
      </c>
      <c r="S27" s="1567" t="str">
        <f t="shared" si="6"/>
        <v/>
      </c>
    </row>
    <row r="28" spans="1:19">
      <c r="A28" s="1803" t="s">
        <v>237</v>
      </c>
      <c r="B28" s="1803" t="s">
        <v>266</v>
      </c>
      <c r="C28" s="1803" t="s">
        <v>244</v>
      </c>
      <c r="D28" s="1809">
        <v>1674</v>
      </c>
      <c r="E28" s="1807">
        <v>1224</v>
      </c>
      <c r="F28" s="1813">
        <v>2</v>
      </c>
      <c r="G28" s="1843">
        <v>45474</v>
      </c>
      <c r="H28" s="1811">
        <v>45836</v>
      </c>
      <c r="J28" s="1571"/>
      <c r="K28" s="104" t="str">
        <f>IF('Rent Roll Analysis'!C29=0,"",'Rent Roll Analysis'!C29)</f>
        <v/>
      </c>
      <c r="L28" s="1565" t="str" cm="1">
        <f t="array" ref="L28">IF(K28="","",SUM(IF($K28=$C$4:$C$191,1,0)))</f>
        <v/>
      </c>
      <c r="M28" s="1565" t="str">
        <f t="shared" si="1"/>
        <v/>
      </c>
      <c r="N28" s="1565" t="str">
        <f t="shared" si="2"/>
        <v/>
      </c>
      <c r="O28" s="1565" t="str">
        <f t="shared" si="3"/>
        <v/>
      </c>
      <c r="P28" s="876" t="str">
        <f>IFERROR(INDEX('RRT Unit Mix (Paste)'!$G$3:$G$100,MATCH('RRT Summary (Paste)'!$K28,'RRT Unit Mix (Paste)'!$B$3:$B$100,0)),"")</f>
        <v/>
      </c>
      <c r="Q28" s="876" t="str">
        <f t="shared" si="4"/>
        <v/>
      </c>
      <c r="R28" s="876" t="str">
        <f t="shared" si="5"/>
        <v/>
      </c>
      <c r="S28" s="1567" t="str">
        <f t="shared" si="6"/>
        <v/>
      </c>
    </row>
    <row r="29" spans="1:19">
      <c r="A29" s="1804" t="s">
        <v>267</v>
      </c>
      <c r="B29" s="1804" t="s">
        <v>268</v>
      </c>
      <c r="C29" s="1804" t="s">
        <v>242</v>
      </c>
      <c r="D29" s="1810"/>
      <c r="E29" s="1808">
        <v>841</v>
      </c>
      <c r="F29" s="1814">
        <v>1</v>
      </c>
      <c r="G29" s="1843"/>
      <c r="H29" s="1812"/>
      <c r="J29" s="1571"/>
      <c r="K29" s="104" t="str">
        <f>IF('Rent Roll Analysis'!C30=0,"",'Rent Roll Analysis'!C30)</f>
        <v/>
      </c>
      <c r="L29" s="1565" t="str" cm="1">
        <f t="array" ref="L29">IF(K29="","",SUM(IF($K29=$C$4:$C$191,1,0)))</f>
        <v/>
      </c>
      <c r="M29" s="1565" t="str">
        <f t="shared" si="1"/>
        <v/>
      </c>
      <c r="N29" s="1565" t="str">
        <f t="shared" si="2"/>
        <v/>
      </c>
      <c r="O29" s="1565" t="str">
        <f t="shared" si="3"/>
        <v/>
      </c>
      <c r="P29" s="876" t="str">
        <f>IFERROR(INDEX('RRT Unit Mix (Paste)'!$G$3:$G$100,MATCH('RRT Summary (Paste)'!$K29,'RRT Unit Mix (Paste)'!$B$3:$B$100,0)),"")</f>
        <v/>
      </c>
      <c r="Q29" s="876" t="str">
        <f t="shared" si="4"/>
        <v/>
      </c>
      <c r="R29" s="876" t="str">
        <f t="shared" si="5"/>
        <v/>
      </c>
      <c r="S29" s="1567" t="str">
        <f t="shared" si="6"/>
        <v/>
      </c>
    </row>
    <row r="30" spans="1:19">
      <c r="A30" s="1803" t="s">
        <v>237</v>
      </c>
      <c r="B30" s="1803" t="s">
        <v>269</v>
      </c>
      <c r="C30" s="1803" t="s">
        <v>239</v>
      </c>
      <c r="D30" s="1809">
        <v>1428</v>
      </c>
      <c r="E30" s="1807">
        <v>1130</v>
      </c>
      <c r="F30" s="1813">
        <v>2</v>
      </c>
      <c r="G30" s="1843">
        <v>45960</v>
      </c>
      <c r="H30" s="1811">
        <v>45960</v>
      </c>
      <c r="J30" s="1571"/>
      <c r="K30" s="104" t="str">
        <f>IF('Rent Roll Analysis'!C31=0,"",'Rent Roll Analysis'!C31)</f>
        <v/>
      </c>
      <c r="L30" s="1565" t="str" cm="1">
        <f t="array" ref="L30">IF(K30="","",SUM(IF($K30=$C$4:$C$191,1,0)))</f>
        <v/>
      </c>
      <c r="M30" s="1565" t="str">
        <f t="shared" si="1"/>
        <v/>
      </c>
      <c r="N30" s="1565" t="str">
        <f t="shared" si="2"/>
        <v/>
      </c>
      <c r="O30" s="1565" t="str">
        <f t="shared" si="3"/>
        <v/>
      </c>
      <c r="P30" s="876" t="str">
        <f>IFERROR(INDEX('RRT Unit Mix (Paste)'!$G$3:$G$100,MATCH('RRT Summary (Paste)'!$K30,'RRT Unit Mix (Paste)'!$B$3:$B$100,0)),"")</f>
        <v/>
      </c>
      <c r="Q30" s="876" t="str">
        <f t="shared" si="4"/>
        <v/>
      </c>
      <c r="R30" s="876" t="str">
        <f t="shared" si="5"/>
        <v/>
      </c>
      <c r="S30" s="1567" t="str">
        <f t="shared" si="6"/>
        <v/>
      </c>
    </row>
    <row r="31" spans="1:19">
      <c r="A31" s="1804" t="s">
        <v>237</v>
      </c>
      <c r="B31" s="1804" t="s">
        <v>270</v>
      </c>
      <c r="C31" s="1804" t="s">
        <v>242</v>
      </c>
      <c r="D31" s="1810">
        <v>1201</v>
      </c>
      <c r="E31" s="1808">
        <v>841</v>
      </c>
      <c r="F31" s="1814">
        <v>1</v>
      </c>
      <c r="G31" s="1843">
        <v>46052</v>
      </c>
      <c r="H31" s="1812">
        <v>46052</v>
      </c>
      <c r="J31" s="1571"/>
      <c r="K31" s="104" t="str">
        <f>IF('Rent Roll Analysis'!C32=0,"",'Rent Roll Analysis'!C32)</f>
        <v/>
      </c>
      <c r="L31" s="1565" t="str" cm="1">
        <f t="array" ref="L31">IF(K31="","",SUM(IF($K31=$C$4:$C$191,1,0)))</f>
        <v/>
      </c>
      <c r="M31" s="1565" t="str">
        <f t="shared" si="1"/>
        <v/>
      </c>
      <c r="N31" s="1565" t="str">
        <f t="shared" si="2"/>
        <v/>
      </c>
      <c r="O31" s="1565" t="str">
        <f t="shared" si="3"/>
        <v/>
      </c>
      <c r="P31" s="876" t="str">
        <f>IFERROR(INDEX('RRT Unit Mix (Paste)'!$G$3:$G$100,MATCH('RRT Summary (Paste)'!$K31,'RRT Unit Mix (Paste)'!$B$3:$B$100,0)),"")</f>
        <v/>
      </c>
      <c r="Q31" s="876" t="str">
        <f t="shared" si="4"/>
        <v/>
      </c>
      <c r="R31" s="876" t="str">
        <f t="shared" si="5"/>
        <v/>
      </c>
      <c r="S31" s="1567" t="str">
        <f t="shared" si="6"/>
        <v/>
      </c>
    </row>
    <row r="32" spans="1:19">
      <c r="A32" s="1803" t="s">
        <v>237</v>
      </c>
      <c r="B32" s="1803" t="s">
        <v>271</v>
      </c>
      <c r="C32" s="1803" t="s">
        <v>242</v>
      </c>
      <c r="D32" s="1809">
        <v>1088</v>
      </c>
      <c r="E32" s="1807">
        <v>841</v>
      </c>
      <c r="F32" s="1813">
        <v>1</v>
      </c>
      <c r="G32" s="1843">
        <v>45926</v>
      </c>
      <c r="H32" s="1811">
        <v>45926</v>
      </c>
      <c r="J32" s="1571"/>
      <c r="K32" s="104" t="str">
        <f>IF('Rent Roll Analysis'!C33=0,"",'Rent Roll Analysis'!C33)</f>
        <v/>
      </c>
      <c r="L32" s="1565" t="str" cm="1">
        <f t="array" ref="L32">IF(K32="","",SUM(IF($K32=$C$4:$C$191,1,0)))</f>
        <v/>
      </c>
      <c r="M32" s="1565" t="str">
        <f t="shared" si="1"/>
        <v/>
      </c>
      <c r="N32" s="1565" t="str">
        <f t="shared" si="2"/>
        <v/>
      </c>
      <c r="O32" s="1565" t="str">
        <f t="shared" si="3"/>
        <v/>
      </c>
      <c r="P32" s="876" t="str">
        <f>IFERROR(INDEX('RRT Unit Mix (Paste)'!$G$3:$G$100,MATCH('RRT Summary (Paste)'!$K32,'RRT Unit Mix (Paste)'!$B$3:$B$100,0)),"")</f>
        <v/>
      </c>
      <c r="Q32" s="876" t="str">
        <f t="shared" si="4"/>
        <v/>
      </c>
      <c r="R32" s="876" t="str">
        <f t="shared" si="5"/>
        <v/>
      </c>
      <c r="S32" s="1567" t="str">
        <f t="shared" si="6"/>
        <v/>
      </c>
    </row>
    <row r="33" spans="1:19">
      <c r="A33" s="1804" t="s">
        <v>237</v>
      </c>
      <c r="B33" s="1804" t="s">
        <v>272</v>
      </c>
      <c r="C33" s="1804" t="s">
        <v>244</v>
      </c>
      <c r="D33" s="1810">
        <v>1485</v>
      </c>
      <c r="E33" s="1808">
        <v>1224</v>
      </c>
      <c r="F33" s="1814">
        <v>2</v>
      </c>
      <c r="G33" s="1843">
        <v>45744</v>
      </c>
      <c r="H33" s="1812">
        <v>45744</v>
      </c>
      <c r="J33" s="1571"/>
      <c r="K33" s="104" t="str">
        <f>IF('Rent Roll Analysis'!C34=0,"",'Rent Roll Analysis'!C34)</f>
        <v/>
      </c>
      <c r="L33" s="1565" t="str" cm="1">
        <f t="array" ref="L33">IF(K33="","",SUM(IF($K33=$C$4:$C$191,1,0)))</f>
        <v/>
      </c>
      <c r="M33" s="1565" t="str">
        <f t="shared" si="1"/>
        <v/>
      </c>
      <c r="N33" s="1565" t="str">
        <f t="shared" si="2"/>
        <v/>
      </c>
      <c r="O33" s="1565" t="str">
        <f t="shared" si="3"/>
        <v/>
      </c>
      <c r="P33" s="876" t="str">
        <f>IFERROR(INDEX('RRT Unit Mix (Paste)'!$G$3:$G$100,MATCH('RRT Summary (Paste)'!$K33,'RRT Unit Mix (Paste)'!$B$3:$B$100,0)),"")</f>
        <v/>
      </c>
      <c r="Q33" s="876" t="str">
        <f t="shared" si="4"/>
        <v/>
      </c>
      <c r="R33" s="876" t="str">
        <f t="shared" si="5"/>
        <v/>
      </c>
      <c r="S33" s="1567" t="str">
        <f t="shared" si="6"/>
        <v/>
      </c>
    </row>
    <row r="34" spans="1:19">
      <c r="A34" s="1803" t="s">
        <v>237</v>
      </c>
      <c r="B34" s="1803" t="s">
        <v>273</v>
      </c>
      <c r="C34" s="1803" t="s">
        <v>242</v>
      </c>
      <c r="D34" s="1809">
        <v>1193</v>
      </c>
      <c r="E34" s="1807">
        <v>841</v>
      </c>
      <c r="F34" s="1813">
        <v>1</v>
      </c>
      <c r="G34" s="1843">
        <v>45862</v>
      </c>
      <c r="H34" s="1811">
        <v>45862</v>
      </c>
      <c r="J34" s="1571"/>
      <c r="K34" s="104" t="str">
        <f>IF('Rent Roll Analysis'!C35=0,"",'Rent Roll Analysis'!C35)</f>
        <v/>
      </c>
      <c r="L34" s="1565" t="str" cm="1">
        <f t="array" ref="L34">IF(K34="","",SUM(IF($K34=$C$4:$C$191,1,0)))</f>
        <v/>
      </c>
      <c r="M34" s="1565" t="str">
        <f t="shared" si="1"/>
        <v/>
      </c>
      <c r="N34" s="1565" t="str">
        <f t="shared" si="2"/>
        <v/>
      </c>
      <c r="O34" s="1565" t="str">
        <f t="shared" si="3"/>
        <v/>
      </c>
      <c r="P34" s="876" t="str">
        <f>IFERROR(INDEX('RRT Unit Mix (Paste)'!$G$3:$G$100,MATCH('RRT Summary (Paste)'!$K34,'RRT Unit Mix (Paste)'!$B$3:$B$100,0)),"")</f>
        <v/>
      </c>
      <c r="Q34" s="876" t="str">
        <f t="shared" si="4"/>
        <v/>
      </c>
      <c r="R34" s="876" t="str">
        <f t="shared" si="5"/>
        <v/>
      </c>
      <c r="S34" s="1567" t="str">
        <f t="shared" si="6"/>
        <v/>
      </c>
    </row>
    <row r="35" spans="1:19">
      <c r="A35" s="1804" t="s">
        <v>237</v>
      </c>
      <c r="B35" s="1804" t="s">
        <v>274</v>
      </c>
      <c r="C35" s="1804" t="s">
        <v>239</v>
      </c>
      <c r="D35" s="1810">
        <v>1461</v>
      </c>
      <c r="E35" s="1808">
        <v>1130</v>
      </c>
      <c r="F35" s="1814">
        <v>2</v>
      </c>
      <c r="G35" s="1843">
        <v>45639</v>
      </c>
      <c r="H35" s="1812">
        <v>45639</v>
      </c>
      <c r="J35" s="1571"/>
      <c r="K35" s="104" t="str">
        <f>IF('Rent Roll Analysis'!C36=0,"",'Rent Roll Analysis'!C36)</f>
        <v/>
      </c>
      <c r="L35" s="1565" t="str" cm="1">
        <f t="array" ref="L35">IF(K35="","",SUM(IF($K35=$C$4:$C$191,1,0)))</f>
        <v/>
      </c>
      <c r="M35" s="1565" t="str">
        <f t="shared" si="1"/>
        <v/>
      </c>
      <c r="N35" s="1565" t="str">
        <f t="shared" si="2"/>
        <v/>
      </c>
      <c r="O35" s="1565" t="str">
        <f t="shared" si="3"/>
        <v/>
      </c>
      <c r="P35" s="876" t="str">
        <f>IFERROR(INDEX('RRT Unit Mix (Paste)'!$G$3:$G$100,MATCH('RRT Summary (Paste)'!$K35,'RRT Unit Mix (Paste)'!$B$3:$B$100,0)),"")</f>
        <v/>
      </c>
      <c r="Q35" s="876" t="str">
        <f t="shared" si="4"/>
        <v/>
      </c>
      <c r="R35" s="876" t="str">
        <f t="shared" si="5"/>
        <v/>
      </c>
      <c r="S35" s="1567" t="str">
        <f t="shared" si="6"/>
        <v/>
      </c>
    </row>
    <row r="36" spans="1:19">
      <c r="A36" s="1803" t="s">
        <v>237</v>
      </c>
      <c r="B36" s="1803" t="s">
        <v>275</v>
      </c>
      <c r="C36" s="1803" t="s">
        <v>244</v>
      </c>
      <c r="D36" s="1809">
        <v>1607</v>
      </c>
      <c r="E36" s="1807">
        <v>1224</v>
      </c>
      <c r="F36" s="1813">
        <v>2</v>
      </c>
      <c r="G36" s="1843">
        <v>45505</v>
      </c>
      <c r="H36" s="1811">
        <v>45869</v>
      </c>
      <c r="J36" s="1571"/>
      <c r="K36" s="104" t="str">
        <f>IF('Rent Roll Analysis'!C37=0,"",'Rent Roll Analysis'!C37)</f>
        <v/>
      </c>
      <c r="L36" s="1565" t="str" cm="1">
        <f t="array" ref="L36">IF(K36="","",SUM(IF($K36=$C$4:$C$191,1,0)))</f>
        <v/>
      </c>
      <c r="M36" s="1565" t="str">
        <f t="shared" si="1"/>
        <v/>
      </c>
      <c r="N36" s="1565" t="str">
        <f t="shared" si="2"/>
        <v/>
      </c>
      <c r="O36" s="1565" t="str">
        <f t="shared" si="3"/>
        <v/>
      </c>
      <c r="P36" s="876" t="str">
        <f>IFERROR(INDEX('RRT Unit Mix (Paste)'!$G$3:$G$100,MATCH('RRT Summary (Paste)'!$K36,'RRT Unit Mix (Paste)'!$B$3:$B$100,0)),"")</f>
        <v/>
      </c>
      <c r="Q36" s="876" t="str">
        <f t="shared" si="4"/>
        <v/>
      </c>
      <c r="R36" s="876" t="str">
        <f t="shared" si="5"/>
        <v/>
      </c>
      <c r="S36" s="1567" t="str">
        <f t="shared" si="6"/>
        <v/>
      </c>
    </row>
    <row r="37" spans="1:19">
      <c r="A37" s="1804" t="s">
        <v>237</v>
      </c>
      <c r="B37" s="1804" t="s">
        <v>276</v>
      </c>
      <c r="C37" s="1804" t="s">
        <v>242</v>
      </c>
      <c r="D37" s="1810">
        <v>1137</v>
      </c>
      <c r="E37" s="1808">
        <v>841</v>
      </c>
      <c r="F37" s="1814">
        <v>1</v>
      </c>
      <c r="G37" s="1843">
        <v>45772</v>
      </c>
      <c r="H37" s="1812">
        <v>45772</v>
      </c>
      <c r="J37" s="1571"/>
      <c r="K37" s="104" t="str">
        <f>IF('Rent Roll Analysis'!C38=0,"",'Rent Roll Analysis'!C38)</f>
        <v/>
      </c>
      <c r="L37" s="1565" t="str" cm="1">
        <f t="array" ref="L37">IF(K37="","",SUM(IF($K37=$C$4:$C$191,1,0)))</f>
        <v/>
      </c>
      <c r="M37" s="1565" t="str">
        <f t="shared" ref="M37:M68" si="7">IF(K37="","",COUNTIFS($F$4:$F$1001,"&gt;="&amp;($A$2-90),$C$4:$C$1001,"="&amp;$K37))</f>
        <v/>
      </c>
      <c r="N37" s="1565" t="str">
        <f t="shared" ref="N37:N68" si="8">IF(M37="","",COUNTIFS($F$4:$F$1001,"&gt;="&amp;($A$2-60),$C$4:$C$1001,"="&amp;$K37))</f>
        <v/>
      </c>
      <c r="O37" s="1565" t="str">
        <f t="shared" ref="O37:O68" si="9">IF(N37="","",COUNTIFS($F$4:$F$1001,"&gt;="&amp;($A$2-30),$C$4:$C$1001,"="&amp;$K37))</f>
        <v/>
      </c>
      <c r="P37" s="876" t="str">
        <f>IFERROR(INDEX('RRT Unit Mix (Paste)'!$G$3:$G$100,MATCH('RRT Summary (Paste)'!$K37,'RRT Unit Mix (Paste)'!$B$3:$B$100,0)),"")</f>
        <v/>
      </c>
      <c r="Q37" s="876" t="str">
        <f t="shared" ref="Q37:Q68" si="10">IF($K37="","",IFERROR(SUMIFS($D$4:$D$1001,$C$4:$C$1001,"="&amp;$K37,$F$4:$F$1001,"&gt;="&amp;($A$2-90))/$M37,0))</f>
        <v/>
      </c>
      <c r="R37" s="876" t="str">
        <f t="shared" ref="R37:R68" si="11">IF(K37="","",IFERROR(SUMIFS($D$4:$D$1001,$C$4:$C$1001,"="&amp;$K37,$F$4:$F$1001,"&gt;="&amp;($A$2-60))/$N37,0))</f>
        <v/>
      </c>
      <c r="S37" s="1567" t="str">
        <f t="shared" ref="S37:S68" si="12">IF($K37="","",IFERROR(SUMIFS($D$4:$D$1001,$C$4:$C$1001,"="&amp;$K37,$F$4:$F$1001,"&gt;="&amp;($A$2-30))/$O37,0))</f>
        <v/>
      </c>
    </row>
    <row r="38" spans="1:19">
      <c r="A38" s="1803" t="s">
        <v>237</v>
      </c>
      <c r="B38" s="1803" t="s">
        <v>277</v>
      </c>
      <c r="C38" s="1803" t="s">
        <v>239</v>
      </c>
      <c r="D38" s="1809">
        <v>1453</v>
      </c>
      <c r="E38" s="1807">
        <v>1130</v>
      </c>
      <c r="F38" s="1813">
        <v>2</v>
      </c>
      <c r="G38" s="1843">
        <v>45428</v>
      </c>
      <c r="H38" s="1811">
        <v>45793</v>
      </c>
      <c r="J38" s="1571"/>
      <c r="K38" s="104" t="str">
        <f>IF('Rent Roll Analysis'!C39=0,"",'Rent Roll Analysis'!C39)</f>
        <v/>
      </c>
      <c r="L38" s="1565" t="str" cm="1">
        <f t="array" ref="L38">IF(K38="","",SUM(IF($K38=$C$4:$C$191,1,0)))</f>
        <v/>
      </c>
      <c r="M38" s="1565" t="str">
        <f t="shared" si="7"/>
        <v/>
      </c>
      <c r="N38" s="1565" t="str">
        <f t="shared" si="8"/>
        <v/>
      </c>
      <c r="O38" s="1565" t="str">
        <f t="shared" si="9"/>
        <v/>
      </c>
      <c r="P38" s="876" t="str">
        <f>IFERROR(INDEX('RRT Unit Mix (Paste)'!$G$3:$G$100,MATCH('RRT Summary (Paste)'!$K38,'RRT Unit Mix (Paste)'!$B$3:$B$100,0)),"")</f>
        <v/>
      </c>
      <c r="Q38" s="876" t="str">
        <f t="shared" si="10"/>
        <v/>
      </c>
      <c r="R38" s="876" t="str">
        <f t="shared" si="11"/>
        <v/>
      </c>
      <c r="S38" s="1567" t="str">
        <f t="shared" si="12"/>
        <v/>
      </c>
    </row>
    <row r="39" spans="1:19">
      <c r="A39" s="1804" t="s">
        <v>237</v>
      </c>
      <c r="B39" s="1804" t="s">
        <v>278</v>
      </c>
      <c r="C39" s="1804" t="s">
        <v>242</v>
      </c>
      <c r="D39" s="1810">
        <v>1154</v>
      </c>
      <c r="E39" s="1808">
        <v>841</v>
      </c>
      <c r="F39" s="1814">
        <v>1</v>
      </c>
      <c r="G39" s="1843">
        <v>45426</v>
      </c>
      <c r="H39" s="1812">
        <v>45791</v>
      </c>
      <c r="K39" s="104" t="str">
        <f>IF('Rent Roll Analysis'!C40=0,"",'Rent Roll Analysis'!C40)</f>
        <v/>
      </c>
      <c r="L39" s="1565" t="str" cm="1">
        <f t="array" ref="L39">IF(K39="","",SUM(IF($K39=$C$4:$C$191,1,0)))</f>
        <v/>
      </c>
      <c r="M39" s="1565" t="str">
        <f t="shared" si="7"/>
        <v/>
      </c>
      <c r="N39" s="104" t="str">
        <f t="shared" si="8"/>
        <v/>
      </c>
      <c r="O39" s="104" t="str">
        <f t="shared" si="9"/>
        <v/>
      </c>
      <c r="P39" s="104" t="str">
        <f>IFERROR(INDEX('RRT Unit Mix (Paste)'!$G$3:$G$100,MATCH('RRT Summary (Paste)'!$K39,'RRT Unit Mix (Paste)'!$B$3:$B$100,0)),"")</f>
        <v/>
      </c>
      <c r="Q39" s="104" t="str">
        <f t="shared" si="10"/>
        <v/>
      </c>
      <c r="R39" s="104" t="str">
        <f t="shared" si="11"/>
        <v/>
      </c>
      <c r="S39" s="1567" t="str">
        <f t="shared" si="12"/>
        <v/>
      </c>
    </row>
    <row r="40" spans="1:19">
      <c r="A40" s="1803" t="s">
        <v>237</v>
      </c>
      <c r="B40" s="1803" t="s">
        <v>279</v>
      </c>
      <c r="C40" s="1803" t="s">
        <v>242</v>
      </c>
      <c r="D40" s="1809">
        <v>1114</v>
      </c>
      <c r="E40" s="1807">
        <v>841</v>
      </c>
      <c r="F40" s="1813">
        <v>1</v>
      </c>
      <c r="G40" s="1843">
        <v>45866</v>
      </c>
      <c r="H40" s="1811">
        <v>45866</v>
      </c>
      <c r="K40" s="104" t="str">
        <f>IF('Rent Roll Analysis'!C41=0,"",'Rent Roll Analysis'!C41)</f>
        <v/>
      </c>
      <c r="L40" s="1565" t="str" cm="1">
        <f t="array" ref="L40">IF(K40="","",SUM(IF($K40=$C$4:$C$191,1,0)))</f>
        <v/>
      </c>
      <c r="M40" s="1565" t="str">
        <f t="shared" si="7"/>
        <v/>
      </c>
      <c r="N40" s="104" t="str">
        <f t="shared" si="8"/>
        <v/>
      </c>
      <c r="O40" s="104" t="str">
        <f t="shared" si="9"/>
        <v/>
      </c>
      <c r="P40" s="104" t="str">
        <f>IFERROR(INDEX('RRT Unit Mix (Paste)'!$G$3:$G$100,MATCH('RRT Summary (Paste)'!$K40,'RRT Unit Mix (Paste)'!$B$3:$B$100,0)),"")</f>
        <v/>
      </c>
      <c r="Q40" s="104" t="str">
        <f t="shared" si="10"/>
        <v/>
      </c>
      <c r="R40" s="104" t="str">
        <f t="shared" si="11"/>
        <v/>
      </c>
      <c r="S40" s="1567" t="str">
        <f t="shared" si="12"/>
        <v/>
      </c>
    </row>
    <row r="41" spans="1:19">
      <c r="A41" s="1804" t="s">
        <v>237</v>
      </c>
      <c r="B41" s="1804" t="s">
        <v>280</v>
      </c>
      <c r="C41" s="1804" t="s">
        <v>244</v>
      </c>
      <c r="D41" s="1810">
        <v>1370</v>
      </c>
      <c r="E41" s="1808">
        <v>1224</v>
      </c>
      <c r="F41" s="1814">
        <v>2</v>
      </c>
      <c r="G41" s="1843">
        <v>45839</v>
      </c>
      <c r="H41" s="1812">
        <v>45839</v>
      </c>
      <c r="K41" s="104" t="str">
        <f>IF('Rent Roll Analysis'!C42=0,"",'Rent Roll Analysis'!C42)</f>
        <v/>
      </c>
      <c r="L41" s="1565" t="str" cm="1">
        <f t="array" ref="L41">IF(K41="","",SUM(IF($K41=$C$4:$C$191,1,0)))</f>
        <v/>
      </c>
      <c r="M41" s="1565" t="str">
        <f t="shared" si="7"/>
        <v/>
      </c>
      <c r="N41" s="104" t="str">
        <f t="shared" si="8"/>
        <v/>
      </c>
      <c r="O41" s="104" t="str">
        <f t="shared" si="9"/>
        <v/>
      </c>
      <c r="P41" s="104" t="str">
        <f>IFERROR(INDEX('RRT Unit Mix (Paste)'!$G$3:$G$100,MATCH('RRT Summary (Paste)'!$K41,'RRT Unit Mix (Paste)'!$B$3:$B$100,0)),"")</f>
        <v/>
      </c>
      <c r="Q41" s="104" t="str">
        <f t="shared" si="10"/>
        <v/>
      </c>
      <c r="R41" s="104" t="str">
        <f t="shared" si="11"/>
        <v/>
      </c>
      <c r="S41" s="1567" t="str">
        <f t="shared" si="12"/>
        <v/>
      </c>
    </row>
    <row r="42" spans="1:19">
      <c r="A42" s="1803" t="s">
        <v>237</v>
      </c>
      <c r="B42" s="1803" t="s">
        <v>281</v>
      </c>
      <c r="C42" s="1803" t="s">
        <v>242</v>
      </c>
      <c r="D42" s="1809">
        <v>1098</v>
      </c>
      <c r="E42" s="1807">
        <v>841</v>
      </c>
      <c r="F42" s="1813">
        <v>1</v>
      </c>
      <c r="G42" s="1843">
        <v>45856</v>
      </c>
      <c r="H42" s="1811">
        <v>45856</v>
      </c>
      <c r="K42" s="104" t="str">
        <f>IF('Rent Roll Analysis'!C43=0,"",'Rent Roll Analysis'!C43)</f>
        <v/>
      </c>
      <c r="L42" s="1565" t="str" cm="1">
        <f t="array" ref="L42">IF(K42="","",SUM(IF($K42=$C$4:$C$191,1,0)))</f>
        <v/>
      </c>
      <c r="M42" s="1565" t="str">
        <f t="shared" si="7"/>
        <v/>
      </c>
      <c r="N42" s="104" t="str">
        <f t="shared" si="8"/>
        <v/>
      </c>
      <c r="O42" s="104" t="str">
        <f t="shared" si="9"/>
        <v/>
      </c>
      <c r="P42" s="104" t="str">
        <f>IFERROR(INDEX('RRT Unit Mix (Paste)'!$G$3:$G$100,MATCH('RRT Summary (Paste)'!$K42,'RRT Unit Mix (Paste)'!$B$3:$B$100,0)),"")</f>
        <v/>
      </c>
      <c r="Q42" s="104" t="str">
        <f t="shared" si="10"/>
        <v/>
      </c>
      <c r="R42" s="104" t="str">
        <f t="shared" si="11"/>
        <v/>
      </c>
      <c r="S42" s="1567" t="str">
        <f t="shared" si="12"/>
        <v/>
      </c>
    </row>
    <row r="43" spans="1:19">
      <c r="A43" s="1804" t="s">
        <v>237</v>
      </c>
      <c r="B43" s="1804" t="s">
        <v>282</v>
      </c>
      <c r="C43" s="1804" t="s">
        <v>239</v>
      </c>
      <c r="D43" s="1810">
        <v>1353</v>
      </c>
      <c r="E43" s="1808">
        <v>1130</v>
      </c>
      <c r="F43" s="1814">
        <v>2</v>
      </c>
      <c r="G43" s="1843">
        <v>45975</v>
      </c>
      <c r="H43" s="1812">
        <v>45975</v>
      </c>
      <c r="K43" s="104" t="str">
        <f>IF('Rent Roll Analysis'!C44=0,"",'Rent Roll Analysis'!C44)</f>
        <v/>
      </c>
      <c r="L43" s="1565" t="str" cm="1">
        <f t="array" ref="L43">IF(K43="","",SUM(IF($K43=$C$4:$C$191,1,0)))</f>
        <v/>
      </c>
      <c r="M43" s="1565" t="str">
        <f t="shared" si="7"/>
        <v/>
      </c>
      <c r="N43" s="104" t="str">
        <f t="shared" si="8"/>
        <v/>
      </c>
      <c r="O43" s="104" t="str">
        <f t="shared" si="9"/>
        <v/>
      </c>
      <c r="P43" s="104" t="str">
        <f>IFERROR(INDEX('RRT Unit Mix (Paste)'!$G$3:$G$100,MATCH('RRT Summary (Paste)'!$K43,'RRT Unit Mix (Paste)'!$B$3:$B$100,0)),"")</f>
        <v/>
      </c>
      <c r="Q43" s="104" t="str">
        <f t="shared" si="10"/>
        <v/>
      </c>
      <c r="R43" s="104" t="str">
        <f t="shared" si="11"/>
        <v/>
      </c>
      <c r="S43" s="1567" t="str">
        <f t="shared" si="12"/>
        <v/>
      </c>
    </row>
    <row r="44" spans="1:19">
      <c r="A44" s="1803" t="s">
        <v>237</v>
      </c>
      <c r="B44" s="1803" t="s">
        <v>283</v>
      </c>
      <c r="C44" s="1803" t="s">
        <v>244</v>
      </c>
      <c r="D44" s="1809">
        <v>1358</v>
      </c>
      <c r="E44" s="1807">
        <v>1224</v>
      </c>
      <c r="F44" s="1813">
        <v>2</v>
      </c>
      <c r="G44" s="1843">
        <v>45854</v>
      </c>
      <c r="H44" s="1811">
        <v>45854</v>
      </c>
      <c r="K44" s="104" t="str">
        <f>IF('Rent Roll Analysis'!C45=0,"",'Rent Roll Analysis'!C45)</f>
        <v/>
      </c>
      <c r="L44" s="1565" t="str" cm="1">
        <f t="array" ref="L44">IF(K44="","",SUM(IF($K44=$C$4:$C$191,1,0)))</f>
        <v/>
      </c>
      <c r="M44" s="1565" t="str">
        <f t="shared" si="7"/>
        <v/>
      </c>
      <c r="N44" s="104" t="str">
        <f t="shared" si="8"/>
        <v/>
      </c>
      <c r="O44" s="104" t="str">
        <f t="shared" si="9"/>
        <v/>
      </c>
      <c r="P44" s="104" t="str">
        <f>IFERROR(INDEX('RRT Unit Mix (Paste)'!$G$3:$G$100,MATCH('RRT Summary (Paste)'!$K44,'RRT Unit Mix (Paste)'!$B$3:$B$100,0)),"")</f>
        <v/>
      </c>
      <c r="Q44" s="104" t="str">
        <f t="shared" si="10"/>
        <v/>
      </c>
      <c r="R44" s="104" t="str">
        <f t="shared" si="11"/>
        <v/>
      </c>
      <c r="S44" s="1567" t="str">
        <f t="shared" si="12"/>
        <v/>
      </c>
    </row>
    <row r="45" spans="1:19">
      <c r="A45" s="1804" t="s">
        <v>237</v>
      </c>
      <c r="B45" s="1804" t="s">
        <v>284</v>
      </c>
      <c r="C45" s="1804" t="s">
        <v>242</v>
      </c>
      <c r="D45" s="1810">
        <v>1067</v>
      </c>
      <c r="E45" s="1808">
        <v>841</v>
      </c>
      <c r="F45" s="1814">
        <v>1</v>
      </c>
      <c r="G45" s="1843">
        <v>45814</v>
      </c>
      <c r="H45" s="1812">
        <v>45814</v>
      </c>
      <c r="K45" s="104" t="str">
        <f>IF('Rent Roll Analysis'!C46=0,"",'Rent Roll Analysis'!C46)</f>
        <v/>
      </c>
      <c r="L45" s="1565" t="str" cm="1">
        <f t="array" ref="L45">IF(K45="","",SUM(IF($K45=$C$4:$C$191,1,0)))</f>
        <v/>
      </c>
      <c r="M45" s="1565" t="str">
        <f t="shared" si="7"/>
        <v/>
      </c>
      <c r="N45" s="104" t="str">
        <f t="shared" si="8"/>
        <v/>
      </c>
      <c r="O45" s="104" t="str">
        <f t="shared" si="9"/>
        <v/>
      </c>
      <c r="P45" s="104" t="str">
        <f>IFERROR(INDEX('RRT Unit Mix (Paste)'!$G$3:$G$100,MATCH('RRT Summary (Paste)'!$K45,'RRT Unit Mix (Paste)'!$B$3:$B$100,0)),"")</f>
        <v/>
      </c>
      <c r="Q45" s="104" t="str">
        <f t="shared" si="10"/>
        <v/>
      </c>
      <c r="R45" s="104" t="str">
        <f t="shared" si="11"/>
        <v/>
      </c>
      <c r="S45" s="1567" t="str">
        <f t="shared" si="12"/>
        <v/>
      </c>
    </row>
    <row r="46" spans="1:19">
      <c r="A46" s="1803" t="s">
        <v>237</v>
      </c>
      <c r="B46" s="1803" t="s">
        <v>285</v>
      </c>
      <c r="C46" s="1803" t="s">
        <v>239</v>
      </c>
      <c r="D46" s="1809">
        <v>1555</v>
      </c>
      <c r="E46" s="1807">
        <v>1130</v>
      </c>
      <c r="F46" s="1813">
        <v>2</v>
      </c>
      <c r="G46" s="1843">
        <v>45490</v>
      </c>
      <c r="H46" s="1811">
        <v>45855</v>
      </c>
      <c r="K46" s="104" t="str">
        <f>IF('Rent Roll Analysis'!C47=0,"",'Rent Roll Analysis'!C47)</f>
        <v/>
      </c>
      <c r="L46" s="1565" t="str" cm="1">
        <f t="array" ref="L46">IF(K46="","",SUM(IF($K46=$C$4:$C$191,1,0)))</f>
        <v/>
      </c>
      <c r="M46" s="1565" t="str">
        <f t="shared" si="7"/>
        <v/>
      </c>
      <c r="N46" s="104" t="str">
        <f t="shared" si="8"/>
        <v/>
      </c>
      <c r="O46" s="104" t="str">
        <f t="shared" si="9"/>
        <v/>
      </c>
      <c r="P46" s="104" t="str">
        <f>IFERROR(INDEX('RRT Unit Mix (Paste)'!$G$3:$G$100,MATCH('RRT Summary (Paste)'!$K46,'RRT Unit Mix (Paste)'!$B$3:$B$100,0)),"")</f>
        <v/>
      </c>
      <c r="Q46" s="104" t="str">
        <f t="shared" si="10"/>
        <v/>
      </c>
      <c r="R46" s="104" t="str">
        <f t="shared" si="11"/>
        <v/>
      </c>
      <c r="S46" s="1567" t="str">
        <f t="shared" si="12"/>
        <v/>
      </c>
    </row>
    <row r="47" spans="1:19">
      <c r="A47" s="1804" t="s">
        <v>237</v>
      </c>
      <c r="B47" s="1804" t="s">
        <v>286</v>
      </c>
      <c r="C47" s="1804" t="s">
        <v>242</v>
      </c>
      <c r="D47" s="1810">
        <v>1199</v>
      </c>
      <c r="E47" s="1808">
        <v>841</v>
      </c>
      <c r="F47" s="1814">
        <v>1</v>
      </c>
      <c r="G47" s="1843">
        <v>45442</v>
      </c>
      <c r="H47" s="1812">
        <v>45807</v>
      </c>
      <c r="K47" s="104" t="str">
        <f>IF('Rent Roll Analysis'!C48=0,"",'Rent Roll Analysis'!C48)</f>
        <v/>
      </c>
      <c r="L47" s="1565" t="str" cm="1">
        <f t="array" ref="L47">IF(K47="","",SUM(IF($K47=$C$4:$C$191,1,0)))</f>
        <v/>
      </c>
      <c r="M47" s="1565" t="str">
        <f t="shared" si="7"/>
        <v/>
      </c>
      <c r="N47" s="104" t="str">
        <f t="shared" si="8"/>
        <v/>
      </c>
      <c r="O47" s="104" t="str">
        <f t="shared" si="9"/>
        <v/>
      </c>
      <c r="P47" s="104" t="str">
        <f>IFERROR(INDEX('RRT Unit Mix (Paste)'!$G$3:$G$100,MATCH('RRT Summary (Paste)'!$K47,'RRT Unit Mix (Paste)'!$B$3:$B$100,0)),"")</f>
        <v/>
      </c>
      <c r="Q47" s="104" t="str">
        <f t="shared" si="10"/>
        <v/>
      </c>
      <c r="R47" s="104" t="str">
        <f t="shared" si="11"/>
        <v/>
      </c>
      <c r="S47" s="1567" t="str">
        <f t="shared" si="12"/>
        <v/>
      </c>
    </row>
    <row r="48" spans="1:19">
      <c r="A48" s="1803" t="s">
        <v>237</v>
      </c>
      <c r="B48" s="1803" t="s">
        <v>287</v>
      </c>
      <c r="C48" s="1803" t="s">
        <v>242</v>
      </c>
      <c r="D48" s="1809">
        <v>1067</v>
      </c>
      <c r="E48" s="1807">
        <v>841</v>
      </c>
      <c r="F48" s="1813">
        <v>1</v>
      </c>
      <c r="G48" s="1843">
        <v>45821</v>
      </c>
      <c r="H48" s="1811">
        <v>45821</v>
      </c>
      <c r="K48" s="104" t="str">
        <f>IF('Rent Roll Analysis'!C49=0,"",'Rent Roll Analysis'!C49)</f>
        <v/>
      </c>
      <c r="L48" s="1565" t="str" cm="1">
        <f t="array" ref="L48">IF(K48="","",SUM(IF($K48=$C$4:$C$191,1,0)))</f>
        <v/>
      </c>
      <c r="M48" s="1565" t="str">
        <f t="shared" si="7"/>
        <v/>
      </c>
      <c r="N48" s="104" t="str">
        <f t="shared" si="8"/>
        <v/>
      </c>
      <c r="O48" s="104" t="str">
        <f t="shared" si="9"/>
        <v/>
      </c>
      <c r="P48" s="104" t="str">
        <f>IFERROR(INDEX('RRT Unit Mix (Paste)'!$G$3:$G$100,MATCH('RRT Summary (Paste)'!$K48,'RRT Unit Mix (Paste)'!$B$3:$B$100,0)),"")</f>
        <v/>
      </c>
      <c r="Q48" s="104" t="str">
        <f t="shared" si="10"/>
        <v/>
      </c>
      <c r="R48" s="104" t="str">
        <f t="shared" si="11"/>
        <v/>
      </c>
      <c r="S48" s="1567" t="str">
        <f t="shared" si="12"/>
        <v/>
      </c>
    </row>
    <row r="49" spans="1:19">
      <c r="A49" s="1804" t="s">
        <v>237</v>
      </c>
      <c r="B49" s="1804" t="s">
        <v>288</v>
      </c>
      <c r="C49" s="1804" t="s">
        <v>244</v>
      </c>
      <c r="D49" s="1810">
        <v>1409</v>
      </c>
      <c r="E49" s="1808">
        <v>1224</v>
      </c>
      <c r="F49" s="1814">
        <v>2</v>
      </c>
      <c r="G49" s="1843">
        <v>45926</v>
      </c>
      <c r="H49" s="1812">
        <v>45926</v>
      </c>
      <c r="K49" s="104" t="str">
        <f>IF('Rent Roll Analysis'!C50=0,"",'Rent Roll Analysis'!C50)</f>
        <v/>
      </c>
      <c r="L49" s="1565" t="str" cm="1">
        <f t="array" ref="L49">IF(K49="","",SUM(IF($K49=$C$4:$C$191,1,0)))</f>
        <v/>
      </c>
      <c r="M49" s="1565" t="str">
        <f t="shared" si="7"/>
        <v/>
      </c>
      <c r="N49" s="104" t="str">
        <f t="shared" si="8"/>
        <v/>
      </c>
      <c r="O49" s="104" t="str">
        <f t="shared" si="9"/>
        <v/>
      </c>
      <c r="P49" s="104" t="str">
        <f>IFERROR(INDEX('RRT Unit Mix (Paste)'!$G$3:$G$100,MATCH('RRT Summary (Paste)'!$K49,'RRT Unit Mix (Paste)'!$B$3:$B$100,0)),"")</f>
        <v/>
      </c>
      <c r="Q49" s="104" t="str">
        <f t="shared" si="10"/>
        <v/>
      </c>
      <c r="R49" s="104" t="str">
        <f t="shared" si="11"/>
        <v/>
      </c>
      <c r="S49" s="1567" t="str">
        <f t="shared" si="12"/>
        <v/>
      </c>
    </row>
    <row r="50" spans="1:19">
      <c r="A50" s="1803" t="s">
        <v>237</v>
      </c>
      <c r="B50" s="1803" t="s">
        <v>289</v>
      </c>
      <c r="C50" s="1803" t="s">
        <v>242</v>
      </c>
      <c r="D50" s="1809">
        <v>1199</v>
      </c>
      <c r="E50" s="1807">
        <v>841</v>
      </c>
      <c r="F50" s="1813">
        <v>1</v>
      </c>
      <c r="G50" s="1843">
        <v>45488</v>
      </c>
      <c r="H50" s="1811">
        <v>45488</v>
      </c>
      <c r="K50" s="104" t="str">
        <f>IF('Rent Roll Analysis'!C51=0,"",'Rent Roll Analysis'!C51)</f>
        <v/>
      </c>
      <c r="L50" s="1565" t="str" cm="1">
        <f t="array" ref="L50">IF(K50="","",SUM(IF($K50=$C$4:$C$191,1,0)))</f>
        <v/>
      </c>
      <c r="M50" s="1565" t="str">
        <f t="shared" si="7"/>
        <v/>
      </c>
      <c r="N50" s="104" t="str">
        <f t="shared" si="8"/>
        <v/>
      </c>
      <c r="O50" s="104" t="str">
        <f t="shared" si="9"/>
        <v/>
      </c>
      <c r="P50" s="104" t="str">
        <f>IFERROR(INDEX('RRT Unit Mix (Paste)'!$G$3:$G$100,MATCH('RRT Summary (Paste)'!$K50,'RRT Unit Mix (Paste)'!$B$3:$B$100,0)),"")</f>
        <v/>
      </c>
      <c r="Q50" s="104" t="str">
        <f t="shared" si="10"/>
        <v/>
      </c>
      <c r="R50" s="104" t="str">
        <f t="shared" si="11"/>
        <v/>
      </c>
      <c r="S50" s="1567" t="str">
        <f t="shared" si="12"/>
        <v/>
      </c>
    </row>
    <row r="51" spans="1:19">
      <c r="A51" s="1804" t="s">
        <v>237</v>
      </c>
      <c r="B51" s="1804" t="s">
        <v>290</v>
      </c>
      <c r="C51" s="1804" t="s">
        <v>239</v>
      </c>
      <c r="D51" s="1810">
        <v>1358</v>
      </c>
      <c r="E51" s="1808">
        <v>1130</v>
      </c>
      <c r="F51" s="1814">
        <v>2</v>
      </c>
      <c r="G51" s="1843">
        <v>45715</v>
      </c>
      <c r="H51" s="1812">
        <v>45715</v>
      </c>
      <c r="K51" s="104" t="str">
        <f>IF('Rent Roll Analysis'!C52=0,"",'Rent Roll Analysis'!C52)</f>
        <v/>
      </c>
      <c r="L51" s="1565" t="str" cm="1">
        <f t="array" ref="L51">IF(K51="","",SUM(IF($K51=$C$4:$C$191,1,0)))</f>
        <v/>
      </c>
      <c r="M51" s="1565" t="str">
        <f t="shared" si="7"/>
        <v/>
      </c>
      <c r="N51" s="104" t="str">
        <f t="shared" si="8"/>
        <v/>
      </c>
      <c r="O51" s="104" t="str">
        <f t="shared" si="9"/>
        <v/>
      </c>
      <c r="P51" s="104" t="str">
        <f>IFERROR(INDEX('RRT Unit Mix (Paste)'!$G$3:$G$100,MATCH('RRT Summary (Paste)'!$K51,'RRT Unit Mix (Paste)'!$B$3:$B$100,0)),"")</f>
        <v/>
      </c>
      <c r="Q51" s="104" t="str">
        <f t="shared" si="10"/>
        <v/>
      </c>
      <c r="R51" s="104" t="str">
        <f t="shared" si="11"/>
        <v/>
      </c>
      <c r="S51" s="1567" t="str">
        <f t="shared" si="12"/>
        <v/>
      </c>
    </row>
    <row r="52" spans="1:19">
      <c r="A52" s="1803" t="s">
        <v>237</v>
      </c>
      <c r="B52" s="1803" t="s">
        <v>291</v>
      </c>
      <c r="C52" s="1803" t="s">
        <v>244</v>
      </c>
      <c r="D52" s="1809">
        <v>1446</v>
      </c>
      <c r="E52" s="1807">
        <v>1224</v>
      </c>
      <c r="F52" s="1813">
        <v>2</v>
      </c>
      <c r="G52" s="1843">
        <v>45821</v>
      </c>
      <c r="H52" s="1811">
        <v>45821</v>
      </c>
      <c r="K52" s="104" t="str">
        <f>IF('Rent Roll Analysis'!C53=0,"",'Rent Roll Analysis'!C53)</f>
        <v/>
      </c>
      <c r="L52" s="1565" t="str" cm="1">
        <f t="array" ref="L52">IF(K52="","",SUM(IF($K52=$C$4:$C$191,1,0)))</f>
        <v/>
      </c>
      <c r="M52" s="1565" t="str">
        <f t="shared" si="7"/>
        <v/>
      </c>
      <c r="N52" s="104" t="str">
        <f t="shared" si="8"/>
        <v/>
      </c>
      <c r="O52" s="104" t="str">
        <f t="shared" si="9"/>
        <v/>
      </c>
      <c r="P52" s="104" t="str">
        <f>IFERROR(INDEX('RRT Unit Mix (Paste)'!$G$3:$G$100,MATCH('RRT Summary (Paste)'!$K52,'RRT Unit Mix (Paste)'!$B$3:$B$100,0)),"")</f>
        <v/>
      </c>
      <c r="Q52" s="104" t="str">
        <f t="shared" si="10"/>
        <v/>
      </c>
      <c r="R52" s="104" t="str">
        <f t="shared" si="11"/>
        <v/>
      </c>
      <c r="S52" s="1567" t="str">
        <f t="shared" si="12"/>
        <v/>
      </c>
    </row>
    <row r="53" spans="1:19">
      <c r="A53" s="1804" t="s">
        <v>237</v>
      </c>
      <c r="B53" s="1804" t="s">
        <v>292</v>
      </c>
      <c r="C53" s="1804" t="s">
        <v>242</v>
      </c>
      <c r="D53" s="1810">
        <v>1310</v>
      </c>
      <c r="E53" s="1808">
        <v>841</v>
      </c>
      <c r="F53" s="1814">
        <v>1</v>
      </c>
      <c r="G53" s="1843">
        <v>45533</v>
      </c>
      <c r="H53" s="1812">
        <v>45898</v>
      </c>
      <c r="K53" s="104" t="str">
        <f>IF('Rent Roll Analysis'!C54=0,"",'Rent Roll Analysis'!C54)</f>
        <v/>
      </c>
      <c r="L53" s="1565" t="str" cm="1">
        <f t="array" ref="L53">IF(K53="","",SUM(IF($K53=$C$4:$C$191,1,0)))</f>
        <v/>
      </c>
      <c r="M53" s="1565" t="str">
        <f t="shared" si="7"/>
        <v/>
      </c>
      <c r="N53" s="104" t="str">
        <f t="shared" si="8"/>
        <v/>
      </c>
      <c r="O53" s="104" t="str">
        <f t="shared" si="9"/>
        <v/>
      </c>
      <c r="P53" s="104" t="str">
        <f>IFERROR(INDEX('RRT Unit Mix (Paste)'!$G$3:$G$100,MATCH('RRT Summary (Paste)'!$K53,'RRT Unit Mix (Paste)'!$B$3:$B$100,0)),"")</f>
        <v/>
      </c>
      <c r="Q53" s="104" t="str">
        <f t="shared" si="10"/>
        <v/>
      </c>
      <c r="R53" s="104" t="str">
        <f t="shared" si="11"/>
        <v/>
      </c>
      <c r="S53" s="1567" t="str">
        <f t="shared" si="12"/>
        <v/>
      </c>
    </row>
    <row r="54" spans="1:19">
      <c r="A54" s="1803" t="s">
        <v>237</v>
      </c>
      <c r="B54" s="1803" t="s">
        <v>293</v>
      </c>
      <c r="C54" s="1803" t="s">
        <v>239</v>
      </c>
      <c r="D54" s="1809">
        <v>1345</v>
      </c>
      <c r="E54" s="1807">
        <v>1130</v>
      </c>
      <c r="F54" s="1813">
        <v>2</v>
      </c>
      <c r="G54" s="1843">
        <v>45821</v>
      </c>
      <c r="H54" s="1811">
        <v>45821</v>
      </c>
      <c r="K54" s="104" t="str">
        <f>IF('Rent Roll Analysis'!C55=0,"",'Rent Roll Analysis'!C55)</f>
        <v/>
      </c>
      <c r="L54" s="1565" t="str" cm="1">
        <f t="array" ref="L54">IF(K54="","",SUM(IF($K54=$C$4:$C$191,1,0)))</f>
        <v/>
      </c>
      <c r="M54" s="1565" t="str">
        <f t="shared" si="7"/>
        <v/>
      </c>
      <c r="N54" s="104" t="str">
        <f t="shared" si="8"/>
        <v/>
      </c>
      <c r="O54" s="104" t="str">
        <f t="shared" si="9"/>
        <v/>
      </c>
      <c r="P54" s="104" t="str">
        <f>IFERROR(INDEX('RRT Unit Mix (Paste)'!$G$3:$G$100,MATCH('RRT Summary (Paste)'!$K54,'RRT Unit Mix (Paste)'!$B$3:$B$100,0)),"")</f>
        <v/>
      </c>
      <c r="Q54" s="104" t="str">
        <f t="shared" si="10"/>
        <v/>
      </c>
      <c r="R54" s="104" t="str">
        <f t="shared" si="11"/>
        <v/>
      </c>
      <c r="S54" s="1567" t="str">
        <f t="shared" si="12"/>
        <v/>
      </c>
    </row>
    <row r="55" spans="1:19">
      <c r="A55" s="1804" t="s">
        <v>237</v>
      </c>
      <c r="B55" s="1804" t="s">
        <v>294</v>
      </c>
      <c r="C55" s="1804" t="s">
        <v>242</v>
      </c>
      <c r="D55" s="1810">
        <v>1368</v>
      </c>
      <c r="E55" s="1808">
        <v>841</v>
      </c>
      <c r="F55" s="1814">
        <v>1</v>
      </c>
      <c r="G55" s="1843">
        <v>45533</v>
      </c>
      <c r="H55" s="1812">
        <v>45898</v>
      </c>
      <c r="K55" s="104" t="str">
        <f>IF('Rent Roll Analysis'!C56=0,"",'Rent Roll Analysis'!C56)</f>
        <v/>
      </c>
      <c r="L55" s="1565" t="str" cm="1">
        <f t="array" ref="L55">IF(K55="","",SUM(IF($K55=$C$4:$C$191,1,0)))</f>
        <v/>
      </c>
      <c r="M55" s="1565" t="str">
        <f t="shared" si="7"/>
        <v/>
      </c>
      <c r="N55" s="104" t="str">
        <f t="shared" si="8"/>
        <v/>
      </c>
      <c r="O55" s="104" t="str">
        <f t="shared" si="9"/>
        <v/>
      </c>
      <c r="P55" s="104" t="str">
        <f>IFERROR(INDEX('RRT Unit Mix (Paste)'!$G$3:$G$100,MATCH('RRT Summary (Paste)'!$K55,'RRT Unit Mix (Paste)'!$B$3:$B$100,0)),"")</f>
        <v/>
      </c>
      <c r="Q55" s="104" t="str">
        <f t="shared" si="10"/>
        <v/>
      </c>
      <c r="R55" s="104" t="str">
        <f t="shared" si="11"/>
        <v/>
      </c>
      <c r="S55" s="1567" t="str">
        <f t="shared" si="12"/>
        <v/>
      </c>
    </row>
    <row r="56" spans="1:19">
      <c r="A56" s="1803" t="s">
        <v>237</v>
      </c>
      <c r="B56" s="1803" t="s">
        <v>295</v>
      </c>
      <c r="C56" s="1803" t="s">
        <v>242</v>
      </c>
      <c r="D56" s="1809">
        <v>1394</v>
      </c>
      <c r="E56" s="1807">
        <v>841</v>
      </c>
      <c r="F56" s="1813">
        <v>1</v>
      </c>
      <c r="G56" s="1843">
        <v>45551</v>
      </c>
      <c r="H56" s="1811">
        <v>45551</v>
      </c>
      <c r="K56" s="104" t="str">
        <f>IF('Rent Roll Analysis'!C57=0,"",'Rent Roll Analysis'!C57)</f>
        <v/>
      </c>
      <c r="L56" s="1565" t="str" cm="1">
        <f t="array" ref="L56">IF(K56="","",SUM(IF($K56=$C$4:$C$191,1,0)))</f>
        <v/>
      </c>
      <c r="M56" s="1565" t="str">
        <f t="shared" si="7"/>
        <v/>
      </c>
      <c r="N56" s="104" t="str">
        <f t="shared" si="8"/>
        <v/>
      </c>
      <c r="O56" s="104" t="str">
        <f t="shared" si="9"/>
        <v/>
      </c>
      <c r="P56" s="104" t="str">
        <f>IFERROR(INDEX('RRT Unit Mix (Paste)'!$G$3:$G$100,MATCH('RRT Summary (Paste)'!$K56,'RRT Unit Mix (Paste)'!$B$3:$B$100,0)),"")</f>
        <v/>
      </c>
      <c r="Q56" s="104" t="str">
        <f t="shared" si="10"/>
        <v/>
      </c>
      <c r="R56" s="104" t="str">
        <f t="shared" si="11"/>
        <v/>
      </c>
      <c r="S56" s="1567" t="str">
        <f t="shared" si="12"/>
        <v/>
      </c>
    </row>
    <row r="57" spans="1:19">
      <c r="A57" s="1804" t="s">
        <v>237</v>
      </c>
      <c r="B57" s="1804" t="s">
        <v>296</v>
      </c>
      <c r="C57" s="1804" t="s">
        <v>244</v>
      </c>
      <c r="D57" s="1810">
        <v>1513</v>
      </c>
      <c r="E57" s="1808">
        <v>1224</v>
      </c>
      <c r="F57" s="1814">
        <v>2</v>
      </c>
      <c r="G57" s="1843">
        <v>45687</v>
      </c>
      <c r="H57" s="1812">
        <v>45687</v>
      </c>
      <c r="K57" s="104" t="str">
        <f>IF('Rent Roll Analysis'!C58=0,"",'Rent Roll Analysis'!C58)</f>
        <v/>
      </c>
      <c r="L57" s="1565" t="str" cm="1">
        <f t="array" ref="L57">IF(K57="","",SUM(IF($K57=$C$4:$C$191,1,0)))</f>
        <v/>
      </c>
      <c r="M57" s="1565" t="str">
        <f t="shared" si="7"/>
        <v/>
      </c>
      <c r="N57" s="104" t="str">
        <f t="shared" si="8"/>
        <v/>
      </c>
      <c r="O57" s="104" t="str">
        <f t="shared" si="9"/>
        <v/>
      </c>
      <c r="P57" s="104" t="str">
        <f>IFERROR(INDEX('RRT Unit Mix (Paste)'!$G$3:$G$100,MATCH('RRT Summary (Paste)'!$K57,'RRT Unit Mix (Paste)'!$B$3:$B$100,0)),"")</f>
        <v/>
      </c>
      <c r="Q57" s="104" t="str">
        <f t="shared" si="10"/>
        <v/>
      </c>
      <c r="R57" s="104" t="str">
        <f t="shared" si="11"/>
        <v/>
      </c>
      <c r="S57" s="1567" t="str">
        <f t="shared" si="12"/>
        <v/>
      </c>
    </row>
    <row r="58" spans="1:19">
      <c r="A58" s="1803" t="s">
        <v>237</v>
      </c>
      <c r="B58" s="1803" t="s">
        <v>297</v>
      </c>
      <c r="C58" s="1803" t="s">
        <v>242</v>
      </c>
      <c r="D58" s="1809">
        <v>1266</v>
      </c>
      <c r="E58" s="1807">
        <v>841</v>
      </c>
      <c r="F58" s="1813">
        <v>1</v>
      </c>
      <c r="G58" s="1843">
        <v>45964</v>
      </c>
      <c r="H58" s="1811">
        <v>45964</v>
      </c>
      <c r="K58" s="104" t="str">
        <f>IF('Rent Roll Analysis'!C59=0,"",'Rent Roll Analysis'!C59)</f>
        <v/>
      </c>
      <c r="L58" s="1565" t="str" cm="1">
        <f t="array" ref="L58">IF(K58="","",SUM(IF($K58=$C$4:$C$191,1,0)))</f>
        <v/>
      </c>
      <c r="M58" s="1565" t="str">
        <f t="shared" si="7"/>
        <v/>
      </c>
      <c r="N58" s="104" t="str">
        <f t="shared" si="8"/>
        <v/>
      </c>
      <c r="O58" s="104" t="str">
        <f t="shared" si="9"/>
        <v/>
      </c>
      <c r="P58" s="104" t="str">
        <f>IFERROR(INDEX('RRT Unit Mix (Paste)'!$G$3:$G$100,MATCH('RRT Summary (Paste)'!$K58,'RRT Unit Mix (Paste)'!$B$3:$B$100,0)),"")</f>
        <v/>
      </c>
      <c r="Q58" s="104" t="str">
        <f t="shared" si="10"/>
        <v/>
      </c>
      <c r="R58" s="104" t="str">
        <f t="shared" si="11"/>
        <v/>
      </c>
      <c r="S58" s="1567" t="str">
        <f t="shared" si="12"/>
        <v/>
      </c>
    </row>
    <row r="59" spans="1:19">
      <c r="A59" s="1804" t="s">
        <v>237</v>
      </c>
      <c r="B59" s="1804" t="s">
        <v>298</v>
      </c>
      <c r="C59" s="1804" t="s">
        <v>239</v>
      </c>
      <c r="D59" s="1810">
        <v>1345</v>
      </c>
      <c r="E59" s="1808">
        <v>1130</v>
      </c>
      <c r="F59" s="1814">
        <v>2</v>
      </c>
      <c r="G59" s="1843">
        <v>45821</v>
      </c>
      <c r="H59" s="1812">
        <v>45821</v>
      </c>
      <c r="K59" s="104" t="str">
        <f>IF('Rent Roll Analysis'!C60=0,"",'Rent Roll Analysis'!C60)</f>
        <v/>
      </c>
      <c r="L59" s="1565" t="str" cm="1">
        <f t="array" ref="L59">IF(K59="","",SUM(IF($K59=$C$4:$C$191,1,0)))</f>
        <v/>
      </c>
      <c r="M59" s="1565" t="str">
        <f t="shared" si="7"/>
        <v/>
      </c>
      <c r="N59" s="104" t="str">
        <f t="shared" si="8"/>
        <v/>
      </c>
      <c r="O59" s="104" t="str">
        <f t="shared" si="9"/>
        <v/>
      </c>
      <c r="P59" s="104" t="str">
        <f>IFERROR(INDEX('RRT Unit Mix (Paste)'!$G$3:$G$100,MATCH('RRT Summary (Paste)'!$K59,'RRT Unit Mix (Paste)'!$B$3:$B$100,0)),"")</f>
        <v/>
      </c>
      <c r="Q59" s="104" t="str">
        <f t="shared" si="10"/>
        <v/>
      </c>
      <c r="R59" s="104" t="str">
        <f t="shared" si="11"/>
        <v/>
      </c>
      <c r="S59" s="1567" t="str">
        <f t="shared" si="12"/>
        <v/>
      </c>
    </row>
    <row r="60" spans="1:19">
      <c r="A60" s="1803" t="s">
        <v>237</v>
      </c>
      <c r="B60" s="1803" t="s">
        <v>299</v>
      </c>
      <c r="C60" s="1803" t="s">
        <v>244</v>
      </c>
      <c r="D60" s="1809">
        <v>1475</v>
      </c>
      <c r="E60" s="1807">
        <v>1224</v>
      </c>
      <c r="F60" s="1813">
        <v>2</v>
      </c>
      <c r="G60" s="1843">
        <v>45457</v>
      </c>
      <c r="H60" s="1811">
        <v>45822</v>
      </c>
      <c r="K60" s="104" t="str">
        <f>IF('Rent Roll Analysis'!C61=0,"",'Rent Roll Analysis'!C61)</f>
        <v/>
      </c>
      <c r="L60" s="1565" t="str" cm="1">
        <f t="array" ref="L60">IF(K60="","",SUM(IF($K60=$C$4:$C$191,1,0)))</f>
        <v/>
      </c>
      <c r="M60" s="1565" t="str">
        <f t="shared" si="7"/>
        <v/>
      </c>
      <c r="N60" s="104" t="str">
        <f t="shared" si="8"/>
        <v/>
      </c>
      <c r="O60" s="104" t="str">
        <f t="shared" si="9"/>
        <v/>
      </c>
      <c r="P60" s="104" t="str">
        <f>IFERROR(INDEX('RRT Unit Mix (Paste)'!$G$3:$G$100,MATCH('RRT Summary (Paste)'!$K60,'RRT Unit Mix (Paste)'!$B$3:$B$100,0)),"")</f>
        <v/>
      </c>
      <c r="Q60" s="104" t="str">
        <f t="shared" si="10"/>
        <v/>
      </c>
      <c r="R60" s="104" t="str">
        <f t="shared" si="11"/>
        <v/>
      </c>
      <c r="S60" s="1567" t="str">
        <f t="shared" si="12"/>
        <v/>
      </c>
    </row>
    <row r="61" spans="1:19">
      <c r="A61" s="1804" t="s">
        <v>237</v>
      </c>
      <c r="B61" s="1804" t="s">
        <v>300</v>
      </c>
      <c r="C61" s="1804" t="s">
        <v>242</v>
      </c>
      <c r="D61" s="1810">
        <v>1204</v>
      </c>
      <c r="E61" s="1808">
        <v>841</v>
      </c>
      <c r="F61" s="1814">
        <v>1</v>
      </c>
      <c r="G61" s="1843">
        <v>45413</v>
      </c>
      <c r="H61" s="1812">
        <v>45413</v>
      </c>
      <c r="K61" s="104" t="str">
        <f>IF('Rent Roll Analysis'!C62=0,"",'Rent Roll Analysis'!C62)</f>
        <v/>
      </c>
      <c r="L61" s="1565" t="str" cm="1">
        <f t="array" ref="L61">IF(K61="","",SUM(IF($K61=$C$4:$C$191,1,0)))</f>
        <v/>
      </c>
      <c r="M61" s="1565" t="str">
        <f t="shared" si="7"/>
        <v/>
      </c>
      <c r="N61" s="104" t="str">
        <f t="shared" si="8"/>
        <v/>
      </c>
      <c r="O61" s="104" t="str">
        <f t="shared" si="9"/>
        <v/>
      </c>
      <c r="P61" s="104" t="str">
        <f>IFERROR(INDEX('RRT Unit Mix (Paste)'!$G$3:$G$100,MATCH('RRT Summary (Paste)'!$K61,'RRT Unit Mix (Paste)'!$B$3:$B$100,0)),"")</f>
        <v/>
      </c>
      <c r="Q61" s="104" t="str">
        <f t="shared" si="10"/>
        <v/>
      </c>
      <c r="R61" s="104" t="str">
        <f t="shared" si="11"/>
        <v/>
      </c>
      <c r="S61" s="1567" t="str">
        <f t="shared" si="12"/>
        <v/>
      </c>
    </row>
    <row r="62" spans="1:19">
      <c r="A62" s="1803" t="s">
        <v>237</v>
      </c>
      <c r="B62" s="1803" t="s">
        <v>301</v>
      </c>
      <c r="C62" s="1803" t="s">
        <v>239</v>
      </c>
      <c r="D62" s="1809">
        <v>1345</v>
      </c>
      <c r="E62" s="1807">
        <v>1130</v>
      </c>
      <c r="F62" s="1813">
        <v>2</v>
      </c>
      <c r="G62" s="1843">
        <v>45929</v>
      </c>
      <c r="H62" s="1811">
        <v>45929</v>
      </c>
      <c r="K62" s="104" t="str">
        <f>IF('Rent Roll Analysis'!C63=0,"",'Rent Roll Analysis'!C63)</f>
        <v/>
      </c>
      <c r="L62" s="1565" t="str" cm="1">
        <f t="array" ref="L62">IF(K62="","",SUM(IF($K62=$C$4:$C$191,1,0)))</f>
        <v/>
      </c>
      <c r="M62" s="1565" t="str">
        <f t="shared" si="7"/>
        <v/>
      </c>
      <c r="N62" s="104" t="str">
        <f t="shared" si="8"/>
        <v/>
      </c>
      <c r="O62" s="104" t="str">
        <f t="shared" si="9"/>
        <v/>
      </c>
      <c r="P62" s="104" t="str">
        <f>IFERROR(INDEX('RRT Unit Mix (Paste)'!$G$3:$G$100,MATCH('RRT Summary (Paste)'!$K62,'RRT Unit Mix (Paste)'!$B$3:$B$100,0)),"")</f>
        <v/>
      </c>
      <c r="Q62" s="104" t="str">
        <f t="shared" si="10"/>
        <v/>
      </c>
      <c r="R62" s="104" t="str">
        <f t="shared" si="11"/>
        <v/>
      </c>
      <c r="S62" s="1567" t="str">
        <f t="shared" si="12"/>
        <v/>
      </c>
    </row>
    <row r="63" spans="1:19">
      <c r="A63" s="1804" t="s">
        <v>237</v>
      </c>
      <c r="B63" s="1804" t="s">
        <v>302</v>
      </c>
      <c r="C63" s="1804" t="s">
        <v>242</v>
      </c>
      <c r="D63" s="1810">
        <v>1260</v>
      </c>
      <c r="E63" s="1808">
        <v>841</v>
      </c>
      <c r="F63" s="1814">
        <v>1</v>
      </c>
      <c r="G63" s="1843">
        <v>45548</v>
      </c>
      <c r="H63" s="1812">
        <v>45913</v>
      </c>
      <c r="K63" s="104" t="str">
        <f>IF('Rent Roll Analysis'!C64=0,"",'Rent Roll Analysis'!C64)</f>
        <v/>
      </c>
      <c r="L63" s="1565" t="str" cm="1">
        <f t="array" ref="L63">IF(K63="","",SUM(IF($K63=$C$4:$C$191,1,0)))</f>
        <v/>
      </c>
      <c r="M63" s="1565" t="str">
        <f t="shared" si="7"/>
        <v/>
      </c>
      <c r="N63" s="104" t="str">
        <f t="shared" si="8"/>
        <v/>
      </c>
      <c r="O63" s="104" t="str">
        <f t="shared" si="9"/>
        <v/>
      </c>
      <c r="P63" s="104" t="str">
        <f>IFERROR(INDEX('RRT Unit Mix (Paste)'!$G$3:$G$100,MATCH('RRT Summary (Paste)'!$K63,'RRT Unit Mix (Paste)'!$B$3:$B$100,0)),"")</f>
        <v/>
      </c>
      <c r="Q63" s="104" t="str">
        <f t="shared" si="10"/>
        <v/>
      </c>
      <c r="R63" s="104" t="str">
        <f t="shared" si="11"/>
        <v/>
      </c>
      <c r="S63" s="1567" t="str">
        <f t="shared" si="12"/>
        <v/>
      </c>
    </row>
    <row r="64" spans="1:19">
      <c r="A64" s="1803" t="s">
        <v>237</v>
      </c>
      <c r="B64" s="1803" t="s">
        <v>303</v>
      </c>
      <c r="C64" s="1803" t="s">
        <v>242</v>
      </c>
      <c r="D64" s="1809">
        <v>1113</v>
      </c>
      <c r="E64" s="1807">
        <v>841</v>
      </c>
      <c r="F64" s="1813">
        <v>1</v>
      </c>
      <c r="G64" s="1843">
        <v>45891</v>
      </c>
      <c r="H64" s="1811">
        <v>45891</v>
      </c>
      <c r="K64" s="104" t="str">
        <f>IF('Rent Roll Analysis'!C65=0,"",'Rent Roll Analysis'!C65)</f>
        <v/>
      </c>
      <c r="L64" s="1565" t="str" cm="1">
        <f t="array" ref="L64">IF(K64="","",SUM(IF($K64=$C$4:$C$191,1,0)))</f>
        <v/>
      </c>
      <c r="M64" s="1565" t="str">
        <f t="shared" si="7"/>
        <v/>
      </c>
      <c r="N64" s="104" t="str">
        <f t="shared" si="8"/>
        <v/>
      </c>
      <c r="O64" s="104" t="str">
        <f t="shared" si="9"/>
        <v/>
      </c>
      <c r="P64" s="104" t="str">
        <f>IFERROR(INDEX('RRT Unit Mix (Paste)'!$G$3:$G$100,MATCH('RRT Summary (Paste)'!$K64,'RRT Unit Mix (Paste)'!$B$3:$B$100,0)),"")</f>
        <v/>
      </c>
      <c r="Q64" s="104" t="str">
        <f t="shared" si="10"/>
        <v/>
      </c>
      <c r="R64" s="104" t="str">
        <f t="shared" si="11"/>
        <v/>
      </c>
      <c r="S64" s="1567" t="str">
        <f t="shared" si="12"/>
        <v/>
      </c>
    </row>
    <row r="65" spans="1:19">
      <c r="A65" s="1804" t="s">
        <v>237</v>
      </c>
      <c r="B65" s="1804" t="s">
        <v>304</v>
      </c>
      <c r="C65" s="1804" t="s">
        <v>244</v>
      </c>
      <c r="D65" s="1810">
        <v>1370</v>
      </c>
      <c r="E65" s="1808">
        <v>1224</v>
      </c>
      <c r="F65" s="1814">
        <v>2</v>
      </c>
      <c r="G65" s="1843">
        <v>45817</v>
      </c>
      <c r="H65" s="1812">
        <v>45817</v>
      </c>
      <c r="K65" s="104" t="str">
        <f>IF('Rent Roll Analysis'!C66=0,"",'Rent Roll Analysis'!C66)</f>
        <v/>
      </c>
      <c r="L65" s="1565" t="str" cm="1">
        <f t="array" ref="L65">IF(K65="","",SUM(IF($K65=$C$4:$C$191,1,0)))</f>
        <v/>
      </c>
      <c r="M65" s="1565" t="str">
        <f t="shared" si="7"/>
        <v/>
      </c>
      <c r="N65" s="104" t="str">
        <f t="shared" si="8"/>
        <v/>
      </c>
      <c r="O65" s="104" t="str">
        <f t="shared" si="9"/>
        <v/>
      </c>
      <c r="P65" s="104" t="str">
        <f>IFERROR(INDEX('RRT Unit Mix (Paste)'!$G$3:$G$100,MATCH('RRT Summary (Paste)'!$K65,'RRT Unit Mix (Paste)'!$B$3:$B$100,0)),"")</f>
        <v/>
      </c>
      <c r="Q65" s="104" t="str">
        <f t="shared" si="10"/>
        <v/>
      </c>
      <c r="R65" s="104" t="str">
        <f t="shared" si="11"/>
        <v/>
      </c>
      <c r="S65" s="1567" t="str">
        <f t="shared" si="12"/>
        <v/>
      </c>
    </row>
    <row r="66" spans="1:19">
      <c r="A66" s="1803" t="s">
        <v>237</v>
      </c>
      <c r="B66" s="1803" t="s">
        <v>305</v>
      </c>
      <c r="C66" s="1803" t="s">
        <v>242</v>
      </c>
      <c r="D66" s="1809">
        <v>1103</v>
      </c>
      <c r="E66" s="1807">
        <v>841</v>
      </c>
      <c r="F66" s="1813">
        <v>1</v>
      </c>
      <c r="G66" s="1843">
        <v>45839</v>
      </c>
      <c r="H66" s="1811">
        <v>45839</v>
      </c>
      <c r="K66" s="104" t="str">
        <f>IF('Rent Roll Analysis'!C67=0,"",'Rent Roll Analysis'!C67)</f>
        <v/>
      </c>
      <c r="L66" s="1565" t="str" cm="1">
        <f t="array" ref="L66">IF(K66="","",SUM(IF($K66=$C$4:$C$191,1,0)))</f>
        <v/>
      </c>
      <c r="M66" s="1565" t="str">
        <f t="shared" si="7"/>
        <v/>
      </c>
      <c r="N66" s="104" t="str">
        <f t="shared" si="8"/>
        <v/>
      </c>
      <c r="O66" s="104" t="str">
        <f t="shared" si="9"/>
        <v/>
      </c>
      <c r="P66" s="104" t="str">
        <f>IFERROR(INDEX('RRT Unit Mix (Paste)'!$G$3:$G$100,MATCH('RRT Summary (Paste)'!$K66,'RRT Unit Mix (Paste)'!$B$3:$B$100,0)),"")</f>
        <v/>
      </c>
      <c r="Q66" s="104" t="str">
        <f t="shared" si="10"/>
        <v/>
      </c>
      <c r="R66" s="104" t="str">
        <f t="shared" si="11"/>
        <v/>
      </c>
      <c r="S66" s="1567" t="str">
        <f t="shared" si="12"/>
        <v/>
      </c>
    </row>
    <row r="67" spans="1:19">
      <c r="A67" s="1804" t="s">
        <v>237</v>
      </c>
      <c r="B67" s="1804" t="s">
        <v>306</v>
      </c>
      <c r="C67" s="1804" t="s">
        <v>239</v>
      </c>
      <c r="D67" s="1810">
        <v>1295</v>
      </c>
      <c r="E67" s="1808">
        <v>1130</v>
      </c>
      <c r="F67" s="1814">
        <v>2</v>
      </c>
      <c r="G67" s="1843">
        <v>45856</v>
      </c>
      <c r="H67" s="1812">
        <v>45856</v>
      </c>
      <c r="K67" s="104" t="str">
        <f>IF('Rent Roll Analysis'!C68=0,"",'Rent Roll Analysis'!C68)</f>
        <v/>
      </c>
      <c r="L67" s="1565" t="str" cm="1">
        <f t="array" ref="L67">IF(K67="","",SUM(IF($K67=$C$4:$C$191,1,0)))</f>
        <v/>
      </c>
      <c r="M67" s="1565" t="str">
        <f t="shared" si="7"/>
        <v/>
      </c>
      <c r="N67" s="104" t="str">
        <f t="shared" si="8"/>
        <v/>
      </c>
      <c r="O67" s="104" t="str">
        <f t="shared" si="9"/>
        <v/>
      </c>
      <c r="P67" s="104" t="str">
        <f>IFERROR(INDEX('RRT Unit Mix (Paste)'!$G$3:$G$100,MATCH('RRT Summary (Paste)'!$K67,'RRT Unit Mix (Paste)'!$B$3:$B$100,0)),"")</f>
        <v/>
      </c>
      <c r="Q67" s="104" t="str">
        <f t="shared" si="10"/>
        <v/>
      </c>
      <c r="R67" s="104" t="str">
        <f t="shared" si="11"/>
        <v/>
      </c>
      <c r="S67" s="1567" t="str">
        <f t="shared" si="12"/>
        <v/>
      </c>
    </row>
    <row r="68" spans="1:19">
      <c r="A68" s="1803" t="s">
        <v>237</v>
      </c>
      <c r="B68" s="1803" t="s">
        <v>307</v>
      </c>
      <c r="C68" s="1803" t="s">
        <v>244</v>
      </c>
      <c r="D68" s="1809">
        <v>1384</v>
      </c>
      <c r="E68" s="1807">
        <v>1224</v>
      </c>
      <c r="F68" s="1813">
        <v>2</v>
      </c>
      <c r="G68" s="1843">
        <v>45868</v>
      </c>
      <c r="H68" s="1811">
        <v>45868</v>
      </c>
      <c r="K68" s="104" t="str">
        <f>IF('Rent Roll Analysis'!C69=0,"",'Rent Roll Analysis'!C69)</f>
        <v/>
      </c>
      <c r="L68" s="1565" t="str" cm="1">
        <f t="array" ref="L68">IF(K68="","",SUM(IF($K68=$C$4:$C$191,1,0)))</f>
        <v/>
      </c>
      <c r="M68" s="1565" t="str">
        <f t="shared" si="7"/>
        <v/>
      </c>
      <c r="N68" s="104" t="str">
        <f t="shared" si="8"/>
        <v/>
      </c>
      <c r="O68" s="104" t="str">
        <f t="shared" si="9"/>
        <v/>
      </c>
      <c r="P68" s="104" t="str">
        <f>IFERROR(INDEX('RRT Unit Mix (Paste)'!$G$3:$G$100,MATCH('RRT Summary (Paste)'!$K68,'RRT Unit Mix (Paste)'!$B$3:$B$100,0)),"")</f>
        <v/>
      </c>
      <c r="Q68" s="104" t="str">
        <f t="shared" si="10"/>
        <v/>
      </c>
      <c r="R68" s="104" t="str">
        <f t="shared" si="11"/>
        <v/>
      </c>
      <c r="S68" s="1567" t="str">
        <f t="shared" si="12"/>
        <v/>
      </c>
    </row>
    <row r="69" spans="1:19">
      <c r="A69" s="1804" t="s">
        <v>237</v>
      </c>
      <c r="B69" s="1804" t="s">
        <v>308</v>
      </c>
      <c r="C69" s="1804" t="s">
        <v>242</v>
      </c>
      <c r="D69" s="1810">
        <v>1045</v>
      </c>
      <c r="E69" s="1808">
        <v>841</v>
      </c>
      <c r="F69" s="1814">
        <v>1</v>
      </c>
      <c r="G69" s="1843">
        <v>45806</v>
      </c>
      <c r="H69" s="1812">
        <v>45806</v>
      </c>
      <c r="K69" s="104" t="str">
        <f>IF('Rent Roll Analysis'!C70=0,"",'Rent Roll Analysis'!C70)</f>
        <v/>
      </c>
      <c r="L69" s="1565" t="str" cm="1">
        <f t="array" ref="L69">IF(K69="","",SUM(IF($K69=$C$4:$C$191,1,0)))</f>
        <v/>
      </c>
      <c r="M69" s="1565" t="str">
        <f t="shared" ref="M69:M100" si="13">IF(K69="","",COUNTIFS($F$4:$F$1001,"&gt;="&amp;($A$2-90),$C$4:$C$1001,"="&amp;$K69))</f>
        <v/>
      </c>
      <c r="N69" s="104" t="str">
        <f t="shared" ref="N69:N100" si="14">IF(M69="","",COUNTIFS($F$4:$F$1001,"&gt;="&amp;($A$2-60),$C$4:$C$1001,"="&amp;$K69))</f>
        <v/>
      </c>
      <c r="O69" s="104" t="str">
        <f t="shared" ref="O69:O100" si="15">IF(N69="","",COUNTIFS($F$4:$F$1001,"&gt;="&amp;($A$2-30),$C$4:$C$1001,"="&amp;$K69))</f>
        <v/>
      </c>
      <c r="P69" s="104" t="str">
        <f>IFERROR(INDEX('RRT Unit Mix (Paste)'!$G$3:$G$100,MATCH('RRT Summary (Paste)'!$K69,'RRT Unit Mix (Paste)'!$B$3:$B$100,0)),"")</f>
        <v/>
      </c>
      <c r="Q69" s="104" t="str">
        <f t="shared" ref="Q69:Q100" si="16">IF($K69="","",IFERROR(SUMIFS($D$4:$D$1001,$C$4:$C$1001,"="&amp;$K69,$F$4:$F$1001,"&gt;="&amp;($A$2-90))/$M69,0))</f>
        <v/>
      </c>
      <c r="R69" s="104" t="str">
        <f t="shared" ref="R69:R100" si="17">IF(K69="","",IFERROR(SUMIFS($D$4:$D$1001,$C$4:$C$1001,"="&amp;$K69,$F$4:$F$1001,"&gt;="&amp;($A$2-60))/$N69,0))</f>
        <v/>
      </c>
      <c r="S69" s="1567" t="str">
        <f t="shared" ref="S69:S100" si="18">IF($K69="","",IFERROR(SUMIFS($D$4:$D$1001,$C$4:$C$1001,"="&amp;$K69,$F$4:$F$1001,"&gt;="&amp;($A$2-30))/$O69,0))</f>
        <v/>
      </c>
    </row>
    <row r="70" spans="1:19">
      <c r="A70" s="1803" t="s">
        <v>237</v>
      </c>
      <c r="B70" s="1803" t="s">
        <v>309</v>
      </c>
      <c r="C70" s="1803" t="s">
        <v>239</v>
      </c>
      <c r="D70" s="1809">
        <v>1270</v>
      </c>
      <c r="E70" s="1807">
        <v>1130</v>
      </c>
      <c r="F70" s="1813">
        <v>2</v>
      </c>
      <c r="G70" s="1843">
        <v>45870</v>
      </c>
      <c r="H70" s="1811">
        <v>45870</v>
      </c>
      <c r="K70" s="104" t="str">
        <f>IF('Rent Roll Analysis'!C71=0,"",'Rent Roll Analysis'!C71)</f>
        <v/>
      </c>
      <c r="L70" s="1565" t="str" cm="1">
        <f t="array" ref="L70">IF(K70="","",SUM(IF($K70=$C$4:$C$191,1,0)))</f>
        <v/>
      </c>
      <c r="M70" s="1565" t="str">
        <f t="shared" si="13"/>
        <v/>
      </c>
      <c r="N70" s="104" t="str">
        <f t="shared" si="14"/>
        <v/>
      </c>
      <c r="O70" s="104" t="str">
        <f t="shared" si="15"/>
        <v/>
      </c>
      <c r="P70" s="104" t="str">
        <f>IFERROR(INDEX('RRT Unit Mix (Paste)'!$G$3:$G$100,MATCH('RRT Summary (Paste)'!$K70,'RRT Unit Mix (Paste)'!$B$3:$B$100,0)),"")</f>
        <v/>
      </c>
      <c r="Q70" s="104" t="str">
        <f t="shared" si="16"/>
        <v/>
      </c>
      <c r="R70" s="104" t="str">
        <f t="shared" si="17"/>
        <v/>
      </c>
      <c r="S70" s="1567" t="str">
        <f t="shared" si="18"/>
        <v/>
      </c>
    </row>
    <row r="71" spans="1:19">
      <c r="A71" s="1804" t="s">
        <v>237</v>
      </c>
      <c r="B71" s="1804" t="s">
        <v>310</v>
      </c>
      <c r="C71" s="1804" t="s">
        <v>242</v>
      </c>
      <c r="D71" s="1810">
        <v>1183</v>
      </c>
      <c r="E71" s="1808">
        <v>841</v>
      </c>
      <c r="F71" s="1814">
        <v>1</v>
      </c>
      <c r="G71" s="1843">
        <v>45663</v>
      </c>
      <c r="H71" s="1812">
        <v>46028</v>
      </c>
      <c r="K71" s="104" t="str">
        <f>IF('Rent Roll Analysis'!C72=0,"",'Rent Roll Analysis'!C72)</f>
        <v/>
      </c>
      <c r="L71" s="1565" t="str" cm="1">
        <f t="array" ref="L71">IF(K71="","",SUM(IF($K71=$C$4:$C$191,1,0)))</f>
        <v/>
      </c>
      <c r="M71" s="1565" t="str">
        <f t="shared" si="13"/>
        <v/>
      </c>
      <c r="N71" s="104" t="str">
        <f t="shared" si="14"/>
        <v/>
      </c>
      <c r="O71" s="104" t="str">
        <f t="shared" si="15"/>
        <v/>
      </c>
      <c r="P71" s="104" t="str">
        <f>IFERROR(INDEX('RRT Unit Mix (Paste)'!$G$3:$G$100,MATCH('RRT Summary (Paste)'!$K71,'RRT Unit Mix (Paste)'!$B$3:$B$100,0)),"")</f>
        <v/>
      </c>
      <c r="Q71" s="104" t="str">
        <f t="shared" si="16"/>
        <v/>
      </c>
      <c r="R71" s="104" t="str">
        <f t="shared" si="17"/>
        <v/>
      </c>
      <c r="S71" s="1567" t="str">
        <f t="shared" si="18"/>
        <v/>
      </c>
    </row>
    <row r="72" spans="1:19">
      <c r="A72" s="1803" t="s">
        <v>237</v>
      </c>
      <c r="B72" s="1803" t="s">
        <v>311</v>
      </c>
      <c r="C72" s="1803" t="s">
        <v>242</v>
      </c>
      <c r="D72" s="1809">
        <v>1281</v>
      </c>
      <c r="E72" s="1807">
        <v>841</v>
      </c>
      <c r="F72" s="1813">
        <v>1</v>
      </c>
      <c r="G72" s="1843">
        <v>45576</v>
      </c>
      <c r="H72" s="1811">
        <v>45941</v>
      </c>
      <c r="K72" s="104" t="str">
        <f>IF('Rent Roll Analysis'!C73=0,"",'Rent Roll Analysis'!C73)</f>
        <v/>
      </c>
      <c r="L72" s="1565" t="str" cm="1">
        <f t="array" ref="L72">IF(K72="","",SUM(IF($K72=$C$4:$C$191,1,0)))</f>
        <v/>
      </c>
      <c r="M72" s="1565" t="str">
        <f t="shared" si="13"/>
        <v/>
      </c>
      <c r="N72" s="104" t="str">
        <f t="shared" si="14"/>
        <v/>
      </c>
      <c r="O72" s="104" t="str">
        <f t="shared" si="15"/>
        <v/>
      </c>
      <c r="P72" s="104" t="str">
        <f>IFERROR(INDEX('RRT Unit Mix (Paste)'!$G$3:$G$100,MATCH('RRT Summary (Paste)'!$K72,'RRT Unit Mix (Paste)'!$B$3:$B$100,0)),"")</f>
        <v/>
      </c>
      <c r="Q72" s="104" t="str">
        <f t="shared" si="16"/>
        <v/>
      </c>
      <c r="R72" s="104" t="str">
        <f t="shared" si="17"/>
        <v/>
      </c>
      <c r="S72" s="1567" t="str">
        <f t="shared" si="18"/>
        <v/>
      </c>
    </row>
    <row r="73" spans="1:19">
      <c r="A73" s="1804" t="s">
        <v>237</v>
      </c>
      <c r="B73" s="1804" t="s">
        <v>312</v>
      </c>
      <c r="C73" s="1804" t="s">
        <v>244</v>
      </c>
      <c r="D73" s="1810">
        <v>1438</v>
      </c>
      <c r="E73" s="1808">
        <v>1224</v>
      </c>
      <c r="F73" s="1814">
        <v>2</v>
      </c>
      <c r="G73" s="1843">
        <v>45744</v>
      </c>
      <c r="H73" s="1812">
        <v>45744</v>
      </c>
      <c r="K73" s="104" t="str">
        <f>IF('Rent Roll Analysis'!C74=0,"",'Rent Roll Analysis'!C74)</f>
        <v/>
      </c>
      <c r="L73" s="1565" t="str" cm="1">
        <f t="array" ref="L73">IF(K73="","",SUM(IF($K73=$C$4:$C$191,1,0)))</f>
        <v/>
      </c>
      <c r="M73" s="1565" t="str">
        <f t="shared" si="13"/>
        <v/>
      </c>
      <c r="N73" s="104" t="str">
        <f t="shared" si="14"/>
        <v/>
      </c>
      <c r="O73" s="104" t="str">
        <f t="shared" si="15"/>
        <v/>
      </c>
      <c r="P73" s="104" t="str">
        <f>IFERROR(INDEX('RRT Unit Mix (Paste)'!$G$3:$G$100,MATCH('RRT Summary (Paste)'!$K73,'RRT Unit Mix (Paste)'!$B$3:$B$100,0)),"")</f>
        <v/>
      </c>
      <c r="Q73" s="104" t="str">
        <f t="shared" si="16"/>
        <v/>
      </c>
      <c r="R73" s="104" t="str">
        <f t="shared" si="17"/>
        <v/>
      </c>
      <c r="S73" s="1567" t="str">
        <f t="shared" si="18"/>
        <v/>
      </c>
    </row>
    <row r="74" spans="1:19">
      <c r="A74" s="1803" t="s">
        <v>237</v>
      </c>
      <c r="B74" s="1803" t="s">
        <v>313</v>
      </c>
      <c r="C74" s="1803" t="s">
        <v>242</v>
      </c>
      <c r="D74" s="1809">
        <v>1295</v>
      </c>
      <c r="E74" s="1807">
        <v>841</v>
      </c>
      <c r="F74" s="1813">
        <v>1</v>
      </c>
      <c r="G74" s="1843">
        <v>45509</v>
      </c>
      <c r="H74" s="1811">
        <v>45874</v>
      </c>
      <c r="K74" s="104" t="str">
        <f>IF('Rent Roll Analysis'!C75=0,"",'Rent Roll Analysis'!C75)</f>
        <v/>
      </c>
      <c r="L74" s="1565" t="str" cm="1">
        <f t="array" ref="L74">IF(K74="","",SUM(IF($K74=$C$4:$C$191,1,0)))</f>
        <v/>
      </c>
      <c r="M74" s="1565" t="str">
        <f t="shared" si="13"/>
        <v/>
      </c>
      <c r="N74" s="104" t="str">
        <f t="shared" si="14"/>
        <v/>
      </c>
      <c r="O74" s="104" t="str">
        <f t="shared" si="15"/>
        <v/>
      </c>
      <c r="P74" s="104" t="str">
        <f>IFERROR(INDEX('RRT Unit Mix (Paste)'!$G$3:$G$100,MATCH('RRT Summary (Paste)'!$K74,'RRT Unit Mix (Paste)'!$B$3:$B$100,0)),"")</f>
        <v/>
      </c>
      <c r="Q74" s="104" t="str">
        <f t="shared" si="16"/>
        <v/>
      </c>
      <c r="R74" s="104" t="str">
        <f t="shared" si="17"/>
        <v/>
      </c>
      <c r="S74" s="1567" t="str">
        <f t="shared" si="18"/>
        <v/>
      </c>
    </row>
    <row r="75" spans="1:19">
      <c r="A75" s="1804" t="s">
        <v>237</v>
      </c>
      <c r="B75" s="1804" t="s">
        <v>314</v>
      </c>
      <c r="C75" s="1804" t="s">
        <v>239</v>
      </c>
      <c r="D75" s="1810">
        <v>1296</v>
      </c>
      <c r="E75" s="1808">
        <v>1130</v>
      </c>
      <c r="F75" s="1814">
        <v>2</v>
      </c>
      <c r="G75" s="1843">
        <v>45793</v>
      </c>
      <c r="H75" s="1812">
        <v>45793</v>
      </c>
      <c r="K75" s="104" t="str">
        <f>IF('Rent Roll Analysis'!C76=0,"",'Rent Roll Analysis'!C76)</f>
        <v/>
      </c>
      <c r="L75" s="1565" t="str" cm="1">
        <f t="array" ref="L75">IF(K75="","",SUM(IF($K75=$C$4:$C$191,1,0)))</f>
        <v/>
      </c>
      <c r="M75" s="1565" t="str">
        <f t="shared" si="13"/>
        <v/>
      </c>
      <c r="N75" s="104" t="str">
        <f t="shared" si="14"/>
        <v/>
      </c>
      <c r="O75" s="104" t="str">
        <f t="shared" si="15"/>
        <v/>
      </c>
      <c r="P75" s="104" t="str">
        <f>IFERROR(INDEX('RRT Unit Mix (Paste)'!$G$3:$G$100,MATCH('RRT Summary (Paste)'!$K75,'RRT Unit Mix (Paste)'!$B$3:$B$100,0)),"")</f>
        <v/>
      </c>
      <c r="Q75" s="104" t="str">
        <f t="shared" si="16"/>
        <v/>
      </c>
      <c r="R75" s="104" t="str">
        <f t="shared" si="17"/>
        <v/>
      </c>
      <c r="S75" s="1567" t="str">
        <f t="shared" si="18"/>
        <v/>
      </c>
    </row>
    <row r="76" spans="1:19">
      <c r="A76" s="1803" t="s">
        <v>237</v>
      </c>
      <c r="B76" s="1803" t="s">
        <v>315</v>
      </c>
      <c r="C76" s="1803" t="s">
        <v>316</v>
      </c>
      <c r="D76" s="1809">
        <v>1541</v>
      </c>
      <c r="E76" s="1807">
        <v>1457</v>
      </c>
      <c r="F76" s="1813">
        <v>3</v>
      </c>
      <c r="G76" s="1843">
        <v>45863</v>
      </c>
      <c r="H76" s="1811">
        <v>45863</v>
      </c>
      <c r="K76" s="104" t="str">
        <f>IF('Rent Roll Analysis'!C77=0,"",'Rent Roll Analysis'!C77)</f>
        <v/>
      </c>
      <c r="L76" s="1565" t="str" cm="1">
        <f t="array" ref="L76">IF(K76="","",SUM(IF($K76=$C$4:$C$191,1,0)))</f>
        <v/>
      </c>
      <c r="M76" s="1565" t="str">
        <f t="shared" si="13"/>
        <v/>
      </c>
      <c r="N76" s="104" t="str">
        <f t="shared" si="14"/>
        <v/>
      </c>
      <c r="O76" s="104" t="str">
        <f t="shared" si="15"/>
        <v/>
      </c>
      <c r="P76" s="104" t="str">
        <f>IFERROR(INDEX('RRT Unit Mix (Paste)'!$G$3:$G$100,MATCH('RRT Summary (Paste)'!$K76,'RRT Unit Mix (Paste)'!$B$3:$B$100,0)),"")</f>
        <v/>
      </c>
      <c r="Q76" s="104" t="str">
        <f t="shared" si="16"/>
        <v/>
      </c>
      <c r="R76" s="104" t="str">
        <f t="shared" si="17"/>
        <v/>
      </c>
      <c r="S76" s="1567" t="str">
        <f t="shared" si="18"/>
        <v/>
      </c>
    </row>
    <row r="77" spans="1:19">
      <c r="A77" s="1804" t="s">
        <v>237</v>
      </c>
      <c r="B77" s="1804" t="s">
        <v>317</v>
      </c>
      <c r="C77" s="1804" t="s">
        <v>318</v>
      </c>
      <c r="D77" s="1810">
        <v>1163</v>
      </c>
      <c r="E77" s="1808">
        <v>841</v>
      </c>
      <c r="F77" s="1814">
        <v>1</v>
      </c>
      <c r="G77" s="1843">
        <v>45870</v>
      </c>
      <c r="H77" s="1812">
        <v>45870</v>
      </c>
      <c r="K77" s="104" t="str">
        <f>IF('Rent Roll Analysis'!C78=0,"",'Rent Roll Analysis'!C78)</f>
        <v/>
      </c>
      <c r="L77" s="1565" t="str" cm="1">
        <f t="array" ref="L77">IF(K77="","",SUM(IF($K77=$C$4:$C$191,1,0)))</f>
        <v/>
      </c>
      <c r="M77" s="1565" t="str">
        <f t="shared" si="13"/>
        <v/>
      </c>
      <c r="N77" s="104" t="str">
        <f t="shared" si="14"/>
        <v/>
      </c>
      <c r="O77" s="104" t="str">
        <f t="shared" si="15"/>
        <v/>
      </c>
      <c r="P77" s="104" t="str">
        <f>IFERROR(INDEX('RRT Unit Mix (Paste)'!$G$3:$G$100,MATCH('RRT Summary (Paste)'!$K77,'RRT Unit Mix (Paste)'!$B$3:$B$100,0)),"")</f>
        <v/>
      </c>
      <c r="Q77" s="104" t="str">
        <f t="shared" si="16"/>
        <v/>
      </c>
      <c r="R77" s="104" t="str">
        <f t="shared" si="17"/>
        <v/>
      </c>
      <c r="S77" s="1567" t="str">
        <f t="shared" si="18"/>
        <v/>
      </c>
    </row>
    <row r="78" spans="1:19">
      <c r="A78" s="1803" t="s">
        <v>237</v>
      </c>
      <c r="B78" s="1803" t="s">
        <v>319</v>
      </c>
      <c r="C78" s="1803" t="s">
        <v>316</v>
      </c>
      <c r="D78" s="1809">
        <v>1827</v>
      </c>
      <c r="E78" s="1807">
        <v>1457</v>
      </c>
      <c r="F78" s="1813">
        <v>3</v>
      </c>
      <c r="G78" s="1843">
        <v>45583</v>
      </c>
      <c r="H78" s="1811">
        <v>45948</v>
      </c>
      <c r="I78" s="104" t="s">
        <v>320</v>
      </c>
      <c r="K78" s="104" t="str">
        <f>IF('Rent Roll Analysis'!C79=0,"",'Rent Roll Analysis'!C79)</f>
        <v/>
      </c>
      <c r="L78" s="1565" t="str" cm="1">
        <f t="array" ref="L78">IF(K78="","",SUM(IF($K78=$C$4:$C$191,1,0)))</f>
        <v/>
      </c>
      <c r="M78" s="1565" t="str">
        <f t="shared" si="13"/>
        <v/>
      </c>
      <c r="N78" s="104" t="str">
        <f t="shared" si="14"/>
        <v/>
      </c>
      <c r="O78" s="104" t="str">
        <f t="shared" si="15"/>
        <v/>
      </c>
      <c r="P78" s="104" t="str">
        <f>IFERROR(INDEX('RRT Unit Mix (Paste)'!$G$3:$G$100,MATCH('RRT Summary (Paste)'!$K78,'RRT Unit Mix (Paste)'!$B$3:$B$100,0)),"")</f>
        <v/>
      </c>
      <c r="Q78" s="104" t="str">
        <f t="shared" si="16"/>
        <v/>
      </c>
      <c r="R78" s="104" t="str">
        <f t="shared" si="17"/>
        <v/>
      </c>
      <c r="S78" s="1567" t="str">
        <f t="shared" si="18"/>
        <v/>
      </c>
    </row>
    <row r="79" spans="1:19">
      <c r="A79" s="1804" t="s">
        <v>237</v>
      </c>
      <c r="B79" s="1804" t="s">
        <v>321</v>
      </c>
      <c r="C79" s="1804" t="s">
        <v>318</v>
      </c>
      <c r="D79" s="1810">
        <v>1165</v>
      </c>
      <c r="E79" s="1808">
        <v>841</v>
      </c>
      <c r="F79" s="1814">
        <v>1</v>
      </c>
      <c r="G79" s="1843">
        <v>45835</v>
      </c>
      <c r="H79" s="1812">
        <v>45835</v>
      </c>
      <c r="I79" s="104" t="s">
        <v>322</v>
      </c>
      <c r="K79" s="104" t="str">
        <f>IF('Rent Roll Analysis'!C80=0,"",'Rent Roll Analysis'!C80)</f>
        <v/>
      </c>
      <c r="L79" s="1565" t="str" cm="1">
        <f t="array" ref="L79">IF(K79="","",SUM(IF($K79=$C$4:$C$191,1,0)))</f>
        <v/>
      </c>
      <c r="M79" s="1565" t="str">
        <f t="shared" si="13"/>
        <v/>
      </c>
      <c r="N79" s="104" t="str">
        <f t="shared" si="14"/>
        <v/>
      </c>
      <c r="O79" s="104" t="str">
        <f t="shared" si="15"/>
        <v/>
      </c>
      <c r="P79" s="104" t="str">
        <f>IFERROR(INDEX('RRT Unit Mix (Paste)'!$G$3:$G$100,MATCH('RRT Summary (Paste)'!$K79,'RRT Unit Mix (Paste)'!$B$3:$B$100,0)),"")</f>
        <v/>
      </c>
      <c r="Q79" s="104" t="str">
        <f t="shared" si="16"/>
        <v/>
      </c>
      <c r="R79" s="104" t="str">
        <f t="shared" si="17"/>
        <v/>
      </c>
      <c r="S79" s="1567" t="str">
        <f t="shared" si="18"/>
        <v/>
      </c>
    </row>
    <row r="80" spans="1:19">
      <c r="A80" s="1803" t="s">
        <v>237</v>
      </c>
      <c r="B80" s="1803" t="s">
        <v>323</v>
      </c>
      <c r="C80" s="1803" t="s">
        <v>318</v>
      </c>
      <c r="D80" s="1809">
        <v>1244</v>
      </c>
      <c r="E80" s="1807">
        <v>841</v>
      </c>
      <c r="F80" s="1813">
        <v>1</v>
      </c>
      <c r="G80" s="1843">
        <v>45687</v>
      </c>
      <c r="H80" s="1811">
        <v>45687</v>
      </c>
      <c r="K80" s="104" t="str">
        <f>IF('Rent Roll Analysis'!C81=0,"",'Rent Roll Analysis'!C81)</f>
        <v/>
      </c>
      <c r="L80" s="1565" t="str" cm="1">
        <f t="array" ref="L80">IF(K80="","",SUM(IF($K80=$C$4:$C$191,1,0)))</f>
        <v/>
      </c>
      <c r="M80" s="1565" t="str">
        <f t="shared" si="13"/>
        <v/>
      </c>
      <c r="N80" s="104" t="str">
        <f t="shared" si="14"/>
        <v/>
      </c>
      <c r="O80" s="104" t="str">
        <f t="shared" si="15"/>
        <v/>
      </c>
      <c r="P80" s="104" t="str">
        <f>IFERROR(INDEX('RRT Unit Mix (Paste)'!$G$3:$G$100,MATCH('RRT Summary (Paste)'!$K80,'RRT Unit Mix (Paste)'!$B$3:$B$100,0)),"")</f>
        <v/>
      </c>
      <c r="Q80" s="104" t="str">
        <f t="shared" si="16"/>
        <v/>
      </c>
      <c r="R80" s="104" t="str">
        <f t="shared" si="17"/>
        <v/>
      </c>
      <c r="S80" s="1567" t="str">
        <f t="shared" si="18"/>
        <v/>
      </c>
    </row>
    <row r="81" spans="1:19">
      <c r="A81" s="1804" t="s">
        <v>267</v>
      </c>
      <c r="B81" s="1804" t="s">
        <v>324</v>
      </c>
      <c r="C81" s="1804" t="s">
        <v>244</v>
      </c>
      <c r="D81" s="1810"/>
      <c r="E81" s="1808">
        <v>1224</v>
      </c>
      <c r="F81" s="1814">
        <v>2</v>
      </c>
      <c r="G81" s="1843"/>
      <c r="H81" s="1812"/>
      <c r="K81" s="104" t="str">
        <f>IF('Rent Roll Analysis'!C82=0,"",'Rent Roll Analysis'!C82)</f>
        <v/>
      </c>
      <c r="L81" s="1565" t="str" cm="1">
        <f t="array" ref="L81">IF(K81="","",SUM(IF($K81=$C$4:$C$191,1,0)))</f>
        <v/>
      </c>
      <c r="M81" s="1565" t="str">
        <f t="shared" si="13"/>
        <v/>
      </c>
      <c r="N81" s="104" t="str">
        <f t="shared" si="14"/>
        <v/>
      </c>
      <c r="O81" s="104" t="str">
        <f t="shared" si="15"/>
        <v/>
      </c>
      <c r="P81" s="104" t="str">
        <f>IFERROR(INDEX('RRT Unit Mix (Paste)'!$G$3:$G$100,MATCH('RRT Summary (Paste)'!$K81,'RRT Unit Mix (Paste)'!$B$3:$B$100,0)),"")</f>
        <v/>
      </c>
      <c r="Q81" s="104" t="str">
        <f t="shared" si="16"/>
        <v/>
      </c>
      <c r="R81" s="104" t="str">
        <f t="shared" si="17"/>
        <v/>
      </c>
      <c r="S81" s="1567" t="str">
        <f t="shared" si="18"/>
        <v/>
      </c>
    </row>
    <row r="82" spans="1:19">
      <c r="A82" s="1803" t="s">
        <v>237</v>
      </c>
      <c r="B82" s="1803" t="s">
        <v>325</v>
      </c>
      <c r="C82" s="1803" t="s">
        <v>318</v>
      </c>
      <c r="D82" s="1809">
        <v>1393</v>
      </c>
      <c r="E82" s="1807">
        <v>841</v>
      </c>
      <c r="F82" s="1813">
        <v>1</v>
      </c>
      <c r="G82" s="1843">
        <v>45520</v>
      </c>
      <c r="H82" s="1811">
        <v>45885</v>
      </c>
      <c r="K82" s="104" t="str">
        <f>IF('Rent Roll Analysis'!C83=0,"",'Rent Roll Analysis'!C83)</f>
        <v/>
      </c>
      <c r="L82" s="1565" t="str" cm="1">
        <f t="array" ref="L82">IF(K82="","",SUM(IF($K82=$C$4:$C$191,1,0)))</f>
        <v/>
      </c>
      <c r="M82" s="1565" t="str">
        <f t="shared" si="13"/>
        <v/>
      </c>
      <c r="N82" s="104" t="str">
        <f t="shared" si="14"/>
        <v/>
      </c>
      <c r="O82" s="104" t="str">
        <f t="shared" si="15"/>
        <v/>
      </c>
      <c r="P82" s="104" t="str">
        <f>IFERROR(INDEX('RRT Unit Mix (Paste)'!$G$3:$G$100,MATCH('RRT Summary (Paste)'!$K82,'RRT Unit Mix (Paste)'!$B$3:$B$100,0)),"")</f>
        <v/>
      </c>
      <c r="Q82" s="104" t="str">
        <f t="shared" si="16"/>
        <v/>
      </c>
      <c r="R82" s="104" t="str">
        <f t="shared" si="17"/>
        <v/>
      </c>
      <c r="S82" s="1567" t="str">
        <f t="shared" si="18"/>
        <v/>
      </c>
    </row>
    <row r="83" spans="1:19">
      <c r="A83" s="1804" t="s">
        <v>237</v>
      </c>
      <c r="B83" s="1804" t="s">
        <v>326</v>
      </c>
      <c r="C83" s="1804" t="s">
        <v>239</v>
      </c>
      <c r="D83" s="1810">
        <v>1477</v>
      </c>
      <c r="E83" s="1808">
        <v>1130</v>
      </c>
      <c r="F83" s="1814">
        <v>2</v>
      </c>
      <c r="G83" s="1843">
        <v>45413</v>
      </c>
      <c r="H83" s="1812">
        <v>45836</v>
      </c>
      <c r="K83" s="104" t="str">
        <f>IF('Rent Roll Analysis'!C84=0,"",'Rent Roll Analysis'!C84)</f>
        <v/>
      </c>
      <c r="L83" s="1565" t="str" cm="1">
        <f t="array" ref="L83">IF(K83="","",SUM(IF($K83=$C$4:$C$191,1,0)))</f>
        <v/>
      </c>
      <c r="M83" s="1565" t="str">
        <f t="shared" si="13"/>
        <v/>
      </c>
      <c r="N83" s="104" t="str">
        <f t="shared" si="14"/>
        <v/>
      </c>
      <c r="O83" s="104" t="str">
        <f t="shared" si="15"/>
        <v/>
      </c>
      <c r="P83" s="104" t="str">
        <f>IFERROR(INDEX('RRT Unit Mix (Paste)'!$G$3:$G$100,MATCH('RRT Summary (Paste)'!$K83,'RRT Unit Mix (Paste)'!$B$3:$B$100,0)),"")</f>
        <v/>
      </c>
      <c r="Q83" s="104" t="str">
        <f t="shared" si="16"/>
        <v/>
      </c>
      <c r="R83" s="104" t="str">
        <f t="shared" si="17"/>
        <v/>
      </c>
      <c r="S83" s="1567" t="str">
        <f t="shared" si="18"/>
        <v/>
      </c>
    </row>
    <row r="84" spans="1:19">
      <c r="A84" s="1803" t="s">
        <v>237</v>
      </c>
      <c r="B84" s="1803" t="s">
        <v>327</v>
      </c>
      <c r="C84" s="1803" t="s">
        <v>316</v>
      </c>
      <c r="D84" s="1809">
        <v>1639</v>
      </c>
      <c r="E84" s="1807">
        <v>1457</v>
      </c>
      <c r="F84" s="1813">
        <v>3</v>
      </c>
      <c r="G84" s="1843">
        <v>45863</v>
      </c>
      <c r="H84" s="1811">
        <v>45863</v>
      </c>
      <c r="K84" s="104" t="str">
        <f>IF('Rent Roll Analysis'!C85=0,"",'Rent Roll Analysis'!C85)</f>
        <v/>
      </c>
      <c r="L84" s="1565" t="str" cm="1">
        <f t="array" ref="L84">IF(K84="","",SUM(IF($K84=$C$4:$C$191,1,0)))</f>
        <v/>
      </c>
      <c r="M84" s="1565" t="str">
        <f t="shared" si="13"/>
        <v/>
      </c>
      <c r="N84" s="104" t="str">
        <f t="shared" si="14"/>
        <v/>
      </c>
      <c r="O84" s="104" t="str">
        <f t="shared" si="15"/>
        <v/>
      </c>
      <c r="P84" s="104" t="str">
        <f>IFERROR(INDEX('RRT Unit Mix (Paste)'!$G$3:$G$100,MATCH('RRT Summary (Paste)'!$K84,'RRT Unit Mix (Paste)'!$B$3:$B$100,0)),"")</f>
        <v/>
      </c>
      <c r="Q84" s="104" t="str">
        <f t="shared" si="16"/>
        <v/>
      </c>
      <c r="R84" s="104" t="str">
        <f t="shared" si="17"/>
        <v/>
      </c>
      <c r="S84" s="1567" t="str">
        <f t="shared" si="18"/>
        <v/>
      </c>
    </row>
    <row r="85" spans="1:19">
      <c r="A85" s="1804" t="s">
        <v>237</v>
      </c>
      <c r="B85" s="1804" t="s">
        <v>328</v>
      </c>
      <c r="C85" s="1804" t="s">
        <v>318</v>
      </c>
      <c r="D85" s="1810">
        <v>1230</v>
      </c>
      <c r="E85" s="1808">
        <v>841</v>
      </c>
      <c r="F85" s="1814">
        <v>1</v>
      </c>
      <c r="G85" s="1843">
        <v>45653</v>
      </c>
      <c r="H85" s="1812">
        <v>46018</v>
      </c>
      <c r="K85" s="104" t="str">
        <f>IF('Rent Roll Analysis'!C86=0,"",'Rent Roll Analysis'!C86)</f>
        <v/>
      </c>
      <c r="L85" s="1565" t="str" cm="1">
        <f t="array" ref="L85">IF(K85="","",SUM(IF($K85=$C$4:$C$191,1,0)))</f>
        <v/>
      </c>
      <c r="M85" s="1565" t="str">
        <f t="shared" si="13"/>
        <v/>
      </c>
      <c r="N85" s="104" t="str">
        <f t="shared" si="14"/>
        <v/>
      </c>
      <c r="O85" s="104" t="str">
        <f t="shared" si="15"/>
        <v/>
      </c>
      <c r="P85" s="104" t="str">
        <f>IFERROR(INDEX('RRT Unit Mix (Paste)'!$G$3:$G$100,MATCH('RRT Summary (Paste)'!$K85,'RRT Unit Mix (Paste)'!$B$3:$B$100,0)),"")</f>
        <v/>
      </c>
      <c r="Q85" s="104" t="str">
        <f t="shared" si="16"/>
        <v/>
      </c>
      <c r="R85" s="104" t="str">
        <f t="shared" si="17"/>
        <v/>
      </c>
      <c r="S85" s="1567" t="str">
        <f t="shared" si="18"/>
        <v/>
      </c>
    </row>
    <row r="86" spans="1:19">
      <c r="A86" s="1803" t="s">
        <v>267</v>
      </c>
      <c r="B86" s="1803" t="s">
        <v>329</v>
      </c>
      <c r="C86" s="1803" t="s">
        <v>316</v>
      </c>
      <c r="D86" s="1809"/>
      <c r="E86" s="1807">
        <v>1457</v>
      </c>
      <c r="F86" s="1813">
        <v>3</v>
      </c>
      <c r="G86" s="1843"/>
      <c r="H86" s="1811"/>
      <c r="K86" s="104" t="str">
        <f>IF('Rent Roll Analysis'!C87=0,"",'Rent Roll Analysis'!C87)</f>
        <v/>
      </c>
      <c r="L86" s="1565" t="str" cm="1">
        <f t="array" ref="L86">IF(K86="","",SUM(IF($K86=$C$4:$C$191,1,0)))</f>
        <v/>
      </c>
      <c r="M86" s="1565" t="str">
        <f t="shared" si="13"/>
        <v/>
      </c>
      <c r="N86" s="104" t="str">
        <f t="shared" si="14"/>
        <v/>
      </c>
      <c r="O86" s="104" t="str">
        <f t="shared" si="15"/>
        <v/>
      </c>
      <c r="P86" s="104" t="str">
        <f>IFERROR(INDEX('RRT Unit Mix (Paste)'!$G$3:$G$100,MATCH('RRT Summary (Paste)'!$K86,'RRT Unit Mix (Paste)'!$B$3:$B$100,0)),"")</f>
        <v/>
      </c>
      <c r="Q86" s="104" t="str">
        <f t="shared" si="16"/>
        <v/>
      </c>
      <c r="R86" s="104" t="str">
        <f t="shared" si="17"/>
        <v/>
      </c>
      <c r="S86" s="1567" t="str">
        <f t="shared" si="18"/>
        <v/>
      </c>
    </row>
    <row r="87" spans="1:19">
      <c r="A87" s="1804" t="s">
        <v>237</v>
      </c>
      <c r="B87" s="1804" t="s">
        <v>330</v>
      </c>
      <c r="C87" s="1804" t="s">
        <v>318</v>
      </c>
      <c r="D87" s="1810">
        <v>1296</v>
      </c>
      <c r="E87" s="1808">
        <v>841</v>
      </c>
      <c r="F87" s="1814">
        <v>1</v>
      </c>
      <c r="G87" s="1843">
        <v>45420</v>
      </c>
      <c r="H87" s="1812">
        <v>45785</v>
      </c>
      <c r="K87" s="104" t="str">
        <f>IF('Rent Roll Analysis'!C88=0,"",'Rent Roll Analysis'!C88)</f>
        <v/>
      </c>
      <c r="L87" s="1565" t="str" cm="1">
        <f t="array" ref="L87">IF(K87="","",SUM(IF($K87=$C$4:$C$191,1,0)))</f>
        <v/>
      </c>
      <c r="M87" s="1565" t="str">
        <f t="shared" si="13"/>
        <v/>
      </c>
      <c r="N87" s="104" t="str">
        <f t="shared" si="14"/>
        <v/>
      </c>
      <c r="O87" s="104" t="str">
        <f t="shared" si="15"/>
        <v/>
      </c>
      <c r="P87" s="104" t="str">
        <f>IFERROR(INDEX('RRT Unit Mix (Paste)'!$G$3:$G$100,MATCH('RRT Summary (Paste)'!$K87,'RRT Unit Mix (Paste)'!$B$3:$B$100,0)),"")</f>
        <v/>
      </c>
      <c r="Q87" s="104" t="str">
        <f t="shared" si="16"/>
        <v/>
      </c>
      <c r="R87" s="104" t="str">
        <f t="shared" si="17"/>
        <v/>
      </c>
      <c r="S87" s="1567" t="str">
        <f t="shared" si="18"/>
        <v/>
      </c>
    </row>
    <row r="88" spans="1:19">
      <c r="A88" s="1803" t="s">
        <v>237</v>
      </c>
      <c r="B88" s="1803" t="s">
        <v>331</v>
      </c>
      <c r="C88" s="1803" t="s">
        <v>318</v>
      </c>
      <c r="D88" s="1809">
        <v>1113</v>
      </c>
      <c r="E88" s="1807">
        <v>841</v>
      </c>
      <c r="F88" s="1813">
        <v>1</v>
      </c>
      <c r="G88" s="1843">
        <v>45894</v>
      </c>
      <c r="H88" s="1811">
        <v>45894</v>
      </c>
      <c r="K88" s="104" t="str">
        <f>IF('Rent Roll Analysis'!C89=0,"",'Rent Roll Analysis'!C89)</f>
        <v/>
      </c>
      <c r="L88" s="1565" t="str" cm="1">
        <f t="array" ref="L88">IF(K88="","",SUM(IF($K88=$C$4:$C$191,1,0)))</f>
        <v/>
      </c>
      <c r="M88" s="1565" t="str">
        <f t="shared" si="13"/>
        <v/>
      </c>
      <c r="N88" s="104" t="str">
        <f t="shared" si="14"/>
        <v/>
      </c>
      <c r="O88" s="104" t="str">
        <f t="shared" si="15"/>
        <v/>
      </c>
      <c r="P88" s="104" t="str">
        <f>IFERROR(INDEX('RRT Unit Mix (Paste)'!$G$3:$G$100,MATCH('RRT Summary (Paste)'!$K88,'RRT Unit Mix (Paste)'!$B$3:$B$100,0)),"")</f>
        <v/>
      </c>
      <c r="Q88" s="104" t="str">
        <f t="shared" si="16"/>
        <v/>
      </c>
      <c r="R88" s="104" t="str">
        <f t="shared" si="17"/>
        <v/>
      </c>
      <c r="S88" s="1567" t="str">
        <f t="shared" si="18"/>
        <v/>
      </c>
    </row>
    <row r="89" spans="1:19">
      <c r="A89" s="1804" t="s">
        <v>237</v>
      </c>
      <c r="B89" s="1804" t="s">
        <v>332</v>
      </c>
      <c r="C89" s="1804" t="s">
        <v>244</v>
      </c>
      <c r="D89" s="1810">
        <v>1451</v>
      </c>
      <c r="E89" s="1808">
        <v>1224</v>
      </c>
      <c r="F89" s="1814">
        <v>2</v>
      </c>
      <c r="G89" s="1843">
        <v>45413</v>
      </c>
      <c r="H89" s="1812">
        <v>45413</v>
      </c>
      <c r="K89" s="104" t="str">
        <f>IF('Rent Roll Analysis'!C90=0,"",'Rent Roll Analysis'!C90)</f>
        <v/>
      </c>
      <c r="L89" s="1565" t="str" cm="1">
        <f t="array" ref="L89">IF(K89="","",SUM(IF($K89=$C$4:$C$191,1,0)))</f>
        <v/>
      </c>
      <c r="M89" s="1565" t="str">
        <f t="shared" si="13"/>
        <v/>
      </c>
      <c r="N89" s="104" t="str">
        <f t="shared" si="14"/>
        <v/>
      </c>
      <c r="O89" s="104" t="str">
        <f t="shared" si="15"/>
        <v/>
      </c>
      <c r="P89" s="104" t="str">
        <f>IFERROR(INDEX('RRT Unit Mix (Paste)'!$G$3:$G$100,MATCH('RRT Summary (Paste)'!$K89,'RRT Unit Mix (Paste)'!$B$3:$B$100,0)),"")</f>
        <v/>
      </c>
      <c r="Q89" s="104" t="str">
        <f t="shared" si="16"/>
        <v/>
      </c>
      <c r="R89" s="104" t="str">
        <f t="shared" si="17"/>
        <v/>
      </c>
      <c r="S89" s="1567" t="str">
        <f t="shared" si="18"/>
        <v/>
      </c>
    </row>
    <row r="90" spans="1:19">
      <c r="A90" s="1803" t="s">
        <v>237</v>
      </c>
      <c r="B90" s="1803" t="s">
        <v>333</v>
      </c>
      <c r="C90" s="1803" t="s">
        <v>318</v>
      </c>
      <c r="D90" s="1809">
        <v>1158</v>
      </c>
      <c r="E90" s="1807">
        <v>841</v>
      </c>
      <c r="F90" s="1813">
        <v>1</v>
      </c>
      <c r="G90" s="1843">
        <v>45912</v>
      </c>
      <c r="H90" s="1811">
        <v>45912</v>
      </c>
      <c r="K90" s="104" t="str">
        <f>IF('Rent Roll Analysis'!C91=0,"",'Rent Roll Analysis'!C91)</f>
        <v/>
      </c>
      <c r="L90" s="1565" t="str" cm="1">
        <f t="array" ref="L90">IF(K90="","",SUM(IF($K90=$C$4:$C$191,1,0)))</f>
        <v/>
      </c>
      <c r="M90" s="1565" t="str">
        <f t="shared" si="13"/>
        <v/>
      </c>
      <c r="N90" s="104" t="str">
        <f t="shared" si="14"/>
        <v/>
      </c>
      <c r="O90" s="104" t="str">
        <f t="shared" si="15"/>
        <v/>
      </c>
      <c r="P90" s="104" t="str">
        <f>IFERROR(INDEX('RRT Unit Mix (Paste)'!$G$3:$G$100,MATCH('RRT Summary (Paste)'!$K90,'RRT Unit Mix (Paste)'!$B$3:$B$100,0)),"")</f>
        <v/>
      </c>
      <c r="Q90" s="104" t="str">
        <f t="shared" si="16"/>
        <v/>
      </c>
      <c r="R90" s="104" t="str">
        <f t="shared" si="17"/>
        <v/>
      </c>
      <c r="S90" s="1567" t="str">
        <f t="shared" si="18"/>
        <v/>
      </c>
    </row>
    <row r="91" spans="1:19">
      <c r="A91" s="1804" t="s">
        <v>237</v>
      </c>
      <c r="B91" s="1804" t="s">
        <v>334</v>
      </c>
      <c r="C91" s="1804" t="s">
        <v>239</v>
      </c>
      <c r="D91" s="1810">
        <v>1434</v>
      </c>
      <c r="E91" s="1808">
        <v>1130</v>
      </c>
      <c r="F91" s="1814">
        <v>2</v>
      </c>
      <c r="G91" s="1843">
        <v>45442</v>
      </c>
      <c r="H91" s="1812">
        <v>45807</v>
      </c>
      <c r="K91" s="104" t="str">
        <f>IF('Rent Roll Analysis'!C92=0,"",'Rent Roll Analysis'!C92)</f>
        <v/>
      </c>
      <c r="L91" s="1565" t="str" cm="1">
        <f t="array" ref="L91">IF(K91="","",SUM(IF($K91=$C$4:$C$191,1,0)))</f>
        <v/>
      </c>
      <c r="M91" s="1565" t="str">
        <f t="shared" si="13"/>
        <v/>
      </c>
      <c r="N91" s="104" t="str">
        <f t="shared" si="14"/>
        <v/>
      </c>
      <c r="O91" s="104" t="str">
        <f t="shared" si="15"/>
        <v/>
      </c>
      <c r="P91" s="104" t="str">
        <f>IFERROR(INDEX('RRT Unit Mix (Paste)'!$G$3:$G$100,MATCH('RRT Summary (Paste)'!$K91,'RRT Unit Mix (Paste)'!$B$3:$B$100,0)),"")</f>
        <v/>
      </c>
      <c r="Q91" s="104" t="str">
        <f t="shared" si="16"/>
        <v/>
      </c>
      <c r="R91" s="104" t="str">
        <f t="shared" si="17"/>
        <v/>
      </c>
      <c r="S91" s="1567" t="str">
        <f t="shared" si="18"/>
        <v/>
      </c>
    </row>
    <row r="92" spans="1:19">
      <c r="A92" s="1803" t="s">
        <v>237</v>
      </c>
      <c r="B92" s="1803" t="s">
        <v>335</v>
      </c>
      <c r="C92" s="1803" t="s">
        <v>316</v>
      </c>
      <c r="D92" s="1809">
        <v>1566</v>
      </c>
      <c r="E92" s="1807">
        <v>1457</v>
      </c>
      <c r="F92" s="1813">
        <v>3</v>
      </c>
      <c r="G92" s="1843">
        <v>45862</v>
      </c>
      <c r="H92" s="1811">
        <v>45862</v>
      </c>
      <c r="K92" s="104" t="str">
        <f>IF('Rent Roll Analysis'!C93=0,"",'Rent Roll Analysis'!C93)</f>
        <v/>
      </c>
      <c r="L92" s="1565" t="str" cm="1">
        <f t="array" ref="L92">IF(K92="","",SUM(IF($K92=$C$4:$C$191,1,0)))</f>
        <v/>
      </c>
      <c r="M92" s="1565" t="str">
        <f t="shared" si="13"/>
        <v/>
      </c>
      <c r="N92" s="104" t="str">
        <f t="shared" si="14"/>
        <v/>
      </c>
      <c r="O92" s="104" t="str">
        <f t="shared" si="15"/>
        <v/>
      </c>
      <c r="P92" s="104" t="str">
        <f>IFERROR(INDEX('RRT Unit Mix (Paste)'!$G$3:$G$100,MATCH('RRT Summary (Paste)'!$K92,'RRT Unit Mix (Paste)'!$B$3:$B$100,0)),"")</f>
        <v/>
      </c>
      <c r="Q92" s="104" t="str">
        <f t="shared" si="16"/>
        <v/>
      </c>
      <c r="R92" s="104" t="str">
        <f t="shared" si="17"/>
        <v/>
      </c>
      <c r="S92" s="1567" t="str">
        <f t="shared" si="18"/>
        <v/>
      </c>
    </row>
    <row r="93" spans="1:19">
      <c r="A93" s="1804" t="s">
        <v>237</v>
      </c>
      <c r="B93" s="1804" t="s">
        <v>336</v>
      </c>
      <c r="C93" s="1804" t="s">
        <v>318</v>
      </c>
      <c r="D93" s="1810">
        <v>1234</v>
      </c>
      <c r="E93" s="1808">
        <v>841</v>
      </c>
      <c r="F93" s="1814">
        <v>1</v>
      </c>
      <c r="G93" s="1843">
        <v>45413</v>
      </c>
      <c r="H93" s="1812">
        <v>45777</v>
      </c>
      <c r="K93" s="104" t="str">
        <f>IF('Rent Roll Analysis'!C94=0,"",'Rent Roll Analysis'!C94)</f>
        <v/>
      </c>
      <c r="L93" s="1565" t="str" cm="1">
        <f t="array" ref="L93">IF(K93="","",SUM(IF($K93=$C$4:$C$191,1,0)))</f>
        <v/>
      </c>
      <c r="M93" s="1565" t="str">
        <f t="shared" si="13"/>
        <v/>
      </c>
      <c r="N93" s="104" t="str">
        <f t="shared" si="14"/>
        <v/>
      </c>
      <c r="O93" s="104" t="str">
        <f t="shared" si="15"/>
        <v/>
      </c>
      <c r="P93" s="104" t="str">
        <f>IFERROR(INDEX('RRT Unit Mix (Paste)'!$G$3:$G$100,MATCH('RRT Summary (Paste)'!$K93,'RRT Unit Mix (Paste)'!$B$3:$B$100,0)),"")</f>
        <v/>
      </c>
      <c r="Q93" s="104" t="str">
        <f t="shared" si="16"/>
        <v/>
      </c>
      <c r="R93" s="104" t="str">
        <f t="shared" si="17"/>
        <v/>
      </c>
      <c r="S93" s="1567" t="str">
        <f t="shared" si="18"/>
        <v/>
      </c>
    </row>
    <row r="94" spans="1:19">
      <c r="A94" s="1803" t="s">
        <v>237</v>
      </c>
      <c r="B94" s="1803" t="s">
        <v>337</v>
      </c>
      <c r="C94" s="1803" t="s">
        <v>316</v>
      </c>
      <c r="D94" s="1809">
        <v>1464</v>
      </c>
      <c r="E94" s="1807">
        <v>1457</v>
      </c>
      <c r="F94" s="1813">
        <v>3</v>
      </c>
      <c r="G94" s="1843">
        <v>45936</v>
      </c>
      <c r="H94" s="1811">
        <v>45936</v>
      </c>
      <c r="K94" s="104" t="str">
        <f>IF('Rent Roll Analysis'!C95=0,"",'Rent Roll Analysis'!C95)</f>
        <v/>
      </c>
      <c r="L94" s="1565" t="str" cm="1">
        <f t="array" ref="L94">IF(K94="","",SUM(IF($K94=$C$4:$C$191,1,0)))</f>
        <v/>
      </c>
      <c r="M94" s="1565" t="str">
        <f t="shared" si="13"/>
        <v/>
      </c>
      <c r="N94" s="104" t="str">
        <f t="shared" si="14"/>
        <v/>
      </c>
      <c r="O94" s="104" t="str">
        <f t="shared" si="15"/>
        <v/>
      </c>
      <c r="P94" s="104" t="str">
        <f>IFERROR(INDEX('RRT Unit Mix (Paste)'!$G$3:$G$100,MATCH('RRT Summary (Paste)'!$K94,'RRT Unit Mix (Paste)'!$B$3:$B$100,0)),"")</f>
        <v/>
      </c>
      <c r="Q94" s="104" t="str">
        <f t="shared" si="16"/>
        <v/>
      </c>
      <c r="R94" s="104" t="str">
        <f t="shared" si="17"/>
        <v/>
      </c>
      <c r="S94" s="1567" t="str">
        <f t="shared" si="18"/>
        <v/>
      </c>
    </row>
    <row r="95" spans="1:19">
      <c r="A95" s="1804" t="s">
        <v>237</v>
      </c>
      <c r="B95" s="1804" t="s">
        <v>338</v>
      </c>
      <c r="C95" s="1804" t="s">
        <v>318</v>
      </c>
      <c r="D95" s="1810">
        <v>1228</v>
      </c>
      <c r="E95" s="1808">
        <v>841</v>
      </c>
      <c r="F95" s="1814">
        <v>1</v>
      </c>
      <c r="G95" s="1843">
        <v>45645</v>
      </c>
      <c r="H95" s="1812">
        <v>45645</v>
      </c>
      <c r="K95" s="104" t="str">
        <f>IF('Rent Roll Analysis'!C96=0,"",'Rent Roll Analysis'!C96)</f>
        <v/>
      </c>
      <c r="L95" s="1565" t="str" cm="1">
        <f t="array" ref="L95">IF(K95="","",SUM(IF($K95=$C$4:$C$191,1,0)))</f>
        <v/>
      </c>
      <c r="M95" s="1565" t="str">
        <f t="shared" si="13"/>
        <v/>
      </c>
      <c r="N95" s="104" t="str">
        <f t="shared" si="14"/>
        <v/>
      </c>
      <c r="O95" s="104" t="str">
        <f t="shared" si="15"/>
        <v/>
      </c>
      <c r="P95" s="104" t="str">
        <f>IFERROR(INDEX('RRT Unit Mix (Paste)'!$G$3:$G$100,MATCH('RRT Summary (Paste)'!$K95,'RRT Unit Mix (Paste)'!$B$3:$B$100,0)),"")</f>
        <v/>
      </c>
      <c r="Q95" s="104" t="str">
        <f t="shared" si="16"/>
        <v/>
      </c>
      <c r="R95" s="104" t="str">
        <f t="shared" si="17"/>
        <v/>
      </c>
      <c r="S95" s="1567" t="str">
        <f t="shared" si="18"/>
        <v/>
      </c>
    </row>
    <row r="96" spans="1:19">
      <c r="A96" s="1803" t="s">
        <v>237</v>
      </c>
      <c r="B96" s="1803" t="s">
        <v>339</v>
      </c>
      <c r="C96" s="1803" t="s">
        <v>318</v>
      </c>
      <c r="D96" s="1809">
        <v>1099</v>
      </c>
      <c r="E96" s="1807">
        <v>841</v>
      </c>
      <c r="F96" s="1813">
        <v>1</v>
      </c>
      <c r="G96" s="1843">
        <v>45859</v>
      </c>
      <c r="H96" s="1811">
        <v>45859</v>
      </c>
      <c r="K96" s="104" t="str">
        <f>IF('Rent Roll Analysis'!C97=0,"",'Rent Roll Analysis'!C97)</f>
        <v/>
      </c>
      <c r="L96" s="1565" t="str" cm="1">
        <f t="array" ref="L96">IF(K96="","",SUM(IF($K96=$C$4:$C$191,1,0)))</f>
        <v/>
      </c>
      <c r="M96" s="1565" t="str">
        <f t="shared" si="13"/>
        <v/>
      </c>
      <c r="N96" s="104" t="str">
        <f t="shared" si="14"/>
        <v/>
      </c>
      <c r="O96" s="104" t="str">
        <f t="shared" si="15"/>
        <v/>
      </c>
      <c r="P96" s="104" t="str">
        <f>IFERROR(INDEX('RRT Unit Mix (Paste)'!$G$3:$G$100,MATCH('RRT Summary (Paste)'!$K96,'RRT Unit Mix (Paste)'!$B$3:$B$100,0)),"")</f>
        <v/>
      </c>
      <c r="Q96" s="104" t="str">
        <f t="shared" si="16"/>
        <v/>
      </c>
      <c r="R96" s="104" t="str">
        <f t="shared" si="17"/>
        <v/>
      </c>
      <c r="S96" s="1567" t="str">
        <f t="shared" si="18"/>
        <v/>
      </c>
    </row>
    <row r="97" spans="1:19">
      <c r="A97" s="1804" t="s">
        <v>237</v>
      </c>
      <c r="B97" s="1804" t="s">
        <v>340</v>
      </c>
      <c r="C97" s="1804" t="s">
        <v>244</v>
      </c>
      <c r="D97" s="1810">
        <v>1371</v>
      </c>
      <c r="E97" s="1808">
        <v>1224</v>
      </c>
      <c r="F97" s="1814">
        <v>2</v>
      </c>
      <c r="G97" s="1843">
        <v>45778</v>
      </c>
      <c r="H97" s="1812">
        <v>45778</v>
      </c>
      <c r="K97" s="104" t="str">
        <f>IF('Rent Roll Analysis'!C98=0,"",'Rent Roll Analysis'!C98)</f>
        <v/>
      </c>
      <c r="L97" s="1565" t="str" cm="1">
        <f t="array" ref="L97">IF(K97="","",SUM(IF($K97=$C$4:$C$191,1,0)))</f>
        <v/>
      </c>
      <c r="M97" s="1565" t="str">
        <f t="shared" si="13"/>
        <v/>
      </c>
      <c r="N97" s="104" t="str">
        <f t="shared" si="14"/>
        <v/>
      </c>
      <c r="O97" s="104" t="str">
        <f t="shared" si="15"/>
        <v/>
      </c>
      <c r="P97" s="104" t="str">
        <f>IFERROR(INDEX('RRT Unit Mix (Paste)'!$G$3:$G$100,MATCH('RRT Summary (Paste)'!$K97,'RRT Unit Mix (Paste)'!$B$3:$B$100,0)),"")</f>
        <v/>
      </c>
      <c r="Q97" s="104" t="str">
        <f t="shared" si="16"/>
        <v/>
      </c>
      <c r="R97" s="104" t="str">
        <f t="shared" si="17"/>
        <v/>
      </c>
      <c r="S97" s="1567" t="str">
        <f t="shared" si="18"/>
        <v/>
      </c>
    </row>
    <row r="98" spans="1:19">
      <c r="A98" s="1803" t="s">
        <v>237</v>
      </c>
      <c r="B98" s="1803" t="s">
        <v>341</v>
      </c>
      <c r="C98" s="1803" t="s">
        <v>318</v>
      </c>
      <c r="D98" s="1809">
        <v>1079</v>
      </c>
      <c r="E98" s="1807">
        <v>841</v>
      </c>
      <c r="F98" s="1813">
        <v>1</v>
      </c>
      <c r="G98" s="1843">
        <v>45791</v>
      </c>
      <c r="H98" s="1811">
        <v>45791</v>
      </c>
      <c r="K98" s="104" t="str">
        <f>IF('Rent Roll Analysis'!C99=0,"",'Rent Roll Analysis'!C99)</f>
        <v/>
      </c>
      <c r="L98" s="1565" t="str" cm="1">
        <f t="array" ref="L98">IF(K98="","",SUM(IF($K98=$C$4:$C$191,1,0)))</f>
        <v/>
      </c>
      <c r="M98" s="1565" t="str">
        <f t="shared" si="13"/>
        <v/>
      </c>
      <c r="N98" s="104" t="str">
        <f t="shared" si="14"/>
        <v/>
      </c>
      <c r="O98" s="104" t="str">
        <f t="shared" si="15"/>
        <v/>
      </c>
      <c r="P98" s="104" t="str">
        <f>IFERROR(INDEX('RRT Unit Mix (Paste)'!$G$3:$G$100,MATCH('RRT Summary (Paste)'!$K98,'RRT Unit Mix (Paste)'!$B$3:$B$100,0)),"")</f>
        <v/>
      </c>
      <c r="Q98" s="104" t="str">
        <f t="shared" si="16"/>
        <v/>
      </c>
      <c r="R98" s="104" t="str">
        <f t="shared" si="17"/>
        <v/>
      </c>
      <c r="S98" s="1567" t="str">
        <f t="shared" si="18"/>
        <v/>
      </c>
    </row>
    <row r="99" spans="1:19">
      <c r="A99" s="1804" t="s">
        <v>237</v>
      </c>
      <c r="B99" s="1804" t="s">
        <v>342</v>
      </c>
      <c r="C99" s="1804" t="s">
        <v>239</v>
      </c>
      <c r="D99" s="1810">
        <v>1398</v>
      </c>
      <c r="E99" s="1808">
        <v>1130</v>
      </c>
      <c r="F99" s="1814">
        <v>2</v>
      </c>
      <c r="G99" s="1843">
        <v>45698</v>
      </c>
      <c r="H99" s="1812">
        <v>45698</v>
      </c>
      <c r="K99" s="104" t="str">
        <f>IF('Rent Roll Analysis'!C100=0,"",'Rent Roll Analysis'!C100)</f>
        <v/>
      </c>
      <c r="L99" s="1565" t="str" cm="1">
        <f t="array" ref="L99">IF(K99="","",SUM(IF($K99=$C$4:$C$191,1,0)))</f>
        <v/>
      </c>
      <c r="M99" s="1565" t="str">
        <f t="shared" si="13"/>
        <v/>
      </c>
      <c r="N99" s="104" t="str">
        <f t="shared" si="14"/>
        <v/>
      </c>
      <c r="O99" s="104" t="str">
        <f t="shared" si="15"/>
        <v/>
      </c>
      <c r="P99" s="104" t="str">
        <f>IFERROR(INDEX('RRT Unit Mix (Paste)'!$G$3:$G$100,MATCH('RRT Summary (Paste)'!$K99,'RRT Unit Mix (Paste)'!$B$3:$B$100,0)),"")</f>
        <v/>
      </c>
      <c r="Q99" s="104" t="str">
        <f t="shared" si="16"/>
        <v/>
      </c>
      <c r="R99" s="104" t="str">
        <f t="shared" si="17"/>
        <v/>
      </c>
      <c r="S99" s="1567" t="str">
        <f t="shared" si="18"/>
        <v/>
      </c>
    </row>
    <row r="100" spans="1:19">
      <c r="A100" s="1803" t="s">
        <v>237</v>
      </c>
      <c r="B100" s="1803" t="s">
        <v>343</v>
      </c>
      <c r="C100" s="1803" t="s">
        <v>239</v>
      </c>
      <c r="D100" s="1809">
        <v>1458</v>
      </c>
      <c r="E100" s="1807">
        <v>1130</v>
      </c>
      <c r="F100" s="1813">
        <v>2</v>
      </c>
      <c r="G100" s="1843">
        <v>45352</v>
      </c>
      <c r="H100" s="1811">
        <v>45716</v>
      </c>
      <c r="K100" s="104" t="str">
        <f>IF('Rent Roll Analysis'!C101=0,"",'Rent Roll Analysis'!C101)</f>
        <v/>
      </c>
      <c r="L100" s="1565" t="str" cm="1">
        <f t="array" ref="L100">IF(K100="","",SUM(IF($K100=$C$4:$C$191,1,0)))</f>
        <v/>
      </c>
      <c r="M100" s="1565" t="str">
        <f t="shared" si="13"/>
        <v/>
      </c>
      <c r="N100" s="104" t="str">
        <f t="shared" si="14"/>
        <v/>
      </c>
      <c r="O100" s="104" t="str">
        <f t="shared" si="15"/>
        <v/>
      </c>
      <c r="P100" s="104" t="str">
        <f>IFERROR(INDEX('RRT Unit Mix (Paste)'!$G$3:$G$100,MATCH('RRT Summary (Paste)'!$K100,'RRT Unit Mix (Paste)'!$B$3:$B$100,0)),"")</f>
        <v/>
      </c>
      <c r="Q100" s="104" t="str">
        <f t="shared" si="16"/>
        <v/>
      </c>
      <c r="R100" s="104" t="str">
        <f t="shared" si="17"/>
        <v/>
      </c>
      <c r="S100" s="1567" t="str">
        <f t="shared" si="18"/>
        <v/>
      </c>
    </row>
    <row r="101" spans="1:19">
      <c r="A101" s="1804" t="s">
        <v>237</v>
      </c>
      <c r="B101" s="1804" t="s">
        <v>344</v>
      </c>
      <c r="C101" s="1804" t="s">
        <v>318</v>
      </c>
      <c r="D101" s="1810">
        <v>1186</v>
      </c>
      <c r="E101" s="1808">
        <v>841</v>
      </c>
      <c r="F101" s="1814">
        <v>1</v>
      </c>
      <c r="G101" s="1843">
        <v>45726</v>
      </c>
      <c r="H101" s="1812">
        <v>45726</v>
      </c>
      <c r="L101" s="1565"/>
    </row>
    <row r="102" spans="1:19">
      <c r="A102" s="1803" t="s">
        <v>237</v>
      </c>
      <c r="B102" s="1803" t="s">
        <v>345</v>
      </c>
      <c r="C102" s="1803" t="s">
        <v>318</v>
      </c>
      <c r="D102" s="1809">
        <v>1336</v>
      </c>
      <c r="E102" s="1807">
        <v>841</v>
      </c>
      <c r="F102" s="1813">
        <v>1</v>
      </c>
      <c r="G102" s="1843">
        <v>45352</v>
      </c>
      <c r="H102" s="1811">
        <v>45716</v>
      </c>
    </row>
    <row r="103" spans="1:19">
      <c r="A103" s="1804" t="s">
        <v>237</v>
      </c>
      <c r="B103" s="1804" t="s">
        <v>346</v>
      </c>
      <c r="C103" s="1804" t="s">
        <v>318</v>
      </c>
      <c r="D103" s="1810">
        <v>1197</v>
      </c>
      <c r="E103" s="1808">
        <v>841</v>
      </c>
      <c r="F103" s="1814">
        <v>1</v>
      </c>
      <c r="G103" s="1843">
        <v>45729</v>
      </c>
      <c r="H103" s="1812">
        <v>45729</v>
      </c>
    </row>
    <row r="104" spans="1:19">
      <c r="A104" s="1803" t="s">
        <v>237</v>
      </c>
      <c r="B104" s="1803" t="s">
        <v>347</v>
      </c>
      <c r="C104" s="1803" t="s">
        <v>316</v>
      </c>
      <c r="D104" s="1809">
        <v>1641</v>
      </c>
      <c r="E104" s="1807">
        <v>1457</v>
      </c>
      <c r="F104" s="1813">
        <v>3</v>
      </c>
      <c r="G104" s="1843">
        <v>45856</v>
      </c>
      <c r="H104" s="1811">
        <v>46023</v>
      </c>
    </row>
    <row r="105" spans="1:19">
      <c r="A105" s="1804" t="s">
        <v>237</v>
      </c>
      <c r="B105" s="1804" t="s">
        <v>348</v>
      </c>
      <c r="C105" s="1804" t="s">
        <v>318</v>
      </c>
      <c r="D105" s="1810">
        <v>1217</v>
      </c>
      <c r="E105" s="1808">
        <v>841</v>
      </c>
      <c r="F105" s="1814">
        <v>1</v>
      </c>
      <c r="G105" s="1843">
        <v>45470</v>
      </c>
      <c r="H105" s="1812">
        <v>45470</v>
      </c>
    </row>
    <row r="106" spans="1:19">
      <c r="A106" s="1803" t="s">
        <v>237</v>
      </c>
      <c r="B106" s="1803" t="s">
        <v>349</v>
      </c>
      <c r="C106" s="1803" t="s">
        <v>316</v>
      </c>
      <c r="D106" s="1809">
        <v>1539</v>
      </c>
      <c r="E106" s="1807">
        <v>1457</v>
      </c>
      <c r="F106" s="1813">
        <v>3</v>
      </c>
      <c r="G106" s="1843">
        <v>45897</v>
      </c>
      <c r="H106" s="1811">
        <v>45897</v>
      </c>
    </row>
    <row r="107" spans="1:19">
      <c r="A107" s="1804" t="s">
        <v>237</v>
      </c>
      <c r="B107" s="1804" t="s">
        <v>350</v>
      </c>
      <c r="C107" s="1804" t="s">
        <v>239</v>
      </c>
      <c r="D107" s="1810">
        <v>1347</v>
      </c>
      <c r="E107" s="1808">
        <v>1130</v>
      </c>
      <c r="F107" s="1814">
        <v>2</v>
      </c>
      <c r="G107" s="1843">
        <v>45866</v>
      </c>
      <c r="H107" s="1812">
        <v>45866</v>
      </c>
    </row>
    <row r="108" spans="1:19">
      <c r="A108" s="1803" t="s">
        <v>237</v>
      </c>
      <c r="B108" s="1803" t="s">
        <v>351</v>
      </c>
      <c r="C108" s="1803" t="s">
        <v>318</v>
      </c>
      <c r="D108" s="1809">
        <v>1123</v>
      </c>
      <c r="E108" s="1807">
        <v>841</v>
      </c>
      <c r="F108" s="1813">
        <v>1</v>
      </c>
      <c r="G108" s="1843">
        <v>45891</v>
      </c>
      <c r="H108" s="1811">
        <v>45891</v>
      </c>
    </row>
    <row r="109" spans="1:19">
      <c r="A109" s="1804" t="s">
        <v>237</v>
      </c>
      <c r="B109" s="1804" t="s">
        <v>352</v>
      </c>
      <c r="C109" s="1804" t="s">
        <v>244</v>
      </c>
      <c r="D109" s="1810">
        <v>1390</v>
      </c>
      <c r="E109" s="1808">
        <v>1224</v>
      </c>
      <c r="F109" s="1814">
        <v>2</v>
      </c>
      <c r="G109" s="1843">
        <v>45870</v>
      </c>
      <c r="H109" s="1812">
        <v>45870</v>
      </c>
    </row>
    <row r="110" spans="1:19">
      <c r="A110" s="1803" t="s">
        <v>237</v>
      </c>
      <c r="B110" s="1803" t="s">
        <v>353</v>
      </c>
      <c r="C110" s="1803" t="s">
        <v>318</v>
      </c>
      <c r="D110" s="1809">
        <v>1315</v>
      </c>
      <c r="E110" s="1807">
        <v>841</v>
      </c>
      <c r="F110" s="1813">
        <v>1</v>
      </c>
      <c r="G110" s="1843">
        <v>45505</v>
      </c>
      <c r="H110" s="1811">
        <v>45869</v>
      </c>
      <c r="I110" s="104" t="s">
        <v>322</v>
      </c>
    </row>
    <row r="111" spans="1:19">
      <c r="A111" s="1804" t="s">
        <v>237</v>
      </c>
      <c r="B111" s="1804" t="s">
        <v>354</v>
      </c>
      <c r="C111" s="1804" t="s">
        <v>318</v>
      </c>
      <c r="D111" s="1810">
        <v>1091</v>
      </c>
      <c r="E111" s="1808">
        <v>841</v>
      </c>
      <c r="F111" s="1814">
        <v>1</v>
      </c>
      <c r="G111" s="1843">
        <v>45806</v>
      </c>
      <c r="H111" s="1812">
        <v>45806</v>
      </c>
    </row>
    <row r="112" spans="1:19">
      <c r="A112" s="1803" t="s">
        <v>237</v>
      </c>
      <c r="B112" s="1803" t="s">
        <v>355</v>
      </c>
      <c r="C112" s="1803" t="s">
        <v>316</v>
      </c>
      <c r="D112" s="1809">
        <v>1498</v>
      </c>
      <c r="E112" s="1807">
        <v>1457</v>
      </c>
      <c r="F112" s="1813">
        <v>3</v>
      </c>
      <c r="G112" s="1843">
        <v>45982</v>
      </c>
      <c r="H112" s="1811">
        <v>45982</v>
      </c>
    </row>
    <row r="113" spans="1:8">
      <c r="A113" s="1804" t="s">
        <v>237</v>
      </c>
      <c r="B113" s="1804" t="s">
        <v>356</v>
      </c>
      <c r="C113" s="1804" t="s">
        <v>318</v>
      </c>
      <c r="D113" s="1810">
        <v>1220</v>
      </c>
      <c r="E113" s="1808">
        <v>841</v>
      </c>
      <c r="F113" s="1814">
        <v>1</v>
      </c>
      <c r="G113" s="1843">
        <v>45674</v>
      </c>
      <c r="H113" s="1812">
        <v>45674</v>
      </c>
    </row>
    <row r="114" spans="1:8">
      <c r="A114" s="1803" t="s">
        <v>237</v>
      </c>
      <c r="B114" s="1803" t="s">
        <v>357</v>
      </c>
      <c r="C114" s="1803" t="s">
        <v>316</v>
      </c>
      <c r="D114" s="1809">
        <v>1786</v>
      </c>
      <c r="E114" s="1807">
        <v>1457</v>
      </c>
      <c r="F114" s="1813">
        <v>3</v>
      </c>
      <c r="G114" s="1843">
        <v>45359</v>
      </c>
      <c r="H114" s="1811">
        <v>45724</v>
      </c>
    </row>
    <row r="115" spans="1:8">
      <c r="A115" s="1804" t="s">
        <v>237</v>
      </c>
      <c r="B115" s="1804" t="s">
        <v>358</v>
      </c>
      <c r="C115" s="1804" t="s">
        <v>239</v>
      </c>
      <c r="D115" s="1810">
        <v>1406</v>
      </c>
      <c r="E115" s="1808">
        <v>1130</v>
      </c>
      <c r="F115" s="1814">
        <v>2</v>
      </c>
      <c r="G115" s="1843">
        <v>45394</v>
      </c>
      <c r="H115" s="1812">
        <v>45759</v>
      </c>
    </row>
    <row r="116" spans="1:8">
      <c r="A116" s="1803" t="s">
        <v>237</v>
      </c>
      <c r="B116" s="1803" t="s">
        <v>359</v>
      </c>
      <c r="C116" s="1803" t="s">
        <v>318</v>
      </c>
      <c r="D116" s="1809">
        <v>1044</v>
      </c>
      <c r="E116" s="1807">
        <v>841</v>
      </c>
      <c r="F116" s="1813">
        <v>1</v>
      </c>
      <c r="G116" s="1843">
        <v>45806</v>
      </c>
      <c r="H116" s="1811">
        <v>45806</v>
      </c>
    </row>
    <row r="117" spans="1:8">
      <c r="A117" s="1804" t="s">
        <v>237</v>
      </c>
      <c r="B117" s="1804" t="s">
        <v>360</v>
      </c>
      <c r="C117" s="1804" t="s">
        <v>244</v>
      </c>
      <c r="D117" s="1810">
        <v>1506</v>
      </c>
      <c r="E117" s="1808">
        <v>1224</v>
      </c>
      <c r="F117" s="1814">
        <v>2</v>
      </c>
      <c r="G117" s="1843">
        <v>45357</v>
      </c>
      <c r="H117" s="1812">
        <v>46023</v>
      </c>
    </row>
    <row r="118" spans="1:8">
      <c r="A118" s="1803" t="s">
        <v>237</v>
      </c>
      <c r="B118" s="1803" t="s">
        <v>361</v>
      </c>
      <c r="C118" s="1803" t="s">
        <v>318</v>
      </c>
      <c r="D118" s="1809">
        <v>1086</v>
      </c>
      <c r="E118" s="1807">
        <v>841</v>
      </c>
      <c r="F118" s="1813">
        <v>1</v>
      </c>
      <c r="G118" s="1843">
        <v>45778</v>
      </c>
      <c r="H118" s="1811">
        <v>45778</v>
      </c>
    </row>
    <row r="119" spans="1:8">
      <c r="A119" s="1804" t="s">
        <v>267</v>
      </c>
      <c r="B119" s="1804" t="s">
        <v>362</v>
      </c>
      <c r="C119" s="1804" t="s">
        <v>318</v>
      </c>
      <c r="D119" s="1810"/>
      <c r="E119" s="1808">
        <v>841</v>
      </c>
      <c r="F119" s="1814">
        <v>1</v>
      </c>
      <c r="G119" s="1843"/>
      <c r="H119" s="1812"/>
    </row>
    <row r="120" spans="1:8">
      <c r="A120" s="1803" t="s">
        <v>237</v>
      </c>
      <c r="B120" s="1803" t="s">
        <v>363</v>
      </c>
      <c r="C120" s="1803" t="s">
        <v>316</v>
      </c>
      <c r="D120" s="1809">
        <v>1566</v>
      </c>
      <c r="E120" s="1807">
        <v>1457</v>
      </c>
      <c r="F120" s="1813">
        <v>3</v>
      </c>
      <c r="G120" s="1843">
        <v>45853</v>
      </c>
      <c r="H120" s="1811">
        <v>45853</v>
      </c>
    </row>
    <row r="121" spans="1:8">
      <c r="A121" s="1804" t="s">
        <v>237</v>
      </c>
      <c r="B121" s="1804" t="s">
        <v>364</v>
      </c>
      <c r="C121" s="1804" t="s">
        <v>318</v>
      </c>
      <c r="D121" s="1810">
        <v>1250</v>
      </c>
      <c r="E121" s="1808">
        <v>841</v>
      </c>
      <c r="F121" s="1814">
        <v>1</v>
      </c>
      <c r="G121" s="1843">
        <v>45432</v>
      </c>
      <c r="H121" s="1812">
        <v>45797</v>
      </c>
    </row>
    <row r="122" spans="1:8">
      <c r="A122" s="1803" t="s">
        <v>237</v>
      </c>
      <c r="B122" s="1803" t="s">
        <v>365</v>
      </c>
      <c r="C122" s="1803" t="s">
        <v>316</v>
      </c>
      <c r="D122" s="1809">
        <v>1493</v>
      </c>
      <c r="E122" s="1807">
        <v>1457</v>
      </c>
      <c r="F122" s="1813">
        <v>3</v>
      </c>
      <c r="G122" s="1843">
        <v>45952</v>
      </c>
      <c r="H122" s="1811">
        <v>45952</v>
      </c>
    </row>
    <row r="123" spans="1:8">
      <c r="A123" s="1804" t="s">
        <v>237</v>
      </c>
      <c r="B123" s="1804" t="s">
        <v>366</v>
      </c>
      <c r="C123" s="1804" t="s">
        <v>239</v>
      </c>
      <c r="D123" s="1810">
        <v>1487</v>
      </c>
      <c r="E123" s="1808">
        <v>1130</v>
      </c>
      <c r="F123" s="1814">
        <v>2</v>
      </c>
      <c r="G123" s="1843">
        <v>45737</v>
      </c>
      <c r="H123" s="1812">
        <v>45737</v>
      </c>
    </row>
    <row r="124" spans="1:8">
      <c r="A124" s="1803" t="s">
        <v>237</v>
      </c>
      <c r="B124" s="1803" t="s">
        <v>367</v>
      </c>
      <c r="C124" s="1803" t="s">
        <v>242</v>
      </c>
      <c r="D124" s="1809">
        <v>1249</v>
      </c>
      <c r="E124" s="1807">
        <v>841</v>
      </c>
      <c r="F124" s="1813">
        <v>1</v>
      </c>
      <c r="G124" s="1843">
        <v>45383</v>
      </c>
      <c r="H124" s="1811">
        <v>45745</v>
      </c>
    </row>
    <row r="125" spans="1:8">
      <c r="A125" s="1804" t="s">
        <v>237</v>
      </c>
      <c r="B125" s="1804" t="s">
        <v>368</v>
      </c>
      <c r="C125" s="1804" t="s">
        <v>244</v>
      </c>
      <c r="D125" s="1810">
        <v>1639</v>
      </c>
      <c r="E125" s="1808">
        <v>1224</v>
      </c>
      <c r="F125" s="1814">
        <v>2</v>
      </c>
      <c r="G125" s="1843">
        <v>45454</v>
      </c>
      <c r="H125" s="1812">
        <v>45819</v>
      </c>
    </row>
    <row r="126" spans="1:8">
      <c r="A126" s="1803" t="s">
        <v>237</v>
      </c>
      <c r="B126" s="1803" t="s">
        <v>369</v>
      </c>
      <c r="C126" s="1803" t="s">
        <v>242</v>
      </c>
      <c r="D126" s="1809">
        <v>1299</v>
      </c>
      <c r="E126" s="1807">
        <v>841</v>
      </c>
      <c r="F126" s="1813">
        <v>1</v>
      </c>
      <c r="G126" s="1843">
        <v>45366</v>
      </c>
      <c r="H126" s="1811">
        <v>45822</v>
      </c>
    </row>
    <row r="127" spans="1:8">
      <c r="A127" s="1804" t="s">
        <v>237</v>
      </c>
      <c r="B127" s="1804" t="s">
        <v>370</v>
      </c>
      <c r="C127" s="1804" t="s">
        <v>242</v>
      </c>
      <c r="D127" s="1810">
        <v>1249</v>
      </c>
      <c r="E127" s="1808">
        <v>841</v>
      </c>
      <c r="F127" s="1814">
        <v>1</v>
      </c>
      <c r="G127" s="1843">
        <v>45470</v>
      </c>
      <c r="H127" s="1812">
        <v>45470</v>
      </c>
    </row>
    <row r="128" spans="1:8">
      <c r="A128" s="1803" t="s">
        <v>237</v>
      </c>
      <c r="B128" s="1803" t="s">
        <v>371</v>
      </c>
      <c r="C128" s="1803" t="s">
        <v>239</v>
      </c>
      <c r="D128" s="1809">
        <v>1384</v>
      </c>
      <c r="E128" s="1807">
        <v>1130</v>
      </c>
      <c r="F128" s="1813">
        <v>2</v>
      </c>
      <c r="G128" s="1843">
        <v>45791</v>
      </c>
      <c r="H128" s="1811">
        <v>45791</v>
      </c>
    </row>
    <row r="129" spans="1:8">
      <c r="A129" s="1804" t="s">
        <v>237</v>
      </c>
      <c r="B129" s="1804" t="s">
        <v>372</v>
      </c>
      <c r="C129" s="1804" t="s">
        <v>242</v>
      </c>
      <c r="D129" s="1810">
        <v>1249</v>
      </c>
      <c r="E129" s="1808">
        <v>841</v>
      </c>
      <c r="F129" s="1814">
        <v>1</v>
      </c>
      <c r="G129" s="1843">
        <v>45383</v>
      </c>
      <c r="H129" s="1812">
        <v>45745</v>
      </c>
    </row>
    <row r="130" spans="1:8">
      <c r="A130" s="1803" t="s">
        <v>237</v>
      </c>
      <c r="B130" s="1803" t="s">
        <v>373</v>
      </c>
      <c r="C130" s="1803" t="s">
        <v>244</v>
      </c>
      <c r="D130" s="1809">
        <v>1501</v>
      </c>
      <c r="E130" s="1807">
        <v>1224</v>
      </c>
      <c r="F130" s="1813">
        <v>2</v>
      </c>
      <c r="G130" s="1843">
        <v>45390</v>
      </c>
      <c r="H130" s="1811">
        <v>45755</v>
      </c>
    </row>
    <row r="131" spans="1:8">
      <c r="A131" s="1804" t="s">
        <v>237</v>
      </c>
      <c r="B131" s="1804" t="s">
        <v>374</v>
      </c>
      <c r="C131" s="1804" t="s">
        <v>239</v>
      </c>
      <c r="D131" s="1810">
        <v>1437</v>
      </c>
      <c r="E131" s="1808">
        <v>1130</v>
      </c>
      <c r="F131" s="1814">
        <v>2</v>
      </c>
      <c r="G131" s="1843">
        <v>46021</v>
      </c>
      <c r="H131" s="1812">
        <v>46021</v>
      </c>
    </row>
    <row r="132" spans="1:8">
      <c r="A132" s="1803" t="s">
        <v>237</v>
      </c>
      <c r="B132" s="1803" t="s">
        <v>375</v>
      </c>
      <c r="C132" s="1803" t="s">
        <v>242</v>
      </c>
      <c r="D132" s="1809">
        <v>1143</v>
      </c>
      <c r="E132" s="1807">
        <v>841</v>
      </c>
      <c r="F132" s="1813">
        <v>1</v>
      </c>
      <c r="G132" s="1843">
        <v>45884</v>
      </c>
      <c r="H132" s="1811">
        <v>45884</v>
      </c>
    </row>
    <row r="133" spans="1:8">
      <c r="A133" s="1804" t="s">
        <v>237</v>
      </c>
      <c r="B133" s="1804" t="s">
        <v>376</v>
      </c>
      <c r="C133" s="1804" t="s">
        <v>244</v>
      </c>
      <c r="D133" s="1810">
        <v>1476</v>
      </c>
      <c r="E133" s="1808">
        <v>1224</v>
      </c>
      <c r="F133" s="1814">
        <v>2</v>
      </c>
      <c r="G133" s="1843">
        <v>45366</v>
      </c>
      <c r="H133" s="1812">
        <v>45366</v>
      </c>
    </row>
    <row r="134" spans="1:8">
      <c r="A134" s="1803" t="s">
        <v>237</v>
      </c>
      <c r="B134" s="1803" t="s">
        <v>377</v>
      </c>
      <c r="C134" s="1803" t="s">
        <v>242</v>
      </c>
      <c r="D134" s="1809">
        <v>1136</v>
      </c>
      <c r="E134" s="1807">
        <v>841</v>
      </c>
      <c r="F134" s="1813">
        <v>1</v>
      </c>
      <c r="G134" s="1843">
        <v>45897</v>
      </c>
      <c r="H134" s="1811">
        <v>45897</v>
      </c>
    </row>
    <row r="135" spans="1:8">
      <c r="A135" s="1804" t="s">
        <v>237</v>
      </c>
      <c r="B135" s="1804" t="s">
        <v>378</v>
      </c>
      <c r="C135" s="1804" t="s">
        <v>242</v>
      </c>
      <c r="D135" s="1810">
        <v>1192</v>
      </c>
      <c r="E135" s="1808">
        <v>841</v>
      </c>
      <c r="F135" s="1814">
        <v>1</v>
      </c>
      <c r="G135" s="1843">
        <v>45470</v>
      </c>
      <c r="H135" s="1812">
        <v>45470</v>
      </c>
    </row>
    <row r="136" spans="1:8">
      <c r="A136" s="1803" t="s">
        <v>237</v>
      </c>
      <c r="B136" s="1803" t="s">
        <v>379</v>
      </c>
      <c r="C136" s="1803" t="s">
        <v>239</v>
      </c>
      <c r="D136" s="1809">
        <v>1295</v>
      </c>
      <c r="E136" s="1807">
        <v>1130</v>
      </c>
      <c r="F136" s="1813">
        <v>2</v>
      </c>
      <c r="G136" s="1843">
        <v>45863</v>
      </c>
      <c r="H136" s="1811">
        <v>45863</v>
      </c>
    </row>
    <row r="137" spans="1:8">
      <c r="A137" s="1804" t="s">
        <v>237</v>
      </c>
      <c r="B137" s="1804" t="s">
        <v>380</v>
      </c>
      <c r="C137" s="1804" t="s">
        <v>242</v>
      </c>
      <c r="D137" s="1810">
        <v>1170</v>
      </c>
      <c r="E137" s="1808">
        <v>841</v>
      </c>
      <c r="F137" s="1814">
        <v>1</v>
      </c>
      <c r="G137" s="1843">
        <v>45870</v>
      </c>
      <c r="H137" s="1812">
        <v>45870</v>
      </c>
    </row>
    <row r="138" spans="1:8">
      <c r="A138" s="1803" t="s">
        <v>237</v>
      </c>
      <c r="B138" s="1803" t="s">
        <v>381</v>
      </c>
      <c r="C138" s="1803" t="s">
        <v>244</v>
      </c>
      <c r="D138" s="1809">
        <v>1383</v>
      </c>
      <c r="E138" s="1807">
        <v>1224</v>
      </c>
      <c r="F138" s="1813">
        <v>2</v>
      </c>
      <c r="G138" s="1843">
        <v>45366</v>
      </c>
      <c r="H138" s="1811">
        <v>45366</v>
      </c>
    </row>
    <row r="139" spans="1:8">
      <c r="A139" s="1804" t="s">
        <v>237</v>
      </c>
      <c r="B139" s="1804" t="s">
        <v>382</v>
      </c>
      <c r="C139" s="1804" t="s">
        <v>239</v>
      </c>
      <c r="D139" s="1810">
        <v>1412</v>
      </c>
      <c r="E139" s="1808">
        <v>1130</v>
      </c>
      <c r="F139" s="1814">
        <v>2</v>
      </c>
      <c r="G139" s="1843">
        <v>46006</v>
      </c>
      <c r="H139" s="1812">
        <v>46006</v>
      </c>
    </row>
    <row r="140" spans="1:8">
      <c r="A140" s="1803" t="s">
        <v>237</v>
      </c>
      <c r="B140" s="1803" t="s">
        <v>383</v>
      </c>
      <c r="C140" s="1803" t="s">
        <v>242</v>
      </c>
      <c r="D140" s="1809">
        <v>1064</v>
      </c>
      <c r="E140" s="1807">
        <v>841</v>
      </c>
      <c r="F140" s="1813">
        <v>1</v>
      </c>
      <c r="G140" s="1843">
        <v>45855</v>
      </c>
      <c r="H140" s="1811">
        <v>45855</v>
      </c>
    </row>
    <row r="141" spans="1:8">
      <c r="A141" s="1804" t="s">
        <v>237</v>
      </c>
      <c r="B141" s="1804" t="s">
        <v>384</v>
      </c>
      <c r="C141" s="1804" t="s">
        <v>244</v>
      </c>
      <c r="D141" s="1810">
        <v>1432</v>
      </c>
      <c r="E141" s="1808">
        <v>1224</v>
      </c>
      <c r="F141" s="1814">
        <v>2</v>
      </c>
      <c r="G141" s="1843">
        <v>45897</v>
      </c>
      <c r="H141" s="1812">
        <v>45897</v>
      </c>
    </row>
    <row r="142" spans="1:8">
      <c r="A142" s="1803" t="s">
        <v>237</v>
      </c>
      <c r="B142" s="1803" t="s">
        <v>385</v>
      </c>
      <c r="C142" s="1803" t="s">
        <v>242</v>
      </c>
      <c r="D142" s="1809">
        <v>1224</v>
      </c>
      <c r="E142" s="1807">
        <v>841</v>
      </c>
      <c r="F142" s="1813">
        <v>1</v>
      </c>
      <c r="G142" s="1843">
        <v>45429</v>
      </c>
      <c r="H142" s="1811">
        <v>45429</v>
      </c>
    </row>
    <row r="143" spans="1:8">
      <c r="A143" s="1804" t="s">
        <v>237</v>
      </c>
      <c r="B143" s="1804" t="s">
        <v>386</v>
      </c>
      <c r="C143" s="1804" t="s">
        <v>242</v>
      </c>
      <c r="D143" s="1810">
        <v>1034</v>
      </c>
      <c r="E143" s="1808">
        <v>841</v>
      </c>
      <c r="F143" s="1814">
        <v>1</v>
      </c>
      <c r="G143" s="1843">
        <v>45839</v>
      </c>
      <c r="H143" s="1812">
        <v>45839</v>
      </c>
    </row>
    <row r="144" spans="1:8">
      <c r="A144" s="1803" t="s">
        <v>237</v>
      </c>
      <c r="B144" s="1803" t="s">
        <v>387</v>
      </c>
      <c r="C144" s="1803" t="s">
        <v>239</v>
      </c>
      <c r="D144" s="1809">
        <v>1349</v>
      </c>
      <c r="E144" s="1807">
        <v>1130</v>
      </c>
      <c r="F144" s="1813">
        <v>2</v>
      </c>
      <c r="G144" s="1843">
        <v>45737</v>
      </c>
      <c r="H144" s="1811">
        <v>45737</v>
      </c>
    </row>
    <row r="145" spans="1:8">
      <c r="A145" s="1804" t="s">
        <v>237</v>
      </c>
      <c r="B145" s="1804" t="s">
        <v>388</v>
      </c>
      <c r="C145" s="1804" t="s">
        <v>242</v>
      </c>
      <c r="D145" s="1810">
        <v>1219</v>
      </c>
      <c r="E145" s="1808">
        <v>841</v>
      </c>
      <c r="F145" s="1814">
        <v>1</v>
      </c>
      <c r="G145" s="1843">
        <v>45413</v>
      </c>
      <c r="H145" s="1812">
        <v>45777</v>
      </c>
    </row>
    <row r="146" spans="1:8">
      <c r="A146" s="1803" t="s">
        <v>237</v>
      </c>
      <c r="B146" s="1803" t="s">
        <v>389</v>
      </c>
      <c r="C146" s="1803" t="s">
        <v>244</v>
      </c>
      <c r="D146" s="1809">
        <v>1419</v>
      </c>
      <c r="E146" s="1807">
        <v>1224</v>
      </c>
      <c r="F146" s="1813">
        <v>2</v>
      </c>
      <c r="G146" s="1843">
        <v>45891</v>
      </c>
      <c r="H146" s="1811">
        <v>45891</v>
      </c>
    </row>
    <row r="147" spans="1:8">
      <c r="A147" s="1804" t="s">
        <v>237</v>
      </c>
      <c r="B147" s="1804" t="s">
        <v>390</v>
      </c>
      <c r="C147" s="1804" t="s">
        <v>318</v>
      </c>
      <c r="D147" s="1810">
        <v>1320</v>
      </c>
      <c r="E147" s="1808">
        <v>841</v>
      </c>
      <c r="F147" s="1814">
        <v>1</v>
      </c>
      <c r="G147" s="1843">
        <v>45498</v>
      </c>
      <c r="H147" s="1812">
        <v>45863</v>
      </c>
    </row>
    <row r="148" spans="1:8">
      <c r="A148" s="1803" t="s">
        <v>237</v>
      </c>
      <c r="B148" s="1803" t="s">
        <v>391</v>
      </c>
      <c r="C148" s="1803" t="s">
        <v>316</v>
      </c>
      <c r="D148" s="1809">
        <v>1473</v>
      </c>
      <c r="E148" s="1807">
        <v>1457</v>
      </c>
      <c r="F148" s="1813">
        <v>3</v>
      </c>
      <c r="G148" s="1843">
        <v>45982</v>
      </c>
      <c r="H148" s="1811">
        <v>45982</v>
      </c>
    </row>
    <row r="149" spans="1:8">
      <c r="A149" s="1804" t="s">
        <v>237</v>
      </c>
      <c r="B149" s="1804" t="s">
        <v>392</v>
      </c>
      <c r="C149" s="1804" t="s">
        <v>318</v>
      </c>
      <c r="D149" s="1810">
        <v>1193</v>
      </c>
      <c r="E149" s="1808">
        <v>841</v>
      </c>
      <c r="F149" s="1814">
        <v>1</v>
      </c>
      <c r="G149" s="1843">
        <v>45884</v>
      </c>
      <c r="H149" s="1812">
        <v>45884</v>
      </c>
    </row>
    <row r="150" spans="1:8">
      <c r="A150" s="1803" t="s">
        <v>237</v>
      </c>
      <c r="B150" s="1803" t="s">
        <v>393</v>
      </c>
      <c r="C150" s="1803" t="s">
        <v>316</v>
      </c>
      <c r="D150" s="1809">
        <v>1811</v>
      </c>
      <c r="E150" s="1807">
        <v>1457</v>
      </c>
      <c r="F150" s="1813">
        <v>3</v>
      </c>
      <c r="G150" s="1843">
        <v>45859</v>
      </c>
      <c r="H150" s="1811">
        <v>45859</v>
      </c>
    </row>
    <row r="151" spans="1:8">
      <c r="A151" s="1804" t="s">
        <v>237</v>
      </c>
      <c r="B151" s="1804" t="s">
        <v>394</v>
      </c>
      <c r="C151" s="1804" t="s">
        <v>318</v>
      </c>
      <c r="D151" s="1810">
        <v>1320</v>
      </c>
      <c r="E151" s="1808">
        <v>841</v>
      </c>
      <c r="F151" s="1814">
        <v>1</v>
      </c>
      <c r="G151" s="1843">
        <v>45495</v>
      </c>
      <c r="H151" s="1812">
        <v>45860</v>
      </c>
    </row>
    <row r="152" spans="1:8">
      <c r="A152" s="1803" t="s">
        <v>237</v>
      </c>
      <c r="B152" s="1803" t="s">
        <v>395</v>
      </c>
      <c r="C152" s="1803" t="s">
        <v>244</v>
      </c>
      <c r="D152" s="1809">
        <v>1690</v>
      </c>
      <c r="E152" s="1807">
        <v>1224</v>
      </c>
      <c r="F152" s="1813">
        <v>2</v>
      </c>
      <c r="G152" s="1843">
        <v>45485</v>
      </c>
      <c r="H152" s="1811">
        <v>45850</v>
      </c>
    </row>
    <row r="153" spans="1:8">
      <c r="A153" s="1804" t="s">
        <v>237</v>
      </c>
      <c r="B153" s="1804" t="s">
        <v>396</v>
      </c>
      <c r="C153" s="1804" t="s">
        <v>318</v>
      </c>
      <c r="D153" s="1810">
        <v>1320</v>
      </c>
      <c r="E153" s="1808">
        <v>841</v>
      </c>
      <c r="F153" s="1814">
        <v>1</v>
      </c>
      <c r="G153" s="1843">
        <v>45548</v>
      </c>
      <c r="H153" s="1812">
        <v>45913</v>
      </c>
    </row>
    <row r="154" spans="1:8">
      <c r="A154" s="1803" t="s">
        <v>237</v>
      </c>
      <c r="B154" s="1803" t="s">
        <v>397</v>
      </c>
      <c r="C154" s="1803" t="s">
        <v>239</v>
      </c>
      <c r="D154" s="1809">
        <v>1365</v>
      </c>
      <c r="E154" s="1807">
        <v>1130</v>
      </c>
      <c r="F154" s="1813">
        <v>2</v>
      </c>
      <c r="G154" s="1843">
        <v>45827</v>
      </c>
      <c r="H154" s="1811">
        <v>45827</v>
      </c>
    </row>
    <row r="155" spans="1:8">
      <c r="A155" s="1804" t="s">
        <v>237</v>
      </c>
      <c r="B155" s="1804" t="s">
        <v>398</v>
      </c>
      <c r="C155" s="1804" t="s">
        <v>318</v>
      </c>
      <c r="D155" s="1810">
        <v>1123</v>
      </c>
      <c r="E155" s="1808">
        <v>841</v>
      </c>
      <c r="F155" s="1814">
        <v>1</v>
      </c>
      <c r="G155" s="1843">
        <v>45884</v>
      </c>
      <c r="H155" s="1812">
        <v>45884</v>
      </c>
    </row>
    <row r="156" spans="1:8">
      <c r="A156" s="1803" t="s">
        <v>237</v>
      </c>
      <c r="B156" s="1803" t="s">
        <v>399</v>
      </c>
      <c r="C156" s="1803" t="s">
        <v>316</v>
      </c>
      <c r="D156" s="1809">
        <v>1742</v>
      </c>
      <c r="E156" s="1807">
        <v>1457</v>
      </c>
      <c r="F156" s="1813">
        <v>3</v>
      </c>
      <c r="G156" s="1843">
        <v>45530</v>
      </c>
      <c r="H156" s="1811">
        <v>45895</v>
      </c>
    </row>
    <row r="157" spans="1:8">
      <c r="A157" s="1804" t="s">
        <v>237</v>
      </c>
      <c r="B157" s="1804" t="s">
        <v>400</v>
      </c>
      <c r="C157" s="1804" t="s">
        <v>318</v>
      </c>
      <c r="D157" s="1810">
        <v>1250</v>
      </c>
      <c r="E157" s="1808">
        <v>841</v>
      </c>
      <c r="F157" s="1814">
        <v>1</v>
      </c>
      <c r="G157" s="1843">
        <v>45492</v>
      </c>
      <c r="H157" s="1812">
        <v>45492</v>
      </c>
    </row>
    <row r="158" spans="1:8">
      <c r="A158" s="1803" t="s">
        <v>237</v>
      </c>
      <c r="B158" s="1803" t="s">
        <v>401</v>
      </c>
      <c r="C158" s="1803" t="s">
        <v>316</v>
      </c>
      <c r="D158" s="1809">
        <v>1692</v>
      </c>
      <c r="E158" s="1807">
        <v>1457</v>
      </c>
      <c r="F158" s="1813">
        <v>3</v>
      </c>
      <c r="G158" s="1843">
        <v>45798</v>
      </c>
      <c r="H158" s="1811">
        <v>45798</v>
      </c>
    </row>
    <row r="159" spans="1:8">
      <c r="A159" s="1804" t="s">
        <v>237</v>
      </c>
      <c r="B159" s="1804" t="s">
        <v>402</v>
      </c>
      <c r="C159" s="1804" t="s">
        <v>318</v>
      </c>
      <c r="D159" s="1810">
        <v>1270</v>
      </c>
      <c r="E159" s="1808">
        <v>841</v>
      </c>
      <c r="F159" s="1814">
        <v>1</v>
      </c>
      <c r="G159" s="1843">
        <v>45503</v>
      </c>
      <c r="H159" s="1812">
        <v>45868</v>
      </c>
    </row>
    <row r="160" spans="1:8">
      <c r="A160" s="1803" t="s">
        <v>237</v>
      </c>
      <c r="B160" s="1803" t="s">
        <v>403</v>
      </c>
      <c r="C160" s="1803" t="s">
        <v>244</v>
      </c>
      <c r="D160" s="1809">
        <v>1600</v>
      </c>
      <c r="E160" s="1807">
        <v>1224</v>
      </c>
      <c r="F160" s="1813">
        <v>2</v>
      </c>
      <c r="G160" s="1843">
        <v>45488</v>
      </c>
      <c r="H160" s="1811">
        <v>45853</v>
      </c>
    </row>
    <row r="161" spans="1:8">
      <c r="A161" s="1804" t="s">
        <v>237</v>
      </c>
      <c r="B161" s="1804" t="s">
        <v>404</v>
      </c>
      <c r="C161" s="1804" t="s">
        <v>318</v>
      </c>
      <c r="D161" s="1810">
        <v>1270</v>
      </c>
      <c r="E161" s="1808">
        <v>841</v>
      </c>
      <c r="F161" s="1814">
        <v>1</v>
      </c>
      <c r="G161" s="1843">
        <v>46038</v>
      </c>
      <c r="H161" s="1812">
        <v>46038</v>
      </c>
    </row>
    <row r="162" spans="1:8">
      <c r="A162" s="1803" t="s">
        <v>237</v>
      </c>
      <c r="B162" s="1803" t="s">
        <v>405</v>
      </c>
      <c r="C162" s="1803" t="s">
        <v>239</v>
      </c>
      <c r="D162" s="1809">
        <v>1315</v>
      </c>
      <c r="E162" s="1807">
        <v>1130</v>
      </c>
      <c r="F162" s="1813">
        <v>2</v>
      </c>
      <c r="G162" s="1843">
        <v>45852</v>
      </c>
      <c r="H162" s="1811">
        <v>45852</v>
      </c>
    </row>
    <row r="163" spans="1:8">
      <c r="A163" s="1804" t="s">
        <v>237</v>
      </c>
      <c r="B163" s="1804" t="s">
        <v>406</v>
      </c>
      <c r="C163" s="1804" t="s">
        <v>318</v>
      </c>
      <c r="D163" s="1810">
        <v>1044</v>
      </c>
      <c r="E163" s="1808">
        <v>841</v>
      </c>
      <c r="F163" s="1814">
        <v>1</v>
      </c>
      <c r="G163" s="1843">
        <v>45813</v>
      </c>
      <c r="H163" s="1812">
        <v>45813</v>
      </c>
    </row>
    <row r="164" spans="1:8">
      <c r="A164" s="1803" t="s">
        <v>237</v>
      </c>
      <c r="B164" s="1803" t="s">
        <v>407</v>
      </c>
      <c r="C164" s="1803" t="s">
        <v>316</v>
      </c>
      <c r="D164" s="1809">
        <v>1429</v>
      </c>
      <c r="E164" s="1807">
        <v>1457</v>
      </c>
      <c r="F164" s="1813">
        <v>3</v>
      </c>
      <c r="G164" s="1843">
        <v>45957</v>
      </c>
      <c r="H164" s="1811">
        <v>45957</v>
      </c>
    </row>
    <row r="165" spans="1:8">
      <c r="A165" s="1804" t="s">
        <v>237</v>
      </c>
      <c r="B165" s="1804" t="s">
        <v>408</v>
      </c>
      <c r="C165" s="1804" t="s">
        <v>318</v>
      </c>
      <c r="D165" s="1810">
        <v>1286</v>
      </c>
      <c r="E165" s="1808">
        <v>841</v>
      </c>
      <c r="F165" s="1814">
        <v>1</v>
      </c>
      <c r="G165" s="1843">
        <v>45474</v>
      </c>
      <c r="H165" s="1812">
        <v>45836</v>
      </c>
    </row>
    <row r="166" spans="1:8">
      <c r="A166" s="1803" t="s">
        <v>237</v>
      </c>
      <c r="B166" s="1803" t="s">
        <v>409</v>
      </c>
      <c r="C166" s="1803" t="s">
        <v>316</v>
      </c>
      <c r="D166" s="1809">
        <v>1449</v>
      </c>
      <c r="E166" s="1807">
        <v>1457</v>
      </c>
      <c r="F166" s="1813">
        <v>3</v>
      </c>
      <c r="G166" s="1843">
        <v>45954</v>
      </c>
      <c r="H166" s="1811">
        <v>45954</v>
      </c>
    </row>
    <row r="167" spans="1:8">
      <c r="A167" s="1804" t="s">
        <v>237</v>
      </c>
      <c r="B167" s="1804" t="s">
        <v>410</v>
      </c>
      <c r="C167" s="1804" t="s">
        <v>318</v>
      </c>
      <c r="D167" s="1810">
        <v>1152</v>
      </c>
      <c r="E167" s="1808">
        <v>841</v>
      </c>
      <c r="F167" s="1814">
        <v>1</v>
      </c>
      <c r="G167" s="1843">
        <v>45786</v>
      </c>
      <c r="H167" s="1812">
        <v>45786</v>
      </c>
    </row>
    <row r="168" spans="1:8">
      <c r="A168" s="1803" t="s">
        <v>237</v>
      </c>
      <c r="B168" s="1803" t="s">
        <v>411</v>
      </c>
      <c r="C168" s="1803" t="s">
        <v>244</v>
      </c>
      <c r="D168" s="1809">
        <v>1375</v>
      </c>
      <c r="E168" s="1807">
        <v>1224</v>
      </c>
      <c r="F168" s="1813">
        <v>2</v>
      </c>
      <c r="G168" s="1843">
        <v>45855</v>
      </c>
      <c r="H168" s="1811">
        <v>45855</v>
      </c>
    </row>
    <row r="169" spans="1:8">
      <c r="A169" s="1804" t="s">
        <v>237</v>
      </c>
      <c r="B169" s="1804" t="s">
        <v>412</v>
      </c>
      <c r="C169" s="1804" t="s">
        <v>318</v>
      </c>
      <c r="D169" s="1810">
        <v>1286</v>
      </c>
      <c r="E169" s="1808">
        <v>841</v>
      </c>
      <c r="F169" s="1814">
        <v>1</v>
      </c>
      <c r="G169" s="1843">
        <v>45460</v>
      </c>
      <c r="H169" s="1812">
        <v>45825</v>
      </c>
    </row>
    <row r="170" spans="1:8">
      <c r="A170" s="1803" t="s">
        <v>237</v>
      </c>
      <c r="B170" s="1803" t="s">
        <v>413</v>
      </c>
      <c r="C170" s="1803" t="s">
        <v>239</v>
      </c>
      <c r="D170" s="1809">
        <v>1369</v>
      </c>
      <c r="E170" s="1807">
        <v>1130</v>
      </c>
      <c r="F170" s="1813">
        <v>2</v>
      </c>
      <c r="G170" s="1843">
        <v>45744</v>
      </c>
      <c r="H170" s="1811">
        <v>45744</v>
      </c>
    </row>
    <row r="171" spans="1:8">
      <c r="A171" s="1804" t="s">
        <v>237</v>
      </c>
      <c r="B171" s="1804" t="s">
        <v>414</v>
      </c>
      <c r="C171" s="1804" t="s">
        <v>242</v>
      </c>
      <c r="D171" s="1810">
        <v>1321</v>
      </c>
      <c r="E171" s="1808">
        <v>841</v>
      </c>
      <c r="F171" s="1814">
        <v>1</v>
      </c>
      <c r="G171" s="1843">
        <v>45611</v>
      </c>
      <c r="H171" s="1812">
        <v>45976</v>
      </c>
    </row>
    <row r="172" spans="1:8">
      <c r="A172" s="1803" t="s">
        <v>237</v>
      </c>
      <c r="B172" s="1803" t="s">
        <v>415</v>
      </c>
      <c r="C172" s="1803" t="s">
        <v>244</v>
      </c>
      <c r="D172" s="1809">
        <v>1446</v>
      </c>
      <c r="E172" s="1807">
        <v>1224</v>
      </c>
      <c r="F172" s="1813">
        <v>2</v>
      </c>
      <c r="G172" s="1843">
        <v>45832</v>
      </c>
      <c r="H172" s="1811">
        <v>45832</v>
      </c>
    </row>
    <row r="173" spans="1:8">
      <c r="A173" s="1804" t="s">
        <v>237</v>
      </c>
      <c r="B173" s="1804" t="s">
        <v>416</v>
      </c>
      <c r="C173" s="1804" t="s">
        <v>242</v>
      </c>
      <c r="D173" s="1810">
        <v>1215</v>
      </c>
      <c r="E173" s="1808">
        <v>841</v>
      </c>
      <c r="F173" s="1814">
        <v>1</v>
      </c>
      <c r="G173" s="1843">
        <v>45646</v>
      </c>
      <c r="H173" s="1812">
        <v>45646</v>
      </c>
    </row>
    <row r="174" spans="1:8">
      <c r="A174" s="1803" t="s">
        <v>237</v>
      </c>
      <c r="B174" s="1803" t="s">
        <v>417</v>
      </c>
      <c r="C174" s="1803" t="s">
        <v>239</v>
      </c>
      <c r="D174" s="1809">
        <v>1345</v>
      </c>
      <c r="E174" s="1807">
        <v>1130</v>
      </c>
      <c r="F174" s="1813">
        <v>2</v>
      </c>
      <c r="G174" s="1843">
        <v>45870</v>
      </c>
      <c r="H174" s="1811">
        <v>45870</v>
      </c>
    </row>
    <row r="175" spans="1:8">
      <c r="A175" s="1804" t="s">
        <v>237</v>
      </c>
      <c r="B175" s="1804" t="s">
        <v>418</v>
      </c>
      <c r="C175" s="1804" t="s">
        <v>242</v>
      </c>
      <c r="D175" s="1810">
        <v>1198</v>
      </c>
      <c r="E175" s="1808">
        <v>841</v>
      </c>
      <c r="F175" s="1814">
        <v>1</v>
      </c>
      <c r="G175" s="1843">
        <v>45870</v>
      </c>
      <c r="H175" s="1812">
        <v>45870</v>
      </c>
    </row>
    <row r="176" spans="1:8">
      <c r="A176" s="1803" t="s">
        <v>237</v>
      </c>
      <c r="B176" s="1803" t="s">
        <v>419</v>
      </c>
      <c r="C176" s="1803" t="s">
        <v>244</v>
      </c>
      <c r="D176" s="1809">
        <v>1623</v>
      </c>
      <c r="E176" s="1807">
        <v>1224</v>
      </c>
      <c r="F176" s="1813">
        <v>2</v>
      </c>
      <c r="G176" s="1843">
        <v>45533</v>
      </c>
      <c r="H176" s="1811">
        <v>45533</v>
      </c>
    </row>
    <row r="177" spans="1:8">
      <c r="A177" s="1804" t="s">
        <v>237</v>
      </c>
      <c r="B177" s="1804" t="s">
        <v>420</v>
      </c>
      <c r="C177" s="1804" t="s">
        <v>242</v>
      </c>
      <c r="D177" s="1810">
        <v>1181</v>
      </c>
      <c r="E177" s="1808">
        <v>841</v>
      </c>
      <c r="F177" s="1814">
        <v>1</v>
      </c>
      <c r="G177" s="1843">
        <v>46017</v>
      </c>
      <c r="H177" s="1812">
        <v>46017</v>
      </c>
    </row>
    <row r="178" spans="1:8">
      <c r="A178" s="1803" t="s">
        <v>237</v>
      </c>
      <c r="B178" s="1803" t="s">
        <v>421</v>
      </c>
      <c r="C178" s="1803" t="s">
        <v>239</v>
      </c>
      <c r="D178" s="1809">
        <v>1359</v>
      </c>
      <c r="E178" s="1807">
        <v>1130</v>
      </c>
      <c r="F178" s="1813">
        <v>2</v>
      </c>
      <c r="G178" s="1843">
        <v>45776</v>
      </c>
      <c r="H178" s="1811">
        <v>45776</v>
      </c>
    </row>
    <row r="179" spans="1:8">
      <c r="A179" s="1804" t="s">
        <v>237</v>
      </c>
      <c r="B179" s="1804" t="s">
        <v>422</v>
      </c>
      <c r="C179" s="1804" t="s">
        <v>242</v>
      </c>
      <c r="D179" s="1810">
        <v>1265</v>
      </c>
      <c r="E179" s="1808">
        <v>841</v>
      </c>
      <c r="F179" s="1814">
        <v>1</v>
      </c>
      <c r="G179" s="1843">
        <v>45474</v>
      </c>
      <c r="H179" s="1812">
        <v>45836</v>
      </c>
    </row>
    <row r="180" spans="1:8">
      <c r="A180" s="1803" t="s">
        <v>237</v>
      </c>
      <c r="B180" s="1803" t="s">
        <v>423</v>
      </c>
      <c r="C180" s="1803" t="s">
        <v>244</v>
      </c>
      <c r="D180" s="1809">
        <v>1600</v>
      </c>
      <c r="E180" s="1807">
        <v>1224</v>
      </c>
      <c r="F180" s="1813">
        <v>2</v>
      </c>
      <c r="G180" s="1843">
        <v>45505</v>
      </c>
      <c r="H180" s="1811">
        <v>45871</v>
      </c>
    </row>
    <row r="181" spans="1:8">
      <c r="A181" s="1804" t="s">
        <v>237</v>
      </c>
      <c r="B181" s="1804" t="s">
        <v>424</v>
      </c>
      <c r="C181" s="1804" t="s">
        <v>242</v>
      </c>
      <c r="D181" s="1810">
        <v>1103</v>
      </c>
      <c r="E181" s="1808">
        <v>841</v>
      </c>
      <c r="F181" s="1814">
        <v>1</v>
      </c>
      <c r="G181" s="1843">
        <v>45870</v>
      </c>
      <c r="H181" s="1812">
        <v>45870</v>
      </c>
    </row>
    <row r="182" spans="1:8">
      <c r="A182" s="1803" t="s">
        <v>237</v>
      </c>
      <c r="B182" s="1803" t="s">
        <v>425</v>
      </c>
      <c r="C182" s="1803" t="s">
        <v>239</v>
      </c>
      <c r="D182" s="1809">
        <v>1387</v>
      </c>
      <c r="E182" s="1807">
        <v>1130</v>
      </c>
      <c r="F182" s="1813">
        <v>2</v>
      </c>
      <c r="G182" s="1843">
        <v>45877</v>
      </c>
      <c r="H182" s="1811">
        <v>45877</v>
      </c>
    </row>
    <row r="183" spans="1:8">
      <c r="A183" s="1804" t="s">
        <v>237</v>
      </c>
      <c r="B183" s="1804" t="s">
        <v>426</v>
      </c>
      <c r="C183" s="1804" t="s">
        <v>242</v>
      </c>
      <c r="D183" s="1810">
        <v>1260</v>
      </c>
      <c r="E183" s="1808">
        <v>841</v>
      </c>
      <c r="F183" s="1814">
        <v>1</v>
      </c>
      <c r="G183" s="1843">
        <v>45485</v>
      </c>
      <c r="H183" s="1812">
        <v>45850</v>
      </c>
    </row>
    <row r="184" spans="1:8">
      <c r="A184" s="1803" t="s">
        <v>237</v>
      </c>
      <c r="B184" s="1803" t="s">
        <v>427</v>
      </c>
      <c r="C184" s="1803" t="s">
        <v>244</v>
      </c>
      <c r="D184" s="1809">
        <v>1600</v>
      </c>
      <c r="E184" s="1807">
        <v>1224</v>
      </c>
      <c r="F184" s="1813">
        <v>2</v>
      </c>
      <c r="G184" s="1843">
        <v>45474</v>
      </c>
      <c r="H184" s="1811">
        <v>45836</v>
      </c>
    </row>
    <row r="185" spans="1:8">
      <c r="A185" s="1804" t="s">
        <v>237</v>
      </c>
      <c r="B185" s="1804" t="s">
        <v>428</v>
      </c>
      <c r="C185" s="1804" t="s">
        <v>242</v>
      </c>
      <c r="D185" s="1810">
        <v>1240</v>
      </c>
      <c r="E185" s="1808">
        <v>841</v>
      </c>
      <c r="F185" s="1814">
        <v>1</v>
      </c>
      <c r="G185" s="1843">
        <v>45497</v>
      </c>
      <c r="H185" s="1812">
        <v>45862</v>
      </c>
    </row>
    <row r="186" spans="1:8">
      <c r="A186" s="1803" t="s">
        <v>237</v>
      </c>
      <c r="B186" s="1803" t="s">
        <v>429</v>
      </c>
      <c r="C186" s="1803" t="s">
        <v>239</v>
      </c>
      <c r="D186" s="1809">
        <v>1270</v>
      </c>
      <c r="E186" s="1807">
        <v>1130</v>
      </c>
      <c r="F186" s="1813">
        <v>2</v>
      </c>
      <c r="G186" s="1843">
        <v>45839</v>
      </c>
      <c r="H186" s="1811">
        <v>45839</v>
      </c>
    </row>
    <row r="187" spans="1:8">
      <c r="A187" s="1804" t="s">
        <v>237</v>
      </c>
      <c r="B187" s="1804" t="s">
        <v>430</v>
      </c>
      <c r="C187" s="1804" t="s">
        <v>242</v>
      </c>
      <c r="D187" s="1810">
        <v>1101</v>
      </c>
      <c r="E187" s="1808">
        <v>841</v>
      </c>
      <c r="F187" s="1814">
        <v>1</v>
      </c>
      <c r="G187" s="1843">
        <v>45716</v>
      </c>
      <c r="H187" s="1812">
        <v>45716</v>
      </c>
    </row>
    <row r="188" spans="1:8">
      <c r="A188" s="1803" t="s">
        <v>237</v>
      </c>
      <c r="B188" s="1803" t="s">
        <v>431</v>
      </c>
      <c r="C188" s="1803" t="s">
        <v>244</v>
      </c>
      <c r="D188" s="1809">
        <v>1384</v>
      </c>
      <c r="E188" s="1807">
        <v>1224</v>
      </c>
      <c r="F188" s="1813">
        <v>2</v>
      </c>
      <c r="G188" s="1843">
        <v>45870</v>
      </c>
      <c r="H188" s="1811">
        <v>45870</v>
      </c>
    </row>
    <row r="189" spans="1:8">
      <c r="A189" s="1804" t="s">
        <v>237</v>
      </c>
      <c r="B189" s="1804" t="s">
        <v>432</v>
      </c>
      <c r="C189" s="1804" t="s">
        <v>242</v>
      </c>
      <c r="D189" s="1810">
        <v>1141</v>
      </c>
      <c r="E189" s="1808">
        <v>841</v>
      </c>
      <c r="F189" s="1814">
        <v>1</v>
      </c>
      <c r="G189" s="1843">
        <v>45687</v>
      </c>
      <c r="H189" s="1812">
        <v>45687</v>
      </c>
    </row>
    <row r="190" spans="1:8">
      <c r="A190" s="1803" t="s">
        <v>237</v>
      </c>
      <c r="B190" s="1803" t="s">
        <v>433</v>
      </c>
      <c r="C190" s="1803" t="s">
        <v>239</v>
      </c>
      <c r="D190" s="1809">
        <v>1377</v>
      </c>
      <c r="E190" s="1807">
        <v>1130</v>
      </c>
      <c r="F190" s="1813">
        <v>2</v>
      </c>
      <c r="G190" s="1843">
        <v>45670</v>
      </c>
      <c r="H190" s="1811">
        <v>45670</v>
      </c>
    </row>
    <row r="191" spans="1:8">
      <c r="A191" s="1804" t="s">
        <v>237</v>
      </c>
      <c r="B191" s="1804" t="s">
        <v>434</v>
      </c>
      <c r="C191" s="1804" t="s">
        <v>242</v>
      </c>
      <c r="D191" s="1810">
        <v>1067</v>
      </c>
      <c r="E191" s="1808">
        <v>841</v>
      </c>
      <c r="F191" s="1814">
        <v>1</v>
      </c>
      <c r="G191" s="1843">
        <v>45805</v>
      </c>
      <c r="H191" s="1812">
        <v>45806</v>
      </c>
    </row>
    <row r="192" spans="1:8">
      <c r="A192" s="1803" t="s">
        <v>237</v>
      </c>
      <c r="B192" s="1803" t="s">
        <v>435</v>
      </c>
      <c r="C192" s="1803" t="s">
        <v>244</v>
      </c>
      <c r="D192" s="1809">
        <v>1345</v>
      </c>
      <c r="E192" s="1807">
        <v>1224</v>
      </c>
      <c r="F192" s="1813">
        <v>2</v>
      </c>
      <c r="G192" s="1843">
        <v>45877</v>
      </c>
      <c r="H192" s="1811">
        <v>45877</v>
      </c>
    </row>
    <row r="193" spans="1:9">
      <c r="A193" s="1804" t="s">
        <v>237</v>
      </c>
      <c r="B193" s="1804" t="s">
        <v>436</v>
      </c>
      <c r="C193" s="1804" t="s">
        <v>242</v>
      </c>
      <c r="D193" s="1810">
        <v>1009</v>
      </c>
      <c r="E193" s="1808">
        <v>841</v>
      </c>
      <c r="F193" s="1814">
        <v>1</v>
      </c>
      <c r="G193" s="1843">
        <v>45870</v>
      </c>
      <c r="H193" s="1812">
        <v>45870</v>
      </c>
    </row>
    <row r="194" spans="1:9">
      <c r="A194" s="1803" t="s">
        <v>237</v>
      </c>
      <c r="B194" s="1803" t="s">
        <v>437</v>
      </c>
      <c r="C194" s="1803" t="s">
        <v>239</v>
      </c>
      <c r="D194" s="1809">
        <v>1366</v>
      </c>
      <c r="E194" s="1807">
        <v>1130</v>
      </c>
      <c r="F194" s="1813">
        <v>2</v>
      </c>
      <c r="G194" s="1843">
        <v>45686</v>
      </c>
      <c r="H194" s="1811">
        <v>45686</v>
      </c>
    </row>
    <row r="195" spans="1:9">
      <c r="A195" s="1804" t="s">
        <v>237</v>
      </c>
      <c r="B195" s="1804" t="s">
        <v>438</v>
      </c>
      <c r="C195" s="1804" t="s">
        <v>239</v>
      </c>
      <c r="D195" s="1810">
        <v>1409</v>
      </c>
      <c r="E195" s="1808">
        <v>1130</v>
      </c>
      <c r="F195" s="1814">
        <v>2</v>
      </c>
      <c r="G195" s="1843">
        <v>45954</v>
      </c>
      <c r="H195" s="1812">
        <v>45954</v>
      </c>
    </row>
    <row r="196" spans="1:9">
      <c r="A196" s="1803" t="s">
        <v>237</v>
      </c>
      <c r="B196" s="1803" t="s">
        <v>439</v>
      </c>
      <c r="C196" s="1803" t="s">
        <v>242</v>
      </c>
      <c r="D196" s="1809">
        <v>1164</v>
      </c>
      <c r="E196" s="1807">
        <v>841</v>
      </c>
      <c r="F196" s="1813">
        <v>1</v>
      </c>
      <c r="G196" s="1843">
        <v>45852</v>
      </c>
      <c r="H196" s="1811">
        <v>45852</v>
      </c>
    </row>
    <row r="197" spans="1:9">
      <c r="A197" s="1804" t="s">
        <v>237</v>
      </c>
      <c r="B197" s="1804" t="s">
        <v>440</v>
      </c>
      <c r="C197" s="1804" t="s">
        <v>244</v>
      </c>
      <c r="D197" s="1810">
        <v>1526</v>
      </c>
      <c r="E197" s="1808">
        <v>1224</v>
      </c>
      <c r="F197" s="1814">
        <v>2</v>
      </c>
      <c r="G197" s="1843">
        <v>45478</v>
      </c>
      <c r="H197" s="1812">
        <v>45478</v>
      </c>
    </row>
    <row r="198" spans="1:9">
      <c r="A198" s="1803" t="s">
        <v>237</v>
      </c>
      <c r="B198" s="1803" t="s">
        <v>441</v>
      </c>
      <c r="C198" s="1803" t="s">
        <v>242</v>
      </c>
      <c r="D198" s="1809">
        <v>1176</v>
      </c>
      <c r="E198" s="1807">
        <v>841</v>
      </c>
      <c r="F198" s="1813">
        <v>1</v>
      </c>
      <c r="G198" s="1843">
        <v>45845</v>
      </c>
      <c r="H198" s="1811">
        <v>45845</v>
      </c>
    </row>
    <row r="199" spans="1:9">
      <c r="A199" s="1804" t="s">
        <v>237</v>
      </c>
      <c r="B199" s="1804" t="s">
        <v>442</v>
      </c>
      <c r="C199" s="1804" t="s">
        <v>242</v>
      </c>
      <c r="D199" s="1810">
        <v>1240</v>
      </c>
      <c r="E199" s="1808">
        <v>841</v>
      </c>
      <c r="F199" s="1814">
        <v>1</v>
      </c>
      <c r="G199" s="1843">
        <v>45673</v>
      </c>
      <c r="H199" s="1812">
        <v>46038</v>
      </c>
    </row>
    <row r="200" spans="1:9">
      <c r="A200" s="1803" t="s">
        <v>237</v>
      </c>
      <c r="B200" s="1803" t="s">
        <v>443</v>
      </c>
      <c r="C200" s="1803" t="s">
        <v>239</v>
      </c>
      <c r="D200" s="1809">
        <v>1397</v>
      </c>
      <c r="E200" s="1807">
        <v>1130</v>
      </c>
      <c r="F200" s="1813">
        <v>2</v>
      </c>
      <c r="G200" s="1843">
        <v>45748</v>
      </c>
      <c r="H200" s="1811">
        <v>45748</v>
      </c>
    </row>
    <row r="201" spans="1:9">
      <c r="A201" s="1804" t="s">
        <v>237</v>
      </c>
      <c r="B201" s="1804" t="s">
        <v>444</v>
      </c>
      <c r="C201" s="1804" t="s">
        <v>242</v>
      </c>
      <c r="D201" s="1810">
        <v>1109</v>
      </c>
      <c r="E201" s="1808">
        <v>841</v>
      </c>
      <c r="F201" s="1814">
        <v>1</v>
      </c>
      <c r="G201" s="1843">
        <v>45800</v>
      </c>
      <c r="H201" s="1812">
        <v>45800</v>
      </c>
    </row>
    <row r="202" spans="1:9">
      <c r="A202" s="1803" t="s">
        <v>237</v>
      </c>
      <c r="B202" s="1803" t="s">
        <v>445</v>
      </c>
      <c r="C202" s="1803" t="s">
        <v>244</v>
      </c>
      <c r="D202" s="1809">
        <v>1541</v>
      </c>
      <c r="E202" s="1807">
        <v>1224</v>
      </c>
      <c r="F202" s="1813">
        <v>2</v>
      </c>
      <c r="G202" s="1843">
        <v>45681</v>
      </c>
      <c r="H202" s="1811">
        <v>45681</v>
      </c>
    </row>
    <row r="203" spans="1:9">
      <c r="A203" s="1804" t="s">
        <v>237</v>
      </c>
      <c r="B203" s="1804" t="s">
        <v>446</v>
      </c>
      <c r="C203" s="1804" t="s">
        <v>239</v>
      </c>
      <c r="D203" s="1810">
        <v>1295</v>
      </c>
      <c r="E203" s="1808">
        <v>1130</v>
      </c>
      <c r="F203" s="1814">
        <v>2</v>
      </c>
      <c r="G203" s="1843">
        <v>45877</v>
      </c>
      <c r="H203" s="1812">
        <v>45877</v>
      </c>
    </row>
    <row r="204" spans="1:9">
      <c r="A204" s="1803" t="s">
        <v>237</v>
      </c>
      <c r="B204" s="1803" t="s">
        <v>447</v>
      </c>
      <c r="C204" s="1803" t="s">
        <v>242</v>
      </c>
      <c r="D204" s="1809">
        <v>1113</v>
      </c>
      <c r="E204" s="1807">
        <v>841</v>
      </c>
      <c r="F204" s="1813">
        <v>1</v>
      </c>
      <c r="G204" s="1843">
        <v>45883</v>
      </c>
      <c r="H204" s="1811">
        <v>45883</v>
      </c>
    </row>
    <row r="205" spans="1:9">
      <c r="A205" s="1804" t="s">
        <v>237</v>
      </c>
      <c r="B205" s="1804" t="s">
        <v>448</v>
      </c>
      <c r="C205" s="1804" t="s">
        <v>244</v>
      </c>
      <c r="D205" s="1810">
        <v>1598</v>
      </c>
      <c r="E205" s="1808">
        <v>1224</v>
      </c>
      <c r="F205" s="1814">
        <v>2</v>
      </c>
      <c r="G205" s="1843">
        <v>45499</v>
      </c>
      <c r="H205" s="1812">
        <v>45864</v>
      </c>
    </row>
    <row r="206" spans="1:9">
      <c r="A206" s="1803" t="s">
        <v>237</v>
      </c>
      <c r="B206" s="1803" t="s">
        <v>449</v>
      </c>
      <c r="C206" s="1803" t="s">
        <v>242</v>
      </c>
      <c r="D206" s="1809">
        <v>1114</v>
      </c>
      <c r="E206" s="1807">
        <v>841</v>
      </c>
      <c r="F206" s="1813">
        <v>1</v>
      </c>
      <c r="G206" s="1843">
        <v>45820</v>
      </c>
      <c r="H206" s="1811">
        <v>45820</v>
      </c>
    </row>
    <row r="207" spans="1:9">
      <c r="A207" s="1804" t="s">
        <v>237</v>
      </c>
      <c r="B207" s="1804" t="s">
        <v>450</v>
      </c>
      <c r="C207" s="1804" t="s">
        <v>242</v>
      </c>
      <c r="D207" s="1810">
        <v>1114</v>
      </c>
      <c r="E207" s="1808">
        <v>841</v>
      </c>
      <c r="F207" s="1814">
        <v>1</v>
      </c>
      <c r="G207" s="1843">
        <v>45868</v>
      </c>
      <c r="H207" s="1812">
        <v>45868</v>
      </c>
    </row>
    <row r="208" spans="1:9">
      <c r="A208" s="1803" t="s">
        <v>237</v>
      </c>
      <c r="B208" s="1803" t="s">
        <v>451</v>
      </c>
      <c r="C208" s="1803" t="s">
        <v>239</v>
      </c>
      <c r="D208" s="1809">
        <v>1358</v>
      </c>
      <c r="E208" s="1807">
        <v>1130</v>
      </c>
      <c r="F208" s="1813">
        <v>2</v>
      </c>
      <c r="G208" s="1843">
        <v>45960</v>
      </c>
      <c r="H208" s="1811">
        <v>45960</v>
      </c>
      <c r="I208" s="104" t="s">
        <v>322</v>
      </c>
    </row>
    <row r="209" spans="1:8">
      <c r="A209" s="1804" t="s">
        <v>237</v>
      </c>
      <c r="B209" s="1804" t="s">
        <v>452</v>
      </c>
      <c r="C209" s="1804" t="s">
        <v>242</v>
      </c>
      <c r="D209" s="1810">
        <v>1114</v>
      </c>
      <c r="E209" s="1808">
        <v>841</v>
      </c>
      <c r="F209" s="1814">
        <v>1</v>
      </c>
      <c r="G209" s="1843">
        <v>45849</v>
      </c>
      <c r="H209" s="1812">
        <v>45849</v>
      </c>
    </row>
    <row r="210" spans="1:8">
      <c r="A210" s="1803" t="s">
        <v>237</v>
      </c>
      <c r="B210" s="1803" t="s">
        <v>453</v>
      </c>
      <c r="C210" s="1803" t="s">
        <v>244</v>
      </c>
      <c r="D210" s="1809">
        <v>1463</v>
      </c>
      <c r="E210" s="1807">
        <v>1224</v>
      </c>
      <c r="F210" s="1813">
        <v>2</v>
      </c>
      <c r="G210" s="1843">
        <v>45765</v>
      </c>
      <c r="H210" s="1811">
        <v>45765</v>
      </c>
    </row>
    <row r="211" spans="1:8">
      <c r="A211" s="1804" t="s">
        <v>237</v>
      </c>
      <c r="B211" s="1804" t="s">
        <v>454</v>
      </c>
      <c r="C211" s="1804" t="s">
        <v>239</v>
      </c>
      <c r="D211" s="1810">
        <v>1270</v>
      </c>
      <c r="E211" s="1808">
        <v>1130</v>
      </c>
      <c r="F211" s="1814">
        <v>2</v>
      </c>
      <c r="G211" s="1843">
        <v>45877</v>
      </c>
      <c r="H211" s="1812">
        <v>45877</v>
      </c>
    </row>
    <row r="212" spans="1:8">
      <c r="A212" s="1803" t="s">
        <v>237</v>
      </c>
      <c r="B212" s="1803" t="s">
        <v>455</v>
      </c>
      <c r="C212" s="1803" t="s">
        <v>242</v>
      </c>
      <c r="D212" s="1809">
        <v>1291</v>
      </c>
      <c r="E212" s="1807">
        <v>841</v>
      </c>
      <c r="F212" s="1813">
        <v>1</v>
      </c>
      <c r="G212" s="1843">
        <v>45572</v>
      </c>
      <c r="H212" s="1811">
        <v>45937</v>
      </c>
    </row>
    <row r="213" spans="1:8">
      <c r="A213" s="1804" t="s">
        <v>237</v>
      </c>
      <c r="B213" s="1804" t="s">
        <v>456</v>
      </c>
      <c r="C213" s="1804" t="s">
        <v>244</v>
      </c>
      <c r="D213" s="1810">
        <v>1485</v>
      </c>
      <c r="E213" s="1808">
        <v>1224</v>
      </c>
      <c r="F213" s="1814">
        <v>2</v>
      </c>
      <c r="G213" s="1843">
        <v>45572</v>
      </c>
      <c r="H213" s="1812">
        <v>45937</v>
      </c>
    </row>
    <row r="214" spans="1:8">
      <c r="A214" s="1803" t="s">
        <v>237</v>
      </c>
      <c r="B214" s="1803" t="s">
        <v>457</v>
      </c>
      <c r="C214" s="1803" t="s">
        <v>242</v>
      </c>
      <c r="D214" s="1809">
        <v>1034</v>
      </c>
      <c r="E214" s="1807">
        <v>841</v>
      </c>
      <c r="F214" s="1813">
        <v>1</v>
      </c>
      <c r="G214" s="1843">
        <v>45806</v>
      </c>
      <c r="H214" s="1811">
        <v>45806</v>
      </c>
    </row>
    <row r="215" spans="1:8">
      <c r="A215" s="1804" t="s">
        <v>237</v>
      </c>
      <c r="B215" s="1804" t="s">
        <v>458</v>
      </c>
      <c r="C215" s="1804" t="s">
        <v>242</v>
      </c>
      <c r="D215" s="1810">
        <v>1067</v>
      </c>
      <c r="E215" s="1808">
        <v>841</v>
      </c>
      <c r="F215" s="1814">
        <v>1</v>
      </c>
      <c r="G215" s="1843">
        <v>45863</v>
      </c>
      <c r="H215" s="1812">
        <v>45863</v>
      </c>
    </row>
    <row r="216" spans="1:8">
      <c r="A216" s="1803" t="s">
        <v>237</v>
      </c>
      <c r="B216" s="1803" t="s">
        <v>459</v>
      </c>
      <c r="C216" s="1803" t="s">
        <v>239</v>
      </c>
      <c r="D216" s="1809">
        <v>1296</v>
      </c>
      <c r="E216" s="1807">
        <v>1130</v>
      </c>
      <c r="F216" s="1813">
        <v>2</v>
      </c>
      <c r="G216" s="1843">
        <v>45814</v>
      </c>
      <c r="H216" s="1811">
        <v>45814</v>
      </c>
    </row>
    <row r="217" spans="1:8">
      <c r="A217" s="1804" t="s">
        <v>237</v>
      </c>
      <c r="B217" s="1804" t="s">
        <v>460</v>
      </c>
      <c r="C217" s="1804" t="s">
        <v>242</v>
      </c>
      <c r="D217" s="1810">
        <v>1089</v>
      </c>
      <c r="E217" s="1808">
        <v>841</v>
      </c>
      <c r="F217" s="1814">
        <v>1</v>
      </c>
      <c r="G217" s="1843">
        <v>45870</v>
      </c>
      <c r="H217" s="1812">
        <v>45870</v>
      </c>
    </row>
    <row r="218" spans="1:8">
      <c r="A218" s="1803" t="s">
        <v>237</v>
      </c>
      <c r="B218" s="1803" t="s">
        <v>461</v>
      </c>
      <c r="C218" s="1803" t="s">
        <v>244</v>
      </c>
      <c r="D218" s="1809">
        <v>1510</v>
      </c>
      <c r="E218" s="1807">
        <v>1224</v>
      </c>
      <c r="F218" s="1813">
        <v>2</v>
      </c>
      <c r="G218" s="1843">
        <v>45593</v>
      </c>
      <c r="H218" s="1811">
        <v>45593</v>
      </c>
    </row>
    <row r="219" spans="1:8">
      <c r="A219" s="1804" t="s">
        <v>237</v>
      </c>
      <c r="B219" s="1804" t="s">
        <v>462</v>
      </c>
      <c r="C219" s="1804" t="s">
        <v>244</v>
      </c>
      <c r="D219" s="1810">
        <v>1484</v>
      </c>
      <c r="E219" s="1808">
        <v>1224</v>
      </c>
      <c r="F219" s="1814">
        <v>2</v>
      </c>
      <c r="G219" s="1843">
        <v>45981</v>
      </c>
      <c r="H219" s="1812">
        <v>45981</v>
      </c>
    </row>
    <row r="220" spans="1:8">
      <c r="A220" s="1803" t="s">
        <v>237</v>
      </c>
      <c r="B220" s="1803" t="s">
        <v>463</v>
      </c>
      <c r="C220" s="1803" t="s">
        <v>242</v>
      </c>
      <c r="D220" s="1809">
        <v>1218</v>
      </c>
      <c r="E220" s="1807">
        <v>841</v>
      </c>
      <c r="F220" s="1813">
        <v>1</v>
      </c>
      <c r="G220" s="1843">
        <v>45492</v>
      </c>
      <c r="H220" s="1811">
        <v>45857</v>
      </c>
    </row>
    <row r="221" spans="1:8">
      <c r="A221" s="1804" t="s">
        <v>237</v>
      </c>
      <c r="B221" s="1804" t="s">
        <v>464</v>
      </c>
      <c r="C221" s="1804" t="s">
        <v>239</v>
      </c>
      <c r="D221" s="1810">
        <v>1345</v>
      </c>
      <c r="E221" s="1808">
        <v>1130</v>
      </c>
      <c r="F221" s="1814">
        <v>2</v>
      </c>
      <c r="G221" s="1843">
        <v>45813</v>
      </c>
      <c r="H221" s="1812">
        <v>45813</v>
      </c>
    </row>
    <row r="222" spans="1:8">
      <c r="A222" s="1803" t="s">
        <v>237</v>
      </c>
      <c r="B222" s="1803" t="s">
        <v>465</v>
      </c>
      <c r="C222" s="1803" t="s">
        <v>242</v>
      </c>
      <c r="D222" s="1809">
        <v>1229</v>
      </c>
      <c r="E222" s="1807">
        <v>841</v>
      </c>
      <c r="F222" s="1813">
        <v>1</v>
      </c>
      <c r="G222" s="1843">
        <v>45681</v>
      </c>
      <c r="H222" s="1811">
        <v>46046</v>
      </c>
    </row>
    <row r="223" spans="1:8">
      <c r="A223" s="1804" t="s">
        <v>237</v>
      </c>
      <c r="B223" s="1804" t="s">
        <v>466</v>
      </c>
      <c r="C223" s="1804" t="s">
        <v>242</v>
      </c>
      <c r="D223" s="1810">
        <v>1143</v>
      </c>
      <c r="E223" s="1808">
        <v>841</v>
      </c>
      <c r="F223" s="1814">
        <v>1</v>
      </c>
      <c r="G223" s="1843">
        <v>45992</v>
      </c>
      <c r="H223" s="1812">
        <v>45992</v>
      </c>
    </row>
    <row r="224" spans="1:8">
      <c r="A224" s="1803" t="s">
        <v>237</v>
      </c>
      <c r="B224" s="1803" t="s">
        <v>467</v>
      </c>
      <c r="C224" s="1803" t="s">
        <v>244</v>
      </c>
      <c r="D224" s="1809">
        <v>1600</v>
      </c>
      <c r="E224" s="1807">
        <v>1224</v>
      </c>
      <c r="F224" s="1813">
        <v>2</v>
      </c>
      <c r="G224" s="1843">
        <v>45505</v>
      </c>
      <c r="H224" s="1811">
        <v>45505</v>
      </c>
    </row>
    <row r="225" spans="1:8">
      <c r="A225" s="1804" t="s">
        <v>237</v>
      </c>
      <c r="B225" s="1804" t="s">
        <v>468</v>
      </c>
      <c r="C225" s="1804" t="s">
        <v>242</v>
      </c>
      <c r="D225" s="1810">
        <v>1290</v>
      </c>
      <c r="E225" s="1808">
        <v>841</v>
      </c>
      <c r="F225" s="1814">
        <v>1</v>
      </c>
      <c r="G225" s="1843">
        <v>45649</v>
      </c>
      <c r="H225" s="1812">
        <v>46014</v>
      </c>
    </row>
    <row r="226" spans="1:8">
      <c r="A226" s="1803" t="s">
        <v>237</v>
      </c>
      <c r="B226" s="1803" t="s">
        <v>469</v>
      </c>
      <c r="C226" s="1803" t="s">
        <v>239</v>
      </c>
      <c r="D226" s="1809">
        <v>1371</v>
      </c>
      <c r="E226" s="1807">
        <v>1130</v>
      </c>
      <c r="F226" s="1813">
        <v>2</v>
      </c>
      <c r="G226" s="1843">
        <v>45793</v>
      </c>
      <c r="H226" s="1811">
        <v>45793</v>
      </c>
    </row>
    <row r="227" spans="1:8">
      <c r="A227" s="1804" t="s">
        <v>237</v>
      </c>
      <c r="B227" s="1804" t="s">
        <v>470</v>
      </c>
      <c r="C227" s="1804" t="s">
        <v>244</v>
      </c>
      <c r="D227" s="1810">
        <v>1449</v>
      </c>
      <c r="E227" s="1808">
        <v>1224</v>
      </c>
      <c r="F227" s="1814">
        <v>2</v>
      </c>
      <c r="G227" s="1843">
        <v>45775</v>
      </c>
      <c r="H227" s="1812">
        <v>45775</v>
      </c>
    </row>
    <row r="228" spans="1:8">
      <c r="A228" s="1803" t="s">
        <v>237</v>
      </c>
      <c r="B228" s="1803" t="s">
        <v>471</v>
      </c>
      <c r="C228" s="1803" t="s">
        <v>242</v>
      </c>
      <c r="D228" s="1809">
        <v>1297</v>
      </c>
      <c r="E228" s="1807">
        <v>841</v>
      </c>
      <c r="F228" s="1813">
        <v>1</v>
      </c>
      <c r="G228" s="1843">
        <v>45548</v>
      </c>
      <c r="H228" s="1811">
        <v>45913</v>
      </c>
    </row>
    <row r="229" spans="1:8">
      <c r="A229" s="1804" t="s">
        <v>237</v>
      </c>
      <c r="B229" s="1804" t="s">
        <v>472</v>
      </c>
      <c r="C229" s="1804" t="s">
        <v>239</v>
      </c>
      <c r="D229" s="1810">
        <v>1478</v>
      </c>
      <c r="E229" s="1808">
        <v>1130</v>
      </c>
      <c r="F229" s="1814">
        <v>2</v>
      </c>
      <c r="G229" s="1843">
        <v>45505</v>
      </c>
      <c r="H229" s="1812">
        <v>45869</v>
      </c>
    </row>
    <row r="230" spans="1:8">
      <c r="A230" s="1803" t="s">
        <v>237</v>
      </c>
      <c r="B230" s="1803" t="s">
        <v>473</v>
      </c>
      <c r="C230" s="1803" t="s">
        <v>242</v>
      </c>
      <c r="D230" s="1809">
        <v>1216</v>
      </c>
      <c r="E230" s="1807">
        <v>841</v>
      </c>
      <c r="F230" s="1813">
        <v>1</v>
      </c>
      <c r="G230" s="1843">
        <v>45505</v>
      </c>
      <c r="H230" s="1811">
        <v>45871</v>
      </c>
    </row>
    <row r="231" spans="1:8">
      <c r="A231" s="1804" t="s">
        <v>237</v>
      </c>
      <c r="B231" s="1804" t="s">
        <v>474</v>
      </c>
      <c r="C231" s="1804" t="s">
        <v>242</v>
      </c>
      <c r="D231" s="1810">
        <v>1260</v>
      </c>
      <c r="E231" s="1808">
        <v>841</v>
      </c>
      <c r="F231" s="1814">
        <v>1</v>
      </c>
      <c r="G231" s="1843">
        <v>45503</v>
      </c>
      <c r="H231" s="1812">
        <v>45868</v>
      </c>
    </row>
    <row r="232" spans="1:8">
      <c r="A232" s="1803" t="s">
        <v>237</v>
      </c>
      <c r="B232" s="1803" t="s">
        <v>475</v>
      </c>
      <c r="C232" s="1803" t="s">
        <v>244</v>
      </c>
      <c r="D232" s="1809">
        <v>1422</v>
      </c>
      <c r="E232" s="1807">
        <v>1224</v>
      </c>
      <c r="F232" s="1813">
        <v>2</v>
      </c>
      <c r="G232" s="1843">
        <v>45744</v>
      </c>
      <c r="H232" s="1811">
        <v>45744</v>
      </c>
    </row>
    <row r="233" spans="1:8">
      <c r="A233" s="1804" t="s">
        <v>237</v>
      </c>
      <c r="B233" s="1804" t="s">
        <v>476</v>
      </c>
      <c r="C233" s="1804" t="s">
        <v>242</v>
      </c>
      <c r="D233" s="1810">
        <v>1114</v>
      </c>
      <c r="E233" s="1808">
        <v>841</v>
      </c>
      <c r="F233" s="1814">
        <v>1</v>
      </c>
      <c r="G233" s="1843">
        <v>45826</v>
      </c>
      <c r="H233" s="1812">
        <v>45826</v>
      </c>
    </row>
    <row r="234" spans="1:8">
      <c r="A234" s="1803" t="s">
        <v>237</v>
      </c>
      <c r="B234" s="1803" t="s">
        <v>477</v>
      </c>
      <c r="C234" s="1803" t="s">
        <v>239</v>
      </c>
      <c r="D234" s="1809">
        <v>1372</v>
      </c>
      <c r="E234" s="1807">
        <v>1130</v>
      </c>
      <c r="F234" s="1813">
        <v>2</v>
      </c>
      <c r="G234" s="1843">
        <v>46020</v>
      </c>
      <c r="H234" s="1811">
        <v>46020</v>
      </c>
    </row>
    <row r="235" spans="1:8">
      <c r="A235" s="1804" t="s">
        <v>237</v>
      </c>
      <c r="B235" s="1804" t="s">
        <v>478</v>
      </c>
      <c r="C235" s="1804" t="s">
        <v>244</v>
      </c>
      <c r="D235" s="1810">
        <v>1371</v>
      </c>
      <c r="E235" s="1808">
        <v>1224</v>
      </c>
      <c r="F235" s="1814">
        <v>2</v>
      </c>
      <c r="G235" s="1843">
        <v>45784</v>
      </c>
      <c r="H235" s="1812">
        <v>45784</v>
      </c>
    </row>
    <row r="236" spans="1:8">
      <c r="A236" s="1803" t="s">
        <v>237</v>
      </c>
      <c r="B236" s="1803" t="s">
        <v>479</v>
      </c>
      <c r="C236" s="1803" t="s">
        <v>242</v>
      </c>
      <c r="D236" s="1809">
        <v>1112</v>
      </c>
      <c r="E236" s="1807">
        <v>841</v>
      </c>
      <c r="F236" s="1813">
        <v>1</v>
      </c>
      <c r="G236" s="1843">
        <v>45744</v>
      </c>
      <c r="H236" s="1811">
        <v>45744</v>
      </c>
    </row>
    <row r="237" spans="1:8">
      <c r="A237" s="1804" t="s">
        <v>237</v>
      </c>
      <c r="B237" s="1804" t="s">
        <v>480</v>
      </c>
      <c r="C237" s="1804" t="s">
        <v>239</v>
      </c>
      <c r="D237" s="1810">
        <v>1377</v>
      </c>
      <c r="E237" s="1808">
        <v>1130</v>
      </c>
      <c r="F237" s="1814">
        <v>2</v>
      </c>
      <c r="G237" s="1843">
        <v>45625</v>
      </c>
      <c r="H237" s="1812">
        <v>45625</v>
      </c>
    </row>
    <row r="238" spans="1:8">
      <c r="A238" s="1803" t="s">
        <v>237</v>
      </c>
      <c r="B238" s="1803" t="s">
        <v>481</v>
      </c>
      <c r="C238" s="1803" t="s">
        <v>242</v>
      </c>
      <c r="D238" s="1809">
        <v>1034</v>
      </c>
      <c r="E238" s="1807">
        <v>841</v>
      </c>
      <c r="F238" s="1813">
        <v>1</v>
      </c>
      <c r="G238" s="1843">
        <v>45863</v>
      </c>
      <c r="H238" s="1811">
        <v>45863</v>
      </c>
    </row>
    <row r="239" spans="1:8">
      <c r="A239" s="1804" t="s">
        <v>237</v>
      </c>
      <c r="B239" s="1804" t="s">
        <v>482</v>
      </c>
      <c r="C239" s="1804" t="s">
        <v>242</v>
      </c>
      <c r="D239" s="1810">
        <v>1034</v>
      </c>
      <c r="E239" s="1808">
        <v>841</v>
      </c>
      <c r="F239" s="1814">
        <v>1</v>
      </c>
      <c r="G239" s="1843">
        <v>45819</v>
      </c>
      <c r="H239" s="1812">
        <v>45819</v>
      </c>
    </row>
    <row r="240" spans="1:8">
      <c r="A240" s="1803" t="s">
        <v>237</v>
      </c>
      <c r="B240" s="1803" t="s">
        <v>483</v>
      </c>
      <c r="C240" s="1803" t="s">
        <v>244</v>
      </c>
      <c r="D240" s="1809">
        <v>1384</v>
      </c>
      <c r="E240" s="1807">
        <v>1224</v>
      </c>
      <c r="F240" s="1813">
        <v>2</v>
      </c>
      <c r="G240" s="1843">
        <v>45915</v>
      </c>
      <c r="H240" s="1811">
        <v>45915</v>
      </c>
    </row>
    <row r="241" spans="1:8">
      <c r="A241" s="1804" t="s">
        <v>237</v>
      </c>
      <c r="B241" s="1804" t="s">
        <v>484</v>
      </c>
      <c r="C241" s="1804" t="s">
        <v>242</v>
      </c>
      <c r="D241" s="1810">
        <v>1141</v>
      </c>
      <c r="E241" s="1808">
        <v>841</v>
      </c>
      <c r="F241" s="1814">
        <v>1</v>
      </c>
      <c r="G241" s="1843">
        <v>45765</v>
      </c>
      <c r="H241" s="1812">
        <v>45765</v>
      </c>
    </row>
    <row r="242" spans="1:8">
      <c r="A242" s="1803" t="s">
        <v>237</v>
      </c>
      <c r="B242" s="1803" t="s">
        <v>485</v>
      </c>
      <c r="C242" s="1803" t="s">
        <v>239</v>
      </c>
      <c r="D242" s="1809">
        <v>1270</v>
      </c>
      <c r="E242" s="1807">
        <v>1130</v>
      </c>
      <c r="F242" s="1813">
        <v>2</v>
      </c>
      <c r="G242" s="1843">
        <v>45839</v>
      </c>
      <c r="H242" s="1811">
        <v>45839</v>
      </c>
    </row>
    <row r="243" spans="1:8">
      <c r="A243" s="1804" t="s">
        <v>237</v>
      </c>
      <c r="B243" s="1804" t="s">
        <v>486</v>
      </c>
      <c r="C243" s="1804" t="s">
        <v>316</v>
      </c>
      <c r="D243" s="1810">
        <v>1722</v>
      </c>
      <c r="E243" s="1808">
        <v>1457</v>
      </c>
      <c r="F243" s="1814">
        <v>3</v>
      </c>
      <c r="G243" s="1843">
        <v>45806</v>
      </c>
      <c r="H243" s="1812">
        <v>45806</v>
      </c>
    </row>
    <row r="244" spans="1:8">
      <c r="A244" s="1803" t="s">
        <v>237</v>
      </c>
      <c r="B244" s="1803" t="s">
        <v>487</v>
      </c>
      <c r="C244" s="1803" t="s">
        <v>488</v>
      </c>
      <c r="D244" s="1809">
        <v>1335</v>
      </c>
      <c r="E244" s="1807">
        <v>1210</v>
      </c>
      <c r="F244" s="1813">
        <v>2</v>
      </c>
      <c r="G244" s="1843">
        <v>46000</v>
      </c>
      <c r="H244" s="1811">
        <v>46000</v>
      </c>
    </row>
    <row r="245" spans="1:8">
      <c r="A245" s="1804" t="s">
        <v>237</v>
      </c>
      <c r="B245" s="1804" t="s">
        <v>489</v>
      </c>
      <c r="C245" s="1804" t="s">
        <v>316</v>
      </c>
      <c r="D245" s="1810">
        <v>1761</v>
      </c>
      <c r="E245" s="1808">
        <v>1457</v>
      </c>
      <c r="F245" s="1814">
        <v>3</v>
      </c>
      <c r="G245" s="1843">
        <v>45876</v>
      </c>
      <c r="H245" s="1812">
        <v>45876</v>
      </c>
    </row>
    <row r="246" spans="1:8">
      <c r="A246" s="1803" t="s">
        <v>237</v>
      </c>
      <c r="B246" s="1803" t="s">
        <v>490</v>
      </c>
      <c r="C246" s="1803" t="s">
        <v>488</v>
      </c>
      <c r="D246" s="1809">
        <v>1449</v>
      </c>
      <c r="E246" s="1807">
        <v>1210</v>
      </c>
      <c r="F246" s="1813">
        <v>2</v>
      </c>
      <c r="G246" s="1843">
        <v>45897</v>
      </c>
      <c r="H246" s="1811">
        <v>45897</v>
      </c>
    </row>
    <row r="247" spans="1:8">
      <c r="A247" s="1804" t="s">
        <v>237</v>
      </c>
      <c r="B247" s="1804" t="s">
        <v>491</v>
      </c>
      <c r="C247" s="1804" t="s">
        <v>488</v>
      </c>
      <c r="D247" s="1810">
        <v>1367</v>
      </c>
      <c r="E247" s="1808">
        <v>1210</v>
      </c>
      <c r="F247" s="1814">
        <v>2</v>
      </c>
      <c r="G247" s="1843">
        <v>45625</v>
      </c>
      <c r="H247" s="1812">
        <v>45625</v>
      </c>
    </row>
    <row r="248" spans="1:8">
      <c r="A248" s="1803" t="s">
        <v>237</v>
      </c>
      <c r="B248" s="1803" t="s">
        <v>492</v>
      </c>
      <c r="C248" s="1803" t="s">
        <v>316</v>
      </c>
      <c r="D248" s="1809">
        <v>1758</v>
      </c>
      <c r="E248" s="1807">
        <v>1457</v>
      </c>
      <c r="F248" s="1813">
        <v>3</v>
      </c>
      <c r="G248" s="1843">
        <v>45533</v>
      </c>
      <c r="H248" s="1811">
        <v>45898</v>
      </c>
    </row>
    <row r="249" spans="1:8">
      <c r="A249" s="1804" t="s">
        <v>237</v>
      </c>
      <c r="B249" s="1804" t="s">
        <v>493</v>
      </c>
      <c r="C249" s="1804" t="s">
        <v>488</v>
      </c>
      <c r="D249" s="1810">
        <v>1385</v>
      </c>
      <c r="E249" s="1808">
        <v>1210</v>
      </c>
      <c r="F249" s="1814">
        <v>2</v>
      </c>
      <c r="G249" s="1843">
        <v>45870</v>
      </c>
      <c r="H249" s="1812">
        <v>45870</v>
      </c>
    </row>
    <row r="250" spans="1:8">
      <c r="A250" s="1803" t="s">
        <v>237</v>
      </c>
      <c r="B250" s="1803" t="s">
        <v>494</v>
      </c>
      <c r="C250" s="1803" t="s">
        <v>316</v>
      </c>
      <c r="D250" s="1809">
        <v>1906</v>
      </c>
      <c r="E250" s="1807">
        <v>1457</v>
      </c>
      <c r="F250" s="1813">
        <v>3</v>
      </c>
      <c r="G250" s="1843">
        <v>45691</v>
      </c>
      <c r="H250" s="1811">
        <v>45691</v>
      </c>
    </row>
    <row r="251" spans="1:8">
      <c r="A251" s="1804" t="s">
        <v>237</v>
      </c>
      <c r="B251" s="1804" t="s">
        <v>495</v>
      </c>
      <c r="C251" s="1804" t="s">
        <v>316</v>
      </c>
      <c r="D251" s="1810">
        <v>1591</v>
      </c>
      <c r="E251" s="1808">
        <v>1457</v>
      </c>
      <c r="F251" s="1814">
        <v>3</v>
      </c>
      <c r="G251" s="1843">
        <v>45931</v>
      </c>
      <c r="H251" s="1812">
        <v>45931</v>
      </c>
    </row>
    <row r="252" spans="1:8">
      <c r="A252" s="1803" t="s">
        <v>237</v>
      </c>
      <c r="B252" s="1803" t="s">
        <v>496</v>
      </c>
      <c r="C252" s="1803" t="s">
        <v>488</v>
      </c>
      <c r="D252" s="1809">
        <v>1310</v>
      </c>
      <c r="E252" s="1807">
        <v>1210</v>
      </c>
      <c r="F252" s="1813">
        <v>2</v>
      </c>
      <c r="G252" s="1843">
        <v>45863</v>
      </c>
      <c r="H252" s="1811">
        <v>45863</v>
      </c>
    </row>
    <row r="253" spans="1:8">
      <c r="A253" s="1804" t="s">
        <v>237</v>
      </c>
      <c r="B253" s="1804" t="s">
        <v>497</v>
      </c>
      <c r="C253" s="1804" t="s">
        <v>316</v>
      </c>
      <c r="D253" s="1810">
        <v>1734</v>
      </c>
      <c r="E253" s="1808">
        <v>1457</v>
      </c>
      <c r="F253" s="1814">
        <v>3</v>
      </c>
      <c r="G253" s="1843">
        <v>45505</v>
      </c>
      <c r="H253" s="1812">
        <v>45869</v>
      </c>
    </row>
    <row r="254" spans="1:8">
      <c r="A254" s="1803" t="s">
        <v>237</v>
      </c>
      <c r="B254" s="1803" t="s">
        <v>498</v>
      </c>
      <c r="C254" s="1803" t="s">
        <v>488</v>
      </c>
      <c r="D254" s="1809">
        <v>1483</v>
      </c>
      <c r="E254" s="1807">
        <v>1210</v>
      </c>
      <c r="F254" s="1813">
        <v>2</v>
      </c>
      <c r="G254" s="1843">
        <v>45505</v>
      </c>
      <c r="H254" s="1811">
        <v>45869</v>
      </c>
    </row>
    <row r="255" spans="1:8">
      <c r="A255" s="1804" t="s">
        <v>237</v>
      </c>
      <c r="B255" s="1804" t="s">
        <v>499</v>
      </c>
      <c r="C255" s="1804" t="s">
        <v>488</v>
      </c>
      <c r="D255" s="1810">
        <v>1310</v>
      </c>
      <c r="E255" s="1808">
        <v>1210</v>
      </c>
      <c r="F255" s="1814">
        <v>2</v>
      </c>
      <c r="G255" s="1843">
        <v>45856</v>
      </c>
      <c r="H255" s="1812">
        <v>45856</v>
      </c>
    </row>
    <row r="256" spans="1:8">
      <c r="A256" s="1803" t="s">
        <v>237</v>
      </c>
      <c r="B256" s="1803" t="s">
        <v>500</v>
      </c>
      <c r="C256" s="1803" t="s">
        <v>316</v>
      </c>
      <c r="D256" s="1809">
        <v>1528</v>
      </c>
      <c r="E256" s="1807">
        <v>1457</v>
      </c>
      <c r="F256" s="1813">
        <v>3</v>
      </c>
      <c r="G256" s="1843">
        <v>46010</v>
      </c>
      <c r="H256" s="1811">
        <v>46010</v>
      </c>
    </row>
    <row r="257" spans="1:8">
      <c r="A257" s="1804" t="s">
        <v>237</v>
      </c>
      <c r="B257" s="1804" t="s">
        <v>501</v>
      </c>
      <c r="C257" s="1804" t="s">
        <v>488</v>
      </c>
      <c r="D257" s="1810">
        <v>1399</v>
      </c>
      <c r="E257" s="1808">
        <v>1210</v>
      </c>
      <c r="F257" s="1814">
        <v>2</v>
      </c>
      <c r="G257" s="1843">
        <v>45896</v>
      </c>
      <c r="H257" s="1812">
        <v>45896</v>
      </c>
    </row>
    <row r="258" spans="1:8">
      <c r="A258" s="1803" t="s">
        <v>237</v>
      </c>
      <c r="B258" s="1803" t="s">
        <v>502</v>
      </c>
      <c r="C258" s="1803" t="s">
        <v>316</v>
      </c>
      <c r="D258" s="1809">
        <v>1561</v>
      </c>
      <c r="E258" s="1807">
        <v>1457</v>
      </c>
      <c r="F258" s="1813">
        <v>3</v>
      </c>
      <c r="G258" s="1843">
        <v>45891</v>
      </c>
      <c r="H258" s="1811">
        <v>45891</v>
      </c>
    </row>
    <row r="259" spans="1:8">
      <c r="A259" s="1804" t="s">
        <v>237</v>
      </c>
      <c r="B259" s="1804" t="s">
        <v>503</v>
      </c>
      <c r="C259" s="1804" t="s">
        <v>316</v>
      </c>
      <c r="D259" s="1810">
        <v>1534</v>
      </c>
      <c r="E259" s="1808">
        <v>1457</v>
      </c>
      <c r="F259" s="1814">
        <v>3</v>
      </c>
      <c r="G259" s="1843">
        <v>45866</v>
      </c>
      <c r="H259" s="1812">
        <v>45866</v>
      </c>
    </row>
    <row r="260" spans="1:8">
      <c r="A260" s="1803" t="s">
        <v>237</v>
      </c>
      <c r="B260" s="1803" t="s">
        <v>504</v>
      </c>
      <c r="C260" s="1803" t="s">
        <v>488</v>
      </c>
      <c r="D260" s="1809">
        <v>1335</v>
      </c>
      <c r="E260" s="1807">
        <v>1210</v>
      </c>
      <c r="F260" s="1813">
        <v>2</v>
      </c>
      <c r="G260" s="1843">
        <v>45931</v>
      </c>
      <c r="H260" s="1811">
        <v>45931</v>
      </c>
    </row>
    <row r="261" spans="1:8">
      <c r="A261" s="1804" t="s">
        <v>237</v>
      </c>
      <c r="B261" s="1804" t="s">
        <v>505</v>
      </c>
      <c r="C261" s="1804" t="s">
        <v>316</v>
      </c>
      <c r="D261" s="1810">
        <v>1498</v>
      </c>
      <c r="E261" s="1808">
        <v>1457</v>
      </c>
      <c r="F261" s="1814">
        <v>3</v>
      </c>
      <c r="G261" s="1843">
        <v>45992</v>
      </c>
      <c r="H261" s="1812">
        <v>45992</v>
      </c>
    </row>
    <row r="262" spans="1:8">
      <c r="A262" s="1803" t="s">
        <v>237</v>
      </c>
      <c r="B262" s="1803" t="s">
        <v>506</v>
      </c>
      <c r="C262" s="1803" t="s">
        <v>488</v>
      </c>
      <c r="D262" s="1809">
        <v>1417</v>
      </c>
      <c r="E262" s="1807">
        <v>1210</v>
      </c>
      <c r="F262" s="1813">
        <v>2</v>
      </c>
      <c r="G262" s="1843">
        <v>45656</v>
      </c>
      <c r="H262" s="1811">
        <v>45656</v>
      </c>
    </row>
    <row r="263" spans="1:8">
      <c r="A263" s="1804" t="s">
        <v>237</v>
      </c>
      <c r="B263" s="1804" t="s">
        <v>507</v>
      </c>
      <c r="C263" s="1804" t="s">
        <v>488</v>
      </c>
      <c r="D263" s="1810">
        <v>1324</v>
      </c>
      <c r="E263" s="1808">
        <v>1210</v>
      </c>
      <c r="F263" s="1814">
        <v>2</v>
      </c>
      <c r="G263" s="1843">
        <v>45870</v>
      </c>
      <c r="H263" s="1812">
        <v>45870</v>
      </c>
    </row>
    <row r="264" spans="1:8">
      <c r="A264" s="1803" t="s">
        <v>237</v>
      </c>
      <c r="B264" s="1803" t="s">
        <v>508</v>
      </c>
      <c r="C264" s="1803" t="s">
        <v>316</v>
      </c>
      <c r="D264" s="1809">
        <v>1566</v>
      </c>
      <c r="E264" s="1807">
        <v>1457</v>
      </c>
      <c r="F264" s="1813">
        <v>3</v>
      </c>
      <c r="G264" s="1843">
        <v>45863</v>
      </c>
      <c r="H264" s="1811">
        <v>45863</v>
      </c>
    </row>
    <row r="265" spans="1:8">
      <c r="A265" s="1804" t="s">
        <v>237</v>
      </c>
      <c r="B265" s="1804" t="s">
        <v>509</v>
      </c>
      <c r="C265" s="1804" t="s">
        <v>488</v>
      </c>
      <c r="D265" s="1810">
        <v>1387</v>
      </c>
      <c r="E265" s="1808">
        <v>1210</v>
      </c>
      <c r="F265" s="1814">
        <v>2</v>
      </c>
      <c r="G265" s="1843">
        <v>46008</v>
      </c>
      <c r="H265" s="1812">
        <v>46008</v>
      </c>
    </row>
    <row r="266" spans="1:8">
      <c r="A266" s="1803" t="s">
        <v>237</v>
      </c>
      <c r="B266" s="1803" t="s">
        <v>510</v>
      </c>
      <c r="C266" s="1803" t="s">
        <v>316</v>
      </c>
      <c r="D266" s="1809">
        <v>1498</v>
      </c>
      <c r="E266" s="1807">
        <v>1457</v>
      </c>
      <c r="F266" s="1813">
        <v>3</v>
      </c>
      <c r="G266" s="1843">
        <v>45985</v>
      </c>
      <c r="H266" s="1811">
        <v>45985</v>
      </c>
    </row>
    <row r="267" spans="1:8">
      <c r="A267" s="1844"/>
      <c r="B267" s="1844"/>
      <c r="C267" s="1844"/>
      <c r="D267" s="1845"/>
      <c r="E267" s="1846"/>
      <c r="F267" s="1847"/>
      <c r="G267" s="1847"/>
      <c r="H267" s="1848"/>
    </row>
    <row r="268" spans="1:8">
      <c r="A268" s="1844"/>
      <c r="B268" s="1844"/>
      <c r="C268" s="1844"/>
      <c r="D268" s="1845"/>
      <c r="E268" s="1846"/>
      <c r="F268" s="1847"/>
      <c r="G268" s="1847"/>
      <c r="H268" s="1848"/>
    </row>
    <row r="269" spans="1:8">
      <c r="A269" s="1844"/>
      <c r="B269" s="1844"/>
      <c r="C269" s="1844"/>
      <c r="D269" s="1845"/>
      <c r="E269" s="1846"/>
      <c r="F269" s="1847"/>
      <c r="G269" s="1847"/>
      <c r="H269" s="1848"/>
    </row>
    <row r="270" spans="1:8">
      <c r="A270" s="1844"/>
      <c r="B270" s="1844"/>
      <c r="C270" s="1844"/>
      <c r="D270" s="1845"/>
      <c r="E270" s="1846"/>
      <c r="F270" s="1847"/>
      <c r="G270" s="1847"/>
      <c r="H270" s="1848"/>
    </row>
    <row r="271" spans="1:8">
      <c r="A271" s="1844"/>
      <c r="B271" s="1844"/>
      <c r="C271" s="1844"/>
      <c r="D271" s="1845"/>
      <c r="E271" s="1846"/>
      <c r="F271" s="1847"/>
      <c r="G271" s="1847"/>
      <c r="H271" s="1848"/>
    </row>
    <row r="272" spans="1:8">
      <c r="A272" s="1844"/>
      <c r="B272" s="1844"/>
      <c r="C272" s="1844"/>
      <c r="D272" s="1845"/>
      <c r="E272" s="1846"/>
      <c r="F272" s="1847"/>
      <c r="G272" s="1847"/>
      <c r="H272" s="1848"/>
    </row>
    <row r="273" spans="1:8">
      <c r="A273" s="1844"/>
      <c r="B273" s="1844"/>
      <c r="C273" s="1844"/>
      <c r="D273" s="1845"/>
      <c r="E273" s="1846"/>
      <c r="F273" s="1847"/>
      <c r="G273" s="1847"/>
      <c r="H273" s="1848"/>
    </row>
    <row r="274" spans="1:8">
      <c r="A274" s="1844"/>
      <c r="B274" s="1844"/>
      <c r="C274" s="1844"/>
      <c r="D274" s="1845"/>
      <c r="E274" s="1846"/>
      <c r="F274" s="1847"/>
      <c r="G274" s="1847"/>
      <c r="H274" s="1848"/>
    </row>
    <row r="275" spans="1:8">
      <c r="A275"/>
      <c r="B275"/>
      <c r="C275"/>
      <c r="D275" s="1401"/>
      <c r="E275" s="1402"/>
    </row>
    <row r="276" spans="1:8">
      <c r="A276"/>
      <c r="B276"/>
      <c r="C276"/>
      <c r="D276" s="1401"/>
      <c r="E276" s="1402"/>
    </row>
    <row r="277" spans="1:8">
      <c r="A277"/>
      <c r="B277"/>
      <c r="C277"/>
      <c r="D277" s="1401"/>
      <c r="E277" s="1402"/>
    </row>
    <row r="278" spans="1:8">
      <c r="A278"/>
      <c r="B278"/>
      <c r="C278"/>
      <c r="D278" s="1401"/>
      <c r="E278" s="1402"/>
    </row>
    <row r="279" spans="1:8">
      <c r="A279"/>
      <c r="B279"/>
      <c r="C279"/>
      <c r="D279" s="1401"/>
      <c r="E279" s="1402"/>
    </row>
    <row r="280" spans="1:8">
      <c r="A280"/>
      <c r="B280"/>
      <c r="C280"/>
      <c r="D280" s="1401"/>
      <c r="E280" s="1402"/>
    </row>
    <row r="281" spans="1:8">
      <c r="A281"/>
      <c r="B281"/>
      <c r="C281"/>
      <c r="D281" s="1401"/>
      <c r="E281" s="1402"/>
    </row>
    <row r="282" spans="1:8">
      <c r="A282"/>
      <c r="B282"/>
      <c r="C282"/>
      <c r="D282" s="1401"/>
      <c r="E282" s="1402"/>
    </row>
    <row r="283" spans="1:8">
      <c r="A283"/>
      <c r="B283"/>
      <c r="C283"/>
      <c r="D283" s="1401"/>
      <c r="E283" s="1402"/>
    </row>
    <row r="284" spans="1:8">
      <c r="A284"/>
      <c r="B284"/>
      <c r="C284"/>
      <c r="D284" s="1401"/>
      <c r="E284" s="1402"/>
    </row>
    <row r="285" spans="1:8">
      <c r="A285"/>
      <c r="B285"/>
      <c r="C285"/>
      <c r="D285" s="1401"/>
      <c r="E285" s="1402"/>
    </row>
    <row r="286" spans="1:8">
      <c r="A286"/>
      <c r="B286"/>
      <c r="C286"/>
      <c r="D286" s="1401"/>
      <c r="E286" s="1402"/>
    </row>
    <row r="287" spans="1:8">
      <c r="A287"/>
      <c r="B287"/>
      <c r="C287"/>
      <c r="D287" s="1401"/>
      <c r="E287" s="1402"/>
    </row>
    <row r="288" spans="1:8">
      <c r="A288"/>
      <c r="B288"/>
      <c r="C288"/>
      <c r="D288" s="1401"/>
      <c r="E288" s="1402"/>
    </row>
    <row r="289" spans="1:5">
      <c r="A289"/>
      <c r="B289"/>
      <c r="C289"/>
      <c r="D289" s="1401"/>
      <c r="E289" s="1402"/>
    </row>
    <row r="290" spans="1:5">
      <c r="A290"/>
      <c r="B290"/>
      <c r="C290"/>
      <c r="D290" s="1401"/>
      <c r="E290" s="1402"/>
    </row>
    <row r="291" spans="1:5">
      <c r="A291"/>
      <c r="B291"/>
      <c r="C291"/>
      <c r="D291" s="1401"/>
      <c r="E291" s="1402"/>
    </row>
    <row r="292" spans="1:5">
      <c r="A292"/>
      <c r="B292"/>
      <c r="C292"/>
      <c r="D292" s="1401"/>
      <c r="E292" s="1402"/>
    </row>
    <row r="293" spans="1:5">
      <c r="A293"/>
      <c r="B293"/>
      <c r="C293"/>
      <c r="D293" s="1401"/>
      <c r="E293" s="1402"/>
    </row>
    <row r="294" spans="1:5">
      <c r="A294"/>
      <c r="B294"/>
      <c r="C294"/>
      <c r="D294" s="1401"/>
      <c r="E294" s="1402"/>
    </row>
    <row r="295" spans="1:5">
      <c r="A295"/>
      <c r="B295"/>
      <c r="C295"/>
      <c r="D295" s="1401"/>
      <c r="E295" s="1402"/>
    </row>
    <row r="296" spans="1:5">
      <c r="A296"/>
      <c r="B296"/>
      <c r="C296"/>
      <c r="D296" s="1401"/>
      <c r="E296" s="1402"/>
    </row>
    <row r="297" spans="1:5">
      <c r="A297"/>
      <c r="B297"/>
      <c r="C297"/>
      <c r="D297" s="1401"/>
      <c r="E297" s="1402"/>
    </row>
    <row r="298" spans="1:5">
      <c r="A298"/>
      <c r="B298"/>
      <c r="C298"/>
      <c r="D298" s="1401"/>
      <c r="E298" s="1402"/>
    </row>
    <row r="299" spans="1:5">
      <c r="A299"/>
      <c r="B299"/>
      <c r="C299"/>
      <c r="D299" s="1401"/>
      <c r="E299" s="1402"/>
    </row>
    <row r="300" spans="1:5">
      <c r="A300"/>
      <c r="B300"/>
      <c r="C300"/>
      <c r="D300" s="1401"/>
      <c r="E300" s="1402"/>
    </row>
    <row r="301" spans="1:5">
      <c r="A301"/>
      <c r="B301"/>
      <c r="C301"/>
      <c r="D301" s="1401"/>
      <c r="E301" s="1402"/>
    </row>
    <row r="302" spans="1:5">
      <c r="A302"/>
      <c r="B302"/>
      <c r="C302"/>
      <c r="D302" s="1401"/>
      <c r="E302" s="1402"/>
    </row>
    <row r="303" spans="1:5">
      <c r="A303"/>
      <c r="B303"/>
      <c r="C303"/>
      <c r="D303" s="1401"/>
      <c r="E303" s="1402"/>
    </row>
    <row r="304" spans="1:5">
      <c r="A304"/>
      <c r="B304"/>
      <c r="C304"/>
      <c r="D304" s="1401"/>
      <c r="E304" s="1402"/>
    </row>
    <row r="305" spans="1:5">
      <c r="A305"/>
      <c r="B305"/>
      <c r="C305"/>
      <c r="D305" s="1401"/>
      <c r="E305" s="1402"/>
    </row>
    <row r="306" spans="1:5">
      <c r="A306"/>
      <c r="B306"/>
      <c r="C306"/>
      <c r="D306" s="1401"/>
      <c r="E306" s="1402"/>
    </row>
    <row r="307" spans="1:5">
      <c r="A307"/>
      <c r="B307"/>
      <c r="C307"/>
      <c r="D307" s="1401"/>
      <c r="E307" s="1402"/>
    </row>
    <row r="308" spans="1:5">
      <c r="A308"/>
      <c r="B308"/>
      <c r="C308"/>
      <c r="D308" s="1401"/>
      <c r="E308" s="1402"/>
    </row>
    <row r="309" spans="1:5">
      <c r="A309"/>
      <c r="B309"/>
      <c r="C309"/>
      <c r="D309" s="1401"/>
      <c r="E309" s="1402"/>
    </row>
    <row r="310" spans="1:5">
      <c r="A310"/>
      <c r="B310"/>
      <c r="C310"/>
      <c r="D310" s="1401"/>
      <c r="E310" s="1402"/>
    </row>
    <row r="311" spans="1:5">
      <c r="A311"/>
      <c r="B311"/>
      <c r="C311"/>
      <c r="D311" s="1401"/>
      <c r="E311" s="1402"/>
    </row>
    <row r="312" spans="1:5">
      <c r="A312"/>
      <c r="B312"/>
      <c r="C312"/>
      <c r="D312" s="1401"/>
      <c r="E312" s="1402"/>
    </row>
    <row r="313" spans="1:5">
      <c r="A313"/>
      <c r="B313"/>
      <c r="C313"/>
      <c r="D313" s="1401"/>
      <c r="E313" s="1402"/>
    </row>
    <row r="314" spans="1:5">
      <c r="A314"/>
      <c r="B314"/>
      <c r="C314"/>
      <c r="D314" s="1401"/>
      <c r="E314" s="1402"/>
    </row>
    <row r="315" spans="1:5">
      <c r="A315"/>
      <c r="B315"/>
      <c r="C315"/>
      <c r="D315" s="1401"/>
      <c r="E315" s="1402"/>
    </row>
    <row r="316" spans="1:5">
      <c r="A316"/>
      <c r="B316"/>
      <c r="C316"/>
      <c r="D316" s="1401"/>
      <c r="E316" s="1402"/>
    </row>
    <row r="317" spans="1:5">
      <c r="A317"/>
      <c r="B317"/>
      <c r="C317"/>
      <c r="D317" s="1401"/>
      <c r="E317" s="1402"/>
    </row>
    <row r="318" spans="1:5">
      <c r="A318"/>
      <c r="B318"/>
      <c r="C318"/>
      <c r="D318" s="1401"/>
      <c r="E318" s="1402"/>
    </row>
    <row r="319" spans="1:5">
      <c r="A319"/>
      <c r="B319"/>
      <c r="C319"/>
      <c r="D319" s="1401"/>
      <c r="E319" s="1402"/>
    </row>
    <row r="320" spans="1:5">
      <c r="A320"/>
      <c r="B320"/>
      <c r="C320"/>
      <c r="D320" s="1401"/>
      <c r="E320" s="1402"/>
    </row>
    <row r="321" spans="1:5">
      <c r="A321"/>
      <c r="B321"/>
      <c r="C321"/>
      <c r="D321" s="1401"/>
      <c r="E321" s="1402"/>
    </row>
    <row r="322" spans="1:5">
      <c r="A322"/>
      <c r="B322"/>
      <c r="C322"/>
      <c r="D322" s="1401"/>
      <c r="E322" s="1402"/>
    </row>
    <row r="323" spans="1:5">
      <c r="A323"/>
      <c r="B323"/>
      <c r="C323"/>
      <c r="D323" s="1401"/>
      <c r="E323" s="1402"/>
    </row>
    <row r="324" spans="1:5">
      <c r="A324"/>
      <c r="B324"/>
      <c r="C324"/>
      <c r="D324" s="1401"/>
      <c r="E324" s="1402"/>
    </row>
    <row r="325" spans="1:5">
      <c r="A325"/>
      <c r="B325"/>
      <c r="C325"/>
      <c r="D325" s="1401"/>
      <c r="E325" s="1402"/>
    </row>
    <row r="326" spans="1:5">
      <c r="A326"/>
      <c r="B326"/>
      <c r="C326"/>
      <c r="D326" s="1401"/>
      <c r="E326" s="1402"/>
    </row>
    <row r="327" spans="1:5">
      <c r="A327"/>
      <c r="B327"/>
      <c r="C327"/>
      <c r="D327" s="1401"/>
      <c r="E327" s="1402"/>
    </row>
    <row r="328" spans="1:5">
      <c r="A328"/>
      <c r="B328"/>
      <c r="C328"/>
      <c r="D328" s="1401"/>
      <c r="E328" s="1402"/>
    </row>
    <row r="329" spans="1:5">
      <c r="A329"/>
      <c r="B329"/>
      <c r="C329"/>
      <c r="D329" s="1401"/>
      <c r="E329" s="1402"/>
    </row>
    <row r="330" spans="1:5">
      <c r="A330"/>
      <c r="B330"/>
      <c r="C330"/>
      <c r="D330" s="1401"/>
      <c r="E330" s="1402"/>
    </row>
    <row r="331" spans="1:5">
      <c r="A331"/>
      <c r="B331"/>
      <c r="C331"/>
      <c r="D331" s="1401"/>
      <c r="E331" s="1402"/>
    </row>
    <row r="332" spans="1:5">
      <c r="A332"/>
      <c r="B332"/>
      <c r="C332"/>
      <c r="D332" s="1401"/>
      <c r="E332" s="1402"/>
    </row>
    <row r="333" spans="1:5">
      <c r="A333"/>
      <c r="B333"/>
      <c r="C333"/>
      <c r="D333" s="1401"/>
      <c r="E333" s="1402"/>
    </row>
    <row r="334" spans="1:5">
      <c r="A334"/>
      <c r="B334"/>
      <c r="C334"/>
      <c r="D334" s="1401"/>
      <c r="E334" s="1402"/>
    </row>
    <row r="335" spans="1:5">
      <c r="A335"/>
      <c r="B335"/>
      <c r="C335"/>
      <c r="D335" s="1401"/>
      <c r="E335" s="1402"/>
    </row>
    <row r="336" spans="1:5">
      <c r="A336"/>
      <c r="B336"/>
      <c r="C336"/>
      <c r="D336" s="1401"/>
      <c r="E336" s="1402"/>
    </row>
    <row r="337" spans="1:5">
      <c r="A337"/>
      <c r="B337"/>
      <c r="C337"/>
      <c r="D337" s="1401"/>
      <c r="E337" s="1402"/>
    </row>
    <row r="338" spans="1:5">
      <c r="A338"/>
      <c r="B338"/>
      <c r="C338"/>
      <c r="D338" s="1401"/>
      <c r="E338" s="1402"/>
    </row>
    <row r="339" spans="1:5">
      <c r="A339"/>
      <c r="B339"/>
      <c r="C339"/>
      <c r="D339" s="1401"/>
      <c r="E339" s="1402"/>
    </row>
    <row r="340" spans="1:5">
      <c r="A340"/>
      <c r="B340"/>
      <c r="C340"/>
      <c r="D340" s="1401"/>
      <c r="E340" s="1402"/>
    </row>
    <row r="341" spans="1:5">
      <c r="A341"/>
      <c r="B341"/>
      <c r="C341"/>
      <c r="D341" s="1401"/>
      <c r="E341" s="1402"/>
    </row>
    <row r="342" spans="1:5">
      <c r="A342"/>
      <c r="B342"/>
      <c r="C342"/>
      <c r="D342" s="1401"/>
      <c r="E342" s="1402"/>
    </row>
    <row r="343" spans="1:5">
      <c r="A343"/>
      <c r="B343"/>
      <c r="C343"/>
      <c r="D343" s="1401"/>
      <c r="E343" s="1402"/>
    </row>
    <row r="344" spans="1:5">
      <c r="A344"/>
      <c r="B344"/>
      <c r="C344"/>
      <c r="D344" s="1401"/>
      <c r="E344" s="1402"/>
    </row>
    <row r="345" spans="1:5">
      <c r="A345"/>
      <c r="B345"/>
      <c r="C345"/>
      <c r="D345" s="1401"/>
      <c r="E345" s="1402"/>
    </row>
    <row r="346" spans="1:5">
      <c r="A346"/>
      <c r="B346"/>
      <c r="C346"/>
      <c r="D346" s="1401"/>
      <c r="E346" s="1402"/>
    </row>
    <row r="347" spans="1:5">
      <c r="A347"/>
      <c r="B347"/>
      <c r="C347"/>
      <c r="D347" s="1401"/>
      <c r="E347" s="1402"/>
    </row>
    <row r="348" spans="1:5">
      <c r="A348"/>
      <c r="B348"/>
      <c r="C348"/>
      <c r="D348" s="1401"/>
      <c r="E348" s="1402"/>
    </row>
    <row r="349" spans="1:5">
      <c r="A349"/>
      <c r="B349"/>
      <c r="C349"/>
      <c r="D349" s="1401"/>
      <c r="E349" s="1402"/>
    </row>
    <row r="350" spans="1:5">
      <c r="A350"/>
      <c r="B350"/>
      <c r="C350"/>
      <c r="D350" s="1401"/>
      <c r="E350" s="1402"/>
    </row>
    <row r="351" spans="1:5">
      <c r="A351"/>
      <c r="B351"/>
      <c r="C351"/>
      <c r="D351" s="1401"/>
      <c r="E351" s="1402"/>
    </row>
    <row r="352" spans="1:5">
      <c r="A352"/>
      <c r="B352"/>
      <c r="C352"/>
      <c r="D352" s="1401"/>
      <c r="E352" s="1402"/>
    </row>
    <row r="353" spans="1:5">
      <c r="A353"/>
      <c r="B353"/>
      <c r="C353"/>
      <c r="D353" s="1401"/>
      <c r="E353" s="1402"/>
    </row>
    <row r="354" spans="1:5">
      <c r="A354"/>
      <c r="B354"/>
      <c r="C354"/>
      <c r="D354" s="1401"/>
      <c r="E354" s="1402"/>
    </row>
    <row r="355" spans="1:5">
      <c r="A355"/>
      <c r="B355"/>
      <c r="C355"/>
      <c r="D355" s="1401"/>
      <c r="E355" s="1402"/>
    </row>
    <row r="356" spans="1:5">
      <c r="A356"/>
      <c r="B356"/>
      <c r="C356"/>
      <c r="D356" s="1401"/>
      <c r="E356" s="1402"/>
    </row>
    <row r="357" spans="1:5">
      <c r="A357"/>
      <c r="B357"/>
      <c r="C357"/>
      <c r="D357" s="1401"/>
      <c r="E357" s="1402"/>
    </row>
    <row r="358" spans="1:5">
      <c r="A358"/>
      <c r="B358"/>
      <c r="C358"/>
      <c r="D358" s="1401"/>
      <c r="E358" s="1402"/>
    </row>
    <row r="359" spans="1:5">
      <c r="A359"/>
      <c r="B359"/>
      <c r="C359"/>
      <c r="D359" s="1401"/>
      <c r="E359" s="1402"/>
    </row>
    <row r="360" spans="1:5">
      <c r="A360"/>
      <c r="B360"/>
      <c r="C360"/>
      <c r="D360" s="1401"/>
      <c r="E360" s="1402"/>
    </row>
    <row r="361" spans="1:5">
      <c r="A361"/>
      <c r="B361"/>
      <c r="C361"/>
      <c r="D361" s="1401"/>
      <c r="E361" s="1402"/>
    </row>
    <row r="362" spans="1:5">
      <c r="A362"/>
      <c r="B362"/>
      <c r="C362"/>
      <c r="D362" s="1401"/>
      <c r="E362" s="1402"/>
    </row>
    <row r="363" spans="1:5">
      <c r="A363"/>
      <c r="B363"/>
      <c r="C363"/>
      <c r="D363" s="1401"/>
      <c r="E363" s="1402"/>
    </row>
    <row r="364" spans="1:5">
      <c r="A364"/>
      <c r="B364"/>
      <c r="C364"/>
      <c r="D364" s="1401"/>
      <c r="E364" s="1402"/>
    </row>
    <row r="365" spans="1:5">
      <c r="A365"/>
      <c r="B365"/>
      <c r="C365"/>
      <c r="D365" s="1401"/>
      <c r="E365" s="1402"/>
    </row>
    <row r="366" spans="1:5">
      <c r="A366"/>
      <c r="B366"/>
      <c r="C366"/>
      <c r="D366" s="1401"/>
      <c r="E366" s="1402"/>
    </row>
    <row r="367" spans="1:5">
      <c r="A367"/>
      <c r="B367"/>
      <c r="C367"/>
      <c r="D367" s="1401"/>
      <c r="E367" s="1402"/>
    </row>
    <row r="368" spans="1:5">
      <c r="A368"/>
      <c r="B368"/>
      <c r="C368"/>
      <c r="D368" s="1401"/>
      <c r="E368" s="1402"/>
    </row>
    <row r="369" spans="1:5">
      <c r="A369"/>
      <c r="B369"/>
      <c r="C369"/>
      <c r="D369" s="1401"/>
      <c r="E369" s="1402"/>
    </row>
    <row r="370" spans="1:5">
      <c r="A370"/>
      <c r="B370"/>
      <c r="C370"/>
      <c r="D370" s="1401"/>
      <c r="E370" s="1402"/>
    </row>
    <row r="371" spans="1:5">
      <c r="A371"/>
      <c r="B371"/>
      <c r="C371"/>
      <c r="D371" s="1401"/>
      <c r="E371" s="1402"/>
    </row>
    <row r="372" spans="1:5">
      <c r="A372"/>
      <c r="B372"/>
      <c r="C372"/>
      <c r="D372" s="1401"/>
      <c r="E372" s="1402"/>
    </row>
    <row r="373" spans="1:5">
      <c r="A373"/>
      <c r="B373"/>
      <c r="C373"/>
      <c r="D373" s="1401"/>
      <c r="E373" s="1402"/>
    </row>
    <row r="374" spans="1:5">
      <c r="A374"/>
      <c r="B374"/>
      <c r="C374"/>
      <c r="D374" s="1401"/>
      <c r="E374" s="1402"/>
    </row>
    <row r="375" spans="1:5">
      <c r="A375"/>
      <c r="B375"/>
      <c r="C375"/>
      <c r="D375" s="1401"/>
      <c r="E375" s="1402"/>
    </row>
    <row r="376" spans="1:5">
      <c r="A376"/>
      <c r="B376"/>
      <c r="C376"/>
      <c r="D376" s="1401"/>
      <c r="E376" s="1402"/>
    </row>
    <row r="377" spans="1:5">
      <c r="A377"/>
      <c r="B377"/>
      <c r="C377"/>
      <c r="D377" s="1401"/>
      <c r="E377" s="1402"/>
    </row>
    <row r="378" spans="1:5">
      <c r="A378"/>
      <c r="B378"/>
      <c r="C378"/>
      <c r="D378" s="1401"/>
      <c r="E378" s="1402"/>
    </row>
    <row r="379" spans="1:5">
      <c r="A379"/>
      <c r="B379"/>
      <c r="C379"/>
      <c r="D379" s="1401"/>
      <c r="E379" s="1402"/>
    </row>
    <row r="380" spans="1:5">
      <c r="A380"/>
      <c r="B380"/>
      <c r="C380"/>
      <c r="D380" s="1401"/>
      <c r="E380" s="1402"/>
    </row>
    <row r="381" spans="1:5">
      <c r="A381"/>
      <c r="B381"/>
      <c r="C381"/>
      <c r="D381" s="1401"/>
      <c r="E381" s="1402"/>
    </row>
    <row r="382" spans="1:5">
      <c r="A382"/>
      <c r="B382"/>
      <c r="C382"/>
      <c r="D382" s="1401"/>
      <c r="E382" s="1402"/>
    </row>
    <row r="383" spans="1:5">
      <c r="A383"/>
      <c r="B383"/>
      <c r="C383"/>
      <c r="D383" s="1401"/>
      <c r="E383" s="1402"/>
    </row>
    <row r="384" spans="1:5">
      <c r="A384"/>
      <c r="B384"/>
      <c r="C384"/>
      <c r="D384" s="1401"/>
      <c r="E384" s="1402"/>
    </row>
    <row r="385" spans="1:5">
      <c r="A385"/>
      <c r="B385"/>
      <c r="C385"/>
      <c r="D385" s="1401"/>
      <c r="E385" s="1402"/>
    </row>
    <row r="386" spans="1:5">
      <c r="A386"/>
      <c r="B386"/>
      <c r="C386"/>
      <c r="D386" s="1401"/>
      <c r="E386" s="1402"/>
    </row>
    <row r="387" spans="1:5">
      <c r="A387"/>
      <c r="B387"/>
      <c r="C387"/>
      <c r="D387" s="1401"/>
      <c r="E387" s="1402"/>
    </row>
    <row r="388" spans="1:5">
      <c r="A388"/>
      <c r="B388"/>
      <c r="C388"/>
      <c r="D388" s="1401"/>
      <c r="E388" s="1402"/>
    </row>
    <row r="389" spans="1:5">
      <c r="A389"/>
      <c r="B389"/>
      <c r="C389"/>
      <c r="D389" s="1401"/>
      <c r="E389" s="1402"/>
    </row>
    <row r="390" spans="1:5">
      <c r="A390"/>
      <c r="B390"/>
      <c r="C390"/>
      <c r="D390" s="1401"/>
      <c r="E390" s="1402"/>
    </row>
    <row r="391" spans="1:5">
      <c r="A391"/>
      <c r="B391"/>
      <c r="C391"/>
      <c r="D391" s="1401"/>
      <c r="E391" s="1402"/>
    </row>
    <row r="392" spans="1:5">
      <c r="A392"/>
      <c r="B392"/>
      <c r="C392"/>
      <c r="D392" s="1401"/>
      <c r="E392" s="1402"/>
    </row>
    <row r="393" spans="1:5">
      <c r="A393"/>
      <c r="B393"/>
      <c r="C393"/>
      <c r="D393" s="1401"/>
      <c r="E393" s="1402"/>
    </row>
    <row r="394" spans="1:5">
      <c r="A394"/>
      <c r="B394"/>
      <c r="C394"/>
      <c r="D394" s="1401"/>
      <c r="E394" s="1402"/>
    </row>
    <row r="395" spans="1:5">
      <c r="A395"/>
      <c r="B395"/>
      <c r="C395"/>
      <c r="D395" s="1401"/>
      <c r="E395" s="1402"/>
    </row>
    <row r="396" spans="1:5">
      <c r="A396"/>
      <c r="B396"/>
      <c r="C396"/>
      <c r="D396" s="1401"/>
      <c r="E396" s="1402"/>
    </row>
    <row r="397" spans="1:5">
      <c r="A397"/>
      <c r="B397"/>
      <c r="C397"/>
      <c r="D397" s="1401"/>
      <c r="E397" s="1402"/>
    </row>
    <row r="398" spans="1:5">
      <c r="A398"/>
      <c r="B398"/>
      <c r="C398"/>
      <c r="D398" s="1401"/>
      <c r="E398" s="1402"/>
    </row>
    <row r="399" spans="1:5">
      <c r="A399"/>
      <c r="B399"/>
      <c r="C399"/>
      <c r="D399" s="1401"/>
      <c r="E399" s="1402"/>
    </row>
    <row r="400" spans="1:5">
      <c r="A400"/>
      <c r="B400"/>
      <c r="C400"/>
      <c r="D400" s="1401"/>
      <c r="E400" s="1402"/>
    </row>
    <row r="401" spans="1:5">
      <c r="A401"/>
      <c r="B401"/>
      <c r="C401"/>
      <c r="D401" s="1401"/>
      <c r="E401" s="1402"/>
    </row>
    <row r="402" spans="1:5">
      <c r="A402"/>
      <c r="B402"/>
      <c r="C402"/>
      <c r="D402" s="1401"/>
      <c r="E402" s="1402"/>
    </row>
    <row r="403" spans="1:5">
      <c r="A403"/>
      <c r="B403"/>
      <c r="C403"/>
      <c r="D403" s="1401"/>
      <c r="E403" s="1402"/>
    </row>
    <row r="404" spans="1:5">
      <c r="A404"/>
      <c r="B404"/>
      <c r="C404"/>
      <c r="D404" s="1401"/>
      <c r="E404" s="1402"/>
    </row>
    <row r="405" spans="1:5">
      <c r="A405"/>
      <c r="B405"/>
      <c r="C405"/>
      <c r="D405" s="1401"/>
      <c r="E405" s="1402"/>
    </row>
    <row r="406" spans="1:5">
      <c r="A406"/>
      <c r="B406"/>
      <c r="C406"/>
      <c r="D406" s="1401"/>
      <c r="E406" s="1402"/>
    </row>
    <row r="407" spans="1:5">
      <c r="A407"/>
      <c r="B407"/>
      <c r="C407"/>
      <c r="D407" s="1401"/>
      <c r="E407" s="1402"/>
    </row>
    <row r="408" spans="1:5">
      <c r="A408"/>
      <c r="B408"/>
      <c r="C408"/>
      <c r="D408" s="1401"/>
      <c r="E408" s="1402"/>
    </row>
    <row r="409" spans="1:5">
      <c r="A409"/>
      <c r="B409"/>
      <c r="C409"/>
      <c r="D409" s="1401"/>
      <c r="E409" s="1402"/>
    </row>
    <row r="410" spans="1:5">
      <c r="A410"/>
      <c r="B410"/>
      <c r="C410"/>
      <c r="D410" s="1401"/>
      <c r="E410" s="1402"/>
    </row>
    <row r="411" spans="1:5">
      <c r="A411"/>
      <c r="B411"/>
      <c r="C411"/>
      <c r="D411" s="1401"/>
      <c r="E411" s="1402"/>
    </row>
    <row r="412" spans="1:5">
      <c r="A412"/>
      <c r="B412"/>
      <c r="C412"/>
      <c r="D412" s="1401"/>
      <c r="E412" s="1402"/>
    </row>
    <row r="413" spans="1:5">
      <c r="A413"/>
      <c r="B413"/>
      <c r="C413"/>
      <c r="D413" s="1401"/>
      <c r="E413" s="1402"/>
    </row>
    <row r="414" spans="1:5">
      <c r="A414"/>
      <c r="B414"/>
      <c r="C414"/>
      <c r="D414" s="1401"/>
      <c r="E414" s="1402"/>
    </row>
    <row r="415" spans="1:5">
      <c r="A415"/>
      <c r="B415"/>
      <c r="C415"/>
      <c r="D415" s="1401"/>
      <c r="E415" s="1402"/>
    </row>
    <row r="416" spans="1:5">
      <c r="A416"/>
      <c r="B416"/>
      <c r="C416"/>
      <c r="D416" s="1401"/>
      <c r="E416" s="1402"/>
    </row>
    <row r="417" spans="1:5">
      <c r="A417"/>
      <c r="B417"/>
      <c r="C417"/>
      <c r="D417" s="1401"/>
      <c r="E417" s="1402"/>
    </row>
    <row r="418" spans="1:5">
      <c r="A418"/>
      <c r="B418"/>
      <c r="C418"/>
      <c r="D418" s="1401"/>
      <c r="E418" s="1402"/>
    </row>
    <row r="419" spans="1:5">
      <c r="A419"/>
      <c r="B419"/>
      <c r="C419"/>
      <c r="D419" s="1401"/>
      <c r="E419" s="1402"/>
    </row>
    <row r="420" spans="1:5">
      <c r="A420"/>
      <c r="B420"/>
      <c r="C420"/>
      <c r="D420" s="1401"/>
      <c r="E420" s="1402"/>
    </row>
    <row r="421" spans="1:5">
      <c r="A421"/>
      <c r="B421"/>
      <c r="C421"/>
      <c r="D421" s="1401"/>
      <c r="E421" s="1402"/>
    </row>
    <row r="422" spans="1:5">
      <c r="A422"/>
      <c r="B422"/>
      <c r="C422"/>
      <c r="D422" s="1401"/>
      <c r="E422" s="1402"/>
    </row>
    <row r="423" spans="1:5">
      <c r="A423"/>
      <c r="B423"/>
      <c r="C423"/>
      <c r="D423" s="1401"/>
      <c r="E423" s="1402"/>
    </row>
    <row r="424" spans="1:5">
      <c r="A424"/>
      <c r="B424"/>
      <c r="C424"/>
      <c r="D424" s="1401"/>
      <c r="E424" s="1402"/>
    </row>
    <row r="425" spans="1:5">
      <c r="A425"/>
      <c r="B425"/>
      <c r="C425"/>
      <c r="D425" s="1401"/>
      <c r="E425" s="1402"/>
    </row>
    <row r="426" spans="1:5">
      <c r="A426"/>
      <c r="B426"/>
      <c r="C426"/>
      <c r="D426" s="1401"/>
      <c r="E426" s="1402"/>
    </row>
    <row r="427" spans="1:5">
      <c r="A427"/>
      <c r="B427"/>
      <c r="C427"/>
      <c r="D427" s="1401"/>
      <c r="E427" s="1402"/>
    </row>
    <row r="428" spans="1:5">
      <c r="A428"/>
      <c r="B428"/>
      <c r="C428"/>
      <c r="D428" s="1401"/>
      <c r="E428" s="1402"/>
    </row>
    <row r="429" spans="1:5">
      <c r="A429"/>
      <c r="B429"/>
      <c r="C429"/>
      <c r="D429" s="1401"/>
      <c r="E429" s="1402"/>
    </row>
    <row r="430" spans="1:5">
      <c r="A430"/>
      <c r="B430"/>
      <c r="C430"/>
      <c r="D430" s="1401"/>
      <c r="E430" s="1402"/>
    </row>
    <row r="431" spans="1:5">
      <c r="A431"/>
      <c r="B431"/>
      <c r="C431"/>
      <c r="D431" s="1401"/>
      <c r="E431" s="1402"/>
    </row>
    <row r="432" spans="1:5">
      <c r="A432"/>
      <c r="B432"/>
      <c r="C432"/>
      <c r="D432" s="1401"/>
      <c r="E432" s="1402"/>
    </row>
    <row r="433" spans="1:5">
      <c r="A433"/>
      <c r="B433"/>
      <c r="C433"/>
      <c r="D433" s="1401"/>
      <c r="E433" s="1402"/>
    </row>
    <row r="434" spans="1:5">
      <c r="D434" s="876"/>
    </row>
    <row r="435" spans="1:5">
      <c r="D435" s="876"/>
    </row>
    <row r="436" spans="1:5">
      <c r="D436" s="876"/>
    </row>
    <row r="437" spans="1:5">
      <c r="D437" s="876"/>
    </row>
    <row r="438" spans="1:5">
      <c r="D438" s="876"/>
    </row>
    <row r="439" spans="1:5">
      <c r="D439" s="876"/>
    </row>
    <row r="440" spans="1:5">
      <c r="D440" s="876"/>
    </row>
    <row r="441" spans="1:5">
      <c r="D441" s="876"/>
    </row>
    <row r="442" spans="1:5">
      <c r="D442" s="876"/>
    </row>
    <row r="443" spans="1:5">
      <c r="D443" s="876"/>
    </row>
    <row r="444" spans="1:5">
      <c r="D444" s="876"/>
    </row>
    <row r="445" spans="1:5">
      <c r="D445" s="876"/>
    </row>
    <row r="446" spans="1:5">
      <c r="D446" s="876"/>
    </row>
    <row r="447" spans="1:5">
      <c r="D447" s="876"/>
    </row>
    <row r="448" spans="1:5">
      <c r="D448" s="876"/>
    </row>
    <row r="449" spans="4:4">
      <c r="D449" s="876"/>
    </row>
    <row r="450" spans="4:4">
      <c r="D450" s="876"/>
    </row>
    <row r="451" spans="4:4">
      <c r="D451" s="876"/>
    </row>
    <row r="452" spans="4:4">
      <c r="D452" s="876"/>
    </row>
    <row r="453" spans="4:4">
      <c r="D453" s="876"/>
    </row>
    <row r="454" spans="4:4">
      <c r="D454" s="876"/>
    </row>
    <row r="455" spans="4:4">
      <c r="D455" s="876"/>
    </row>
    <row r="456" spans="4:4">
      <c r="D456" s="876"/>
    </row>
    <row r="457" spans="4:4">
      <c r="D457" s="876"/>
    </row>
    <row r="458" spans="4:4">
      <c r="D458" s="876"/>
    </row>
    <row r="459" spans="4:4">
      <c r="D459" s="876"/>
    </row>
    <row r="460" spans="4:4">
      <c r="D460" s="876"/>
    </row>
    <row r="461" spans="4:4">
      <c r="D461" s="876"/>
    </row>
    <row r="462" spans="4:4">
      <c r="D462" s="876"/>
    </row>
    <row r="463" spans="4:4">
      <c r="D463" s="876"/>
    </row>
    <row r="464" spans="4:4">
      <c r="D464" s="876"/>
    </row>
    <row r="465" spans="4:4">
      <c r="D465" s="876"/>
    </row>
    <row r="466" spans="4:4">
      <c r="D466" s="876"/>
    </row>
    <row r="467" spans="4:4">
      <c r="D467" s="876"/>
    </row>
    <row r="468" spans="4:4">
      <c r="D468" s="876"/>
    </row>
    <row r="469" spans="4:4">
      <c r="D469" s="876"/>
    </row>
    <row r="470" spans="4:4">
      <c r="D470" s="876"/>
    </row>
    <row r="471" spans="4:4">
      <c r="D471" s="876"/>
    </row>
    <row r="472" spans="4:4">
      <c r="D472" s="876"/>
    </row>
    <row r="473" spans="4:4">
      <c r="D473" s="876"/>
    </row>
    <row r="474" spans="4:4">
      <c r="D474" s="876"/>
    </row>
    <row r="475" spans="4:4">
      <c r="D475" s="876"/>
    </row>
    <row r="476" spans="4:4">
      <c r="D476" s="876"/>
    </row>
    <row r="477" spans="4:4">
      <c r="D477" s="876"/>
    </row>
    <row r="478" spans="4:4">
      <c r="D478" s="876"/>
    </row>
    <row r="479" spans="4:4">
      <c r="D479" s="876"/>
    </row>
    <row r="480" spans="4:4">
      <c r="D480" s="876"/>
    </row>
    <row r="481" spans="4:4">
      <c r="D481" s="876"/>
    </row>
    <row r="482" spans="4:4">
      <c r="D482" s="876"/>
    </row>
    <row r="483" spans="4:4">
      <c r="D483" s="876"/>
    </row>
    <row r="484" spans="4:4">
      <c r="D484" s="876"/>
    </row>
    <row r="485" spans="4:4">
      <c r="D485" s="876"/>
    </row>
    <row r="486" spans="4:4">
      <c r="D486" s="876"/>
    </row>
    <row r="487" spans="4:4">
      <c r="D487" s="876"/>
    </row>
    <row r="488" spans="4:4">
      <c r="D488" s="876"/>
    </row>
    <row r="489" spans="4:4">
      <c r="D489" s="876"/>
    </row>
    <row r="490" spans="4:4">
      <c r="D490" s="876"/>
    </row>
    <row r="491" spans="4:4">
      <c r="D491" s="876"/>
    </row>
    <row r="492" spans="4:4">
      <c r="D492" s="876"/>
    </row>
    <row r="493" spans="4:4">
      <c r="D493" s="876"/>
    </row>
    <row r="494" spans="4:4">
      <c r="D494" s="876"/>
    </row>
    <row r="495" spans="4:4">
      <c r="D495" s="876"/>
    </row>
    <row r="496" spans="4:4">
      <c r="D496" s="876"/>
    </row>
    <row r="497" spans="4:4">
      <c r="D497" s="876"/>
    </row>
    <row r="498" spans="4:4">
      <c r="D498" s="876"/>
    </row>
    <row r="499" spans="4:4">
      <c r="D499" s="876"/>
    </row>
    <row r="500" spans="4:4">
      <c r="D500" s="876"/>
    </row>
    <row r="501" spans="4:4">
      <c r="D501" s="876"/>
    </row>
    <row r="502" spans="4:4">
      <c r="D502" s="876"/>
    </row>
    <row r="503" spans="4:4">
      <c r="D503" s="876"/>
    </row>
    <row r="504" spans="4:4">
      <c r="D504" s="876"/>
    </row>
    <row r="505" spans="4:4">
      <c r="D505" s="876"/>
    </row>
    <row r="506" spans="4:4">
      <c r="D506" s="876"/>
    </row>
    <row r="507" spans="4:4">
      <c r="D507" s="876"/>
    </row>
    <row r="508" spans="4:4">
      <c r="D508" s="876"/>
    </row>
    <row r="509" spans="4:4">
      <c r="D509" s="876"/>
    </row>
    <row r="510" spans="4:4">
      <c r="D510" s="876"/>
    </row>
    <row r="511" spans="4:4">
      <c r="D511" s="876"/>
    </row>
    <row r="512" spans="4:4">
      <c r="D512" s="876"/>
    </row>
    <row r="513" spans="4:4">
      <c r="D513" s="876"/>
    </row>
    <row r="514" spans="4:4">
      <c r="D514" s="876"/>
    </row>
    <row r="515" spans="4:4">
      <c r="D515" s="876"/>
    </row>
    <row r="516" spans="4:4">
      <c r="D516" s="876"/>
    </row>
    <row r="517" spans="4:4">
      <c r="D517" s="876"/>
    </row>
    <row r="518" spans="4:4">
      <c r="D518" s="876"/>
    </row>
    <row r="519" spans="4:4">
      <c r="D519" s="876"/>
    </row>
    <row r="520" spans="4:4">
      <c r="D520" s="876"/>
    </row>
    <row r="521" spans="4:4">
      <c r="D521" s="876"/>
    </row>
    <row r="522" spans="4:4">
      <c r="D522" s="876"/>
    </row>
    <row r="523" spans="4:4">
      <c r="D523" s="876"/>
    </row>
    <row r="524" spans="4:4">
      <c r="D524" s="876"/>
    </row>
    <row r="525" spans="4:4">
      <c r="D525" s="876"/>
    </row>
    <row r="526" spans="4:4">
      <c r="D526" s="876"/>
    </row>
    <row r="527" spans="4:4">
      <c r="D527" s="876"/>
    </row>
    <row r="528" spans="4:4">
      <c r="D528" s="876"/>
    </row>
    <row r="529" spans="4:4">
      <c r="D529" s="876"/>
    </row>
    <row r="530" spans="4:4">
      <c r="D530" s="876"/>
    </row>
    <row r="531" spans="4:4">
      <c r="D531" s="876"/>
    </row>
    <row r="532" spans="4:4">
      <c r="D532" s="876"/>
    </row>
    <row r="533" spans="4:4">
      <c r="D533" s="876"/>
    </row>
    <row r="534" spans="4:4">
      <c r="D534" s="876"/>
    </row>
    <row r="535" spans="4:4">
      <c r="D535" s="876"/>
    </row>
    <row r="536" spans="4:4">
      <c r="D536" s="876"/>
    </row>
    <row r="537" spans="4:4">
      <c r="D537" s="876"/>
    </row>
    <row r="538" spans="4:4">
      <c r="D538" s="876"/>
    </row>
    <row r="539" spans="4:4">
      <c r="D539" s="876"/>
    </row>
    <row r="540" spans="4:4">
      <c r="D540" s="876"/>
    </row>
    <row r="541" spans="4:4">
      <c r="D541" s="876"/>
    </row>
    <row r="542" spans="4:4">
      <c r="D542" s="876"/>
    </row>
    <row r="543" spans="4:4">
      <c r="D543" s="876"/>
    </row>
    <row r="544" spans="4:4">
      <c r="D544" s="876"/>
    </row>
    <row r="545" spans="4:4">
      <c r="D545" s="876"/>
    </row>
    <row r="546" spans="4:4">
      <c r="D546" s="876"/>
    </row>
    <row r="547" spans="4:4">
      <c r="D547" s="876"/>
    </row>
    <row r="548" spans="4:4">
      <c r="D548" s="876"/>
    </row>
    <row r="549" spans="4:4">
      <c r="D549" s="876"/>
    </row>
    <row r="550" spans="4:4">
      <c r="D550" s="876"/>
    </row>
    <row r="551" spans="4:4">
      <c r="D551" s="876"/>
    </row>
    <row r="552" spans="4:4">
      <c r="D552" s="876"/>
    </row>
    <row r="553" spans="4:4">
      <c r="D553" s="876"/>
    </row>
    <row r="554" spans="4:4">
      <c r="D554" s="876"/>
    </row>
    <row r="555" spans="4:4">
      <c r="D555" s="876"/>
    </row>
    <row r="556" spans="4:4">
      <c r="D556" s="876"/>
    </row>
    <row r="557" spans="4:4">
      <c r="D557" s="876"/>
    </row>
    <row r="558" spans="4:4">
      <c r="D558" s="876"/>
    </row>
    <row r="559" spans="4:4">
      <c r="D559" s="876"/>
    </row>
    <row r="560" spans="4:4">
      <c r="D560" s="876"/>
    </row>
    <row r="561" spans="4:4">
      <c r="D561" s="876"/>
    </row>
    <row r="562" spans="4:4">
      <c r="D562" s="876"/>
    </row>
    <row r="563" spans="4:4">
      <c r="D563" s="876"/>
    </row>
    <row r="564" spans="4:4">
      <c r="D564" s="876"/>
    </row>
    <row r="565" spans="4:4">
      <c r="D565" s="876"/>
    </row>
    <row r="566" spans="4:4">
      <c r="D566" s="876"/>
    </row>
    <row r="567" spans="4:4">
      <c r="D567" s="876"/>
    </row>
    <row r="568" spans="4:4">
      <c r="D568" s="876"/>
    </row>
    <row r="569" spans="4:4">
      <c r="D569" s="876"/>
    </row>
    <row r="570" spans="4:4">
      <c r="D570" s="876"/>
    </row>
    <row r="571" spans="4:4">
      <c r="D571" s="876"/>
    </row>
    <row r="572" spans="4:4">
      <c r="D572" s="876"/>
    </row>
    <row r="573" spans="4:4">
      <c r="D573" s="876"/>
    </row>
    <row r="574" spans="4:4">
      <c r="D574" s="876"/>
    </row>
    <row r="575" spans="4:4">
      <c r="D575" s="876"/>
    </row>
    <row r="576" spans="4:4">
      <c r="D576" s="876"/>
    </row>
    <row r="577" spans="4:4">
      <c r="D577" s="876"/>
    </row>
    <row r="578" spans="4:4">
      <c r="D578" s="876"/>
    </row>
    <row r="579" spans="4:4">
      <c r="D579" s="876"/>
    </row>
    <row r="580" spans="4:4">
      <c r="D580" s="876"/>
    </row>
    <row r="581" spans="4:4">
      <c r="D581" s="876"/>
    </row>
    <row r="582" spans="4:4">
      <c r="D582" s="876"/>
    </row>
    <row r="583" spans="4:4">
      <c r="D583" s="876"/>
    </row>
    <row r="584" spans="4:4">
      <c r="D584" s="876"/>
    </row>
    <row r="585" spans="4:4">
      <c r="D585" s="876"/>
    </row>
    <row r="586" spans="4:4">
      <c r="D586" s="876"/>
    </row>
    <row r="587" spans="4:4">
      <c r="D587" s="876"/>
    </row>
    <row r="588" spans="4:4">
      <c r="D588" s="876"/>
    </row>
    <row r="589" spans="4:4">
      <c r="D589" s="876"/>
    </row>
    <row r="590" spans="4:4">
      <c r="D590" s="876"/>
    </row>
    <row r="591" spans="4:4">
      <c r="D591" s="876"/>
    </row>
    <row r="592" spans="4:4">
      <c r="D592" s="876"/>
    </row>
    <row r="593" spans="4:4">
      <c r="D593" s="876"/>
    </row>
    <row r="594" spans="4:4">
      <c r="D594" s="876"/>
    </row>
    <row r="595" spans="4:4">
      <c r="D595" s="876"/>
    </row>
    <row r="596" spans="4:4">
      <c r="D596" s="876"/>
    </row>
    <row r="597" spans="4:4">
      <c r="D597" s="876"/>
    </row>
    <row r="598" spans="4:4">
      <c r="D598" s="876"/>
    </row>
    <row r="599" spans="4:4">
      <c r="D599" s="876"/>
    </row>
    <row r="600" spans="4:4">
      <c r="D600" s="876"/>
    </row>
    <row r="601" spans="4:4">
      <c r="D601" s="876"/>
    </row>
    <row r="602" spans="4:4">
      <c r="D602" s="876"/>
    </row>
    <row r="603" spans="4:4">
      <c r="D603" s="876"/>
    </row>
    <row r="604" spans="4:4">
      <c r="D604" s="876"/>
    </row>
    <row r="605" spans="4:4">
      <c r="D605" s="876"/>
    </row>
    <row r="606" spans="4:4">
      <c r="D606" s="876"/>
    </row>
    <row r="607" spans="4:4">
      <c r="D607" s="876"/>
    </row>
    <row r="608" spans="4:4">
      <c r="D608" s="876"/>
    </row>
    <row r="609" spans="4:4">
      <c r="D609" s="876"/>
    </row>
    <row r="610" spans="4:4">
      <c r="D610" s="876"/>
    </row>
    <row r="611" spans="4:4">
      <c r="D611" s="876"/>
    </row>
    <row r="612" spans="4:4">
      <c r="D612" s="876"/>
    </row>
    <row r="613" spans="4:4">
      <c r="D613" s="876"/>
    </row>
    <row r="614" spans="4:4">
      <c r="D614" s="876"/>
    </row>
    <row r="615" spans="4:4">
      <c r="D615" s="876"/>
    </row>
    <row r="616" spans="4:4">
      <c r="D616" s="876"/>
    </row>
    <row r="617" spans="4:4">
      <c r="D617" s="876"/>
    </row>
    <row r="618" spans="4:4">
      <c r="D618" s="876"/>
    </row>
    <row r="619" spans="4:4">
      <c r="D619" s="876"/>
    </row>
    <row r="620" spans="4:4">
      <c r="D620" s="876"/>
    </row>
    <row r="621" spans="4:4">
      <c r="D621" s="876"/>
    </row>
    <row r="622" spans="4:4">
      <c r="D622" s="876"/>
    </row>
    <row r="623" spans="4:4">
      <c r="D623" s="876"/>
    </row>
    <row r="624" spans="4:4">
      <c r="D624" s="876"/>
    </row>
    <row r="625" spans="4:4">
      <c r="D625" s="876"/>
    </row>
    <row r="626" spans="4:4">
      <c r="D626" s="876"/>
    </row>
    <row r="627" spans="4:4">
      <c r="D627" s="876"/>
    </row>
    <row r="628" spans="4:4">
      <c r="D628" s="876"/>
    </row>
    <row r="629" spans="4:4">
      <c r="D629" s="876"/>
    </row>
    <row r="630" spans="4:4">
      <c r="D630" s="876"/>
    </row>
    <row r="631" spans="4:4">
      <c r="D631" s="876"/>
    </row>
    <row r="632" spans="4:4">
      <c r="D632" s="876"/>
    </row>
    <row r="633" spans="4:4">
      <c r="D633" s="876"/>
    </row>
    <row r="634" spans="4:4">
      <c r="D634" s="876"/>
    </row>
    <row r="635" spans="4:4">
      <c r="D635" s="876"/>
    </row>
    <row r="636" spans="4:4">
      <c r="D636" s="876"/>
    </row>
    <row r="637" spans="4:4">
      <c r="D637" s="876"/>
    </row>
    <row r="638" spans="4:4">
      <c r="D638" s="876"/>
    </row>
    <row r="639" spans="4:4">
      <c r="D639" s="876"/>
    </row>
    <row r="640" spans="4:4">
      <c r="D640" s="876"/>
    </row>
    <row r="641" spans="4:4">
      <c r="D641" s="876"/>
    </row>
    <row r="642" spans="4:4">
      <c r="D642" s="876"/>
    </row>
    <row r="643" spans="4:4">
      <c r="D643" s="876"/>
    </row>
    <row r="644" spans="4:4">
      <c r="D644" s="876"/>
    </row>
    <row r="645" spans="4:4">
      <c r="D645" s="876"/>
    </row>
    <row r="646" spans="4:4">
      <c r="D646" s="876"/>
    </row>
    <row r="647" spans="4:4">
      <c r="D647" s="876"/>
    </row>
    <row r="648" spans="4:4">
      <c r="D648" s="876"/>
    </row>
    <row r="649" spans="4:4">
      <c r="D649" s="876"/>
    </row>
    <row r="650" spans="4:4">
      <c r="D650" s="876"/>
    </row>
    <row r="651" spans="4:4">
      <c r="D651" s="876"/>
    </row>
    <row r="652" spans="4:4">
      <c r="D652" s="876"/>
    </row>
    <row r="653" spans="4:4">
      <c r="D653" s="876"/>
    </row>
    <row r="654" spans="4:4">
      <c r="D654" s="876"/>
    </row>
    <row r="655" spans="4:4">
      <c r="D655" s="876"/>
    </row>
    <row r="656" spans="4:4">
      <c r="D656" s="876"/>
    </row>
    <row r="657" spans="4:4">
      <c r="D657" s="876"/>
    </row>
    <row r="658" spans="4:4">
      <c r="D658" s="876"/>
    </row>
    <row r="659" spans="4:4">
      <c r="D659" s="876"/>
    </row>
    <row r="660" spans="4:4">
      <c r="D660" s="876"/>
    </row>
    <row r="661" spans="4:4">
      <c r="D661" s="876"/>
    </row>
    <row r="662" spans="4:4">
      <c r="D662" s="876"/>
    </row>
    <row r="663" spans="4:4">
      <c r="D663" s="876"/>
    </row>
    <row r="664" spans="4:4">
      <c r="D664" s="876"/>
    </row>
    <row r="665" spans="4:4">
      <c r="D665" s="876"/>
    </row>
    <row r="666" spans="4:4">
      <c r="D666" s="876"/>
    </row>
    <row r="667" spans="4:4">
      <c r="D667" s="876"/>
    </row>
    <row r="668" spans="4:4">
      <c r="D668" s="876"/>
    </row>
    <row r="669" spans="4:4">
      <c r="D669" s="876"/>
    </row>
    <row r="670" spans="4:4">
      <c r="D670" s="876"/>
    </row>
    <row r="671" spans="4:4">
      <c r="D671" s="876"/>
    </row>
    <row r="672" spans="4:4">
      <c r="D672" s="876"/>
    </row>
    <row r="673" spans="4:4">
      <c r="D673" s="876"/>
    </row>
    <row r="674" spans="4:4">
      <c r="D674" s="876"/>
    </row>
    <row r="675" spans="4:4">
      <c r="D675" s="876"/>
    </row>
    <row r="676" spans="4:4">
      <c r="D676" s="876"/>
    </row>
    <row r="677" spans="4:4">
      <c r="D677" s="876"/>
    </row>
    <row r="678" spans="4:4">
      <c r="D678" s="876"/>
    </row>
    <row r="679" spans="4:4">
      <c r="D679" s="876"/>
    </row>
    <row r="680" spans="4:4">
      <c r="D680" s="876"/>
    </row>
    <row r="681" spans="4:4">
      <c r="D681" s="876"/>
    </row>
    <row r="682" spans="4:4">
      <c r="D682" s="876"/>
    </row>
    <row r="683" spans="4:4">
      <c r="D683" s="876"/>
    </row>
    <row r="684" spans="4:4">
      <c r="D684" s="876"/>
    </row>
    <row r="685" spans="4:4">
      <c r="D685" s="876"/>
    </row>
    <row r="686" spans="4:4">
      <c r="D686" s="876"/>
    </row>
    <row r="687" spans="4:4">
      <c r="D687" s="876"/>
    </row>
    <row r="688" spans="4:4">
      <c r="D688" s="876"/>
    </row>
    <row r="689" spans="4:4">
      <c r="D689" s="876"/>
    </row>
    <row r="690" spans="4:4">
      <c r="D690" s="876"/>
    </row>
    <row r="691" spans="4:4">
      <c r="D691" s="876"/>
    </row>
    <row r="692" spans="4:4">
      <c r="D692" s="876"/>
    </row>
    <row r="693" spans="4:4">
      <c r="D693" s="876"/>
    </row>
    <row r="694" spans="4:4">
      <c r="D694" s="876"/>
    </row>
    <row r="695" spans="4:4">
      <c r="D695" s="876"/>
    </row>
    <row r="696" spans="4:4">
      <c r="D696" s="876"/>
    </row>
    <row r="697" spans="4:4">
      <c r="D697" s="876"/>
    </row>
    <row r="698" spans="4:4">
      <c r="D698" s="876"/>
    </row>
    <row r="699" spans="4:4">
      <c r="D699" s="876"/>
    </row>
    <row r="700" spans="4:4">
      <c r="D700" s="876"/>
    </row>
    <row r="701" spans="4:4">
      <c r="D701" s="876"/>
    </row>
    <row r="702" spans="4:4">
      <c r="D702" s="876"/>
    </row>
    <row r="703" spans="4:4">
      <c r="D703" s="876"/>
    </row>
    <row r="704" spans="4:4">
      <c r="D704" s="876"/>
    </row>
    <row r="705" spans="4:4">
      <c r="D705" s="876"/>
    </row>
    <row r="706" spans="4:4">
      <c r="D706" s="876"/>
    </row>
    <row r="707" spans="4:4">
      <c r="D707" s="876"/>
    </row>
    <row r="708" spans="4:4">
      <c r="D708" s="876"/>
    </row>
    <row r="709" spans="4:4">
      <c r="D709" s="876"/>
    </row>
    <row r="710" spans="4:4">
      <c r="D710" s="876"/>
    </row>
    <row r="711" spans="4:4">
      <c r="D711" s="876"/>
    </row>
    <row r="712" spans="4:4">
      <c r="D712" s="876"/>
    </row>
    <row r="713" spans="4:4">
      <c r="D713" s="876"/>
    </row>
    <row r="714" spans="4:4">
      <c r="D714" s="876"/>
    </row>
    <row r="715" spans="4:4">
      <c r="D715" s="876"/>
    </row>
    <row r="716" spans="4:4">
      <c r="D716" s="876"/>
    </row>
    <row r="717" spans="4:4">
      <c r="D717" s="876"/>
    </row>
    <row r="718" spans="4:4">
      <c r="D718" s="876"/>
    </row>
    <row r="719" spans="4:4">
      <c r="D719" s="876"/>
    </row>
    <row r="720" spans="4:4">
      <c r="D720" s="876"/>
    </row>
    <row r="721" spans="4:4">
      <c r="D721" s="876"/>
    </row>
    <row r="722" spans="4:4">
      <c r="D722" s="876"/>
    </row>
    <row r="723" spans="4:4">
      <c r="D723" s="876"/>
    </row>
    <row r="724" spans="4:4">
      <c r="D724" s="876"/>
    </row>
    <row r="725" spans="4:4">
      <c r="D725" s="876"/>
    </row>
    <row r="726" spans="4:4">
      <c r="D726" s="876"/>
    </row>
    <row r="727" spans="4:4">
      <c r="D727" s="876"/>
    </row>
    <row r="728" spans="4:4">
      <c r="D728" s="876"/>
    </row>
    <row r="729" spans="4:4">
      <c r="D729" s="876"/>
    </row>
    <row r="730" spans="4:4">
      <c r="D730" s="876"/>
    </row>
    <row r="731" spans="4:4">
      <c r="D731" s="876"/>
    </row>
    <row r="732" spans="4:4">
      <c r="D732" s="876"/>
    </row>
    <row r="733" spans="4:4">
      <c r="D733" s="876"/>
    </row>
    <row r="734" spans="4:4">
      <c r="D734" s="876"/>
    </row>
    <row r="735" spans="4:4">
      <c r="D735" s="876"/>
    </row>
    <row r="736" spans="4:4">
      <c r="D736" s="876"/>
    </row>
    <row r="737" spans="4:4">
      <c r="D737" s="876"/>
    </row>
    <row r="738" spans="4:4">
      <c r="D738" s="876"/>
    </row>
    <row r="739" spans="4:4">
      <c r="D739" s="876"/>
    </row>
    <row r="740" spans="4:4">
      <c r="D740" s="876"/>
    </row>
    <row r="741" spans="4:4">
      <c r="D741" s="876"/>
    </row>
    <row r="742" spans="4:4">
      <c r="D742" s="876"/>
    </row>
    <row r="743" spans="4:4">
      <c r="D743" s="876"/>
    </row>
    <row r="744" spans="4:4">
      <c r="D744" s="876"/>
    </row>
    <row r="745" spans="4:4">
      <c r="D745" s="876"/>
    </row>
    <row r="746" spans="4:4">
      <c r="D746" s="876"/>
    </row>
    <row r="747" spans="4:4">
      <c r="D747" s="876"/>
    </row>
    <row r="748" spans="4:4">
      <c r="D748" s="876"/>
    </row>
    <row r="749" spans="4:4">
      <c r="D749" s="876"/>
    </row>
    <row r="750" spans="4:4">
      <c r="D750" s="876"/>
    </row>
    <row r="751" spans="4:4">
      <c r="D751" s="876"/>
    </row>
    <row r="752" spans="4:4">
      <c r="D752" s="876"/>
    </row>
    <row r="753" spans="4:4">
      <c r="D753" s="876"/>
    </row>
    <row r="754" spans="4:4">
      <c r="D754" s="876"/>
    </row>
    <row r="755" spans="4:4">
      <c r="D755" s="876"/>
    </row>
    <row r="756" spans="4:4">
      <c r="D756" s="876"/>
    </row>
    <row r="757" spans="4:4">
      <c r="D757" s="876"/>
    </row>
    <row r="758" spans="4:4">
      <c r="D758" s="876"/>
    </row>
    <row r="759" spans="4:4">
      <c r="D759" s="876"/>
    </row>
    <row r="760" spans="4:4">
      <c r="D760" s="876"/>
    </row>
    <row r="761" spans="4:4">
      <c r="D761" s="876"/>
    </row>
    <row r="762" spans="4:4">
      <c r="D762" s="876"/>
    </row>
    <row r="763" spans="4:4">
      <c r="D763" s="876"/>
    </row>
    <row r="764" spans="4:4">
      <c r="D764" s="876"/>
    </row>
    <row r="765" spans="4:4">
      <c r="D765" s="876"/>
    </row>
    <row r="766" spans="4:4">
      <c r="D766" s="876"/>
    </row>
    <row r="767" spans="4:4">
      <c r="D767" s="876"/>
    </row>
    <row r="768" spans="4:4">
      <c r="D768" s="876"/>
    </row>
    <row r="769" spans="4:4">
      <c r="D769" s="876"/>
    </row>
    <row r="770" spans="4:4">
      <c r="D770" s="876"/>
    </row>
    <row r="771" spans="4:4">
      <c r="D771" s="876"/>
    </row>
    <row r="772" spans="4:4">
      <c r="D772" s="876"/>
    </row>
    <row r="773" spans="4:4">
      <c r="D773" s="876"/>
    </row>
    <row r="774" spans="4:4">
      <c r="D774" s="876"/>
    </row>
    <row r="775" spans="4:4">
      <c r="D775" s="876"/>
    </row>
    <row r="776" spans="4:4">
      <c r="D776" s="876"/>
    </row>
    <row r="777" spans="4:4">
      <c r="D777" s="876"/>
    </row>
    <row r="778" spans="4:4">
      <c r="D778" s="876"/>
    </row>
    <row r="779" spans="4:4">
      <c r="D779" s="876"/>
    </row>
    <row r="780" spans="4:4">
      <c r="D780" s="876"/>
    </row>
    <row r="781" spans="4:4">
      <c r="D781" s="876"/>
    </row>
    <row r="782" spans="4:4">
      <c r="D782" s="876"/>
    </row>
    <row r="783" spans="4:4">
      <c r="D783" s="876"/>
    </row>
    <row r="784" spans="4:4">
      <c r="D784" s="876"/>
    </row>
    <row r="785" spans="4:4">
      <c r="D785" s="876"/>
    </row>
    <row r="786" spans="4:4">
      <c r="D786" s="876"/>
    </row>
    <row r="787" spans="4:4">
      <c r="D787" s="876"/>
    </row>
    <row r="788" spans="4:4">
      <c r="D788" s="876"/>
    </row>
    <row r="789" spans="4:4">
      <c r="D789" s="876"/>
    </row>
    <row r="790" spans="4:4">
      <c r="D790" s="876"/>
    </row>
    <row r="791" spans="4:4">
      <c r="D791" s="876"/>
    </row>
    <row r="792" spans="4:4">
      <c r="D792" s="876"/>
    </row>
    <row r="793" spans="4:4">
      <c r="D793" s="876"/>
    </row>
    <row r="794" spans="4:4">
      <c r="D794" s="876"/>
    </row>
    <row r="795" spans="4:4">
      <c r="D795" s="876"/>
    </row>
    <row r="796" spans="4:4">
      <c r="D796" s="876"/>
    </row>
    <row r="797" spans="4:4">
      <c r="D797" s="876"/>
    </row>
    <row r="798" spans="4:4">
      <c r="D798" s="876"/>
    </row>
    <row r="799" spans="4:4">
      <c r="D799" s="876"/>
    </row>
    <row r="800" spans="4:4">
      <c r="D800" s="876"/>
    </row>
    <row r="801" spans="4:4">
      <c r="D801" s="876"/>
    </row>
    <row r="802" spans="4:4">
      <c r="D802" s="876"/>
    </row>
    <row r="803" spans="4:4">
      <c r="D803" s="876"/>
    </row>
    <row r="804" spans="4:4">
      <c r="D804" s="876"/>
    </row>
    <row r="805" spans="4:4">
      <c r="D805" s="876"/>
    </row>
    <row r="806" spans="4:4">
      <c r="D806" s="876"/>
    </row>
    <row r="807" spans="4:4">
      <c r="D807" s="876"/>
    </row>
    <row r="808" spans="4:4">
      <c r="D808" s="876"/>
    </row>
    <row r="809" spans="4:4">
      <c r="D809" s="876"/>
    </row>
    <row r="810" spans="4:4">
      <c r="D810" s="876"/>
    </row>
    <row r="811" spans="4:4">
      <c r="D811" s="876"/>
    </row>
    <row r="812" spans="4:4">
      <c r="D812" s="876"/>
    </row>
    <row r="813" spans="4:4">
      <c r="D813" s="876"/>
    </row>
    <row r="814" spans="4:4">
      <c r="D814" s="876"/>
    </row>
    <row r="815" spans="4:4">
      <c r="D815" s="876"/>
    </row>
    <row r="816" spans="4:4">
      <c r="D816" s="876"/>
    </row>
    <row r="817" spans="4:4">
      <c r="D817" s="876"/>
    </row>
    <row r="818" spans="4:4">
      <c r="D818" s="876"/>
    </row>
    <row r="819" spans="4:4">
      <c r="D819" s="876"/>
    </row>
    <row r="820" spans="4:4">
      <c r="D820" s="876"/>
    </row>
    <row r="821" spans="4:4">
      <c r="D821" s="876"/>
    </row>
    <row r="822" spans="4:4">
      <c r="D822" s="876"/>
    </row>
    <row r="823" spans="4:4">
      <c r="D823" s="876"/>
    </row>
    <row r="824" spans="4:4">
      <c r="D824" s="876"/>
    </row>
    <row r="825" spans="4:4">
      <c r="D825" s="876"/>
    </row>
    <row r="826" spans="4:4">
      <c r="D826" s="876"/>
    </row>
    <row r="827" spans="4:4">
      <c r="D827" s="876"/>
    </row>
    <row r="828" spans="4:4">
      <c r="D828" s="876"/>
    </row>
    <row r="829" spans="4:4">
      <c r="D829" s="876"/>
    </row>
    <row r="830" spans="4:4">
      <c r="D830" s="876"/>
    </row>
    <row r="831" spans="4:4">
      <c r="D831" s="876"/>
    </row>
    <row r="832" spans="4:4">
      <c r="D832" s="876"/>
    </row>
    <row r="833" spans="4:4">
      <c r="D833" s="876"/>
    </row>
    <row r="834" spans="4:4">
      <c r="D834" s="876"/>
    </row>
    <row r="835" spans="4:4">
      <c r="D835" s="876"/>
    </row>
    <row r="836" spans="4:4">
      <c r="D836" s="876"/>
    </row>
    <row r="837" spans="4:4">
      <c r="D837" s="876"/>
    </row>
    <row r="838" spans="4:4">
      <c r="D838" s="876"/>
    </row>
    <row r="839" spans="4:4">
      <c r="D839" s="876"/>
    </row>
    <row r="840" spans="4:4">
      <c r="D840" s="876"/>
    </row>
    <row r="841" spans="4:4">
      <c r="D841" s="876"/>
    </row>
    <row r="842" spans="4:4">
      <c r="D842" s="876"/>
    </row>
    <row r="843" spans="4:4">
      <c r="D843" s="876"/>
    </row>
    <row r="844" spans="4:4">
      <c r="D844" s="876"/>
    </row>
    <row r="845" spans="4:4">
      <c r="D845" s="876"/>
    </row>
    <row r="846" spans="4:4">
      <c r="D846" s="876"/>
    </row>
    <row r="847" spans="4:4">
      <c r="D847" s="876"/>
    </row>
    <row r="848" spans="4:4">
      <c r="D848" s="876"/>
    </row>
    <row r="849" spans="4:4">
      <c r="D849" s="876"/>
    </row>
    <row r="850" spans="4:4">
      <c r="D850" s="876"/>
    </row>
    <row r="851" spans="4:4">
      <c r="D851" s="876"/>
    </row>
    <row r="852" spans="4:4">
      <c r="D852" s="876"/>
    </row>
    <row r="853" spans="4:4">
      <c r="D853" s="876"/>
    </row>
    <row r="854" spans="4:4">
      <c r="D854" s="876"/>
    </row>
    <row r="855" spans="4:4">
      <c r="D855" s="876"/>
    </row>
    <row r="856" spans="4:4">
      <c r="D856" s="876"/>
    </row>
    <row r="857" spans="4:4">
      <c r="D857" s="876"/>
    </row>
    <row r="858" spans="4:4">
      <c r="D858" s="876"/>
    </row>
    <row r="859" spans="4:4">
      <c r="D859" s="876"/>
    </row>
    <row r="860" spans="4:4">
      <c r="D860" s="876"/>
    </row>
    <row r="861" spans="4:4">
      <c r="D861" s="876"/>
    </row>
    <row r="862" spans="4:4">
      <c r="D862" s="876"/>
    </row>
    <row r="863" spans="4:4">
      <c r="D863" s="876"/>
    </row>
    <row r="864" spans="4:4">
      <c r="D864" s="876"/>
    </row>
    <row r="865" spans="4:4">
      <c r="D865" s="876"/>
    </row>
    <row r="866" spans="4:4">
      <c r="D866" s="876"/>
    </row>
    <row r="867" spans="4:4">
      <c r="D867" s="876"/>
    </row>
    <row r="868" spans="4:4">
      <c r="D868" s="876"/>
    </row>
    <row r="869" spans="4:4">
      <c r="D869" s="876"/>
    </row>
    <row r="870" spans="4:4">
      <c r="D870" s="876"/>
    </row>
    <row r="871" spans="4:4">
      <c r="D871" s="876"/>
    </row>
    <row r="872" spans="4:4">
      <c r="D872" s="876"/>
    </row>
    <row r="873" spans="4:4">
      <c r="D873" s="876"/>
    </row>
    <row r="874" spans="4:4">
      <c r="D874" s="876"/>
    </row>
    <row r="875" spans="4:4">
      <c r="D875" s="876"/>
    </row>
    <row r="876" spans="4:4">
      <c r="D876" s="876"/>
    </row>
    <row r="877" spans="4:4">
      <c r="D877" s="876"/>
    </row>
    <row r="878" spans="4:4">
      <c r="D878" s="876"/>
    </row>
    <row r="879" spans="4:4">
      <c r="D879" s="876"/>
    </row>
    <row r="880" spans="4:4">
      <c r="D880" s="876"/>
    </row>
    <row r="881" spans="4:4">
      <c r="D881" s="876"/>
    </row>
    <row r="882" spans="4:4">
      <c r="D882" s="876"/>
    </row>
    <row r="883" spans="4:4">
      <c r="D883" s="876"/>
    </row>
    <row r="884" spans="4:4">
      <c r="D884" s="876"/>
    </row>
    <row r="885" spans="4:4">
      <c r="D885" s="876"/>
    </row>
    <row r="886" spans="4:4">
      <c r="D886" s="876"/>
    </row>
    <row r="887" spans="4:4">
      <c r="D887" s="876"/>
    </row>
    <row r="888" spans="4:4">
      <c r="D888" s="876"/>
    </row>
    <row r="889" spans="4:4">
      <c r="D889" s="876"/>
    </row>
    <row r="890" spans="4:4">
      <c r="D890" s="876"/>
    </row>
    <row r="891" spans="4:4">
      <c r="D891" s="876"/>
    </row>
    <row r="892" spans="4:4">
      <c r="D892" s="876"/>
    </row>
    <row r="893" spans="4:4">
      <c r="D893" s="876"/>
    </row>
    <row r="894" spans="4:4">
      <c r="D894" s="876"/>
    </row>
    <row r="895" spans="4:4">
      <c r="D895" s="876"/>
    </row>
    <row r="896" spans="4:4">
      <c r="D896" s="876"/>
    </row>
    <row r="897" spans="4:4">
      <c r="D897" s="876"/>
    </row>
    <row r="898" spans="4:4">
      <c r="D898" s="876"/>
    </row>
    <row r="899" spans="4:4">
      <c r="D899" s="876"/>
    </row>
    <row r="900" spans="4:4">
      <c r="D900" s="876"/>
    </row>
    <row r="901" spans="4:4">
      <c r="D901" s="876"/>
    </row>
    <row r="902" spans="4:4">
      <c r="D902" s="876"/>
    </row>
    <row r="903" spans="4:4">
      <c r="D903" s="876"/>
    </row>
    <row r="904" spans="4:4">
      <c r="D904" s="876"/>
    </row>
    <row r="905" spans="4:4">
      <c r="D905" s="876"/>
    </row>
    <row r="906" spans="4:4">
      <c r="D906" s="876"/>
    </row>
    <row r="907" spans="4:4">
      <c r="D907" s="876"/>
    </row>
    <row r="908" spans="4:4">
      <c r="D908" s="876"/>
    </row>
    <row r="909" spans="4:4">
      <c r="D909" s="876"/>
    </row>
    <row r="910" spans="4:4">
      <c r="D910" s="876"/>
    </row>
    <row r="911" spans="4:4">
      <c r="D911" s="876"/>
    </row>
    <row r="912" spans="4:4">
      <c r="D912" s="876"/>
    </row>
    <row r="913" spans="4:4">
      <c r="D913" s="876"/>
    </row>
    <row r="914" spans="4:4">
      <c r="D914" s="876"/>
    </row>
    <row r="915" spans="4:4">
      <c r="D915" s="876"/>
    </row>
    <row r="916" spans="4:4">
      <c r="D916" s="876"/>
    </row>
    <row r="917" spans="4:4">
      <c r="D917" s="876"/>
    </row>
    <row r="918" spans="4:4">
      <c r="D918" s="876"/>
    </row>
    <row r="919" spans="4:4">
      <c r="D919" s="876"/>
    </row>
    <row r="920" spans="4:4">
      <c r="D920" s="876"/>
    </row>
    <row r="921" spans="4:4">
      <c r="D921" s="876"/>
    </row>
    <row r="922" spans="4:4">
      <c r="D922" s="876"/>
    </row>
    <row r="923" spans="4:4">
      <c r="D923" s="876"/>
    </row>
    <row r="924" spans="4:4">
      <c r="D924" s="876"/>
    </row>
    <row r="925" spans="4:4">
      <c r="D925" s="876"/>
    </row>
    <row r="926" spans="4:4">
      <c r="D926" s="876"/>
    </row>
    <row r="927" spans="4:4">
      <c r="D927" s="876"/>
    </row>
    <row r="928" spans="4:4">
      <c r="D928" s="876"/>
    </row>
    <row r="929" spans="4:4">
      <c r="D929" s="876"/>
    </row>
    <row r="930" spans="4:4">
      <c r="D930" s="876"/>
    </row>
    <row r="931" spans="4:4">
      <c r="D931" s="876"/>
    </row>
    <row r="932" spans="4:4">
      <c r="D932" s="876"/>
    </row>
    <row r="933" spans="4:4">
      <c r="D933" s="876"/>
    </row>
    <row r="934" spans="4:4">
      <c r="D934" s="876"/>
    </row>
    <row r="935" spans="4:4">
      <c r="D935" s="876"/>
    </row>
    <row r="936" spans="4:4">
      <c r="D936" s="876"/>
    </row>
    <row r="937" spans="4:4">
      <c r="D937" s="876"/>
    </row>
    <row r="938" spans="4:4">
      <c r="D938" s="876"/>
    </row>
    <row r="939" spans="4:4">
      <c r="D939" s="876"/>
    </row>
    <row r="940" spans="4:4">
      <c r="D940" s="876"/>
    </row>
    <row r="941" spans="4:4">
      <c r="D941" s="876"/>
    </row>
    <row r="942" spans="4:4">
      <c r="D942" s="876"/>
    </row>
    <row r="943" spans="4:4">
      <c r="D943" s="876"/>
    </row>
    <row r="944" spans="4:4">
      <c r="D944" s="876"/>
    </row>
    <row r="945" spans="4:4">
      <c r="D945" s="876"/>
    </row>
    <row r="946" spans="4:4">
      <c r="D946" s="876"/>
    </row>
    <row r="947" spans="4:4">
      <c r="D947" s="876"/>
    </row>
    <row r="948" spans="4:4">
      <c r="D948" s="876"/>
    </row>
    <row r="949" spans="4:4">
      <c r="D949" s="876"/>
    </row>
    <row r="950" spans="4:4">
      <c r="D950" s="876"/>
    </row>
    <row r="951" spans="4:4">
      <c r="D951" s="876"/>
    </row>
    <row r="952" spans="4:4">
      <c r="D952" s="876"/>
    </row>
    <row r="953" spans="4:4">
      <c r="D953" s="876"/>
    </row>
    <row r="954" spans="4:4">
      <c r="D954" s="876"/>
    </row>
    <row r="955" spans="4:4">
      <c r="D955" s="876"/>
    </row>
    <row r="956" spans="4:4">
      <c r="D956" s="876"/>
    </row>
    <row r="957" spans="4:4">
      <c r="D957" s="876"/>
    </row>
    <row r="958" spans="4:4">
      <c r="D958" s="876"/>
    </row>
    <row r="959" spans="4:4">
      <c r="D959" s="876"/>
    </row>
    <row r="960" spans="4:4">
      <c r="D960" s="876"/>
    </row>
    <row r="961" spans="4:4">
      <c r="D961" s="876"/>
    </row>
    <row r="962" spans="4:4">
      <c r="D962" s="876"/>
    </row>
    <row r="963" spans="4:4">
      <c r="D963" s="876"/>
    </row>
    <row r="964" spans="4:4">
      <c r="D964" s="876"/>
    </row>
    <row r="965" spans="4:4">
      <c r="D965" s="876"/>
    </row>
    <row r="966" spans="4:4">
      <c r="D966" s="876"/>
    </row>
    <row r="967" spans="4:4">
      <c r="D967" s="876"/>
    </row>
    <row r="968" spans="4:4">
      <c r="D968" s="876"/>
    </row>
    <row r="969" spans="4:4">
      <c r="D969" s="876"/>
    </row>
    <row r="970" spans="4:4">
      <c r="D970" s="876"/>
    </row>
    <row r="971" spans="4:4">
      <c r="D971" s="876"/>
    </row>
    <row r="972" spans="4:4">
      <c r="D972" s="876"/>
    </row>
    <row r="973" spans="4:4">
      <c r="D973" s="876"/>
    </row>
    <row r="974" spans="4:4">
      <c r="D974" s="876"/>
    </row>
    <row r="975" spans="4:4">
      <c r="D975" s="876"/>
    </row>
    <row r="976" spans="4:4">
      <c r="D976" s="876"/>
    </row>
    <row r="977" spans="4:4">
      <c r="D977" s="876"/>
    </row>
    <row r="978" spans="4:4">
      <c r="D978" s="876"/>
    </row>
    <row r="979" spans="4:4">
      <c r="D979" s="876"/>
    </row>
    <row r="980" spans="4:4">
      <c r="D980" s="876"/>
    </row>
    <row r="981" spans="4:4">
      <c r="D981" s="876"/>
    </row>
    <row r="982" spans="4:4">
      <c r="D982" s="876"/>
    </row>
    <row r="983" spans="4:4">
      <c r="D983" s="876"/>
    </row>
    <row r="984" spans="4:4">
      <c r="D984" s="876"/>
    </row>
    <row r="985" spans="4:4">
      <c r="D985" s="876"/>
    </row>
    <row r="986" spans="4:4">
      <c r="D986" s="876"/>
    </row>
    <row r="987" spans="4:4">
      <c r="D987" s="876"/>
    </row>
    <row r="988" spans="4:4">
      <c r="D988" s="876"/>
    </row>
    <row r="989" spans="4:4">
      <c r="D989" s="876"/>
    </row>
    <row r="990" spans="4:4">
      <c r="D990" s="876"/>
    </row>
    <row r="991" spans="4:4">
      <c r="D991" s="876"/>
    </row>
    <row r="992" spans="4:4">
      <c r="D992" s="876"/>
    </row>
    <row r="993" spans="1:5">
      <c r="D993" s="876"/>
    </row>
    <row r="994" spans="1:5">
      <c r="D994" s="876"/>
    </row>
    <row r="995" spans="1:5">
      <c r="D995" s="876"/>
    </row>
    <row r="996" spans="1:5">
      <c r="D996" s="876"/>
    </row>
    <row r="997" spans="1:5">
      <c r="D997" s="876"/>
    </row>
    <row r="998" spans="1:5">
      <c r="D998" s="876"/>
    </row>
    <row r="999" spans="1:5">
      <c r="D999" s="876"/>
    </row>
    <row r="1000" spans="1:5">
      <c r="D1000" s="876"/>
    </row>
    <row r="1001" spans="1:5">
      <c r="D1001" s="876"/>
      <c r="E1001" s="877"/>
    </row>
    <row r="1002" spans="1:5">
      <c r="A1002" s="104">
        <f>COUNTIF(A4:A1001, "VACANT")</f>
        <v>4</v>
      </c>
      <c r="D1002" s="878">
        <f>SUM(D4:D1001)</f>
        <v>345876</v>
      </c>
      <c r="E1002" s="877">
        <f>SUM(E4:E1001)</f>
        <v>277980</v>
      </c>
    </row>
    <row r="1003" spans="1:5">
      <c r="A1003" s="104">
        <f>units</f>
        <v>264</v>
      </c>
      <c r="D1003" s="878">
        <f>D1002*12</f>
        <v>4150512</v>
      </c>
      <c r="E1003" s="877"/>
    </row>
    <row r="1004" spans="1:5">
      <c r="A1004" s="104">
        <f>SUMIFS($D$4:D1001,$A$4:A1001,"=VACANT")/D1002</f>
        <v>0</v>
      </c>
      <c r="D1004" s="878"/>
      <c r="E1004" s="877"/>
    </row>
  </sheetData>
  <autoFilter ref="A3:H3" xr:uid="{00000000-0001-0000-0600-000000000000}"/>
  <conditionalFormatting sqref="D267:D274">
    <cfRule type="expression" dxfId="10" priority="3">
      <formula>AND($J267="occupied",OR($L267=0,$L267=""))</formula>
    </cfRule>
  </conditionalFormatting>
  <conditionalFormatting sqref="D4:D266">
    <cfRule type="expression" dxfId="9" priority="1">
      <formula>AND($K4="occupied",OR($M4=0,$M4=""))</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theme="9" tint="0.59999389629810485"/>
  </sheetPr>
  <dimension ref="A1:BA56"/>
  <sheetViews>
    <sheetView showGridLines="0" zoomScaleNormal="100" workbookViewId="0">
      <selection activeCell="A3" sqref="A3"/>
    </sheetView>
  </sheetViews>
  <sheetFormatPr defaultColWidth="9.1796875" defaultRowHeight="17.5"/>
  <cols>
    <col min="1" max="1" width="9.1796875" style="101"/>
    <col min="2" max="2" width="27" style="101" bestFit="1" customWidth="1"/>
    <col min="3" max="3" width="15.453125" style="101" customWidth="1"/>
    <col min="4" max="4" width="18.26953125" style="101" customWidth="1"/>
    <col min="5" max="5" width="14.26953125" style="101" customWidth="1"/>
    <col min="6" max="6" width="18.453125" style="882" bestFit="1" customWidth="1"/>
    <col min="7" max="7" width="19" style="882" bestFit="1" customWidth="1"/>
    <col min="8" max="8" width="19.81640625" style="882" bestFit="1" customWidth="1"/>
    <col min="9" max="53" width="9.1796875" style="101"/>
    <col min="54" max="16384" width="9.1796875" style="138"/>
  </cols>
  <sheetData>
    <row r="1" spans="2:9">
      <c r="F1" s="101"/>
      <c r="G1" s="101"/>
      <c r="H1" s="101"/>
    </row>
    <row r="2" spans="2:9">
      <c r="B2" s="879" t="s">
        <v>223</v>
      </c>
      <c r="C2" s="879" t="s">
        <v>511</v>
      </c>
      <c r="D2" s="879" t="s">
        <v>512</v>
      </c>
      <c r="E2" s="880" t="s">
        <v>513</v>
      </c>
      <c r="F2" s="881" t="s">
        <v>514</v>
      </c>
      <c r="G2" s="881" t="s">
        <v>515</v>
      </c>
      <c r="H2" s="881" t="s">
        <v>224</v>
      </c>
      <c r="I2" s="881"/>
    </row>
    <row r="3" spans="2:9">
      <c r="B3" s="1805" t="s">
        <v>318</v>
      </c>
      <c r="C3" s="1815">
        <v>36</v>
      </c>
      <c r="D3" s="1817">
        <v>35</v>
      </c>
      <c r="E3" s="1807">
        <v>841</v>
      </c>
      <c r="F3" s="1809">
        <v>1280</v>
      </c>
      <c r="G3" s="1819">
        <v>1208.5999999999999</v>
      </c>
      <c r="H3" s="1819">
        <v>1208.5999999999999</v>
      </c>
      <c r="I3" s="882"/>
    </row>
    <row r="4" spans="2:9">
      <c r="B4" s="1806" t="s">
        <v>242</v>
      </c>
      <c r="C4" s="1816">
        <v>84</v>
      </c>
      <c r="D4" s="1818">
        <v>83</v>
      </c>
      <c r="E4" s="1808">
        <v>841</v>
      </c>
      <c r="F4" s="1810">
        <v>1260</v>
      </c>
      <c r="G4" s="1820">
        <v>1172.6024096385499</v>
      </c>
      <c r="H4" s="1820">
        <v>1172.6024096385499</v>
      </c>
      <c r="I4" s="882"/>
    </row>
    <row r="5" spans="2:9">
      <c r="B5" s="1805" t="s">
        <v>239</v>
      </c>
      <c r="C5" s="1815">
        <v>51</v>
      </c>
      <c r="D5" s="1817">
        <v>51</v>
      </c>
      <c r="E5" s="1807">
        <v>1130</v>
      </c>
      <c r="F5" s="1809">
        <v>1500</v>
      </c>
      <c r="G5" s="1819">
        <v>1382.1568627450999</v>
      </c>
      <c r="H5" s="1819">
        <v>1382.1568627450999</v>
      </c>
      <c r="I5" s="882"/>
    </row>
    <row r="6" spans="2:9">
      <c r="B6" s="1806" t="s">
        <v>488</v>
      </c>
      <c r="C6" s="1816">
        <v>12</v>
      </c>
      <c r="D6" s="1818">
        <v>12</v>
      </c>
      <c r="E6" s="1808">
        <v>1210</v>
      </c>
      <c r="F6" s="1810">
        <v>1625</v>
      </c>
      <c r="G6" s="1820">
        <v>1375.0833333333301</v>
      </c>
      <c r="H6" s="1820">
        <v>1375.0833333333301</v>
      </c>
      <c r="I6" s="882"/>
    </row>
    <row r="7" spans="2:9">
      <c r="B7" s="1805" t="s">
        <v>244</v>
      </c>
      <c r="C7" s="1815">
        <v>50</v>
      </c>
      <c r="D7" s="1817">
        <v>49</v>
      </c>
      <c r="E7" s="1807">
        <v>1224</v>
      </c>
      <c r="F7" s="1809">
        <v>1575</v>
      </c>
      <c r="G7" s="1819">
        <v>1478.4693877550999</v>
      </c>
      <c r="H7" s="1819">
        <v>1478.4693877550999</v>
      </c>
      <c r="I7" s="882"/>
    </row>
    <row r="8" spans="2:9">
      <c r="B8" s="1806" t="s">
        <v>316</v>
      </c>
      <c r="C8" s="1816">
        <v>30</v>
      </c>
      <c r="D8" s="1818">
        <v>29</v>
      </c>
      <c r="E8" s="1808">
        <v>1457</v>
      </c>
      <c r="F8" s="1810">
        <v>1850</v>
      </c>
      <c r="G8" s="1820">
        <v>1614.2413793103401</v>
      </c>
      <c r="H8" s="1820">
        <v>1614.2413793103401</v>
      </c>
      <c r="I8" s="882"/>
    </row>
    <row r="9" spans="2:9">
      <c r="B9"/>
      <c r="C9"/>
      <c r="D9"/>
      <c r="E9" s="1402"/>
      <c r="F9" s="1401"/>
      <c r="G9" s="1401"/>
      <c r="H9" s="1401"/>
      <c r="I9" s="882"/>
    </row>
    <row r="10" spans="2:9">
      <c r="B10"/>
      <c r="C10"/>
      <c r="D10"/>
      <c r="E10"/>
      <c r="F10" s="1401"/>
      <c r="G10" s="1401"/>
      <c r="H10" s="1401"/>
      <c r="I10" s="882"/>
    </row>
    <row r="11" spans="2:9">
      <c r="B11"/>
      <c r="C11"/>
      <c r="D11"/>
      <c r="E11"/>
      <c r="F11" s="1401"/>
      <c r="G11" s="1401"/>
      <c r="H11" s="1401"/>
      <c r="I11" s="882"/>
    </row>
    <row r="12" spans="2:9">
      <c r="B12"/>
      <c r="C12"/>
      <c r="D12"/>
      <c r="E12" s="1564"/>
      <c r="F12" s="1401"/>
      <c r="G12" s="1401"/>
      <c r="H12" s="1401"/>
      <c r="I12" s="882"/>
    </row>
    <row r="13" spans="2:9">
      <c r="B13"/>
      <c r="C13"/>
      <c r="D13"/>
      <c r="E13" s="1564"/>
      <c r="F13" s="1401"/>
      <c r="G13" s="1401"/>
      <c r="H13" s="1401"/>
      <c r="I13" s="882"/>
    </row>
    <row r="14" spans="2:9">
      <c r="B14"/>
      <c r="C14"/>
      <c r="D14"/>
      <c r="E14" s="1564"/>
      <c r="F14" s="1401"/>
      <c r="G14" s="1401"/>
      <c r="H14" s="1401"/>
      <c r="I14" s="882"/>
    </row>
    <row r="15" spans="2:9">
      <c r="B15"/>
      <c r="C15"/>
      <c r="D15"/>
      <c r="E15" s="1402"/>
      <c r="F15" s="1401"/>
      <c r="G15" s="1401"/>
      <c r="H15" s="1401"/>
      <c r="I15" s="882"/>
    </row>
    <row r="16" spans="2:9">
      <c r="B16"/>
      <c r="C16"/>
      <c r="D16"/>
      <c r="E16" s="1402"/>
      <c r="F16" s="1401"/>
      <c r="G16" s="1401"/>
      <c r="H16" s="1401"/>
      <c r="I16" s="882"/>
    </row>
    <row r="17" spans="2:9">
      <c r="B17"/>
      <c r="C17"/>
      <c r="D17"/>
      <c r="E17" s="1402"/>
      <c r="F17" s="1401"/>
      <c r="G17" s="1401"/>
      <c r="H17" s="1401"/>
      <c r="I17" s="882"/>
    </row>
    <row r="18" spans="2:9">
      <c r="B18"/>
      <c r="C18"/>
      <c r="D18"/>
      <c r="E18" s="1402"/>
      <c r="F18" s="1401"/>
      <c r="G18" s="1401"/>
      <c r="H18" s="1401"/>
      <c r="I18" s="882"/>
    </row>
    <row r="19" spans="2:9">
      <c r="B19"/>
      <c r="C19"/>
      <c r="D19"/>
      <c r="E19" s="1402"/>
      <c r="F19" s="1401"/>
      <c r="G19" s="1401"/>
      <c r="H19" s="1401"/>
      <c r="I19" s="882"/>
    </row>
    <row r="20" spans="2:9">
      <c r="E20" s="1520"/>
      <c r="F20" s="1435"/>
      <c r="G20" s="1435"/>
      <c r="H20" s="1435"/>
      <c r="I20" s="882"/>
    </row>
    <row r="21" spans="2:9">
      <c r="E21" s="1520"/>
      <c r="F21" s="1435"/>
      <c r="G21" s="1435"/>
      <c r="H21" s="1435"/>
      <c r="I21" s="882"/>
    </row>
    <row r="22" spans="2:9">
      <c r="E22" s="1520"/>
      <c r="F22" s="1435"/>
      <c r="G22" s="1435"/>
      <c r="H22" s="1435"/>
      <c r="I22" s="882"/>
    </row>
    <row r="23" spans="2:9">
      <c r="E23" s="1520"/>
      <c r="F23" s="1435"/>
      <c r="G23" s="1435"/>
      <c r="H23" s="1435"/>
      <c r="I23" s="882"/>
    </row>
    <row r="24" spans="2:9">
      <c r="E24" s="1520"/>
      <c r="F24" s="1435"/>
      <c r="G24" s="1435"/>
      <c r="H24" s="1435"/>
      <c r="I24" s="882"/>
    </row>
    <row r="25" spans="2:9">
      <c r="E25" s="1520"/>
      <c r="F25" s="1435"/>
      <c r="G25" s="1435"/>
      <c r="H25" s="1435"/>
      <c r="I25" s="882"/>
    </row>
    <row r="26" spans="2:9">
      <c r="E26" s="1433"/>
      <c r="F26" s="1435"/>
      <c r="G26" s="1435"/>
      <c r="H26" s="1435"/>
      <c r="I26" s="882"/>
    </row>
    <row r="27" spans="2:9">
      <c r="E27" s="1433"/>
      <c r="F27" s="1435"/>
      <c r="G27" s="1435"/>
      <c r="H27" s="1435"/>
    </row>
    <row r="28" spans="2:9">
      <c r="E28" s="1434"/>
      <c r="F28" s="1435"/>
      <c r="G28" s="1435"/>
      <c r="H28" s="1435"/>
    </row>
    <row r="29" spans="2:9">
      <c r="E29" s="1434"/>
      <c r="F29" s="1435"/>
      <c r="G29" s="1435"/>
      <c r="H29" s="1435"/>
    </row>
    <row r="30" spans="2:9">
      <c r="E30" s="1434"/>
      <c r="F30" s="1435"/>
      <c r="G30" s="1435"/>
      <c r="H30" s="1435"/>
    </row>
    <row r="31" spans="2:9">
      <c r="E31" s="1434"/>
      <c r="F31" s="1435"/>
      <c r="G31" s="1435"/>
      <c r="H31" s="1435"/>
    </row>
    <row r="32" spans="2:9">
      <c r="E32" s="1434"/>
      <c r="F32" s="1435"/>
      <c r="G32" s="1435"/>
      <c r="H32" s="1435"/>
    </row>
    <row r="33" spans="5:8">
      <c r="E33" s="1434"/>
      <c r="F33" s="1435"/>
      <c r="G33" s="1435"/>
      <c r="H33" s="1435"/>
    </row>
    <row r="34" spans="5:8">
      <c r="E34" s="1434"/>
      <c r="F34" s="1435"/>
      <c r="G34" s="1435"/>
      <c r="H34" s="1435"/>
    </row>
    <row r="35" spans="5:8">
      <c r="E35" s="1434"/>
      <c r="F35" s="1435"/>
      <c r="G35" s="1435"/>
      <c r="H35" s="1435"/>
    </row>
    <row r="36" spans="5:8">
      <c r="E36" s="1434"/>
      <c r="F36" s="1435"/>
      <c r="G36" s="1435"/>
      <c r="H36" s="1435"/>
    </row>
    <row r="37" spans="5:8">
      <c r="E37" s="1434"/>
      <c r="F37" s="1435"/>
      <c r="G37" s="1435"/>
      <c r="H37" s="1435"/>
    </row>
    <row r="38" spans="5:8">
      <c r="E38" s="1434"/>
      <c r="F38" s="1435"/>
      <c r="G38" s="1435"/>
      <c r="H38" s="1435"/>
    </row>
    <row r="39" spans="5:8">
      <c r="E39" s="1434"/>
      <c r="F39" s="1435"/>
      <c r="G39" s="1435"/>
      <c r="H39" s="1435"/>
    </row>
    <row r="40" spans="5:8">
      <c r="E40" s="1434"/>
      <c r="F40" s="1435"/>
      <c r="G40" s="1435"/>
      <c r="H40" s="1435"/>
    </row>
    <row r="41" spans="5:8">
      <c r="E41" s="1434"/>
      <c r="F41" s="1435"/>
      <c r="G41" s="1435"/>
      <c r="H41" s="1435"/>
    </row>
    <row r="42" spans="5:8">
      <c r="E42" s="1434"/>
      <c r="F42" s="1435"/>
      <c r="G42" s="1435"/>
      <c r="H42" s="1435"/>
    </row>
    <row r="43" spans="5:8">
      <c r="E43" s="1434"/>
      <c r="F43" s="1435"/>
      <c r="G43" s="1435"/>
      <c r="H43" s="1435"/>
    </row>
    <row r="44" spans="5:8">
      <c r="E44" s="1434"/>
      <c r="F44" s="1435"/>
      <c r="G44" s="1435"/>
      <c r="H44" s="1435"/>
    </row>
    <row r="45" spans="5:8">
      <c r="E45" s="1434"/>
      <c r="F45" s="1435"/>
      <c r="G45" s="1435"/>
      <c r="H45" s="1435"/>
    </row>
    <row r="46" spans="5:8">
      <c r="E46" s="1434"/>
      <c r="F46" s="1435"/>
      <c r="G46" s="1435"/>
      <c r="H46" s="1435"/>
    </row>
    <row r="47" spans="5:8">
      <c r="E47" s="1434"/>
      <c r="F47" s="1435"/>
      <c r="G47" s="1435"/>
      <c r="H47" s="1435"/>
    </row>
    <row r="48" spans="5:8">
      <c r="E48" s="1434"/>
      <c r="F48" s="1435"/>
      <c r="G48" s="1435"/>
      <c r="H48" s="1435"/>
    </row>
    <row r="49" spans="5:8">
      <c r="E49" s="1434"/>
      <c r="F49" s="1435"/>
      <c r="G49" s="1435"/>
      <c r="H49" s="1435"/>
    </row>
    <row r="50" spans="5:8">
      <c r="F50" s="1435"/>
      <c r="G50" s="1435"/>
      <c r="H50" s="1435"/>
    </row>
    <row r="51" spans="5:8">
      <c r="F51" s="1435"/>
      <c r="G51" s="1435"/>
      <c r="H51" s="1435"/>
    </row>
    <row r="52" spans="5:8">
      <c r="F52" s="1435"/>
      <c r="G52" s="1435"/>
      <c r="H52" s="1435"/>
    </row>
    <row r="53" spans="5:8">
      <c r="F53" s="1435"/>
      <c r="G53" s="1435"/>
      <c r="H53" s="1435"/>
    </row>
    <row r="54" spans="5:8">
      <c r="F54" s="1435"/>
      <c r="G54" s="1435"/>
      <c r="H54" s="1435"/>
    </row>
    <row r="55" spans="5:8">
      <c r="F55" s="1432"/>
      <c r="G55" s="1432"/>
      <c r="H55" s="1432"/>
    </row>
    <row r="56" spans="5:8">
      <c r="F56" s="1432"/>
      <c r="G56" s="1432"/>
      <c r="H56" s="1432"/>
    </row>
  </sheetData>
  <autoFilter ref="B2:I2" xr:uid="{00000000-0009-0000-0000-000007000000}">
    <sortState xmlns:xlrd2="http://schemas.microsoft.com/office/spreadsheetml/2017/richdata2" ref="B3:I27">
      <sortCondition ref="B2"/>
    </sortState>
  </autoFilter>
  <pageMargins left="0.7" right="0.7" top="0.75" bottom="0.75" header="0.3" footer="0.3"/>
  <pageSetup scale="60"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theme="4" tint="9.9978637043366805E-2"/>
  </sheetPr>
  <dimension ref="A1:AZ73"/>
  <sheetViews>
    <sheetView showGridLines="0" zoomScale="50" zoomScaleNormal="50" workbookViewId="0">
      <pane xSplit="3" ySplit="5" topLeftCell="D6" activePane="bottomRight" state="frozen"/>
      <selection pane="topRight" activeCell="D1" sqref="D1"/>
      <selection pane="bottomLeft" activeCell="A6" sqref="A6"/>
      <selection pane="bottomRight" activeCell="J9" sqref="J9"/>
    </sheetView>
  </sheetViews>
  <sheetFormatPr defaultColWidth="9.1796875" defaultRowHeight="17.5" outlineLevelRow="1" outlineLevelCol="3"/>
  <cols>
    <col min="1" max="1" width="9.54296875" style="138" customWidth="1"/>
    <col min="2" max="2" width="9.453125" style="138" customWidth="1"/>
    <col min="3" max="4" width="15.7265625" style="138" customWidth="1"/>
    <col min="5" max="5" width="15.1796875" style="138" customWidth="1"/>
    <col min="6" max="6" width="15.453125" style="138" customWidth="1"/>
    <col min="7" max="7" width="15.453125" style="138" hidden="1" customWidth="1" outlineLevel="1"/>
    <col min="8" max="8" width="14.81640625" style="138" customWidth="1" collapsed="1"/>
    <col min="9" max="9" width="14.81640625" style="138" hidden="1" customWidth="1" outlineLevel="1"/>
    <col min="10" max="10" width="16.54296875" style="138" customWidth="1" collapsed="1"/>
    <col min="11" max="11" width="16.54296875" style="138" hidden="1" customWidth="1" outlineLevel="1"/>
    <col min="12" max="12" width="16.7265625" style="138" customWidth="1" collapsed="1"/>
    <col min="13" max="13" width="16.7265625" style="138" hidden="1" customWidth="1" outlineLevel="1"/>
    <col min="14" max="14" width="18.26953125" style="138" customWidth="1" collapsed="1"/>
    <col min="15" max="15" width="18.26953125" style="138" hidden="1" customWidth="1" outlineLevel="1"/>
    <col min="16" max="16" width="7.81640625" style="138" customWidth="1" collapsed="1"/>
    <col min="17" max="17" width="8.7265625" style="138" hidden="1" customWidth="1" outlineLevel="2"/>
    <col min="18" max="18" width="23.1796875" style="138" hidden="1" customWidth="1" outlineLevel="3"/>
    <col min="19" max="19" width="8.7265625" style="138" hidden="1" customWidth="1" outlineLevel="2"/>
    <col min="20" max="20" width="16.26953125" style="138" hidden="1" customWidth="1" outlineLevel="2"/>
    <col min="21" max="21" width="14.26953125" style="138" hidden="1" customWidth="1" outlineLevel="2"/>
    <col min="22" max="22" width="12.54296875" style="138" hidden="1" customWidth="1" outlineLevel="3"/>
    <col min="23" max="23" width="14.81640625" style="138" hidden="1" customWidth="1" outlineLevel="3"/>
    <col min="24" max="24" width="13.7265625" style="138" hidden="1" customWidth="1" outlineLevel="2" collapsed="1"/>
    <col min="25" max="25" width="13.7265625" style="138" hidden="1" customWidth="1" outlineLevel="3"/>
    <col min="26" max="26" width="11.453125" style="138" hidden="1" customWidth="1" outlineLevel="2" collapsed="1"/>
    <col min="27" max="27" width="8.81640625" style="138" customWidth="1" collapsed="1"/>
    <col min="28" max="28" width="11.453125" style="138" customWidth="1" outlineLevel="1"/>
    <col min="29" max="29" width="24.81640625" style="138" customWidth="1" outlineLevel="1"/>
    <col min="30" max="30" width="15.81640625" style="138" customWidth="1" outlineLevel="1"/>
    <col min="31" max="31" width="11.7265625" style="138" customWidth="1" outlineLevel="1"/>
    <col min="32" max="32" width="23.453125" style="138" customWidth="1" outlineLevel="1"/>
    <col min="33" max="33" width="14.7265625" style="138" customWidth="1" outlineLevel="1"/>
    <col min="34" max="34" width="15.453125" style="138" customWidth="1" outlineLevel="1"/>
    <col min="35" max="35" width="19.26953125" style="138" customWidth="1" outlineLevel="1"/>
    <col min="36" max="36" width="21.1796875" style="138" customWidth="1" outlineLevel="1"/>
    <col min="37" max="37" width="11.453125" style="138" customWidth="1" outlineLevel="1"/>
    <col min="38" max="38" width="9.1796875" style="138"/>
    <col min="39" max="39" width="17.26953125" style="138" hidden="1" customWidth="1" outlineLevel="1"/>
    <col min="40" max="40" width="15.26953125" style="138" hidden="1" customWidth="1" outlineLevel="1"/>
    <col min="41" max="41" width="17.26953125" style="138" hidden="1" customWidth="1" outlineLevel="1"/>
    <col min="42" max="43" width="15.26953125" style="138" hidden="1" customWidth="1" outlineLevel="1"/>
    <col min="44" max="44" width="9.1796875" style="138" collapsed="1"/>
    <col min="45" max="45" width="9.1796875" style="138"/>
    <col min="46" max="46" width="6.7265625" style="138" hidden="1" customWidth="1" outlineLevel="1"/>
    <col min="47" max="47" width="16.1796875" style="138" hidden="1" customWidth="1" outlineLevel="1"/>
    <col min="48" max="48" width="19.81640625" style="138" hidden="1" customWidth="1" outlineLevel="1"/>
    <col min="49" max="49" width="22.7265625" style="138" hidden="1" customWidth="1" outlineLevel="1"/>
    <col min="50" max="50" width="14.54296875" style="138" hidden="1" customWidth="1" outlineLevel="1"/>
    <col min="51" max="51" width="15.1796875" style="138" hidden="1" customWidth="1" outlineLevel="1"/>
    <col min="52" max="52" width="9.1796875" style="138" collapsed="1"/>
    <col min="53" max="16384" width="9.1796875" style="138"/>
  </cols>
  <sheetData>
    <row r="1" spans="1:51" ht="22" thickBot="1">
      <c r="A1" s="883" t="s">
        <v>219</v>
      </c>
      <c r="AK1" s="1863" t="s">
        <v>516</v>
      </c>
    </row>
    <row r="2" spans="1:51" ht="19.5" thickBot="1">
      <c r="A2" s="1885">
        <f>'RRT Summary (Paste)'!A2</f>
        <v>46023</v>
      </c>
      <c r="B2" s="1885"/>
      <c r="E2" s="884" t="s">
        <v>517</v>
      </c>
      <c r="F2" s="885">
        <f>COUNT(B6:B40)</f>
        <v>6</v>
      </c>
      <c r="G2" s="886"/>
      <c r="Q2" s="1340" t="s">
        <v>518</v>
      </c>
      <c r="AU2" s="1450" t="s">
        <v>519</v>
      </c>
      <c r="AV2" s="1451" t="s">
        <v>520</v>
      </c>
    </row>
    <row r="3" spans="1:51" ht="19.5" thickBot="1">
      <c r="A3" s="887"/>
      <c r="Q3" s="1339">
        <v>0</v>
      </c>
    </row>
    <row r="4" spans="1:51" ht="21.5">
      <c r="A4" s="888"/>
      <c r="B4" s="889"/>
      <c r="C4" s="890"/>
      <c r="D4" s="890"/>
      <c r="E4" s="890"/>
      <c r="F4" s="890"/>
      <c r="G4" s="890"/>
      <c r="H4" s="890" t="s">
        <v>521</v>
      </c>
      <c r="I4" s="890"/>
      <c r="J4" s="890"/>
      <c r="K4" s="890"/>
      <c r="L4" s="890"/>
      <c r="M4" s="890"/>
      <c r="N4" s="890"/>
      <c r="O4" s="890"/>
      <c r="P4" s="1241"/>
      <c r="Q4" s="1338"/>
      <c r="R4" s="891"/>
      <c r="S4" s="891"/>
      <c r="T4" s="891"/>
      <c r="U4" s="891" t="s">
        <v>522</v>
      </c>
      <c r="V4" s="891"/>
      <c r="W4" s="891"/>
      <c r="X4" s="891"/>
      <c r="Y4" s="891"/>
      <c r="Z4" s="891"/>
      <c r="AA4" s="892"/>
      <c r="AB4" s="1889" t="s">
        <v>523</v>
      </c>
      <c r="AC4" s="1889"/>
      <c r="AD4" s="1889"/>
      <c r="AE4" s="1889"/>
      <c r="AF4" s="1889"/>
      <c r="AG4" s="1889"/>
      <c r="AH4" s="1889"/>
      <c r="AI4" s="1889"/>
      <c r="AJ4" s="1889"/>
      <c r="AK4" s="1291"/>
      <c r="AT4" s="1888" t="s">
        <v>524</v>
      </c>
      <c r="AU4" s="1889"/>
      <c r="AV4" s="1889"/>
      <c r="AW4" s="1889"/>
      <c r="AX4" s="1889"/>
      <c r="AY4" s="1890"/>
    </row>
    <row r="5" spans="1:51" ht="19">
      <c r="B5" s="893" t="s">
        <v>525</v>
      </c>
      <c r="C5" s="174" t="s">
        <v>223</v>
      </c>
      <c r="D5" s="174" t="s">
        <v>526</v>
      </c>
      <c r="E5" s="175" t="s">
        <v>511</v>
      </c>
      <c r="F5" s="175" t="s">
        <v>512</v>
      </c>
      <c r="G5" s="175" t="s">
        <v>527</v>
      </c>
      <c r="H5" s="175" t="s">
        <v>513</v>
      </c>
      <c r="I5" s="175" t="s">
        <v>528</v>
      </c>
      <c r="J5" s="175" t="s">
        <v>514</v>
      </c>
      <c r="K5" s="175" t="s">
        <v>529</v>
      </c>
      <c r="L5" s="175" t="s">
        <v>515</v>
      </c>
      <c r="M5" s="175" t="s">
        <v>529</v>
      </c>
      <c r="N5" s="175" t="s">
        <v>224</v>
      </c>
      <c r="O5" s="175" t="s">
        <v>529</v>
      </c>
      <c r="P5" s="1242"/>
      <c r="Q5" s="894" t="s">
        <v>530</v>
      </c>
      <c r="R5" s="895" t="s">
        <v>531</v>
      </c>
      <c r="S5" s="894" t="s">
        <v>532</v>
      </c>
      <c r="T5" s="895" t="s">
        <v>533</v>
      </c>
      <c r="U5" s="896" t="s">
        <v>534</v>
      </c>
      <c r="V5" s="896" t="s">
        <v>535</v>
      </c>
      <c r="W5" s="896" t="s">
        <v>536</v>
      </c>
      <c r="X5" s="175" t="s">
        <v>537</v>
      </c>
      <c r="Y5" s="175" t="s">
        <v>538</v>
      </c>
      <c r="Z5" s="175" t="s">
        <v>539</v>
      </c>
      <c r="AA5" s="892"/>
      <c r="AB5" s="1856" t="s">
        <v>540</v>
      </c>
      <c r="AC5" s="897" t="s">
        <v>541</v>
      </c>
      <c r="AD5" s="897" t="s">
        <v>542</v>
      </c>
      <c r="AE5" s="1856" t="s">
        <v>543</v>
      </c>
      <c r="AF5" s="897" t="s">
        <v>541</v>
      </c>
      <c r="AG5" s="897" t="s">
        <v>544</v>
      </c>
      <c r="AH5" s="897" t="s">
        <v>541</v>
      </c>
      <c r="AI5" s="897" t="s">
        <v>545</v>
      </c>
      <c r="AJ5" s="897" t="s">
        <v>529</v>
      </c>
      <c r="AK5" s="1857" t="s">
        <v>546</v>
      </c>
      <c r="AM5" s="1192" t="s">
        <v>547</v>
      </c>
      <c r="AN5" s="1192" t="s">
        <v>548</v>
      </c>
      <c r="AO5" s="1192" t="s">
        <v>549</v>
      </c>
      <c r="AP5" s="1192" t="s">
        <v>550</v>
      </c>
      <c r="AQ5" s="1349" t="s">
        <v>551</v>
      </c>
      <c r="AT5" s="1389" t="s">
        <v>202</v>
      </c>
      <c r="AU5" s="897" t="s">
        <v>552</v>
      </c>
      <c r="AV5" s="897" t="s">
        <v>553</v>
      </c>
      <c r="AW5" s="898" t="s">
        <v>554</v>
      </c>
      <c r="AX5" s="897" t="s">
        <v>555</v>
      </c>
      <c r="AY5" s="1397" t="s">
        <v>556</v>
      </c>
    </row>
    <row r="6" spans="1:51">
      <c r="B6" s="899">
        <f>IF(C6="","",1)</f>
        <v>1</v>
      </c>
      <c r="C6" s="159" t="str">
        <f>IF(OR('RRT Unit Mix (Paste)'!B3="", 'RRT Unit Mix (Paste)'!B3="Total/Avg"),"",'RRT Unit Mix (Paste)'!B3)</f>
        <v>A1</v>
      </c>
      <c r="D6" s="1321"/>
      <c r="E6" s="523">
        <v>37</v>
      </c>
      <c r="F6" s="523">
        <f>IF($C6="","",'RRT Unit Mix (Paste)'!D3)</f>
        <v>35</v>
      </c>
      <c r="G6" s="523">
        <f>IF($C6="","", E6-F6)</f>
        <v>2</v>
      </c>
      <c r="H6" s="900">
        <f>IF($C6="","",'RRT Unit Mix (Paste)'!E3)</f>
        <v>841</v>
      </c>
      <c r="I6" s="900">
        <f>IF(B6="","",E6*H6)</f>
        <v>31117</v>
      </c>
      <c r="J6" s="901">
        <v>1275</v>
      </c>
      <c r="K6" s="902">
        <f>IF(E6="","",J6/H6)</f>
        <v>1.5160523186682522</v>
      </c>
      <c r="L6" s="901">
        <f>IF($C6="","",'RRT Unit Mix (Paste)'!G3)</f>
        <v>1208.5999999999999</v>
      </c>
      <c r="M6" s="902">
        <f>IF(C6="","",L6/H6)</f>
        <v>1.4370986920332935</v>
      </c>
      <c r="N6" s="901">
        <f>IF($C6="","",'RRT Unit Mix (Paste)'!H3)</f>
        <v>1208.5999999999999</v>
      </c>
      <c r="O6" s="902">
        <f>IF(C6="","",N6/H6)</f>
        <v>1.4370986920332935</v>
      </c>
      <c r="P6" s="1243"/>
      <c r="Q6" s="1272">
        <v>0</v>
      </c>
      <c r="R6" s="903">
        <f t="shared" ref="R6:R40" si="0">IF(C6="","",E6-Q6)</f>
        <v>37</v>
      </c>
      <c r="S6" s="1273">
        <v>0</v>
      </c>
      <c r="T6" s="903">
        <f>IF(R6="","",R6-S6)</f>
        <v>37</v>
      </c>
      <c r="U6" s="903">
        <f>IF(C6="","",Q6+S6)</f>
        <v>0</v>
      </c>
      <c r="V6" s="1200">
        <f>'RRT Summary (Paste)'!M5</f>
        <v>0</v>
      </c>
      <c r="W6" s="1200">
        <f>IF('RRT Summary (Paste)'!K5="","",'RRT Summary (Paste)'!J5)</f>
        <v>0</v>
      </c>
      <c r="X6" s="904">
        <f>J6</f>
        <v>1275</v>
      </c>
      <c r="Y6" s="1240">
        <f t="shared" ref="Y6:Y40" si="1">IF(C6="","",X6/H6)</f>
        <v>1.5160523186682522</v>
      </c>
      <c r="Z6" s="1201">
        <f>IF(T6="","",X6-N6)</f>
        <v>66.400000000000091</v>
      </c>
      <c r="AA6" s="892"/>
      <c r="AB6" s="1854">
        <v>0.04</v>
      </c>
      <c r="AC6" s="905">
        <f t="shared" ref="AC6:AC40" si="2">IF(N6="","",N6*(1+AB6)-N6)</f>
        <v>48.344000000000051</v>
      </c>
      <c r="AD6" s="1201">
        <f t="shared" ref="AD6:AD40" si="3">IF(N6="","",(((E6-Q6)/E6)*(N6*(1+AK6)))+((Q6/E6)*((N6*(1+AK6))+Z6)))</f>
        <v>1305.288</v>
      </c>
      <c r="AE6" s="1854">
        <v>7.4999999999999997E-2</v>
      </c>
      <c r="AF6" s="905">
        <f t="shared" ref="AF6:AF40" si="4">IF(N6="","",N6*(1+AB6)*(1+AE6)-N6)</f>
        <v>142.61480000000006</v>
      </c>
      <c r="AG6" s="1201">
        <f t="shared" ref="AG6:AG40" si="5">IF(N6="","",((E6-Q6-S6)/E6)*(N6*((1+AK6)*(1+AK6)))+(((Q6+S6)/E6)*(((N6*((1+AK6)*(1+AK6)))+Z6))))</f>
        <v>1409.7110399999999</v>
      </c>
      <c r="AH6" s="905">
        <f t="shared" ref="AH6:AH40" si="6">IF(N6="","",N6*(1+AB6)*(1+AE6)*(1+AK6)-N6)</f>
        <v>250.71198400000026</v>
      </c>
      <c r="AI6" s="1201">
        <f t="shared" ref="AI6:AI40" si="7">IF(AH6="","",AG6*(1+AK6))</f>
        <v>1522.4879232000001</v>
      </c>
      <c r="AJ6" s="1240">
        <f t="shared" ref="AJ6:AJ40" si="8">IF(AI6="","",AI6/H6)</f>
        <v>1.8103304675386445</v>
      </c>
      <c r="AK6" s="1854">
        <v>0.08</v>
      </c>
      <c r="AL6" s="1316" t="s">
        <v>557</v>
      </c>
      <c r="AM6" s="1194">
        <f t="shared" ref="AM6:AM40" si="9">IF(N6="","",(N6*((1+AK6)*(1+AK6))))</f>
        <v>1409.7110399999999</v>
      </c>
      <c r="AN6" s="1195">
        <f t="shared" ref="AN6:AN40" si="10">IF(N6="","",(N6*((1+AK6)*(1+AK6)))+Z6)</f>
        <v>1476.11104</v>
      </c>
      <c r="AO6" s="1194">
        <f t="shared" ref="AO6:AO40" si="11">IF(AM6="","",(AM6*(1+AK6)))</f>
        <v>1522.4879232000001</v>
      </c>
      <c r="AP6" s="1195">
        <f t="shared" ref="AP6:AP40" si="12">IF(AN6="","",(AN6*(1+AK6)))</f>
        <v>1594.1999232000001</v>
      </c>
      <c r="AQ6" s="905">
        <f>IF(AP6="","",AP6-AO6)</f>
        <v>71.711999999999989</v>
      </c>
      <c r="AT6" s="1390">
        <v>1</v>
      </c>
      <c r="AU6" s="1391">
        <v>6.0622113719614193E-2</v>
      </c>
      <c r="AV6" s="1398">
        <f>IFERROR($X$41*(1+AU6),"")</f>
        <v>1533.3823683861124</v>
      </c>
      <c r="AW6" s="1398">
        <f>IFERROR($N$41*(1+AU6),"")</f>
        <v>1416.4066494519684</v>
      </c>
      <c r="AX6" s="1399">
        <f>'Annual Summary'!I6</f>
        <v>4389327.4071683483</v>
      </c>
      <c r="AY6" s="1400">
        <v>4513087</v>
      </c>
    </row>
    <row r="7" spans="1:51">
      <c r="B7" s="899">
        <f>IF(C7="","", B6+1)</f>
        <v>2</v>
      </c>
      <c r="C7" s="159" t="str">
        <f>IF(OR('RRT Unit Mix (Paste)'!B4="", 'RRT Unit Mix (Paste)'!B4="Total/Avg"),"",'RRT Unit Mix (Paste)'!B4)</f>
        <v>A2</v>
      </c>
      <c r="D7" s="1321"/>
      <c r="E7" s="523">
        <f>IF($C7="","",'RRT Unit Mix (Paste)'!C4)</f>
        <v>84</v>
      </c>
      <c r="F7" s="523">
        <f>IF($C7="","",'RRT Unit Mix (Paste)'!D4)</f>
        <v>83</v>
      </c>
      <c r="G7" s="523">
        <f t="shared" ref="G7:G40" si="13">IF($C7="","", E7-F7)</f>
        <v>1</v>
      </c>
      <c r="H7" s="900">
        <f>IF($C7="","",'RRT Unit Mix (Paste)'!E4)</f>
        <v>841</v>
      </c>
      <c r="I7" s="900">
        <f t="shared" ref="I7:I40" si="14">IF(B7="","",E7*H7)</f>
        <v>70644</v>
      </c>
      <c r="J7" s="901">
        <v>1275</v>
      </c>
      <c r="K7" s="902">
        <f t="shared" ref="K7:K40" si="15">IF(E7="","",J7/H7)</f>
        <v>1.5160523186682522</v>
      </c>
      <c r="L7" s="901">
        <f>IF($C7="","",'RRT Unit Mix (Paste)'!G4)</f>
        <v>1172.6024096385499</v>
      </c>
      <c r="M7" s="902">
        <f t="shared" ref="M7:M40" si="16">IF(C7="","",L7/H7)</f>
        <v>1.3942953741243163</v>
      </c>
      <c r="N7" s="901">
        <f>IF($C7="","",'RRT Unit Mix (Paste)'!H4)</f>
        <v>1172.6024096385499</v>
      </c>
      <c r="O7" s="902">
        <f t="shared" ref="O7:O40" si="17">IF(C7="","",N7/H7)</f>
        <v>1.3942953741243163</v>
      </c>
      <c r="P7" s="1243"/>
      <c r="Q7" s="1272">
        <v>0</v>
      </c>
      <c r="R7" s="903">
        <f t="shared" si="0"/>
        <v>84</v>
      </c>
      <c r="S7" s="1273">
        <v>0</v>
      </c>
      <c r="T7" s="903">
        <f t="shared" ref="T7:T40" si="18">IF(R7="","",R7-S7)</f>
        <v>84</v>
      </c>
      <c r="U7" s="903">
        <f t="shared" ref="U7:U40" si="19">IF(C7="","",Q7+S7)</f>
        <v>0</v>
      </c>
      <c r="V7" s="1200">
        <f>'RRT Summary (Paste)'!M6</f>
        <v>0</v>
      </c>
      <c r="W7" s="1200">
        <f>IF('RRT Summary (Paste)'!K6="","",'RRT Summary (Paste)'!J6)</f>
        <v>0</v>
      </c>
      <c r="X7" s="904">
        <f t="shared" ref="X7:X10" si="20">J7</f>
        <v>1275</v>
      </c>
      <c r="Y7" s="1240">
        <f t="shared" si="1"/>
        <v>1.5160523186682522</v>
      </c>
      <c r="Z7" s="1201">
        <f t="shared" ref="Z7:Z40" si="21">IF(T7="","",X7-N7)</f>
        <v>102.39759036145006</v>
      </c>
      <c r="AA7" s="892"/>
      <c r="AB7" s="906">
        <f>$AB$6</f>
        <v>0.04</v>
      </c>
      <c r="AC7" s="905">
        <f t="shared" si="2"/>
        <v>46.904096385542061</v>
      </c>
      <c r="AD7" s="1201">
        <f t="shared" si="3"/>
        <v>1266.4106024096341</v>
      </c>
      <c r="AE7" s="906">
        <f>$AE$6</f>
        <v>7.4999999999999997E-2</v>
      </c>
      <c r="AF7" s="905">
        <f t="shared" si="4"/>
        <v>138.36708433734884</v>
      </c>
      <c r="AG7" s="1201">
        <f t="shared" si="5"/>
        <v>1367.7234506024047</v>
      </c>
      <c r="AH7" s="905">
        <f t="shared" si="6"/>
        <v>243.24464385542092</v>
      </c>
      <c r="AI7" s="1201">
        <f t="shared" si="7"/>
        <v>1477.1413266505972</v>
      </c>
      <c r="AJ7" s="1240">
        <f t="shared" si="8"/>
        <v>1.7564106143288909</v>
      </c>
      <c r="AK7" s="906">
        <f>$AK$6</f>
        <v>0.08</v>
      </c>
      <c r="AL7" s="1316" t="s">
        <v>557</v>
      </c>
      <c r="AM7" s="1194">
        <f t="shared" si="9"/>
        <v>1367.7234506024047</v>
      </c>
      <c r="AN7" s="1195">
        <f t="shared" si="10"/>
        <v>1470.1210409638547</v>
      </c>
      <c r="AO7" s="1194">
        <f t="shared" si="11"/>
        <v>1477.1413266505972</v>
      </c>
      <c r="AP7" s="1195">
        <f t="shared" si="12"/>
        <v>1587.7307242409631</v>
      </c>
      <c r="AQ7" s="905">
        <f t="shared" ref="AQ7:AQ40" si="22">IF(AP7="","",AP7-AO7)</f>
        <v>110.58939759036593</v>
      </c>
      <c r="AT7" s="1390">
        <v>2</v>
      </c>
      <c r="AU7" s="1391">
        <v>8.1714578070400459E-2</v>
      </c>
      <c r="AV7" s="1398">
        <f>IFERROR(AV6*(1+AU7),"")</f>
        <v>1658.682061639375</v>
      </c>
      <c r="AW7" s="1398">
        <f>IFERROR(AW6*(1+AU7),"")</f>
        <v>1532.1477211880456</v>
      </c>
      <c r="AX7" s="1399">
        <f>'Annual Summary'!K6</f>
        <v>4740714.23837764</v>
      </c>
      <c r="AY7" s="1400">
        <v>4881872</v>
      </c>
    </row>
    <row r="8" spans="1:51">
      <c r="B8" s="899">
        <f t="shared" ref="B8:B40" si="23">IF(C8="","", B7+1)</f>
        <v>3</v>
      </c>
      <c r="C8" s="159" t="str">
        <f>IF(OR('RRT Unit Mix (Paste)'!B5="", 'RRT Unit Mix (Paste)'!B5="Total/Avg"),"",'RRT Unit Mix (Paste)'!B5)</f>
        <v>B1</v>
      </c>
      <c r="D8" s="1321"/>
      <c r="E8" s="523">
        <f>IF($C8="","",'RRT Unit Mix (Paste)'!C5)</f>
        <v>51</v>
      </c>
      <c r="F8" s="523">
        <f>IF($C8="","",'RRT Unit Mix (Paste)'!D5)</f>
        <v>51</v>
      </c>
      <c r="G8" s="523">
        <f t="shared" si="13"/>
        <v>0</v>
      </c>
      <c r="H8" s="900">
        <f>IF($C8="","",'RRT Unit Mix (Paste)'!E5)</f>
        <v>1130</v>
      </c>
      <c r="I8" s="900">
        <f t="shared" si="14"/>
        <v>57630</v>
      </c>
      <c r="J8" s="901">
        <v>1450</v>
      </c>
      <c r="K8" s="902">
        <f t="shared" si="15"/>
        <v>1.2831858407079646</v>
      </c>
      <c r="L8" s="901">
        <f>IF($C8="","",'RRT Unit Mix (Paste)'!G5)</f>
        <v>1382.1568627450999</v>
      </c>
      <c r="M8" s="902">
        <f t="shared" si="16"/>
        <v>1.223147666146106</v>
      </c>
      <c r="N8" s="901">
        <f>IF($C8="","",'RRT Unit Mix (Paste)'!H5)</f>
        <v>1382.1568627450999</v>
      </c>
      <c r="O8" s="902">
        <f t="shared" si="17"/>
        <v>1.223147666146106</v>
      </c>
      <c r="P8" s="1243"/>
      <c r="Q8" s="1272">
        <v>0</v>
      </c>
      <c r="R8" s="903">
        <f t="shared" si="0"/>
        <v>51</v>
      </c>
      <c r="S8" s="1273">
        <v>0</v>
      </c>
      <c r="T8" s="903">
        <f t="shared" si="18"/>
        <v>51</v>
      </c>
      <c r="U8" s="903">
        <f t="shared" si="19"/>
        <v>0</v>
      </c>
      <c r="V8" s="1200">
        <f>'RRT Summary (Paste)'!M7</f>
        <v>0</v>
      </c>
      <c r="W8" s="1200">
        <f>IF('RRT Summary (Paste)'!K7="","",'RRT Summary (Paste)'!J7)</f>
        <v>0</v>
      </c>
      <c r="X8" s="904">
        <f t="shared" si="20"/>
        <v>1450</v>
      </c>
      <c r="Y8" s="1240">
        <f t="shared" si="1"/>
        <v>1.2831858407079646</v>
      </c>
      <c r="Z8" s="1201">
        <f t="shared" si="21"/>
        <v>67.843137254900057</v>
      </c>
      <c r="AA8" s="892"/>
      <c r="AB8" s="906">
        <f t="shared" ref="AB8:AB40" si="24">$AB$6</f>
        <v>0.04</v>
      </c>
      <c r="AC8" s="905">
        <f t="shared" si="2"/>
        <v>55.286274509804116</v>
      </c>
      <c r="AD8" s="1201">
        <f t="shared" si="3"/>
        <v>1492.7294117647079</v>
      </c>
      <c r="AE8" s="906">
        <f t="shared" ref="AE8:AE40" si="25">$AE$6</f>
        <v>7.4999999999999997E-2</v>
      </c>
      <c r="AF8" s="905">
        <f t="shared" si="4"/>
        <v>163.09450980392194</v>
      </c>
      <c r="AG8" s="1201">
        <f t="shared" si="5"/>
        <v>1612.1477647058848</v>
      </c>
      <c r="AH8" s="905">
        <f t="shared" si="6"/>
        <v>286.71461960784382</v>
      </c>
      <c r="AI8" s="1201">
        <f t="shared" si="7"/>
        <v>1741.1195858823558</v>
      </c>
      <c r="AJ8" s="1240">
        <f t="shared" si="8"/>
        <v>1.540813792816244</v>
      </c>
      <c r="AK8" s="906">
        <f t="shared" ref="AK8:AK40" si="26">$AK$6</f>
        <v>0.08</v>
      </c>
      <c r="AL8" s="1316" t="s">
        <v>557</v>
      </c>
      <c r="AM8" s="1194">
        <f t="shared" si="9"/>
        <v>1612.1477647058848</v>
      </c>
      <c r="AN8" s="1195">
        <f t="shared" si="10"/>
        <v>1679.9909019607849</v>
      </c>
      <c r="AO8" s="1194">
        <f t="shared" si="11"/>
        <v>1741.1195858823558</v>
      </c>
      <c r="AP8" s="1195">
        <f t="shared" si="12"/>
        <v>1814.3901741176478</v>
      </c>
      <c r="AQ8" s="905">
        <f t="shared" si="22"/>
        <v>73.270588235292053</v>
      </c>
      <c r="AT8" s="1390">
        <v>3</v>
      </c>
      <c r="AU8" s="1391">
        <v>4.0000024580734997E-2</v>
      </c>
      <c r="AV8" s="1398">
        <f t="shared" ref="AV8:AV15" si="27">IFERROR(AV7*(1+AU8),"")</f>
        <v>1725.0293848765743</v>
      </c>
      <c r="AW8" s="1398">
        <f t="shared" ref="AW8:AW15" si="28">IFERROR(AW7*(1+AU8),"")</f>
        <v>1593.4336676968846</v>
      </c>
      <c r="AX8" s="1399">
        <f>'Annual Summary'!M6</f>
        <v>5012431.6640849467</v>
      </c>
      <c r="AY8" s="1400">
        <v>5077147</v>
      </c>
    </row>
    <row r="9" spans="1:51">
      <c r="B9" s="899">
        <f t="shared" si="23"/>
        <v>4</v>
      </c>
      <c r="C9" s="159" t="str">
        <f>IF(OR('RRT Unit Mix (Paste)'!B6="", 'RRT Unit Mix (Paste)'!B6="Total/Avg"),"",'RRT Unit Mix (Paste)'!B6)</f>
        <v>B3</v>
      </c>
      <c r="D9" s="1321"/>
      <c r="E9" s="523">
        <f>IF($C9="","",'RRT Unit Mix (Paste)'!C6)</f>
        <v>12</v>
      </c>
      <c r="F9" s="523">
        <f>IF($C9="","",'RRT Unit Mix (Paste)'!D6)</f>
        <v>12</v>
      </c>
      <c r="G9" s="523">
        <f t="shared" si="13"/>
        <v>0</v>
      </c>
      <c r="H9" s="900">
        <f>IF($C9="","",'RRT Unit Mix (Paste)'!E6)</f>
        <v>1210</v>
      </c>
      <c r="I9" s="900">
        <f t="shared" si="14"/>
        <v>14520</v>
      </c>
      <c r="J9" s="901">
        <v>1600</v>
      </c>
      <c r="K9" s="902">
        <f t="shared" si="15"/>
        <v>1.3223140495867769</v>
      </c>
      <c r="L9" s="901">
        <f>IF($C9="","",'RRT Unit Mix (Paste)'!G6)</f>
        <v>1375.0833333333301</v>
      </c>
      <c r="M9" s="902">
        <f t="shared" si="16"/>
        <v>1.1364325068870496</v>
      </c>
      <c r="N9" s="901">
        <f>IF($C9="","",'RRT Unit Mix (Paste)'!H6)</f>
        <v>1375.0833333333301</v>
      </c>
      <c r="O9" s="902">
        <f t="shared" si="17"/>
        <v>1.1364325068870496</v>
      </c>
      <c r="P9" s="1243"/>
      <c r="Q9" s="1272">
        <v>0</v>
      </c>
      <c r="R9" s="903">
        <f t="shared" si="0"/>
        <v>12</v>
      </c>
      <c r="S9" s="1273">
        <v>0</v>
      </c>
      <c r="T9" s="903">
        <f t="shared" si="18"/>
        <v>12</v>
      </c>
      <c r="U9" s="903">
        <f t="shared" si="19"/>
        <v>0</v>
      </c>
      <c r="V9" s="1200">
        <f>'RRT Summary (Paste)'!M8</f>
        <v>0</v>
      </c>
      <c r="W9" s="1200">
        <f>IF('RRT Summary (Paste)'!K8="","",'RRT Summary (Paste)'!J8)</f>
        <v>0</v>
      </c>
      <c r="X9" s="904">
        <f t="shared" si="20"/>
        <v>1600</v>
      </c>
      <c r="Y9" s="1240">
        <f t="shared" si="1"/>
        <v>1.3223140495867769</v>
      </c>
      <c r="Z9" s="1201">
        <f t="shared" si="21"/>
        <v>224.91666666666993</v>
      </c>
      <c r="AA9" s="892"/>
      <c r="AB9" s="906">
        <f t="shared" si="24"/>
        <v>0.04</v>
      </c>
      <c r="AC9" s="905">
        <f t="shared" si="2"/>
        <v>55.00333333333333</v>
      </c>
      <c r="AD9" s="1201">
        <f t="shared" si="3"/>
        <v>1485.0899999999965</v>
      </c>
      <c r="AE9" s="906">
        <f t="shared" si="25"/>
        <v>7.4999999999999997E-2</v>
      </c>
      <c r="AF9" s="905">
        <f t="shared" si="4"/>
        <v>162.25983333333306</v>
      </c>
      <c r="AG9" s="1201">
        <f t="shared" si="5"/>
        <v>1603.8971999999962</v>
      </c>
      <c r="AH9" s="905">
        <f t="shared" si="6"/>
        <v>285.24728666666624</v>
      </c>
      <c r="AI9" s="1201">
        <f t="shared" si="7"/>
        <v>1732.208975999996</v>
      </c>
      <c r="AJ9" s="1240">
        <f t="shared" si="8"/>
        <v>1.4315776661156991</v>
      </c>
      <c r="AK9" s="906">
        <f t="shared" si="26"/>
        <v>0.08</v>
      </c>
      <c r="AL9" s="1316" t="s">
        <v>557</v>
      </c>
      <c r="AM9" s="1194">
        <f t="shared" si="9"/>
        <v>1603.8971999999962</v>
      </c>
      <c r="AN9" s="1195">
        <f t="shared" si="10"/>
        <v>1828.8138666666662</v>
      </c>
      <c r="AO9" s="1194">
        <f t="shared" si="11"/>
        <v>1732.208975999996</v>
      </c>
      <c r="AP9" s="1195">
        <f t="shared" si="12"/>
        <v>1975.1189759999995</v>
      </c>
      <c r="AQ9" s="905">
        <f t="shared" si="22"/>
        <v>242.91000000000349</v>
      </c>
      <c r="AT9" s="1390">
        <v>4</v>
      </c>
      <c r="AU9" s="1391">
        <v>3.9999826674311213E-2</v>
      </c>
      <c r="AV9" s="1398">
        <f t="shared" si="27"/>
        <v>1794.0302612797309</v>
      </c>
      <c r="AW9" s="1398">
        <f t="shared" si="28"/>
        <v>1657.1707382217719</v>
      </c>
      <c r="AX9" s="1399">
        <f>'Annual Summary'!O6</f>
        <v>5216645.8638597811</v>
      </c>
      <c r="AY9" s="1400">
        <v>5280232</v>
      </c>
    </row>
    <row r="10" spans="1:51">
      <c r="B10" s="899">
        <f t="shared" si="23"/>
        <v>5</v>
      </c>
      <c r="C10" s="159" t="str">
        <f>IF(OR('RRT Unit Mix (Paste)'!B7="", 'RRT Unit Mix (Paste)'!B7="Total/Avg"),"",'RRT Unit Mix (Paste)'!B7)</f>
        <v>B2</v>
      </c>
      <c r="D10" s="1321"/>
      <c r="E10" s="523">
        <f>IF($C10="","",'RRT Unit Mix (Paste)'!C7)</f>
        <v>50</v>
      </c>
      <c r="F10" s="523">
        <f>IF($C10="","",'RRT Unit Mix (Paste)'!D7)</f>
        <v>49</v>
      </c>
      <c r="G10" s="523">
        <f t="shared" si="13"/>
        <v>1</v>
      </c>
      <c r="H10" s="900">
        <f>IF($C10="","",'RRT Unit Mix (Paste)'!E7)</f>
        <v>1224</v>
      </c>
      <c r="I10" s="900">
        <f t="shared" si="14"/>
        <v>61200</v>
      </c>
      <c r="J10" s="901">
        <f>IF($C10="","",'RRT Unit Mix (Paste)'!F7)</f>
        <v>1575</v>
      </c>
      <c r="K10" s="902">
        <f t="shared" si="15"/>
        <v>1.286764705882353</v>
      </c>
      <c r="L10" s="901">
        <f>IF($C10="","",'RRT Unit Mix (Paste)'!G7)</f>
        <v>1478.4693877550999</v>
      </c>
      <c r="M10" s="902">
        <f t="shared" si="16"/>
        <v>1.2078998265973038</v>
      </c>
      <c r="N10" s="901">
        <f>IF($C10="","",'RRT Unit Mix (Paste)'!H7)</f>
        <v>1478.4693877550999</v>
      </c>
      <c r="O10" s="902">
        <f t="shared" si="17"/>
        <v>1.2078998265973038</v>
      </c>
      <c r="P10" s="1243"/>
      <c r="Q10" s="1272">
        <f t="shared" ref="Q10:Q40" si="29">IF(C10="","",ROUNDUP(E10/2*$Q$3,-0.5))</f>
        <v>0</v>
      </c>
      <c r="R10" s="903">
        <f t="shared" si="0"/>
        <v>50</v>
      </c>
      <c r="S10" s="1273">
        <f t="shared" ref="S10:S40" si="30">IF(C10="","",ROUNDDOWN(E10/2*$Q$3,-0.5))</f>
        <v>0</v>
      </c>
      <c r="T10" s="903">
        <f t="shared" si="18"/>
        <v>50</v>
      </c>
      <c r="U10" s="903">
        <f t="shared" si="19"/>
        <v>0</v>
      </c>
      <c r="V10" s="1200">
        <f>'RRT Summary (Paste)'!M9</f>
        <v>0</v>
      </c>
      <c r="W10" s="1200">
        <f>IF('RRT Summary (Paste)'!K9="","",'RRT Summary (Paste)'!J9)</f>
        <v>0</v>
      </c>
      <c r="X10" s="904">
        <f t="shared" si="20"/>
        <v>1575</v>
      </c>
      <c r="Y10" s="1240">
        <f t="shared" si="1"/>
        <v>1.286764705882353</v>
      </c>
      <c r="Z10" s="1201">
        <f t="shared" si="21"/>
        <v>96.530612244900112</v>
      </c>
      <c r="AA10" s="892"/>
      <c r="AB10" s="906">
        <f t="shared" si="24"/>
        <v>0.04</v>
      </c>
      <c r="AC10" s="905">
        <f t="shared" si="2"/>
        <v>59.138775510204141</v>
      </c>
      <c r="AD10" s="1201">
        <f t="shared" si="3"/>
        <v>1596.7469387755079</v>
      </c>
      <c r="AE10" s="906">
        <f t="shared" si="25"/>
        <v>7.4999999999999997E-2</v>
      </c>
      <c r="AF10" s="905">
        <f t="shared" si="4"/>
        <v>174.45938775510194</v>
      </c>
      <c r="AG10" s="1201">
        <f t="shared" si="5"/>
        <v>1724.4866938775488</v>
      </c>
      <c r="AH10" s="905">
        <f t="shared" si="6"/>
        <v>306.69368979591832</v>
      </c>
      <c r="AI10" s="1201">
        <f t="shared" si="7"/>
        <v>1862.4456293877529</v>
      </c>
      <c r="AJ10" s="1240">
        <f t="shared" si="8"/>
        <v>1.5216059063625431</v>
      </c>
      <c r="AK10" s="906">
        <f t="shared" si="26"/>
        <v>0.08</v>
      </c>
      <c r="AL10" s="1316" t="s">
        <v>557</v>
      </c>
      <c r="AM10" s="1194">
        <f t="shared" si="9"/>
        <v>1724.4866938775488</v>
      </c>
      <c r="AN10" s="1195">
        <f t="shared" si="10"/>
        <v>1821.0173061224489</v>
      </c>
      <c r="AO10" s="1194">
        <f t="shared" si="11"/>
        <v>1862.4456293877529</v>
      </c>
      <c r="AP10" s="1195">
        <f t="shared" si="12"/>
        <v>1966.6986906122449</v>
      </c>
      <c r="AQ10" s="905">
        <f t="shared" si="22"/>
        <v>104.25306122449206</v>
      </c>
      <c r="AT10" s="1390">
        <v>5</v>
      </c>
      <c r="AU10" s="1391">
        <v>3.0000007575424866E-2</v>
      </c>
      <c r="AV10" s="1398">
        <f t="shared" si="27"/>
        <v>1847.8511827086641</v>
      </c>
      <c r="AW10" s="1398">
        <f t="shared" si="28"/>
        <v>1706.8858729221972</v>
      </c>
      <c r="AX10" s="1399">
        <f>'Annual Summary'!Q6</f>
        <v>5429180.0652195709</v>
      </c>
      <c r="AY10" s="1400">
        <v>5438639</v>
      </c>
    </row>
    <row r="11" spans="1:51">
      <c r="B11" s="899">
        <f t="shared" si="23"/>
        <v>6</v>
      </c>
      <c r="C11" s="159" t="str">
        <f>IF(OR('RRT Unit Mix (Paste)'!B8="", 'RRT Unit Mix (Paste)'!B8="Total/Avg"),"",'RRT Unit Mix (Paste)'!B8)</f>
        <v>C1</v>
      </c>
      <c r="D11" s="1321"/>
      <c r="E11" s="523">
        <f>IF($C11="","",'RRT Unit Mix (Paste)'!C8)</f>
        <v>30</v>
      </c>
      <c r="F11" s="523">
        <f>IF($C11="","",'RRT Unit Mix (Paste)'!D8)</f>
        <v>29</v>
      </c>
      <c r="G11" s="523">
        <f t="shared" si="13"/>
        <v>1</v>
      </c>
      <c r="H11" s="900">
        <f>IF($C11="","",'RRT Unit Mix (Paste)'!E8)</f>
        <v>1457</v>
      </c>
      <c r="I11" s="900">
        <f t="shared" si="14"/>
        <v>43710</v>
      </c>
      <c r="J11" s="901">
        <f>IF($C11="","",'RRT Unit Mix (Paste)'!F8)</f>
        <v>1850</v>
      </c>
      <c r="K11" s="902">
        <f t="shared" si="15"/>
        <v>1.269732326698696</v>
      </c>
      <c r="L11" s="901">
        <f>IF($C11="","",'RRT Unit Mix (Paste)'!G8)</f>
        <v>1614.2413793103401</v>
      </c>
      <c r="M11" s="902">
        <f t="shared" si="16"/>
        <v>1.1079213310297462</v>
      </c>
      <c r="N11" s="901">
        <f>IF($C11="","",'RRT Unit Mix (Paste)'!H8)</f>
        <v>1614.2413793103401</v>
      </c>
      <c r="O11" s="902">
        <f t="shared" si="17"/>
        <v>1.1079213310297462</v>
      </c>
      <c r="P11" s="1243"/>
      <c r="Q11" s="1272">
        <f t="shared" si="29"/>
        <v>0</v>
      </c>
      <c r="R11" s="903">
        <f t="shared" si="0"/>
        <v>30</v>
      </c>
      <c r="S11" s="1273">
        <f t="shared" si="30"/>
        <v>0</v>
      </c>
      <c r="T11" s="903">
        <f t="shared" si="18"/>
        <v>30</v>
      </c>
      <c r="U11" s="903">
        <f t="shared" si="19"/>
        <v>0</v>
      </c>
      <c r="V11" s="1200">
        <f>'RRT Summary (Paste)'!M10</f>
        <v>0</v>
      </c>
      <c r="W11" s="1200">
        <f>IF('RRT Summary (Paste)'!K10="","",'RRT Summary (Paste)'!J10)</f>
        <v>0</v>
      </c>
      <c r="X11" s="904">
        <f>J11</f>
        <v>1850</v>
      </c>
      <c r="Y11" s="1240">
        <f t="shared" si="1"/>
        <v>1.269732326698696</v>
      </c>
      <c r="Z11" s="1201">
        <f t="shared" si="21"/>
        <v>235.75862068965989</v>
      </c>
      <c r="AA11" s="892"/>
      <c r="AB11" s="906">
        <f t="shared" si="24"/>
        <v>0.04</v>
      </c>
      <c r="AC11" s="905">
        <f t="shared" si="2"/>
        <v>64.569655172413604</v>
      </c>
      <c r="AD11" s="1201">
        <f t="shared" si="3"/>
        <v>1743.3806896551675</v>
      </c>
      <c r="AE11" s="906">
        <f t="shared" si="25"/>
        <v>7.4999999999999997E-2</v>
      </c>
      <c r="AF11" s="905">
        <f t="shared" si="4"/>
        <v>190.48048275862016</v>
      </c>
      <c r="AG11" s="1201">
        <f t="shared" si="5"/>
        <v>1882.8511448275808</v>
      </c>
      <c r="AH11" s="905">
        <f t="shared" si="6"/>
        <v>334.85823172413711</v>
      </c>
      <c r="AI11" s="1201">
        <f t="shared" si="7"/>
        <v>2033.4792364137875</v>
      </c>
      <c r="AJ11" s="1240">
        <f t="shared" si="8"/>
        <v>1.3956617957541437</v>
      </c>
      <c r="AK11" s="906">
        <f t="shared" si="26"/>
        <v>0.08</v>
      </c>
      <c r="AL11" s="1316" t="s">
        <v>557</v>
      </c>
      <c r="AM11" s="1194">
        <f t="shared" si="9"/>
        <v>1882.8511448275808</v>
      </c>
      <c r="AN11" s="1195">
        <f t="shared" si="10"/>
        <v>2118.6097655172407</v>
      </c>
      <c r="AO11" s="1194">
        <f t="shared" si="11"/>
        <v>2033.4792364137875</v>
      </c>
      <c r="AP11" s="1195">
        <f t="shared" si="12"/>
        <v>2288.0985467586202</v>
      </c>
      <c r="AQ11" s="905">
        <f t="shared" si="22"/>
        <v>254.61931034483268</v>
      </c>
      <c r="AT11" s="1390">
        <v>6</v>
      </c>
      <c r="AU11" s="1391">
        <v>2.000004045129667E-2</v>
      </c>
      <c r="AV11" s="1398">
        <f t="shared" si="27"/>
        <v>1884.8082811108138</v>
      </c>
      <c r="AW11" s="1398">
        <f t="shared" si="28"/>
        <v>1741.0236594263881</v>
      </c>
      <c r="AX11" s="1399">
        <f>'Annual Summary'!S6</f>
        <v>5650373.2378659872</v>
      </c>
      <c r="AY11" s="1400">
        <v>5547412</v>
      </c>
    </row>
    <row r="12" spans="1:51" hidden="1" outlineLevel="1">
      <c r="B12" s="899" t="str">
        <f t="shared" si="23"/>
        <v/>
      </c>
      <c r="C12" s="1714" t="str">
        <f>IF(OR('RRT Unit Mix (Paste)'!B9="", 'RRT Unit Mix (Paste)'!B9="Total/Avg"),"",'RRT Unit Mix (Paste)'!B9)</f>
        <v/>
      </c>
      <c r="D12" s="1321"/>
      <c r="E12" s="523" t="str">
        <f>IF($C12="","",'RRT Unit Mix (Paste)'!C9)</f>
        <v/>
      </c>
      <c r="F12" s="523" t="str">
        <f>IF($C12="","",'RRT Unit Mix (Paste)'!D9)</f>
        <v/>
      </c>
      <c r="G12" s="523" t="str">
        <f t="shared" si="13"/>
        <v/>
      </c>
      <c r="H12" s="900" t="str">
        <f>IF($C12="","",'RRT Unit Mix (Paste)'!E9)</f>
        <v/>
      </c>
      <c r="I12" s="900" t="str">
        <f t="shared" si="14"/>
        <v/>
      </c>
      <c r="J12" s="901" t="str">
        <f>IF($C12="","",'RRT Unit Mix (Paste)'!F9)</f>
        <v/>
      </c>
      <c r="K12" s="902" t="str">
        <f t="shared" si="15"/>
        <v/>
      </c>
      <c r="L12" s="901" t="str">
        <f>IF($C12="","",'RRT Unit Mix (Paste)'!G9)</f>
        <v/>
      </c>
      <c r="M12" s="902" t="str">
        <f t="shared" si="16"/>
        <v/>
      </c>
      <c r="N12" s="901" t="str">
        <f>IF($C12="","",'RRT Unit Mix (Paste)'!H9)</f>
        <v/>
      </c>
      <c r="O12" s="902" t="str">
        <f t="shared" si="17"/>
        <v/>
      </c>
      <c r="P12" s="1243"/>
      <c r="Q12" s="1272" t="str">
        <f t="shared" si="29"/>
        <v/>
      </c>
      <c r="R12" s="903" t="str">
        <f t="shared" si="0"/>
        <v/>
      </c>
      <c r="S12" s="1273" t="str">
        <f t="shared" si="30"/>
        <v/>
      </c>
      <c r="T12" s="903" t="str">
        <f t="shared" si="18"/>
        <v/>
      </c>
      <c r="U12" s="903" t="str">
        <f t="shared" si="19"/>
        <v/>
      </c>
      <c r="V12" s="1200" t="str">
        <f>'RRT Summary (Paste)'!M11</f>
        <v/>
      </c>
      <c r="W12" s="1200" t="str">
        <f>IF('RRT Summary (Paste)'!K11="","",'RRT Summary (Paste)'!J11)</f>
        <v/>
      </c>
      <c r="X12" s="904">
        <v>0</v>
      </c>
      <c r="Y12" s="1240" t="str">
        <f t="shared" si="1"/>
        <v/>
      </c>
      <c r="Z12" s="1201" t="str">
        <f t="shared" si="21"/>
        <v/>
      </c>
      <c r="AA12" s="892"/>
      <c r="AB12" s="906">
        <f t="shared" si="24"/>
        <v>0.04</v>
      </c>
      <c r="AC12" s="905" t="str">
        <f t="shared" si="2"/>
        <v/>
      </c>
      <c r="AD12" s="1201" t="str">
        <f t="shared" si="3"/>
        <v/>
      </c>
      <c r="AE12" s="906">
        <f t="shared" si="25"/>
        <v>7.4999999999999997E-2</v>
      </c>
      <c r="AF12" s="905" t="str">
        <f t="shared" si="4"/>
        <v/>
      </c>
      <c r="AG12" s="1201" t="str">
        <f t="shared" si="5"/>
        <v/>
      </c>
      <c r="AH12" s="905" t="str">
        <f t="shared" si="6"/>
        <v/>
      </c>
      <c r="AI12" s="1201" t="str">
        <f t="shared" si="7"/>
        <v/>
      </c>
      <c r="AJ12" s="1240" t="str">
        <f t="shared" si="8"/>
        <v/>
      </c>
      <c r="AK12" s="906">
        <f t="shared" si="26"/>
        <v>0.08</v>
      </c>
      <c r="AL12" s="1316" t="s">
        <v>557</v>
      </c>
      <c r="AM12" s="1194" t="str">
        <f t="shared" si="9"/>
        <v/>
      </c>
      <c r="AN12" s="1195" t="str">
        <f t="shared" si="10"/>
        <v/>
      </c>
      <c r="AO12" s="1194" t="str">
        <f t="shared" si="11"/>
        <v/>
      </c>
      <c r="AP12" s="1195" t="str">
        <f t="shared" si="12"/>
        <v/>
      </c>
      <c r="AQ12" s="905" t="str">
        <f t="shared" si="22"/>
        <v/>
      </c>
      <c r="AT12" s="1390">
        <v>7</v>
      </c>
      <c r="AU12" s="1391">
        <v>1.999995673658252E-2</v>
      </c>
      <c r="AV12" s="1398">
        <f t="shared" si="27"/>
        <v>1922.5043651897824</v>
      </c>
      <c r="AW12" s="1398">
        <f t="shared" si="28"/>
        <v>1775.8440572922825</v>
      </c>
      <c r="AX12" s="1399">
        <f>'Annual Summary'!U6</f>
        <v>5880578.1616493408</v>
      </c>
      <c r="AY12" s="1400">
        <v>5658360</v>
      </c>
    </row>
    <row r="13" spans="1:51" hidden="1" outlineLevel="1">
      <c r="B13" s="899" t="str">
        <f t="shared" si="23"/>
        <v/>
      </c>
      <c r="C13" s="159" t="str">
        <f>IF(OR('RRT Unit Mix (Paste)'!B10="", 'RRT Unit Mix (Paste)'!B10="Total/Avg"),"",'RRT Unit Mix (Paste)'!B10)</f>
        <v/>
      </c>
      <c r="D13" s="1321"/>
      <c r="E13" s="523" t="str">
        <f>IF($C13="","",'RRT Unit Mix (Paste)'!C10)</f>
        <v/>
      </c>
      <c r="F13" s="523" t="str">
        <f>IF($C13="","",'RRT Unit Mix (Paste)'!D10)</f>
        <v/>
      </c>
      <c r="G13" s="523" t="str">
        <f t="shared" si="13"/>
        <v/>
      </c>
      <c r="H13" s="900" t="str">
        <f>IF($C13="","",'RRT Unit Mix (Paste)'!E10)</f>
        <v/>
      </c>
      <c r="I13" s="900" t="str">
        <f t="shared" si="14"/>
        <v/>
      </c>
      <c r="J13" s="901" t="str">
        <f>IF($C13="","",'RRT Unit Mix (Paste)'!F10)</f>
        <v/>
      </c>
      <c r="K13" s="902" t="str">
        <f t="shared" si="15"/>
        <v/>
      </c>
      <c r="L13" s="901" t="str">
        <f>IF($C13="","",'RRT Unit Mix (Paste)'!G10)</f>
        <v/>
      </c>
      <c r="M13" s="902" t="str">
        <f t="shared" si="16"/>
        <v/>
      </c>
      <c r="N13" s="901" t="str">
        <f>IF($C13="","",'RRT Unit Mix (Paste)'!H10)</f>
        <v/>
      </c>
      <c r="O13" s="902" t="str">
        <f t="shared" si="17"/>
        <v/>
      </c>
      <c r="P13" s="1243"/>
      <c r="Q13" s="1272" t="str">
        <f t="shared" si="29"/>
        <v/>
      </c>
      <c r="R13" s="903" t="str">
        <f t="shared" si="0"/>
        <v/>
      </c>
      <c r="S13" s="1273" t="str">
        <f t="shared" si="30"/>
        <v/>
      </c>
      <c r="T13" s="903" t="str">
        <f t="shared" si="18"/>
        <v/>
      </c>
      <c r="U13" s="903" t="str">
        <f t="shared" si="19"/>
        <v/>
      </c>
      <c r="V13" s="1200" t="str">
        <f>'RRT Summary (Paste)'!M12</f>
        <v/>
      </c>
      <c r="W13" s="1200" t="str">
        <f>IF('RRT Summary (Paste)'!K12="","",'RRT Summary (Paste)'!J12)</f>
        <v/>
      </c>
      <c r="X13" s="904">
        <v>0</v>
      </c>
      <c r="Y13" s="1240" t="str">
        <f t="shared" si="1"/>
        <v/>
      </c>
      <c r="Z13" s="1201" t="str">
        <f t="shared" si="21"/>
        <v/>
      </c>
      <c r="AA13" s="892"/>
      <c r="AB13" s="906">
        <f t="shared" si="24"/>
        <v>0.04</v>
      </c>
      <c r="AC13" s="905" t="str">
        <f t="shared" si="2"/>
        <v/>
      </c>
      <c r="AD13" s="1201" t="str">
        <f t="shared" si="3"/>
        <v/>
      </c>
      <c r="AE13" s="906">
        <f t="shared" si="25"/>
        <v>7.4999999999999997E-2</v>
      </c>
      <c r="AF13" s="905" t="str">
        <f t="shared" si="4"/>
        <v/>
      </c>
      <c r="AG13" s="1201" t="str">
        <f t="shared" si="5"/>
        <v/>
      </c>
      <c r="AH13" s="905" t="str">
        <f t="shared" si="6"/>
        <v/>
      </c>
      <c r="AI13" s="1201" t="str">
        <f t="shared" si="7"/>
        <v/>
      </c>
      <c r="AJ13" s="1240" t="str">
        <f t="shared" si="8"/>
        <v/>
      </c>
      <c r="AK13" s="906">
        <f t="shared" si="26"/>
        <v>0.08</v>
      </c>
      <c r="AL13" s="1316" t="s">
        <v>557</v>
      </c>
      <c r="AM13" s="1194" t="str">
        <f t="shared" si="9"/>
        <v/>
      </c>
      <c r="AN13" s="1195" t="str">
        <f t="shared" si="10"/>
        <v/>
      </c>
      <c r="AO13" s="1194" t="str">
        <f t="shared" si="11"/>
        <v/>
      </c>
      <c r="AP13" s="1195" t="str">
        <f t="shared" si="12"/>
        <v/>
      </c>
      <c r="AQ13" s="905" t="str">
        <f t="shared" si="22"/>
        <v/>
      </c>
      <c r="AT13" s="1390">
        <v>8</v>
      </c>
      <c r="AU13" s="1391">
        <v>2.0000141383722921E-2</v>
      </c>
      <c r="AV13" s="1398">
        <f t="shared" si="27"/>
        <v>1960.9547243044026</v>
      </c>
      <c r="AW13" s="1398">
        <f t="shared" si="28"/>
        <v>1811.3611895135723</v>
      </c>
      <c r="AX13" s="1399">
        <f>'Annual Summary'!W6</f>
        <v>6120161.9892153591</v>
      </c>
      <c r="AY13" s="1400">
        <v>5771528</v>
      </c>
    </row>
    <row r="14" spans="1:51" hidden="1" outlineLevel="1">
      <c r="B14" s="899" t="str">
        <f t="shared" si="23"/>
        <v/>
      </c>
      <c r="C14" s="159" t="str">
        <f>IF(OR('RRT Unit Mix (Paste)'!B11="", 'RRT Unit Mix (Paste)'!B11="Total/Avg"),"",'RRT Unit Mix (Paste)'!B11)</f>
        <v/>
      </c>
      <c r="D14" s="1321"/>
      <c r="E14" s="523" t="str">
        <f>IF($C14="","",'RRT Unit Mix (Paste)'!C11)</f>
        <v/>
      </c>
      <c r="F14" s="523" t="str">
        <f>IF($C14="","",'RRT Unit Mix (Paste)'!D11)</f>
        <v/>
      </c>
      <c r="G14" s="523" t="str">
        <f t="shared" si="13"/>
        <v/>
      </c>
      <c r="H14" s="900" t="str">
        <f>IF($C14="","",'RRT Unit Mix (Paste)'!E11)</f>
        <v/>
      </c>
      <c r="I14" s="900" t="str">
        <f t="shared" si="14"/>
        <v/>
      </c>
      <c r="J14" s="901" t="str">
        <f>IF($C14="","",'RRT Unit Mix (Paste)'!F11)</f>
        <v/>
      </c>
      <c r="K14" s="902" t="str">
        <f t="shared" si="15"/>
        <v/>
      </c>
      <c r="L14" s="901" t="str">
        <f>IF($C14="","",'RRT Unit Mix (Paste)'!G11)</f>
        <v/>
      </c>
      <c r="M14" s="902" t="str">
        <f t="shared" si="16"/>
        <v/>
      </c>
      <c r="N14" s="901" t="str">
        <f>IF($C14="","",'RRT Unit Mix (Paste)'!H11)</f>
        <v/>
      </c>
      <c r="O14" s="902" t="str">
        <f t="shared" si="17"/>
        <v/>
      </c>
      <c r="P14" s="1243"/>
      <c r="Q14" s="1272" t="str">
        <f t="shared" si="29"/>
        <v/>
      </c>
      <c r="R14" s="903" t="str">
        <f t="shared" si="0"/>
        <v/>
      </c>
      <c r="S14" s="1273" t="str">
        <f t="shared" si="30"/>
        <v/>
      </c>
      <c r="T14" s="903" t="str">
        <f t="shared" si="18"/>
        <v/>
      </c>
      <c r="U14" s="903" t="str">
        <f t="shared" si="19"/>
        <v/>
      </c>
      <c r="V14" s="1200" t="str">
        <f>'RRT Summary (Paste)'!M13</f>
        <v/>
      </c>
      <c r="W14" s="1200" t="str">
        <f>IF('RRT Summary (Paste)'!K13="","",'RRT Summary (Paste)'!J13)</f>
        <v/>
      </c>
      <c r="X14" s="904">
        <v>0</v>
      </c>
      <c r="Y14" s="1240" t="str">
        <f t="shared" si="1"/>
        <v/>
      </c>
      <c r="Z14" s="1201" t="str">
        <f t="shared" si="21"/>
        <v/>
      </c>
      <c r="AA14" s="892"/>
      <c r="AB14" s="906">
        <f t="shared" si="24"/>
        <v>0.04</v>
      </c>
      <c r="AC14" s="905" t="str">
        <f t="shared" si="2"/>
        <v/>
      </c>
      <c r="AD14" s="1201" t="str">
        <f t="shared" si="3"/>
        <v/>
      </c>
      <c r="AE14" s="906">
        <f t="shared" si="25"/>
        <v>7.4999999999999997E-2</v>
      </c>
      <c r="AF14" s="905" t="str">
        <f t="shared" si="4"/>
        <v/>
      </c>
      <c r="AG14" s="1201" t="str">
        <f t="shared" si="5"/>
        <v/>
      </c>
      <c r="AH14" s="905" t="str">
        <f t="shared" si="6"/>
        <v/>
      </c>
      <c r="AI14" s="1201" t="str">
        <f t="shared" si="7"/>
        <v/>
      </c>
      <c r="AJ14" s="1240" t="str">
        <f t="shared" si="8"/>
        <v/>
      </c>
      <c r="AK14" s="906">
        <f t="shared" si="26"/>
        <v>0.08</v>
      </c>
      <c r="AL14" s="1316" t="s">
        <v>557</v>
      </c>
      <c r="AM14" s="1194" t="str">
        <f t="shared" si="9"/>
        <v/>
      </c>
      <c r="AN14" s="1195" t="str">
        <f t="shared" si="10"/>
        <v/>
      </c>
      <c r="AO14" s="1194" t="str">
        <f t="shared" si="11"/>
        <v/>
      </c>
      <c r="AP14" s="1195" t="str">
        <f t="shared" si="12"/>
        <v/>
      </c>
      <c r="AQ14" s="905" t="str">
        <f t="shared" si="22"/>
        <v/>
      </c>
      <c r="AT14" s="1390">
        <v>9</v>
      </c>
      <c r="AU14" s="1391">
        <v>1.9999902971968221E-2</v>
      </c>
      <c r="AV14" s="1398">
        <f t="shared" si="27"/>
        <v>2000.1736285229133</v>
      </c>
      <c r="AW14" s="1398">
        <f t="shared" si="28"/>
        <v>1847.5882375510325</v>
      </c>
      <c r="AX14" s="1399">
        <f>'Annual Summary'!Y6</f>
        <v>6369506.8315750472</v>
      </c>
      <c r="AY14" s="1400">
        <v>5886958</v>
      </c>
    </row>
    <row r="15" spans="1:51" hidden="1" outlineLevel="1">
      <c r="B15" s="899" t="str">
        <f t="shared" si="23"/>
        <v/>
      </c>
      <c r="C15" s="159" t="str">
        <f>IF(OR('RRT Unit Mix (Paste)'!B12="", 'RRT Unit Mix (Paste)'!B12="Total/Avg"),"",'RRT Unit Mix (Paste)'!B12)</f>
        <v/>
      </c>
      <c r="D15" s="1321"/>
      <c r="E15" s="523" t="str">
        <f>IF($C15="","",'RRT Unit Mix (Paste)'!C12)</f>
        <v/>
      </c>
      <c r="F15" s="523" t="str">
        <f>IF($C15="","",'RRT Unit Mix (Paste)'!D12)</f>
        <v/>
      </c>
      <c r="G15" s="523" t="str">
        <f t="shared" si="13"/>
        <v/>
      </c>
      <c r="H15" s="900" t="str">
        <f>IF($C15="","",'RRT Unit Mix (Paste)'!E12)</f>
        <v/>
      </c>
      <c r="I15" s="900" t="str">
        <f t="shared" si="14"/>
        <v/>
      </c>
      <c r="J15" s="901" t="str">
        <f>IF($C15="","",'RRT Unit Mix (Paste)'!F12)</f>
        <v/>
      </c>
      <c r="K15" s="902" t="str">
        <f t="shared" si="15"/>
        <v/>
      </c>
      <c r="L15" s="901" t="str">
        <f>IF($C15="","",'RRT Unit Mix (Paste)'!G12)</f>
        <v/>
      </c>
      <c r="M15" s="902" t="str">
        <f t="shared" si="16"/>
        <v/>
      </c>
      <c r="N15" s="901" t="str">
        <f>IF($C15="","",'RRT Unit Mix (Paste)'!H12)</f>
        <v/>
      </c>
      <c r="O15" s="902" t="str">
        <f t="shared" si="17"/>
        <v/>
      </c>
      <c r="P15" s="1243"/>
      <c r="Q15" s="1272" t="str">
        <f t="shared" si="29"/>
        <v/>
      </c>
      <c r="R15" s="903" t="str">
        <f t="shared" si="0"/>
        <v/>
      </c>
      <c r="S15" s="1273" t="str">
        <f t="shared" si="30"/>
        <v/>
      </c>
      <c r="T15" s="903" t="str">
        <f t="shared" si="18"/>
        <v/>
      </c>
      <c r="U15" s="903" t="str">
        <f t="shared" si="19"/>
        <v/>
      </c>
      <c r="V15" s="1200" t="str">
        <f>'RRT Summary (Paste)'!M14</f>
        <v/>
      </c>
      <c r="W15" s="1200" t="str">
        <f>IF('RRT Summary (Paste)'!K14="","",'RRT Summary (Paste)'!J14)</f>
        <v/>
      </c>
      <c r="X15" s="904">
        <v>0</v>
      </c>
      <c r="Y15" s="1240" t="str">
        <f t="shared" si="1"/>
        <v/>
      </c>
      <c r="Z15" s="1201" t="str">
        <f t="shared" si="21"/>
        <v/>
      </c>
      <c r="AA15" s="892"/>
      <c r="AB15" s="906">
        <f t="shared" si="24"/>
        <v>0.04</v>
      </c>
      <c r="AC15" s="905" t="str">
        <f t="shared" si="2"/>
        <v/>
      </c>
      <c r="AD15" s="1201" t="str">
        <f t="shared" si="3"/>
        <v/>
      </c>
      <c r="AE15" s="906">
        <f t="shared" si="25"/>
        <v>7.4999999999999997E-2</v>
      </c>
      <c r="AF15" s="905" t="str">
        <f t="shared" si="4"/>
        <v/>
      </c>
      <c r="AG15" s="1201" t="str">
        <f t="shared" si="5"/>
        <v/>
      </c>
      <c r="AH15" s="905" t="str">
        <f t="shared" si="6"/>
        <v/>
      </c>
      <c r="AI15" s="1201" t="str">
        <f t="shared" si="7"/>
        <v/>
      </c>
      <c r="AJ15" s="1240" t="str">
        <f t="shared" si="8"/>
        <v/>
      </c>
      <c r="AK15" s="906">
        <f t="shared" si="26"/>
        <v>0.08</v>
      </c>
      <c r="AL15" s="1316" t="s">
        <v>557</v>
      </c>
      <c r="AM15" s="1194" t="str">
        <f t="shared" si="9"/>
        <v/>
      </c>
      <c r="AN15" s="1195" t="str">
        <f t="shared" si="10"/>
        <v/>
      </c>
      <c r="AO15" s="1194" t="str">
        <f t="shared" si="11"/>
        <v/>
      </c>
      <c r="AP15" s="1195" t="str">
        <f t="shared" si="12"/>
        <v/>
      </c>
      <c r="AQ15" s="905" t="str">
        <f t="shared" si="22"/>
        <v/>
      </c>
      <c r="AT15" s="1392">
        <v>10</v>
      </c>
      <c r="AU15" s="1393">
        <v>1.9999972821277117E-2</v>
      </c>
      <c r="AV15" s="1394">
        <f t="shared" si="27"/>
        <v>2040.1770467312069</v>
      </c>
      <c r="AW15" s="1394">
        <f t="shared" si="28"/>
        <v>1884.5399520869646</v>
      </c>
      <c r="AX15" s="1395">
        <f>'Annual Summary'!AA6</f>
        <v>6629010.3675315622</v>
      </c>
      <c r="AY15" s="1396">
        <v>6004697</v>
      </c>
    </row>
    <row r="16" spans="1:51" hidden="1" outlineLevel="1">
      <c r="B16" s="899" t="str">
        <f t="shared" si="23"/>
        <v/>
      </c>
      <c r="C16" s="159" t="str">
        <f>IF(OR('RRT Unit Mix (Paste)'!B13="", 'RRT Unit Mix (Paste)'!B13="Total/Avg"),"",'RRT Unit Mix (Paste)'!B13)</f>
        <v/>
      </c>
      <c r="D16" s="1321"/>
      <c r="E16" s="523" t="str">
        <f>IF($C16="","",'RRT Unit Mix (Paste)'!C13)</f>
        <v/>
      </c>
      <c r="F16" s="523" t="str">
        <f>IF($C16="","",'RRT Unit Mix (Paste)'!D13)</f>
        <v/>
      </c>
      <c r="G16" s="523" t="str">
        <f t="shared" si="13"/>
        <v/>
      </c>
      <c r="H16" s="900" t="str">
        <f>IF($C16="","",'RRT Unit Mix (Paste)'!E13)</f>
        <v/>
      </c>
      <c r="I16" s="900" t="str">
        <f t="shared" si="14"/>
        <v/>
      </c>
      <c r="J16" s="901" t="str">
        <f>IF($C16="","",'RRT Unit Mix (Paste)'!F13)</f>
        <v/>
      </c>
      <c r="K16" s="902" t="str">
        <f t="shared" si="15"/>
        <v/>
      </c>
      <c r="L16" s="901" t="str">
        <f>IF($C16="","",'RRT Unit Mix (Paste)'!G13)</f>
        <v/>
      </c>
      <c r="M16" s="902" t="str">
        <f t="shared" si="16"/>
        <v/>
      </c>
      <c r="N16" s="901" t="str">
        <f>IF($C16="","",'RRT Unit Mix (Paste)'!H13)</f>
        <v/>
      </c>
      <c r="O16" s="902" t="str">
        <f t="shared" si="17"/>
        <v/>
      </c>
      <c r="P16" s="1243"/>
      <c r="Q16" s="1272" t="str">
        <f t="shared" si="29"/>
        <v/>
      </c>
      <c r="R16" s="903" t="str">
        <f t="shared" si="0"/>
        <v/>
      </c>
      <c r="S16" s="1273" t="str">
        <f t="shared" si="30"/>
        <v/>
      </c>
      <c r="T16" s="903" t="str">
        <f t="shared" si="18"/>
        <v/>
      </c>
      <c r="U16" s="903" t="str">
        <f t="shared" si="19"/>
        <v/>
      </c>
      <c r="V16" s="1200" t="str">
        <f>'RRT Summary (Paste)'!M15</f>
        <v/>
      </c>
      <c r="W16" s="1200" t="str">
        <f>IF('RRT Summary (Paste)'!K15="","",'RRT Summary (Paste)'!J15)</f>
        <v/>
      </c>
      <c r="X16" s="904">
        <v>0</v>
      </c>
      <c r="Y16" s="1240" t="str">
        <f t="shared" si="1"/>
        <v/>
      </c>
      <c r="Z16" s="1201" t="str">
        <f t="shared" si="21"/>
        <v/>
      </c>
      <c r="AA16" s="892"/>
      <c r="AB16" s="906">
        <f t="shared" si="24"/>
        <v>0.04</v>
      </c>
      <c r="AC16" s="905" t="str">
        <f t="shared" si="2"/>
        <v/>
      </c>
      <c r="AD16" s="1201" t="str">
        <f t="shared" si="3"/>
        <v/>
      </c>
      <c r="AE16" s="906">
        <f t="shared" si="25"/>
        <v>7.4999999999999997E-2</v>
      </c>
      <c r="AF16" s="905" t="str">
        <f t="shared" si="4"/>
        <v/>
      </c>
      <c r="AG16" s="1201" t="str">
        <f t="shared" si="5"/>
        <v/>
      </c>
      <c r="AH16" s="905" t="str">
        <f t="shared" si="6"/>
        <v/>
      </c>
      <c r="AI16" s="1201" t="str">
        <f t="shared" si="7"/>
        <v/>
      </c>
      <c r="AJ16" s="1240" t="str">
        <f t="shared" si="8"/>
        <v/>
      </c>
      <c r="AK16" s="906">
        <f t="shared" si="26"/>
        <v>0.08</v>
      </c>
      <c r="AL16" s="1316" t="s">
        <v>557</v>
      </c>
      <c r="AM16" s="1194" t="str">
        <f t="shared" si="9"/>
        <v/>
      </c>
      <c r="AN16" s="1195" t="str">
        <f t="shared" si="10"/>
        <v/>
      </c>
      <c r="AO16" s="1194" t="str">
        <f t="shared" si="11"/>
        <v/>
      </c>
      <c r="AP16" s="1195" t="str">
        <f t="shared" si="12"/>
        <v/>
      </c>
      <c r="AQ16" s="905" t="str">
        <f t="shared" si="22"/>
        <v/>
      </c>
    </row>
    <row r="17" spans="2:43" hidden="1" outlineLevel="1">
      <c r="B17" s="899" t="str">
        <f t="shared" si="23"/>
        <v/>
      </c>
      <c r="C17" s="159" t="str">
        <f>IF(OR('RRT Unit Mix (Paste)'!B14="", 'RRT Unit Mix (Paste)'!B14="Total/Avg"),"",'RRT Unit Mix (Paste)'!B14)</f>
        <v/>
      </c>
      <c r="D17" s="1321"/>
      <c r="E17" s="523" t="str">
        <f>IF($C17="","",'RRT Unit Mix (Paste)'!C14)</f>
        <v/>
      </c>
      <c r="F17" s="523" t="str">
        <f>IF($C17="","",'RRT Unit Mix (Paste)'!D14)</f>
        <v/>
      </c>
      <c r="G17" s="523" t="str">
        <f t="shared" si="13"/>
        <v/>
      </c>
      <c r="H17" s="900" t="str">
        <f>IF($C17="","",'RRT Unit Mix (Paste)'!E14)</f>
        <v/>
      </c>
      <c r="I17" s="900" t="str">
        <f t="shared" si="14"/>
        <v/>
      </c>
      <c r="J17" s="901" t="str">
        <f>IF($C17="","",'RRT Unit Mix (Paste)'!F14)</f>
        <v/>
      </c>
      <c r="K17" s="902" t="str">
        <f t="shared" si="15"/>
        <v/>
      </c>
      <c r="L17" s="901" t="str">
        <f>IF($C17="","",'RRT Unit Mix (Paste)'!G14)</f>
        <v/>
      </c>
      <c r="M17" s="902" t="str">
        <f t="shared" si="16"/>
        <v/>
      </c>
      <c r="N17" s="901" t="str">
        <f>IF($C17="","",'RRT Unit Mix (Paste)'!H14)</f>
        <v/>
      </c>
      <c r="O17" s="902" t="str">
        <f t="shared" si="17"/>
        <v/>
      </c>
      <c r="P17" s="1243"/>
      <c r="Q17" s="1272" t="str">
        <f t="shared" si="29"/>
        <v/>
      </c>
      <c r="R17" s="903" t="str">
        <f t="shared" si="0"/>
        <v/>
      </c>
      <c r="S17" s="1273" t="str">
        <f t="shared" si="30"/>
        <v/>
      </c>
      <c r="T17" s="903" t="str">
        <f t="shared" si="18"/>
        <v/>
      </c>
      <c r="U17" s="903" t="str">
        <f t="shared" si="19"/>
        <v/>
      </c>
      <c r="V17" s="1200" t="str">
        <f>'RRT Summary (Paste)'!M16</f>
        <v/>
      </c>
      <c r="W17" s="1200" t="str">
        <f>IF('RRT Summary (Paste)'!K16="","",'RRT Summary (Paste)'!J16)</f>
        <v/>
      </c>
      <c r="X17" s="904">
        <v>0</v>
      </c>
      <c r="Y17" s="1240" t="str">
        <f t="shared" si="1"/>
        <v/>
      </c>
      <c r="Z17" s="1201" t="str">
        <f t="shared" si="21"/>
        <v/>
      </c>
      <c r="AA17" s="892"/>
      <c r="AB17" s="906">
        <f t="shared" si="24"/>
        <v>0.04</v>
      </c>
      <c r="AC17" s="905" t="str">
        <f t="shared" si="2"/>
        <v/>
      </c>
      <c r="AD17" s="1201" t="str">
        <f t="shared" si="3"/>
        <v/>
      </c>
      <c r="AE17" s="906">
        <f t="shared" si="25"/>
        <v>7.4999999999999997E-2</v>
      </c>
      <c r="AF17" s="905" t="str">
        <f t="shared" si="4"/>
        <v/>
      </c>
      <c r="AG17" s="1201" t="str">
        <f t="shared" si="5"/>
        <v/>
      </c>
      <c r="AH17" s="905" t="str">
        <f t="shared" si="6"/>
        <v/>
      </c>
      <c r="AI17" s="1201" t="str">
        <f t="shared" si="7"/>
        <v/>
      </c>
      <c r="AJ17" s="1240" t="str">
        <f t="shared" si="8"/>
        <v/>
      </c>
      <c r="AK17" s="906">
        <f t="shared" si="26"/>
        <v>0.08</v>
      </c>
      <c r="AL17" s="1316" t="s">
        <v>557</v>
      </c>
      <c r="AM17" s="1194" t="str">
        <f t="shared" si="9"/>
        <v/>
      </c>
      <c r="AN17" s="1195" t="str">
        <f t="shared" si="10"/>
        <v/>
      </c>
      <c r="AO17" s="1194" t="str">
        <f t="shared" si="11"/>
        <v/>
      </c>
      <c r="AP17" s="1195" t="str">
        <f t="shared" si="12"/>
        <v/>
      </c>
      <c r="AQ17" s="905" t="str">
        <f t="shared" si="22"/>
        <v/>
      </c>
    </row>
    <row r="18" spans="2:43" hidden="1" outlineLevel="1">
      <c r="B18" s="899" t="str">
        <f t="shared" si="23"/>
        <v/>
      </c>
      <c r="C18" s="159" t="str">
        <f>IF(OR('RRT Unit Mix (Paste)'!B15="", 'RRT Unit Mix (Paste)'!B15="Total/Avg"),"",'RRT Unit Mix (Paste)'!B15)</f>
        <v/>
      </c>
      <c r="D18" s="1321"/>
      <c r="E18" s="523" t="str">
        <f>IF($C18="","",'RRT Unit Mix (Paste)'!C15)</f>
        <v/>
      </c>
      <c r="F18" s="523" t="str">
        <f>IF($C18="","",'RRT Unit Mix (Paste)'!D15)</f>
        <v/>
      </c>
      <c r="G18" s="523" t="str">
        <f t="shared" si="13"/>
        <v/>
      </c>
      <c r="H18" s="900" t="str">
        <f>IF($C18="","",'RRT Unit Mix (Paste)'!E15)</f>
        <v/>
      </c>
      <c r="I18" s="900" t="str">
        <f t="shared" si="14"/>
        <v/>
      </c>
      <c r="J18" s="901" t="str">
        <f>IF($C18="","",'RRT Unit Mix (Paste)'!F15)</f>
        <v/>
      </c>
      <c r="K18" s="902" t="str">
        <f t="shared" si="15"/>
        <v/>
      </c>
      <c r="L18" s="901" t="str">
        <f>IF($C18="","",'RRT Unit Mix (Paste)'!G15)</f>
        <v/>
      </c>
      <c r="M18" s="902" t="str">
        <f t="shared" si="16"/>
        <v/>
      </c>
      <c r="N18" s="901" t="str">
        <f>IF($C18="","",'RRT Unit Mix (Paste)'!H15)</f>
        <v/>
      </c>
      <c r="O18" s="902" t="str">
        <f t="shared" si="17"/>
        <v/>
      </c>
      <c r="P18" s="1243"/>
      <c r="Q18" s="1272" t="str">
        <f t="shared" si="29"/>
        <v/>
      </c>
      <c r="R18" s="903" t="str">
        <f t="shared" si="0"/>
        <v/>
      </c>
      <c r="S18" s="1273" t="str">
        <f t="shared" si="30"/>
        <v/>
      </c>
      <c r="T18" s="903" t="str">
        <f t="shared" si="18"/>
        <v/>
      </c>
      <c r="U18" s="903" t="str">
        <f t="shared" si="19"/>
        <v/>
      </c>
      <c r="V18" s="1200" t="str">
        <f>'RRT Summary (Paste)'!M17</f>
        <v/>
      </c>
      <c r="W18" s="1200" t="str">
        <f>IF('RRT Summary (Paste)'!K17="","",'RRT Summary (Paste)'!J17)</f>
        <v/>
      </c>
      <c r="X18" s="904">
        <v>0</v>
      </c>
      <c r="Y18" s="1240" t="str">
        <f t="shared" si="1"/>
        <v/>
      </c>
      <c r="Z18" s="1201" t="str">
        <f t="shared" si="21"/>
        <v/>
      </c>
      <c r="AA18" s="892"/>
      <c r="AB18" s="906">
        <f t="shared" si="24"/>
        <v>0.04</v>
      </c>
      <c r="AC18" s="905" t="str">
        <f t="shared" si="2"/>
        <v/>
      </c>
      <c r="AD18" s="1201" t="str">
        <f t="shared" si="3"/>
        <v/>
      </c>
      <c r="AE18" s="906">
        <f t="shared" si="25"/>
        <v>7.4999999999999997E-2</v>
      </c>
      <c r="AF18" s="905" t="str">
        <f t="shared" si="4"/>
        <v/>
      </c>
      <c r="AG18" s="1201" t="str">
        <f t="shared" si="5"/>
        <v/>
      </c>
      <c r="AH18" s="905" t="str">
        <f t="shared" si="6"/>
        <v/>
      </c>
      <c r="AI18" s="1201" t="str">
        <f t="shared" si="7"/>
        <v/>
      </c>
      <c r="AJ18" s="1240" t="str">
        <f t="shared" si="8"/>
        <v/>
      </c>
      <c r="AK18" s="906">
        <f t="shared" si="26"/>
        <v>0.08</v>
      </c>
      <c r="AL18" s="1316" t="s">
        <v>557</v>
      </c>
      <c r="AM18" s="1194" t="str">
        <f t="shared" si="9"/>
        <v/>
      </c>
      <c r="AN18" s="1195" t="str">
        <f t="shared" si="10"/>
        <v/>
      </c>
      <c r="AO18" s="1194" t="str">
        <f t="shared" si="11"/>
        <v/>
      </c>
      <c r="AP18" s="1195" t="str">
        <f t="shared" si="12"/>
        <v/>
      </c>
      <c r="AQ18" s="905" t="str">
        <f t="shared" si="22"/>
        <v/>
      </c>
    </row>
    <row r="19" spans="2:43" hidden="1" outlineLevel="1">
      <c r="B19" s="899" t="str">
        <f t="shared" si="23"/>
        <v/>
      </c>
      <c r="C19" s="159" t="str">
        <f>IF(OR('RRT Unit Mix (Paste)'!B16="", 'RRT Unit Mix (Paste)'!B16="Total/Avg"),"",'RRT Unit Mix (Paste)'!B16)</f>
        <v/>
      </c>
      <c r="D19" s="1321"/>
      <c r="E19" s="523" t="str">
        <f>IF($C19="","",'RRT Unit Mix (Paste)'!C16)</f>
        <v/>
      </c>
      <c r="F19" s="523" t="str">
        <f>IF($C19="","",'RRT Unit Mix (Paste)'!D16)</f>
        <v/>
      </c>
      <c r="G19" s="523" t="str">
        <f t="shared" si="13"/>
        <v/>
      </c>
      <c r="H19" s="900" t="str">
        <f>IF($C19="","",'RRT Unit Mix (Paste)'!E16)</f>
        <v/>
      </c>
      <c r="I19" s="900" t="str">
        <f t="shared" si="14"/>
        <v/>
      </c>
      <c r="J19" s="901" t="str">
        <f>IF($C19="","",'RRT Unit Mix (Paste)'!F16)</f>
        <v/>
      </c>
      <c r="K19" s="902" t="str">
        <f t="shared" si="15"/>
        <v/>
      </c>
      <c r="L19" s="901" t="str">
        <f>IF($C19="","",'RRT Unit Mix (Paste)'!G16)</f>
        <v/>
      </c>
      <c r="M19" s="902" t="str">
        <f t="shared" si="16"/>
        <v/>
      </c>
      <c r="N19" s="901" t="str">
        <f>IF($C19="","",'RRT Unit Mix (Paste)'!H16)</f>
        <v/>
      </c>
      <c r="O19" s="902" t="str">
        <f t="shared" si="17"/>
        <v/>
      </c>
      <c r="P19" s="1243"/>
      <c r="Q19" s="1272" t="str">
        <f t="shared" si="29"/>
        <v/>
      </c>
      <c r="R19" s="903" t="str">
        <f t="shared" si="0"/>
        <v/>
      </c>
      <c r="S19" s="1273" t="str">
        <f t="shared" si="30"/>
        <v/>
      </c>
      <c r="T19" s="903" t="str">
        <f t="shared" si="18"/>
        <v/>
      </c>
      <c r="U19" s="903" t="str">
        <f t="shared" si="19"/>
        <v/>
      </c>
      <c r="V19" s="1200" t="str">
        <f>'RRT Summary (Paste)'!M18</f>
        <v/>
      </c>
      <c r="W19" s="1200" t="str">
        <f>IF('RRT Summary (Paste)'!K18="","",'RRT Summary (Paste)'!J18)</f>
        <v/>
      </c>
      <c r="X19" s="904">
        <v>0</v>
      </c>
      <c r="Y19" s="1240" t="str">
        <f t="shared" si="1"/>
        <v/>
      </c>
      <c r="Z19" s="1201" t="str">
        <f t="shared" si="21"/>
        <v/>
      </c>
      <c r="AA19" s="892"/>
      <c r="AB19" s="906">
        <f t="shared" si="24"/>
        <v>0.04</v>
      </c>
      <c r="AC19" s="905" t="str">
        <f t="shared" si="2"/>
        <v/>
      </c>
      <c r="AD19" s="1201" t="str">
        <f t="shared" si="3"/>
        <v/>
      </c>
      <c r="AE19" s="906">
        <f t="shared" si="25"/>
        <v>7.4999999999999997E-2</v>
      </c>
      <c r="AF19" s="905" t="str">
        <f t="shared" si="4"/>
        <v/>
      </c>
      <c r="AG19" s="1201" t="str">
        <f t="shared" si="5"/>
        <v/>
      </c>
      <c r="AH19" s="905" t="str">
        <f t="shared" si="6"/>
        <v/>
      </c>
      <c r="AI19" s="1201" t="str">
        <f t="shared" si="7"/>
        <v/>
      </c>
      <c r="AJ19" s="1240" t="str">
        <f t="shared" si="8"/>
        <v/>
      </c>
      <c r="AK19" s="906">
        <f t="shared" si="26"/>
        <v>0.08</v>
      </c>
      <c r="AL19" s="1316" t="s">
        <v>557</v>
      </c>
      <c r="AM19" s="1194" t="str">
        <f t="shared" si="9"/>
        <v/>
      </c>
      <c r="AN19" s="1195" t="str">
        <f t="shared" si="10"/>
        <v/>
      </c>
      <c r="AO19" s="1194" t="str">
        <f t="shared" si="11"/>
        <v/>
      </c>
      <c r="AP19" s="1195" t="str">
        <f t="shared" si="12"/>
        <v/>
      </c>
      <c r="AQ19" s="905" t="str">
        <f t="shared" si="22"/>
        <v/>
      </c>
    </row>
    <row r="20" spans="2:43" hidden="1" outlineLevel="1">
      <c r="B20" s="899" t="str">
        <f t="shared" si="23"/>
        <v/>
      </c>
      <c r="C20" s="159" t="str">
        <f>IF(OR('RRT Unit Mix (Paste)'!B17="", 'RRT Unit Mix (Paste)'!B17="Total/Avg"),"",'RRT Unit Mix (Paste)'!B17)</f>
        <v/>
      </c>
      <c r="D20" s="1321"/>
      <c r="E20" s="523" t="str">
        <f>IF($C20="","",'RRT Unit Mix (Paste)'!C17)</f>
        <v/>
      </c>
      <c r="F20" s="523" t="str">
        <f>IF($C20="","",'RRT Unit Mix (Paste)'!D17)</f>
        <v/>
      </c>
      <c r="G20" s="523" t="str">
        <f t="shared" si="13"/>
        <v/>
      </c>
      <c r="H20" s="900" t="str">
        <f>IF($C20="","",'RRT Unit Mix (Paste)'!E17)</f>
        <v/>
      </c>
      <c r="I20" s="900" t="str">
        <f t="shared" si="14"/>
        <v/>
      </c>
      <c r="J20" s="901" t="str">
        <f>IF($C20="","",'RRT Unit Mix (Paste)'!F17)</f>
        <v/>
      </c>
      <c r="K20" s="902" t="str">
        <f t="shared" si="15"/>
        <v/>
      </c>
      <c r="L20" s="901" t="str">
        <f>IF($C20="","",'RRT Unit Mix (Paste)'!G17)</f>
        <v/>
      </c>
      <c r="M20" s="902" t="str">
        <f t="shared" si="16"/>
        <v/>
      </c>
      <c r="N20" s="901" t="str">
        <f>IF($C20="","",'RRT Unit Mix (Paste)'!H17)</f>
        <v/>
      </c>
      <c r="O20" s="902" t="str">
        <f t="shared" si="17"/>
        <v/>
      </c>
      <c r="P20" s="1243"/>
      <c r="Q20" s="1272" t="str">
        <f t="shared" si="29"/>
        <v/>
      </c>
      <c r="R20" s="903" t="str">
        <f t="shared" si="0"/>
        <v/>
      </c>
      <c r="S20" s="1273" t="str">
        <f t="shared" si="30"/>
        <v/>
      </c>
      <c r="T20" s="903" t="str">
        <f t="shared" si="18"/>
        <v/>
      </c>
      <c r="U20" s="903" t="str">
        <f t="shared" si="19"/>
        <v/>
      </c>
      <c r="V20" s="1200" t="str">
        <f>'RRT Summary (Paste)'!M19</f>
        <v/>
      </c>
      <c r="W20" s="1200" t="str">
        <f>IF('RRT Summary (Paste)'!K19="","",'RRT Summary (Paste)'!J19)</f>
        <v/>
      </c>
      <c r="X20" s="904">
        <v>0</v>
      </c>
      <c r="Y20" s="1240" t="str">
        <f t="shared" si="1"/>
        <v/>
      </c>
      <c r="Z20" s="1201" t="str">
        <f t="shared" si="21"/>
        <v/>
      </c>
      <c r="AA20" s="892"/>
      <c r="AB20" s="906">
        <f t="shared" si="24"/>
        <v>0.04</v>
      </c>
      <c r="AC20" s="905" t="str">
        <f t="shared" si="2"/>
        <v/>
      </c>
      <c r="AD20" s="1201" t="str">
        <f t="shared" si="3"/>
        <v/>
      </c>
      <c r="AE20" s="906">
        <f t="shared" si="25"/>
        <v>7.4999999999999997E-2</v>
      </c>
      <c r="AF20" s="905" t="str">
        <f t="shared" si="4"/>
        <v/>
      </c>
      <c r="AG20" s="1201" t="str">
        <f t="shared" si="5"/>
        <v/>
      </c>
      <c r="AH20" s="905" t="str">
        <f t="shared" si="6"/>
        <v/>
      </c>
      <c r="AI20" s="1201" t="str">
        <f t="shared" si="7"/>
        <v/>
      </c>
      <c r="AJ20" s="1240" t="str">
        <f t="shared" si="8"/>
        <v/>
      </c>
      <c r="AK20" s="906">
        <f t="shared" si="26"/>
        <v>0.08</v>
      </c>
      <c r="AL20" s="1316" t="s">
        <v>557</v>
      </c>
      <c r="AM20" s="1194" t="str">
        <f t="shared" si="9"/>
        <v/>
      </c>
      <c r="AN20" s="1195" t="str">
        <f t="shared" si="10"/>
        <v/>
      </c>
      <c r="AO20" s="1194" t="str">
        <f t="shared" si="11"/>
        <v/>
      </c>
      <c r="AP20" s="1195" t="str">
        <f t="shared" si="12"/>
        <v/>
      </c>
      <c r="AQ20" s="905" t="str">
        <f t="shared" si="22"/>
        <v/>
      </c>
    </row>
    <row r="21" spans="2:43" hidden="1" outlineLevel="1">
      <c r="B21" s="899" t="str">
        <f t="shared" si="23"/>
        <v/>
      </c>
      <c r="C21" s="159" t="str">
        <f>IF(OR('RRT Unit Mix (Paste)'!B18="", 'RRT Unit Mix (Paste)'!B18="Total/Avg"),"",'RRT Unit Mix (Paste)'!B18)</f>
        <v/>
      </c>
      <c r="D21" s="1321"/>
      <c r="E21" s="523" t="str">
        <f>IF($C21="","",'RRT Unit Mix (Paste)'!C18)</f>
        <v/>
      </c>
      <c r="F21" s="523" t="str">
        <f>IF($C21="","",'RRT Unit Mix (Paste)'!D18)</f>
        <v/>
      </c>
      <c r="G21" s="523" t="str">
        <f t="shared" si="13"/>
        <v/>
      </c>
      <c r="H21" s="900" t="str">
        <f>IF($C21="","",'RRT Unit Mix (Paste)'!E18)</f>
        <v/>
      </c>
      <c r="I21" s="900" t="str">
        <f t="shared" si="14"/>
        <v/>
      </c>
      <c r="J21" s="901" t="str">
        <f>IF($C21="","",'RRT Unit Mix (Paste)'!F18)</f>
        <v/>
      </c>
      <c r="K21" s="902" t="str">
        <f t="shared" si="15"/>
        <v/>
      </c>
      <c r="L21" s="901" t="str">
        <f>IF($C21="","",'RRT Unit Mix (Paste)'!G18)</f>
        <v/>
      </c>
      <c r="M21" s="902" t="str">
        <f t="shared" si="16"/>
        <v/>
      </c>
      <c r="N21" s="901" t="str">
        <f>IF($C21="","",'RRT Unit Mix (Paste)'!H18)</f>
        <v/>
      </c>
      <c r="O21" s="902" t="str">
        <f t="shared" si="17"/>
        <v/>
      </c>
      <c r="P21" s="1243"/>
      <c r="Q21" s="1272" t="str">
        <f t="shared" si="29"/>
        <v/>
      </c>
      <c r="R21" s="903" t="str">
        <f t="shared" si="0"/>
        <v/>
      </c>
      <c r="S21" s="1273" t="str">
        <f t="shared" si="30"/>
        <v/>
      </c>
      <c r="T21" s="903" t="str">
        <f t="shared" si="18"/>
        <v/>
      </c>
      <c r="U21" s="903" t="str">
        <f t="shared" si="19"/>
        <v/>
      </c>
      <c r="V21" s="1200" t="str">
        <f>'RRT Summary (Paste)'!M20</f>
        <v/>
      </c>
      <c r="W21" s="1200" t="str">
        <f>IF('RRT Summary (Paste)'!K20="","",'RRT Summary (Paste)'!J20)</f>
        <v/>
      </c>
      <c r="X21" s="904">
        <v>0</v>
      </c>
      <c r="Y21" s="1240" t="str">
        <f t="shared" si="1"/>
        <v/>
      </c>
      <c r="Z21" s="1201" t="str">
        <f t="shared" si="21"/>
        <v/>
      </c>
      <c r="AA21" s="892"/>
      <c r="AB21" s="906">
        <f t="shared" si="24"/>
        <v>0.04</v>
      </c>
      <c r="AC21" s="905" t="str">
        <f t="shared" si="2"/>
        <v/>
      </c>
      <c r="AD21" s="1201" t="str">
        <f t="shared" si="3"/>
        <v/>
      </c>
      <c r="AE21" s="906">
        <f t="shared" si="25"/>
        <v>7.4999999999999997E-2</v>
      </c>
      <c r="AF21" s="905" t="str">
        <f t="shared" si="4"/>
        <v/>
      </c>
      <c r="AG21" s="1201" t="str">
        <f t="shared" si="5"/>
        <v/>
      </c>
      <c r="AH21" s="905" t="str">
        <f t="shared" si="6"/>
        <v/>
      </c>
      <c r="AI21" s="1201" t="str">
        <f t="shared" si="7"/>
        <v/>
      </c>
      <c r="AJ21" s="1240" t="str">
        <f t="shared" si="8"/>
        <v/>
      </c>
      <c r="AK21" s="906">
        <f t="shared" si="26"/>
        <v>0.08</v>
      </c>
      <c r="AL21" s="1316" t="s">
        <v>557</v>
      </c>
      <c r="AM21" s="1194" t="str">
        <f t="shared" si="9"/>
        <v/>
      </c>
      <c r="AN21" s="1195" t="str">
        <f t="shared" si="10"/>
        <v/>
      </c>
      <c r="AO21" s="1194" t="str">
        <f t="shared" si="11"/>
        <v/>
      </c>
      <c r="AP21" s="1195" t="str">
        <f t="shared" si="12"/>
        <v/>
      </c>
      <c r="AQ21" s="905" t="str">
        <f t="shared" si="22"/>
        <v/>
      </c>
    </row>
    <row r="22" spans="2:43" hidden="1" outlineLevel="1">
      <c r="B22" s="899" t="str">
        <f t="shared" si="23"/>
        <v/>
      </c>
      <c r="C22" s="159" t="str">
        <f>IF(OR('RRT Unit Mix (Paste)'!B19="", 'RRT Unit Mix (Paste)'!B19="Total/Avg"),"",'RRT Unit Mix (Paste)'!B19)</f>
        <v/>
      </c>
      <c r="D22" s="1321"/>
      <c r="E22" s="523" t="str">
        <f>IF($C22="","",'RRT Unit Mix (Paste)'!C19)</f>
        <v/>
      </c>
      <c r="F22" s="523" t="str">
        <f>IF($C22="","",'RRT Unit Mix (Paste)'!D19)</f>
        <v/>
      </c>
      <c r="G22" s="523" t="str">
        <f t="shared" si="13"/>
        <v/>
      </c>
      <c r="H22" s="900" t="str">
        <f>IF($C22="","",'RRT Unit Mix (Paste)'!E19)</f>
        <v/>
      </c>
      <c r="I22" s="900" t="str">
        <f t="shared" si="14"/>
        <v/>
      </c>
      <c r="J22" s="901" t="str">
        <f>IF($C22="","",'RRT Unit Mix (Paste)'!F19)</f>
        <v/>
      </c>
      <c r="K22" s="902" t="str">
        <f t="shared" si="15"/>
        <v/>
      </c>
      <c r="L22" s="901" t="str">
        <f>IF($C22="","",'RRT Unit Mix (Paste)'!G19)</f>
        <v/>
      </c>
      <c r="M22" s="902" t="str">
        <f t="shared" si="16"/>
        <v/>
      </c>
      <c r="N22" s="901" t="str">
        <f>IF($C22="","",'RRT Unit Mix (Paste)'!H19)</f>
        <v/>
      </c>
      <c r="O22" s="902" t="str">
        <f t="shared" si="17"/>
        <v/>
      </c>
      <c r="P22" s="1243"/>
      <c r="Q22" s="1272" t="str">
        <f t="shared" si="29"/>
        <v/>
      </c>
      <c r="R22" s="903" t="str">
        <f t="shared" si="0"/>
        <v/>
      </c>
      <c r="S22" s="1273" t="str">
        <f t="shared" si="30"/>
        <v/>
      </c>
      <c r="T22" s="903" t="str">
        <f t="shared" si="18"/>
        <v/>
      </c>
      <c r="U22" s="903" t="str">
        <f t="shared" si="19"/>
        <v/>
      </c>
      <c r="V22" s="1200" t="str">
        <f>'RRT Summary (Paste)'!M20</f>
        <v/>
      </c>
      <c r="W22" s="1200" t="str">
        <f>IF('RRT Summary (Paste)'!K20="","",'RRT Summary (Paste)'!J20)</f>
        <v/>
      </c>
      <c r="X22" s="904">
        <v>0</v>
      </c>
      <c r="Y22" s="1240" t="str">
        <f t="shared" si="1"/>
        <v/>
      </c>
      <c r="Z22" s="1201" t="str">
        <f t="shared" si="21"/>
        <v/>
      </c>
      <c r="AA22" s="892"/>
      <c r="AB22" s="906">
        <f t="shared" si="24"/>
        <v>0.04</v>
      </c>
      <c r="AC22" s="905" t="str">
        <f t="shared" si="2"/>
        <v/>
      </c>
      <c r="AD22" s="1201" t="str">
        <f t="shared" si="3"/>
        <v/>
      </c>
      <c r="AE22" s="906">
        <f t="shared" si="25"/>
        <v>7.4999999999999997E-2</v>
      </c>
      <c r="AF22" s="905" t="str">
        <f t="shared" si="4"/>
        <v/>
      </c>
      <c r="AG22" s="1201" t="str">
        <f t="shared" si="5"/>
        <v/>
      </c>
      <c r="AH22" s="905" t="str">
        <f t="shared" si="6"/>
        <v/>
      </c>
      <c r="AI22" s="1201" t="str">
        <f t="shared" si="7"/>
        <v/>
      </c>
      <c r="AJ22" s="1240" t="str">
        <f t="shared" si="8"/>
        <v/>
      </c>
      <c r="AK22" s="906">
        <f t="shared" si="26"/>
        <v>0.08</v>
      </c>
      <c r="AL22" s="1316" t="s">
        <v>557</v>
      </c>
      <c r="AM22" s="1194" t="str">
        <f t="shared" si="9"/>
        <v/>
      </c>
      <c r="AN22" s="1195" t="str">
        <f t="shared" si="10"/>
        <v/>
      </c>
      <c r="AO22" s="1194" t="str">
        <f t="shared" si="11"/>
        <v/>
      </c>
      <c r="AP22" s="1195" t="str">
        <f t="shared" si="12"/>
        <v/>
      </c>
      <c r="AQ22" s="905" t="str">
        <f t="shared" si="22"/>
        <v/>
      </c>
    </row>
    <row r="23" spans="2:43" hidden="1" outlineLevel="1">
      <c r="B23" s="899" t="str">
        <f t="shared" si="23"/>
        <v/>
      </c>
      <c r="C23" s="159" t="str">
        <f>IF(OR('RRT Unit Mix (Paste)'!B20="", 'RRT Unit Mix (Paste)'!B20="Total/Avg"),"",'RRT Unit Mix (Paste)'!B20)</f>
        <v/>
      </c>
      <c r="D23" s="1321"/>
      <c r="E23" s="523" t="str">
        <f>IF($C23="","",'RRT Unit Mix (Paste)'!C20)</f>
        <v/>
      </c>
      <c r="F23" s="523" t="str">
        <f>IF($C23="","",'RRT Unit Mix (Paste)'!D20)</f>
        <v/>
      </c>
      <c r="G23" s="523" t="str">
        <f t="shared" si="13"/>
        <v/>
      </c>
      <c r="H23" s="900" t="str">
        <f>IF($C23="","",'RRT Unit Mix (Paste)'!E20)</f>
        <v/>
      </c>
      <c r="I23" s="900" t="str">
        <f t="shared" si="14"/>
        <v/>
      </c>
      <c r="J23" s="901" t="str">
        <f>IF($C23="","",'RRT Unit Mix (Paste)'!F20)</f>
        <v/>
      </c>
      <c r="K23" s="902" t="str">
        <f t="shared" si="15"/>
        <v/>
      </c>
      <c r="L23" s="901" t="str">
        <f>IF($C23="","",'RRT Unit Mix (Paste)'!G20)</f>
        <v/>
      </c>
      <c r="M23" s="902" t="str">
        <f t="shared" si="16"/>
        <v/>
      </c>
      <c r="N23" s="901" t="str">
        <f>IF($C23="","",'RRT Unit Mix (Paste)'!H20)</f>
        <v/>
      </c>
      <c r="O23" s="902" t="str">
        <f t="shared" si="17"/>
        <v/>
      </c>
      <c r="P23" s="1243"/>
      <c r="Q23" s="1272" t="str">
        <f t="shared" si="29"/>
        <v/>
      </c>
      <c r="R23" s="903" t="str">
        <f t="shared" si="0"/>
        <v/>
      </c>
      <c r="S23" s="1273" t="str">
        <f t="shared" si="30"/>
        <v/>
      </c>
      <c r="T23" s="903" t="str">
        <f t="shared" si="18"/>
        <v/>
      </c>
      <c r="U23" s="903" t="str">
        <f t="shared" si="19"/>
        <v/>
      </c>
      <c r="V23" s="1200" t="str">
        <f>'RRT Summary (Paste)'!M21</f>
        <v/>
      </c>
      <c r="W23" s="1200" t="str">
        <f>IF('RRT Summary (Paste)'!K21="","",'RRT Summary (Paste)'!J21)</f>
        <v/>
      </c>
      <c r="X23" s="904">
        <v>0</v>
      </c>
      <c r="Y23" s="1240" t="str">
        <f t="shared" si="1"/>
        <v/>
      </c>
      <c r="Z23" s="1201" t="str">
        <f t="shared" si="21"/>
        <v/>
      </c>
      <c r="AA23" s="892"/>
      <c r="AB23" s="906">
        <f t="shared" si="24"/>
        <v>0.04</v>
      </c>
      <c r="AC23" s="905" t="str">
        <f t="shared" si="2"/>
        <v/>
      </c>
      <c r="AD23" s="1201" t="str">
        <f t="shared" si="3"/>
        <v/>
      </c>
      <c r="AE23" s="906">
        <f t="shared" si="25"/>
        <v>7.4999999999999997E-2</v>
      </c>
      <c r="AF23" s="905" t="str">
        <f t="shared" si="4"/>
        <v/>
      </c>
      <c r="AG23" s="1201" t="str">
        <f t="shared" si="5"/>
        <v/>
      </c>
      <c r="AH23" s="905" t="str">
        <f t="shared" si="6"/>
        <v/>
      </c>
      <c r="AI23" s="1201" t="str">
        <f t="shared" si="7"/>
        <v/>
      </c>
      <c r="AJ23" s="1240" t="str">
        <f t="shared" si="8"/>
        <v/>
      </c>
      <c r="AK23" s="906">
        <f t="shared" si="26"/>
        <v>0.08</v>
      </c>
      <c r="AL23" s="1316" t="s">
        <v>557</v>
      </c>
      <c r="AM23" s="1194" t="str">
        <f t="shared" si="9"/>
        <v/>
      </c>
      <c r="AN23" s="1195" t="str">
        <f t="shared" si="10"/>
        <v/>
      </c>
      <c r="AO23" s="1194" t="str">
        <f t="shared" si="11"/>
        <v/>
      </c>
      <c r="AP23" s="1195" t="str">
        <f t="shared" si="12"/>
        <v/>
      </c>
      <c r="AQ23" s="905" t="str">
        <f t="shared" si="22"/>
        <v/>
      </c>
    </row>
    <row r="24" spans="2:43" hidden="1" outlineLevel="1">
      <c r="B24" s="899" t="str">
        <f t="shared" si="23"/>
        <v/>
      </c>
      <c r="C24" s="159" t="str">
        <f>IF(OR('RRT Unit Mix (Paste)'!B21="", 'RRT Unit Mix (Paste)'!B21="Total/Avg"),"",'RRT Unit Mix (Paste)'!B21)</f>
        <v/>
      </c>
      <c r="D24" s="1321"/>
      <c r="E24" s="523" t="str">
        <f>IF($C24="","",'RRT Unit Mix (Paste)'!C21)</f>
        <v/>
      </c>
      <c r="F24" s="523" t="str">
        <f>IF($C24="","",'RRT Unit Mix (Paste)'!D21)</f>
        <v/>
      </c>
      <c r="G24" s="523" t="str">
        <f t="shared" si="13"/>
        <v/>
      </c>
      <c r="H24" s="900" t="str">
        <f>IF($C24="","",'RRT Unit Mix (Paste)'!E21)</f>
        <v/>
      </c>
      <c r="I24" s="900" t="str">
        <f t="shared" si="14"/>
        <v/>
      </c>
      <c r="J24" s="901" t="str">
        <f>IF($C24="","",'RRT Unit Mix (Paste)'!F21)</f>
        <v/>
      </c>
      <c r="K24" s="902" t="str">
        <f t="shared" si="15"/>
        <v/>
      </c>
      <c r="L24" s="901" t="str">
        <f>IF($C24="","",'RRT Unit Mix (Paste)'!G21)</f>
        <v/>
      </c>
      <c r="M24" s="902" t="str">
        <f t="shared" si="16"/>
        <v/>
      </c>
      <c r="N24" s="901" t="str">
        <f>IF($C24="","",'RRT Unit Mix (Paste)'!H21)</f>
        <v/>
      </c>
      <c r="O24" s="902" t="str">
        <f t="shared" si="17"/>
        <v/>
      </c>
      <c r="P24" s="1243"/>
      <c r="Q24" s="1272" t="str">
        <f t="shared" si="29"/>
        <v/>
      </c>
      <c r="R24" s="903" t="str">
        <f t="shared" si="0"/>
        <v/>
      </c>
      <c r="S24" s="1273" t="str">
        <f t="shared" si="30"/>
        <v/>
      </c>
      <c r="T24" s="903" t="str">
        <f t="shared" si="18"/>
        <v/>
      </c>
      <c r="U24" s="903" t="str">
        <f t="shared" si="19"/>
        <v/>
      </c>
      <c r="V24" s="1200" t="str">
        <f>'RRT Summary (Paste)'!M22</f>
        <v/>
      </c>
      <c r="W24" s="1200" t="str">
        <f>IF('RRT Summary (Paste)'!K22="","",'RRT Summary (Paste)'!J22)</f>
        <v/>
      </c>
      <c r="X24" s="904">
        <v>0</v>
      </c>
      <c r="Y24" s="1240" t="str">
        <f t="shared" si="1"/>
        <v/>
      </c>
      <c r="Z24" s="1201" t="str">
        <f t="shared" si="21"/>
        <v/>
      </c>
      <c r="AA24" s="892"/>
      <c r="AB24" s="906">
        <f t="shared" si="24"/>
        <v>0.04</v>
      </c>
      <c r="AC24" s="905" t="str">
        <f t="shared" si="2"/>
        <v/>
      </c>
      <c r="AD24" s="1201" t="str">
        <f t="shared" si="3"/>
        <v/>
      </c>
      <c r="AE24" s="906">
        <f t="shared" si="25"/>
        <v>7.4999999999999997E-2</v>
      </c>
      <c r="AF24" s="905" t="str">
        <f t="shared" si="4"/>
        <v/>
      </c>
      <c r="AG24" s="1201" t="str">
        <f t="shared" si="5"/>
        <v/>
      </c>
      <c r="AH24" s="905" t="str">
        <f t="shared" si="6"/>
        <v/>
      </c>
      <c r="AI24" s="1201" t="str">
        <f t="shared" si="7"/>
        <v/>
      </c>
      <c r="AJ24" s="1240" t="str">
        <f t="shared" si="8"/>
        <v/>
      </c>
      <c r="AK24" s="906">
        <f t="shared" si="26"/>
        <v>0.08</v>
      </c>
      <c r="AL24" s="1316" t="s">
        <v>557</v>
      </c>
      <c r="AM24" s="1194" t="str">
        <f t="shared" si="9"/>
        <v/>
      </c>
      <c r="AN24" s="1195" t="str">
        <f t="shared" si="10"/>
        <v/>
      </c>
      <c r="AO24" s="1194" t="str">
        <f t="shared" si="11"/>
        <v/>
      </c>
      <c r="AP24" s="1195" t="str">
        <f t="shared" si="12"/>
        <v/>
      </c>
      <c r="AQ24" s="905" t="str">
        <f t="shared" si="22"/>
        <v/>
      </c>
    </row>
    <row r="25" spans="2:43" hidden="1" outlineLevel="1">
      <c r="B25" s="899" t="str">
        <f t="shared" si="23"/>
        <v/>
      </c>
      <c r="C25" s="159" t="str">
        <f>IF(OR('RRT Unit Mix (Paste)'!B22="", 'RRT Unit Mix (Paste)'!B22="Total/Avg"),"",'RRT Unit Mix (Paste)'!B22)</f>
        <v/>
      </c>
      <c r="D25" s="1321"/>
      <c r="E25" s="523" t="str">
        <f>IF($C25="","",'RRT Unit Mix (Paste)'!C22)</f>
        <v/>
      </c>
      <c r="F25" s="523" t="str">
        <f>IF($C25="","",'RRT Unit Mix (Paste)'!D22)</f>
        <v/>
      </c>
      <c r="G25" s="523" t="str">
        <f t="shared" si="13"/>
        <v/>
      </c>
      <c r="H25" s="900" t="str">
        <f>IF($C25="","",'RRT Unit Mix (Paste)'!E22)</f>
        <v/>
      </c>
      <c r="I25" s="900" t="str">
        <f t="shared" si="14"/>
        <v/>
      </c>
      <c r="J25" s="901" t="str">
        <f>IF($C25="","",'RRT Unit Mix (Paste)'!F22)</f>
        <v/>
      </c>
      <c r="K25" s="902" t="str">
        <f t="shared" si="15"/>
        <v/>
      </c>
      <c r="L25" s="901" t="str">
        <f>IF($C25="","",'RRT Unit Mix (Paste)'!G22)</f>
        <v/>
      </c>
      <c r="M25" s="902" t="str">
        <f t="shared" si="16"/>
        <v/>
      </c>
      <c r="N25" s="901" t="str">
        <f>IF($C25="","",'RRT Unit Mix (Paste)'!H22)</f>
        <v/>
      </c>
      <c r="O25" s="902" t="str">
        <f t="shared" si="17"/>
        <v/>
      </c>
      <c r="P25" s="1243"/>
      <c r="Q25" s="1272" t="str">
        <f t="shared" si="29"/>
        <v/>
      </c>
      <c r="R25" s="903" t="str">
        <f t="shared" si="0"/>
        <v/>
      </c>
      <c r="S25" s="1273" t="str">
        <f t="shared" si="30"/>
        <v/>
      </c>
      <c r="T25" s="903" t="str">
        <f t="shared" si="18"/>
        <v/>
      </c>
      <c r="U25" s="903" t="str">
        <f t="shared" si="19"/>
        <v/>
      </c>
      <c r="V25" s="1200" t="str">
        <f>'RRT Summary (Paste)'!M23</f>
        <v/>
      </c>
      <c r="W25" s="1200" t="str">
        <f>IF('RRT Summary (Paste)'!K23="","",'RRT Summary (Paste)'!J23)</f>
        <v/>
      </c>
      <c r="X25" s="904">
        <v>0</v>
      </c>
      <c r="Y25" s="1240" t="str">
        <f t="shared" si="1"/>
        <v/>
      </c>
      <c r="Z25" s="1201" t="str">
        <f t="shared" si="21"/>
        <v/>
      </c>
      <c r="AA25" s="892"/>
      <c r="AB25" s="906">
        <f t="shared" si="24"/>
        <v>0.04</v>
      </c>
      <c r="AC25" s="905" t="str">
        <f t="shared" si="2"/>
        <v/>
      </c>
      <c r="AD25" s="1201" t="str">
        <f t="shared" si="3"/>
        <v/>
      </c>
      <c r="AE25" s="906">
        <f t="shared" si="25"/>
        <v>7.4999999999999997E-2</v>
      </c>
      <c r="AF25" s="905" t="str">
        <f t="shared" si="4"/>
        <v/>
      </c>
      <c r="AG25" s="1201" t="str">
        <f t="shared" si="5"/>
        <v/>
      </c>
      <c r="AH25" s="905" t="str">
        <f t="shared" si="6"/>
        <v/>
      </c>
      <c r="AI25" s="1201" t="str">
        <f t="shared" si="7"/>
        <v/>
      </c>
      <c r="AJ25" s="1240" t="str">
        <f t="shared" si="8"/>
        <v/>
      </c>
      <c r="AK25" s="906">
        <f t="shared" si="26"/>
        <v>0.08</v>
      </c>
      <c r="AL25" s="1316" t="s">
        <v>557</v>
      </c>
      <c r="AM25" s="1194" t="str">
        <f t="shared" si="9"/>
        <v/>
      </c>
      <c r="AN25" s="1195" t="str">
        <f t="shared" si="10"/>
        <v/>
      </c>
      <c r="AO25" s="1194" t="str">
        <f t="shared" si="11"/>
        <v/>
      </c>
      <c r="AP25" s="1195" t="str">
        <f t="shared" si="12"/>
        <v/>
      </c>
      <c r="AQ25" s="905" t="str">
        <f t="shared" si="22"/>
        <v/>
      </c>
    </row>
    <row r="26" spans="2:43" hidden="1" outlineLevel="1">
      <c r="B26" s="899" t="str">
        <f t="shared" si="23"/>
        <v/>
      </c>
      <c r="C26" s="159" t="str">
        <f>IF(OR('RRT Unit Mix (Paste)'!B23="", 'RRT Unit Mix (Paste)'!B23="Total/Avg"),"",'RRT Unit Mix (Paste)'!B23)</f>
        <v/>
      </c>
      <c r="D26" s="1321"/>
      <c r="E26" s="523" t="str">
        <f>IF($C26="","",'RRT Unit Mix (Paste)'!C23)</f>
        <v/>
      </c>
      <c r="F26" s="523" t="str">
        <f>IF($C26="","",'RRT Unit Mix (Paste)'!D23)</f>
        <v/>
      </c>
      <c r="G26" s="523" t="str">
        <f t="shared" si="13"/>
        <v/>
      </c>
      <c r="H26" s="900" t="str">
        <f>IF($C26="","",'RRT Unit Mix (Paste)'!E23)</f>
        <v/>
      </c>
      <c r="I26" s="900" t="str">
        <f t="shared" si="14"/>
        <v/>
      </c>
      <c r="J26" s="901" t="str">
        <f>IF($C26="","",'RRT Unit Mix (Paste)'!F23)</f>
        <v/>
      </c>
      <c r="K26" s="902" t="str">
        <f t="shared" si="15"/>
        <v/>
      </c>
      <c r="L26" s="901" t="str">
        <f>IF($C26="","",'RRT Unit Mix (Paste)'!G23)</f>
        <v/>
      </c>
      <c r="M26" s="902" t="str">
        <f t="shared" si="16"/>
        <v/>
      </c>
      <c r="N26" s="901" t="str">
        <f>IF($C26="","",'RRT Unit Mix (Paste)'!H23)</f>
        <v/>
      </c>
      <c r="O26" s="902" t="str">
        <f t="shared" si="17"/>
        <v/>
      </c>
      <c r="P26" s="1243"/>
      <c r="Q26" s="1272" t="str">
        <f t="shared" si="29"/>
        <v/>
      </c>
      <c r="R26" s="903" t="str">
        <f t="shared" si="0"/>
        <v/>
      </c>
      <c r="S26" s="1273" t="str">
        <f t="shared" si="30"/>
        <v/>
      </c>
      <c r="T26" s="903" t="str">
        <f t="shared" si="18"/>
        <v/>
      </c>
      <c r="U26" s="903" t="str">
        <f t="shared" si="19"/>
        <v/>
      </c>
      <c r="V26" s="1200" t="str">
        <f>'RRT Summary (Paste)'!M24</f>
        <v/>
      </c>
      <c r="W26" s="1200" t="str">
        <f>IF('RRT Summary (Paste)'!K24="","",'RRT Summary (Paste)'!J24)</f>
        <v/>
      </c>
      <c r="X26" s="904">
        <v>0</v>
      </c>
      <c r="Y26" s="1240" t="str">
        <f t="shared" si="1"/>
        <v/>
      </c>
      <c r="Z26" s="1201" t="str">
        <f t="shared" si="21"/>
        <v/>
      </c>
      <c r="AA26" s="892"/>
      <c r="AB26" s="906">
        <f t="shared" si="24"/>
        <v>0.04</v>
      </c>
      <c r="AC26" s="905" t="str">
        <f t="shared" si="2"/>
        <v/>
      </c>
      <c r="AD26" s="1201" t="str">
        <f t="shared" si="3"/>
        <v/>
      </c>
      <c r="AE26" s="906">
        <f t="shared" si="25"/>
        <v>7.4999999999999997E-2</v>
      </c>
      <c r="AF26" s="905" t="str">
        <f t="shared" si="4"/>
        <v/>
      </c>
      <c r="AG26" s="1201" t="str">
        <f t="shared" si="5"/>
        <v/>
      </c>
      <c r="AH26" s="905" t="str">
        <f t="shared" si="6"/>
        <v/>
      </c>
      <c r="AI26" s="1201" t="str">
        <f t="shared" si="7"/>
        <v/>
      </c>
      <c r="AJ26" s="1240" t="str">
        <f t="shared" si="8"/>
        <v/>
      </c>
      <c r="AK26" s="906">
        <f t="shared" si="26"/>
        <v>0.08</v>
      </c>
      <c r="AL26" s="1316" t="s">
        <v>557</v>
      </c>
      <c r="AM26" s="1194" t="str">
        <f t="shared" si="9"/>
        <v/>
      </c>
      <c r="AN26" s="1195" t="str">
        <f t="shared" si="10"/>
        <v/>
      </c>
      <c r="AO26" s="1194" t="str">
        <f t="shared" si="11"/>
        <v/>
      </c>
      <c r="AP26" s="1195" t="str">
        <f t="shared" si="12"/>
        <v/>
      </c>
      <c r="AQ26" s="905" t="str">
        <f t="shared" si="22"/>
        <v/>
      </c>
    </row>
    <row r="27" spans="2:43" hidden="1" outlineLevel="1">
      <c r="B27" s="899" t="str">
        <f t="shared" si="23"/>
        <v/>
      </c>
      <c r="C27" s="159" t="str">
        <f>IF(OR('RRT Unit Mix (Paste)'!B24="", 'RRT Unit Mix (Paste)'!B24="Total/Avg"),"",'RRT Unit Mix (Paste)'!B24)</f>
        <v/>
      </c>
      <c r="D27" s="1321"/>
      <c r="E27" s="523" t="str">
        <f>IF($C27="","",'RRT Unit Mix (Paste)'!C24)</f>
        <v/>
      </c>
      <c r="F27" s="523" t="str">
        <f>IF($C27="","",'RRT Unit Mix (Paste)'!D24)</f>
        <v/>
      </c>
      <c r="G27" s="523" t="str">
        <f t="shared" si="13"/>
        <v/>
      </c>
      <c r="H27" s="900" t="str">
        <f>IF($C27="","",'RRT Unit Mix (Paste)'!E24)</f>
        <v/>
      </c>
      <c r="I27" s="900" t="str">
        <f t="shared" si="14"/>
        <v/>
      </c>
      <c r="J27" s="901" t="str">
        <f>IF($C27="","",'RRT Unit Mix (Paste)'!F24)</f>
        <v/>
      </c>
      <c r="K27" s="902" t="str">
        <f t="shared" si="15"/>
        <v/>
      </c>
      <c r="L27" s="901" t="str">
        <f>IF($C27="","",'RRT Unit Mix (Paste)'!G24)</f>
        <v/>
      </c>
      <c r="M27" s="902" t="str">
        <f t="shared" si="16"/>
        <v/>
      </c>
      <c r="N27" s="901" t="str">
        <f>IF($C27="","",'RRT Unit Mix (Paste)'!H24)</f>
        <v/>
      </c>
      <c r="O27" s="902" t="str">
        <f t="shared" si="17"/>
        <v/>
      </c>
      <c r="P27" s="1243"/>
      <c r="Q27" s="1272" t="str">
        <f t="shared" si="29"/>
        <v/>
      </c>
      <c r="R27" s="903" t="str">
        <f t="shared" si="0"/>
        <v/>
      </c>
      <c r="S27" s="1273" t="str">
        <f t="shared" si="30"/>
        <v/>
      </c>
      <c r="T27" s="903" t="str">
        <f t="shared" si="18"/>
        <v/>
      </c>
      <c r="U27" s="903" t="str">
        <f t="shared" si="19"/>
        <v/>
      </c>
      <c r="V27" s="1200" t="str">
        <f>'RRT Summary (Paste)'!M25</f>
        <v/>
      </c>
      <c r="W27" s="1200" t="str">
        <f>IF('RRT Summary (Paste)'!K25="","",'RRT Summary (Paste)'!J25)</f>
        <v/>
      </c>
      <c r="X27" s="904">
        <v>0</v>
      </c>
      <c r="Y27" s="1240" t="str">
        <f t="shared" si="1"/>
        <v/>
      </c>
      <c r="Z27" s="1201" t="str">
        <f t="shared" si="21"/>
        <v/>
      </c>
      <c r="AA27" s="892"/>
      <c r="AB27" s="906">
        <f t="shared" si="24"/>
        <v>0.04</v>
      </c>
      <c r="AC27" s="905" t="str">
        <f t="shared" si="2"/>
        <v/>
      </c>
      <c r="AD27" s="1201" t="str">
        <f t="shared" si="3"/>
        <v/>
      </c>
      <c r="AE27" s="906">
        <f t="shared" si="25"/>
        <v>7.4999999999999997E-2</v>
      </c>
      <c r="AF27" s="905" t="str">
        <f t="shared" si="4"/>
        <v/>
      </c>
      <c r="AG27" s="1201" t="str">
        <f t="shared" si="5"/>
        <v/>
      </c>
      <c r="AH27" s="905" t="str">
        <f t="shared" si="6"/>
        <v/>
      </c>
      <c r="AI27" s="1201" t="str">
        <f t="shared" si="7"/>
        <v/>
      </c>
      <c r="AJ27" s="1240" t="str">
        <f t="shared" si="8"/>
        <v/>
      </c>
      <c r="AK27" s="906">
        <f t="shared" si="26"/>
        <v>0.08</v>
      </c>
      <c r="AL27" s="1316" t="s">
        <v>557</v>
      </c>
      <c r="AM27" s="1194" t="str">
        <f t="shared" si="9"/>
        <v/>
      </c>
      <c r="AN27" s="1195" t="str">
        <f t="shared" si="10"/>
        <v/>
      </c>
      <c r="AO27" s="1194" t="str">
        <f t="shared" si="11"/>
        <v/>
      </c>
      <c r="AP27" s="1195" t="str">
        <f t="shared" si="12"/>
        <v/>
      </c>
      <c r="AQ27" s="905" t="str">
        <f t="shared" si="22"/>
        <v/>
      </c>
    </row>
    <row r="28" spans="2:43" hidden="1" outlineLevel="1">
      <c r="B28" s="899" t="str">
        <f t="shared" si="23"/>
        <v/>
      </c>
      <c r="C28" s="159" t="str">
        <f>IF(OR('RRT Unit Mix (Paste)'!B25="", 'RRT Unit Mix (Paste)'!B25="Total/Avg"),"",'RRT Unit Mix (Paste)'!B25)</f>
        <v/>
      </c>
      <c r="D28" s="1321"/>
      <c r="E28" s="523" t="str">
        <f>IF($C28="","",'RRT Unit Mix (Paste)'!C25)</f>
        <v/>
      </c>
      <c r="F28" s="523" t="str">
        <f>IF($C28="","",'RRT Unit Mix (Paste)'!D25)</f>
        <v/>
      </c>
      <c r="G28" s="523" t="str">
        <f t="shared" si="13"/>
        <v/>
      </c>
      <c r="H28" s="900" t="str">
        <f>IF($C28="","",'RRT Unit Mix (Paste)'!E25)</f>
        <v/>
      </c>
      <c r="I28" s="900" t="str">
        <f t="shared" si="14"/>
        <v/>
      </c>
      <c r="J28" s="901" t="str">
        <f>IF($C28="","",'RRT Unit Mix (Paste)'!F25)</f>
        <v/>
      </c>
      <c r="K28" s="902" t="str">
        <f t="shared" si="15"/>
        <v/>
      </c>
      <c r="L28" s="901" t="str">
        <f>IF($C28="","",'RRT Unit Mix (Paste)'!G25)</f>
        <v/>
      </c>
      <c r="M28" s="902" t="str">
        <f t="shared" si="16"/>
        <v/>
      </c>
      <c r="N28" s="901" t="str">
        <f>IF($C28="","",'RRT Unit Mix (Paste)'!H25)</f>
        <v/>
      </c>
      <c r="O28" s="902" t="str">
        <f t="shared" si="17"/>
        <v/>
      </c>
      <c r="P28" s="1243"/>
      <c r="Q28" s="1272" t="str">
        <f t="shared" si="29"/>
        <v/>
      </c>
      <c r="R28" s="903" t="str">
        <f t="shared" si="0"/>
        <v/>
      </c>
      <c r="S28" s="1273" t="str">
        <f t="shared" si="30"/>
        <v/>
      </c>
      <c r="T28" s="903" t="str">
        <f t="shared" si="18"/>
        <v/>
      </c>
      <c r="U28" s="903" t="str">
        <f t="shared" si="19"/>
        <v/>
      </c>
      <c r="V28" s="1200" t="str">
        <f>'RRT Summary (Paste)'!M26</f>
        <v/>
      </c>
      <c r="W28" s="1200" t="str">
        <f>IF('RRT Summary (Paste)'!K26="","",'RRT Summary (Paste)'!J26)</f>
        <v/>
      </c>
      <c r="X28" s="904">
        <v>0</v>
      </c>
      <c r="Y28" s="1240" t="str">
        <f t="shared" si="1"/>
        <v/>
      </c>
      <c r="Z28" s="1201" t="str">
        <f t="shared" si="21"/>
        <v/>
      </c>
      <c r="AA28" s="892"/>
      <c r="AB28" s="906">
        <f t="shared" si="24"/>
        <v>0.04</v>
      </c>
      <c r="AC28" s="905" t="str">
        <f t="shared" si="2"/>
        <v/>
      </c>
      <c r="AD28" s="1201" t="str">
        <f t="shared" si="3"/>
        <v/>
      </c>
      <c r="AE28" s="906">
        <f t="shared" si="25"/>
        <v>7.4999999999999997E-2</v>
      </c>
      <c r="AF28" s="905" t="str">
        <f t="shared" si="4"/>
        <v/>
      </c>
      <c r="AG28" s="1201" t="str">
        <f t="shared" si="5"/>
        <v/>
      </c>
      <c r="AH28" s="905" t="str">
        <f t="shared" si="6"/>
        <v/>
      </c>
      <c r="AI28" s="1201" t="str">
        <f t="shared" si="7"/>
        <v/>
      </c>
      <c r="AJ28" s="1240" t="str">
        <f t="shared" si="8"/>
        <v/>
      </c>
      <c r="AK28" s="906">
        <f t="shared" si="26"/>
        <v>0.08</v>
      </c>
      <c r="AL28" s="1316" t="s">
        <v>557</v>
      </c>
      <c r="AM28" s="1194" t="str">
        <f t="shared" si="9"/>
        <v/>
      </c>
      <c r="AN28" s="1195" t="str">
        <f t="shared" si="10"/>
        <v/>
      </c>
      <c r="AO28" s="1194" t="str">
        <f t="shared" si="11"/>
        <v/>
      </c>
      <c r="AP28" s="1195" t="str">
        <f t="shared" si="12"/>
        <v/>
      </c>
      <c r="AQ28" s="905" t="str">
        <f t="shared" si="22"/>
        <v/>
      </c>
    </row>
    <row r="29" spans="2:43" hidden="1" outlineLevel="1">
      <c r="B29" s="899" t="str">
        <f t="shared" si="23"/>
        <v/>
      </c>
      <c r="C29" s="159" t="str">
        <f>IF(OR('RRT Unit Mix (Paste)'!B26="", 'RRT Unit Mix (Paste)'!B26="Total/Avg"),"",'RRT Unit Mix (Paste)'!B26)</f>
        <v/>
      </c>
      <c r="D29" s="1321"/>
      <c r="E29" s="523" t="str">
        <f>IF($C29="","",'RRT Unit Mix (Paste)'!C26)</f>
        <v/>
      </c>
      <c r="F29" s="523" t="str">
        <f>IF($C29="","",'RRT Unit Mix (Paste)'!D26)</f>
        <v/>
      </c>
      <c r="G29" s="523" t="str">
        <f t="shared" si="13"/>
        <v/>
      </c>
      <c r="H29" s="900" t="str">
        <f>IF($C29="","",'RRT Unit Mix (Paste)'!E26)</f>
        <v/>
      </c>
      <c r="I29" s="900" t="str">
        <f t="shared" si="14"/>
        <v/>
      </c>
      <c r="J29" s="901" t="str">
        <f>IF($C29="","",'RRT Unit Mix (Paste)'!F26)</f>
        <v/>
      </c>
      <c r="K29" s="902" t="str">
        <f t="shared" si="15"/>
        <v/>
      </c>
      <c r="L29" s="901" t="str">
        <f>IF($C29="","",'RRT Unit Mix (Paste)'!G26)</f>
        <v/>
      </c>
      <c r="M29" s="902" t="str">
        <f t="shared" si="16"/>
        <v/>
      </c>
      <c r="N29" s="901" t="str">
        <f>IF($C29="","",'RRT Unit Mix (Paste)'!H26)</f>
        <v/>
      </c>
      <c r="O29" s="902" t="str">
        <f t="shared" si="17"/>
        <v/>
      </c>
      <c r="P29" s="1243"/>
      <c r="Q29" s="1272" t="str">
        <f t="shared" si="29"/>
        <v/>
      </c>
      <c r="R29" s="903" t="str">
        <f t="shared" si="0"/>
        <v/>
      </c>
      <c r="S29" s="1273" t="str">
        <f t="shared" si="30"/>
        <v/>
      </c>
      <c r="T29" s="903" t="str">
        <f t="shared" si="18"/>
        <v/>
      </c>
      <c r="U29" s="903" t="str">
        <f t="shared" si="19"/>
        <v/>
      </c>
      <c r="V29" s="1200" t="str">
        <f>'RRT Summary (Paste)'!M27</f>
        <v/>
      </c>
      <c r="W29" s="1200" t="str">
        <f>IF('RRT Summary (Paste)'!K27="","",'RRT Summary (Paste)'!J27)</f>
        <v/>
      </c>
      <c r="X29" s="904">
        <v>0</v>
      </c>
      <c r="Y29" s="1240" t="str">
        <f t="shared" si="1"/>
        <v/>
      </c>
      <c r="Z29" s="1201" t="str">
        <f t="shared" si="21"/>
        <v/>
      </c>
      <c r="AA29" s="892"/>
      <c r="AB29" s="906">
        <f t="shared" si="24"/>
        <v>0.04</v>
      </c>
      <c r="AC29" s="905" t="str">
        <f t="shared" si="2"/>
        <v/>
      </c>
      <c r="AD29" s="1201" t="str">
        <f t="shared" si="3"/>
        <v/>
      </c>
      <c r="AE29" s="906">
        <f t="shared" si="25"/>
        <v>7.4999999999999997E-2</v>
      </c>
      <c r="AF29" s="905" t="str">
        <f t="shared" si="4"/>
        <v/>
      </c>
      <c r="AG29" s="1201" t="str">
        <f t="shared" si="5"/>
        <v/>
      </c>
      <c r="AH29" s="905" t="str">
        <f t="shared" si="6"/>
        <v/>
      </c>
      <c r="AI29" s="1201" t="str">
        <f t="shared" si="7"/>
        <v/>
      </c>
      <c r="AJ29" s="1240" t="str">
        <f t="shared" si="8"/>
        <v/>
      </c>
      <c r="AK29" s="906">
        <f t="shared" si="26"/>
        <v>0.08</v>
      </c>
      <c r="AL29" s="1316" t="s">
        <v>557</v>
      </c>
      <c r="AM29" s="1194" t="str">
        <f t="shared" si="9"/>
        <v/>
      </c>
      <c r="AN29" s="1195" t="str">
        <f t="shared" si="10"/>
        <v/>
      </c>
      <c r="AO29" s="1194" t="str">
        <f t="shared" si="11"/>
        <v/>
      </c>
      <c r="AP29" s="1195" t="str">
        <f t="shared" si="12"/>
        <v/>
      </c>
      <c r="AQ29" s="905" t="str">
        <f t="shared" si="22"/>
        <v/>
      </c>
    </row>
    <row r="30" spans="2:43" hidden="1" outlineLevel="1">
      <c r="B30" s="899" t="str">
        <f t="shared" si="23"/>
        <v/>
      </c>
      <c r="C30" s="159" t="str">
        <f>IF(OR('RRT Unit Mix (Paste)'!B27="", 'RRT Unit Mix (Paste)'!B27="Total/Avg"),"",'RRT Unit Mix (Paste)'!B27)</f>
        <v/>
      </c>
      <c r="D30" s="1321"/>
      <c r="E30" s="523" t="str">
        <f>IF($C30="","",'RRT Unit Mix (Paste)'!C27)</f>
        <v/>
      </c>
      <c r="F30" s="523" t="str">
        <f>IF($C30="","",'RRT Unit Mix (Paste)'!D27)</f>
        <v/>
      </c>
      <c r="G30" s="523" t="str">
        <f t="shared" si="13"/>
        <v/>
      </c>
      <c r="H30" s="900" t="str">
        <f>IF($C30="","",'RRT Unit Mix (Paste)'!E27)</f>
        <v/>
      </c>
      <c r="I30" s="900" t="str">
        <f t="shared" si="14"/>
        <v/>
      </c>
      <c r="J30" s="901" t="str">
        <f>IF($C30="","",'RRT Unit Mix (Paste)'!F27)</f>
        <v/>
      </c>
      <c r="K30" s="902" t="str">
        <f t="shared" si="15"/>
        <v/>
      </c>
      <c r="L30" s="901" t="str">
        <f>IF($C30="","",'RRT Unit Mix (Paste)'!G27)</f>
        <v/>
      </c>
      <c r="M30" s="902" t="str">
        <f t="shared" si="16"/>
        <v/>
      </c>
      <c r="N30" s="901" t="str">
        <f>IF($C30="","",'RRT Unit Mix (Paste)'!H27)</f>
        <v/>
      </c>
      <c r="O30" s="902" t="str">
        <f t="shared" si="17"/>
        <v/>
      </c>
      <c r="P30" s="1243"/>
      <c r="Q30" s="1272" t="str">
        <f t="shared" si="29"/>
        <v/>
      </c>
      <c r="R30" s="903" t="str">
        <f t="shared" si="0"/>
        <v/>
      </c>
      <c r="S30" s="1273" t="str">
        <f t="shared" si="30"/>
        <v/>
      </c>
      <c r="T30" s="903" t="str">
        <f t="shared" si="18"/>
        <v/>
      </c>
      <c r="U30" s="903" t="str">
        <f t="shared" si="19"/>
        <v/>
      </c>
      <c r="V30" s="1200" t="str">
        <f>'RRT Summary (Paste)'!M28</f>
        <v/>
      </c>
      <c r="W30" s="1200" t="str">
        <f>IF('RRT Summary (Paste)'!K28="","",'RRT Summary (Paste)'!J28)</f>
        <v/>
      </c>
      <c r="X30" s="904">
        <v>0</v>
      </c>
      <c r="Y30" s="1240" t="str">
        <f t="shared" si="1"/>
        <v/>
      </c>
      <c r="Z30" s="1201" t="str">
        <f t="shared" si="21"/>
        <v/>
      </c>
      <c r="AA30" s="892"/>
      <c r="AB30" s="906">
        <f t="shared" si="24"/>
        <v>0.04</v>
      </c>
      <c r="AC30" s="905" t="str">
        <f t="shared" si="2"/>
        <v/>
      </c>
      <c r="AD30" s="1201" t="str">
        <f t="shared" si="3"/>
        <v/>
      </c>
      <c r="AE30" s="906">
        <f t="shared" si="25"/>
        <v>7.4999999999999997E-2</v>
      </c>
      <c r="AF30" s="905" t="str">
        <f t="shared" si="4"/>
        <v/>
      </c>
      <c r="AG30" s="1201" t="str">
        <f t="shared" si="5"/>
        <v/>
      </c>
      <c r="AH30" s="905" t="str">
        <f t="shared" si="6"/>
        <v/>
      </c>
      <c r="AI30" s="1201" t="str">
        <f t="shared" si="7"/>
        <v/>
      </c>
      <c r="AJ30" s="1240" t="str">
        <f t="shared" si="8"/>
        <v/>
      </c>
      <c r="AK30" s="906">
        <f t="shared" si="26"/>
        <v>0.08</v>
      </c>
      <c r="AL30" s="1316" t="s">
        <v>557</v>
      </c>
      <c r="AM30" s="1194" t="str">
        <f t="shared" si="9"/>
        <v/>
      </c>
      <c r="AN30" s="1195" t="str">
        <f t="shared" si="10"/>
        <v/>
      </c>
      <c r="AO30" s="1194" t="str">
        <f t="shared" si="11"/>
        <v/>
      </c>
      <c r="AP30" s="1195" t="str">
        <f t="shared" si="12"/>
        <v/>
      </c>
      <c r="AQ30" s="905" t="str">
        <f t="shared" si="22"/>
        <v/>
      </c>
    </row>
    <row r="31" spans="2:43" hidden="1" outlineLevel="1">
      <c r="B31" s="899" t="str">
        <f t="shared" si="23"/>
        <v/>
      </c>
      <c r="C31" s="159" t="str">
        <f>IF(OR('RRT Unit Mix (Paste)'!B28="", 'RRT Unit Mix (Paste)'!B28="Total/Avg"),"",'RRT Unit Mix (Paste)'!B28)</f>
        <v/>
      </c>
      <c r="D31" s="1321"/>
      <c r="E31" s="523" t="str">
        <f>IF($C31="","",'RRT Unit Mix (Paste)'!C28)</f>
        <v/>
      </c>
      <c r="F31" s="523" t="str">
        <f>IF($C31="","",'RRT Unit Mix (Paste)'!D28)</f>
        <v/>
      </c>
      <c r="G31" s="523" t="str">
        <f t="shared" si="13"/>
        <v/>
      </c>
      <c r="H31" s="900" t="str">
        <f>IF($C31="","",'RRT Unit Mix (Paste)'!E28)</f>
        <v/>
      </c>
      <c r="I31" s="900" t="str">
        <f t="shared" si="14"/>
        <v/>
      </c>
      <c r="J31" s="901" t="str">
        <f>IF($C31="","",'RRT Unit Mix (Paste)'!F28)</f>
        <v/>
      </c>
      <c r="K31" s="902" t="str">
        <f t="shared" si="15"/>
        <v/>
      </c>
      <c r="L31" s="901" t="str">
        <f>IF($C31="","",'RRT Unit Mix (Paste)'!G28)</f>
        <v/>
      </c>
      <c r="M31" s="902" t="str">
        <f t="shared" si="16"/>
        <v/>
      </c>
      <c r="N31" s="901" t="str">
        <f>IF($C31="","",'RRT Unit Mix (Paste)'!H28)</f>
        <v/>
      </c>
      <c r="O31" s="902" t="str">
        <f t="shared" si="17"/>
        <v/>
      </c>
      <c r="P31" s="1243"/>
      <c r="Q31" s="1272" t="str">
        <f t="shared" si="29"/>
        <v/>
      </c>
      <c r="R31" s="903" t="str">
        <f t="shared" si="0"/>
        <v/>
      </c>
      <c r="S31" s="1273" t="str">
        <f t="shared" si="30"/>
        <v/>
      </c>
      <c r="T31" s="903" t="str">
        <f t="shared" si="18"/>
        <v/>
      </c>
      <c r="U31" s="903" t="str">
        <f t="shared" si="19"/>
        <v/>
      </c>
      <c r="V31" s="1200" t="str">
        <f>'RRT Summary (Paste)'!M29</f>
        <v/>
      </c>
      <c r="W31" s="1200" t="str">
        <f>IF('RRT Summary (Paste)'!K29="","",'RRT Summary (Paste)'!J29)</f>
        <v/>
      </c>
      <c r="X31" s="904">
        <v>0</v>
      </c>
      <c r="Y31" s="1240" t="str">
        <f t="shared" si="1"/>
        <v/>
      </c>
      <c r="Z31" s="1201" t="str">
        <f t="shared" si="21"/>
        <v/>
      </c>
      <c r="AA31" s="892"/>
      <c r="AB31" s="906">
        <f t="shared" si="24"/>
        <v>0.04</v>
      </c>
      <c r="AC31" s="905" t="str">
        <f t="shared" si="2"/>
        <v/>
      </c>
      <c r="AD31" s="1201" t="str">
        <f t="shared" si="3"/>
        <v/>
      </c>
      <c r="AE31" s="906">
        <f t="shared" si="25"/>
        <v>7.4999999999999997E-2</v>
      </c>
      <c r="AF31" s="905" t="str">
        <f t="shared" si="4"/>
        <v/>
      </c>
      <c r="AG31" s="1201" t="str">
        <f t="shared" si="5"/>
        <v/>
      </c>
      <c r="AH31" s="905" t="str">
        <f t="shared" si="6"/>
        <v/>
      </c>
      <c r="AI31" s="1201" t="str">
        <f t="shared" si="7"/>
        <v/>
      </c>
      <c r="AJ31" s="1240" t="str">
        <f t="shared" si="8"/>
        <v/>
      </c>
      <c r="AK31" s="906">
        <f t="shared" si="26"/>
        <v>0.08</v>
      </c>
      <c r="AL31" s="1316" t="s">
        <v>557</v>
      </c>
      <c r="AM31" s="1194" t="str">
        <f t="shared" si="9"/>
        <v/>
      </c>
      <c r="AN31" s="1195" t="str">
        <f t="shared" si="10"/>
        <v/>
      </c>
      <c r="AO31" s="1194" t="str">
        <f t="shared" si="11"/>
        <v/>
      </c>
      <c r="AP31" s="1195" t="str">
        <f t="shared" si="12"/>
        <v/>
      </c>
      <c r="AQ31" s="905" t="str">
        <f t="shared" si="22"/>
        <v/>
      </c>
    </row>
    <row r="32" spans="2:43" hidden="1" outlineLevel="1">
      <c r="B32" s="899" t="str">
        <f t="shared" si="23"/>
        <v/>
      </c>
      <c r="C32" s="159" t="str">
        <f>IF(OR('RRT Unit Mix (Paste)'!B29="", 'RRT Unit Mix (Paste)'!B29="Total/Avg"),"",'RRT Unit Mix (Paste)'!B29)</f>
        <v/>
      </c>
      <c r="D32" s="1321"/>
      <c r="E32" s="523" t="str">
        <f>IF($C32="","",'RRT Unit Mix (Paste)'!C29)</f>
        <v/>
      </c>
      <c r="F32" s="523" t="str">
        <f>IF($C32="","",'RRT Unit Mix (Paste)'!D29)</f>
        <v/>
      </c>
      <c r="G32" s="523" t="str">
        <f t="shared" si="13"/>
        <v/>
      </c>
      <c r="H32" s="900" t="str">
        <f>IF($C32="","",'RRT Unit Mix (Paste)'!E29)</f>
        <v/>
      </c>
      <c r="I32" s="900" t="str">
        <f t="shared" si="14"/>
        <v/>
      </c>
      <c r="J32" s="901" t="str">
        <f>IF($C32="","",'RRT Unit Mix (Paste)'!F29)</f>
        <v/>
      </c>
      <c r="K32" s="902" t="str">
        <f t="shared" si="15"/>
        <v/>
      </c>
      <c r="L32" s="901" t="str">
        <f>IF($C32="","",'RRT Unit Mix (Paste)'!G29)</f>
        <v/>
      </c>
      <c r="M32" s="902" t="str">
        <f t="shared" si="16"/>
        <v/>
      </c>
      <c r="N32" s="901" t="str">
        <f>IF($C32="","",'RRT Unit Mix (Paste)'!H29)</f>
        <v/>
      </c>
      <c r="O32" s="902" t="str">
        <f t="shared" si="17"/>
        <v/>
      </c>
      <c r="P32" s="1243"/>
      <c r="Q32" s="1272" t="str">
        <f t="shared" si="29"/>
        <v/>
      </c>
      <c r="R32" s="903" t="str">
        <f t="shared" si="0"/>
        <v/>
      </c>
      <c r="S32" s="1273" t="str">
        <f t="shared" si="30"/>
        <v/>
      </c>
      <c r="T32" s="903" t="str">
        <f t="shared" si="18"/>
        <v/>
      </c>
      <c r="U32" s="903" t="str">
        <f t="shared" si="19"/>
        <v/>
      </c>
      <c r="V32" s="1200" t="str">
        <f>'RRT Summary (Paste)'!M30</f>
        <v/>
      </c>
      <c r="W32" s="1200" t="str">
        <f>IF('RRT Summary (Paste)'!K30="","",'RRT Summary (Paste)'!J30)</f>
        <v/>
      </c>
      <c r="X32" s="904">
        <v>0</v>
      </c>
      <c r="Y32" s="1240" t="str">
        <f t="shared" si="1"/>
        <v/>
      </c>
      <c r="Z32" s="1201" t="str">
        <f t="shared" si="21"/>
        <v/>
      </c>
      <c r="AA32" s="892"/>
      <c r="AB32" s="906">
        <f t="shared" si="24"/>
        <v>0.04</v>
      </c>
      <c r="AC32" s="905" t="str">
        <f t="shared" si="2"/>
        <v/>
      </c>
      <c r="AD32" s="1201" t="str">
        <f t="shared" si="3"/>
        <v/>
      </c>
      <c r="AE32" s="906">
        <f t="shared" si="25"/>
        <v>7.4999999999999997E-2</v>
      </c>
      <c r="AF32" s="905" t="str">
        <f t="shared" si="4"/>
        <v/>
      </c>
      <c r="AG32" s="1201" t="str">
        <f t="shared" si="5"/>
        <v/>
      </c>
      <c r="AH32" s="905" t="str">
        <f t="shared" si="6"/>
        <v/>
      </c>
      <c r="AI32" s="1201" t="str">
        <f t="shared" si="7"/>
        <v/>
      </c>
      <c r="AJ32" s="1240" t="str">
        <f t="shared" si="8"/>
        <v/>
      </c>
      <c r="AK32" s="906">
        <f t="shared" si="26"/>
        <v>0.08</v>
      </c>
      <c r="AL32" s="1316" t="s">
        <v>557</v>
      </c>
      <c r="AM32" s="1194" t="str">
        <f t="shared" si="9"/>
        <v/>
      </c>
      <c r="AN32" s="1195" t="str">
        <f t="shared" si="10"/>
        <v/>
      </c>
      <c r="AO32" s="1194" t="str">
        <f t="shared" si="11"/>
        <v/>
      </c>
      <c r="AP32" s="1195" t="str">
        <f t="shared" si="12"/>
        <v/>
      </c>
      <c r="AQ32" s="905" t="str">
        <f t="shared" si="22"/>
        <v/>
      </c>
    </row>
    <row r="33" spans="1:43" hidden="1" outlineLevel="1">
      <c r="B33" s="899" t="str">
        <f t="shared" si="23"/>
        <v/>
      </c>
      <c r="C33" s="159" t="str">
        <f>IF(OR('RRT Unit Mix (Paste)'!B30="", 'RRT Unit Mix (Paste)'!B30="Total/Avg"),"",'RRT Unit Mix (Paste)'!B30)</f>
        <v/>
      </c>
      <c r="D33" s="1321"/>
      <c r="E33" s="523" t="str">
        <f>IF($C33="","",'RRT Unit Mix (Paste)'!C30)</f>
        <v/>
      </c>
      <c r="F33" s="523" t="str">
        <f>IF($C33="","",'RRT Unit Mix (Paste)'!D30)</f>
        <v/>
      </c>
      <c r="G33" s="523" t="str">
        <f t="shared" si="13"/>
        <v/>
      </c>
      <c r="H33" s="900" t="str">
        <f>IF($C33="","",'RRT Unit Mix (Paste)'!E30)</f>
        <v/>
      </c>
      <c r="I33" s="900" t="str">
        <f t="shared" si="14"/>
        <v/>
      </c>
      <c r="J33" s="901" t="str">
        <f>IF($C33="","",'RRT Unit Mix (Paste)'!F30)</f>
        <v/>
      </c>
      <c r="K33" s="902" t="str">
        <f t="shared" si="15"/>
        <v/>
      </c>
      <c r="L33" s="901" t="str">
        <f>IF($C33="","",'RRT Unit Mix (Paste)'!G30)</f>
        <v/>
      </c>
      <c r="M33" s="902" t="str">
        <f t="shared" si="16"/>
        <v/>
      </c>
      <c r="N33" s="901" t="str">
        <f>IF($C33="","",'RRT Unit Mix (Paste)'!H30)</f>
        <v/>
      </c>
      <c r="O33" s="902" t="str">
        <f t="shared" si="17"/>
        <v/>
      </c>
      <c r="P33" s="1243"/>
      <c r="Q33" s="1272" t="str">
        <f t="shared" si="29"/>
        <v/>
      </c>
      <c r="R33" s="903" t="str">
        <f t="shared" si="0"/>
        <v/>
      </c>
      <c r="S33" s="1273" t="str">
        <f t="shared" si="30"/>
        <v/>
      </c>
      <c r="T33" s="903" t="str">
        <f t="shared" si="18"/>
        <v/>
      </c>
      <c r="U33" s="903" t="str">
        <f t="shared" si="19"/>
        <v/>
      </c>
      <c r="V33" s="1200" t="str">
        <f>'RRT Summary (Paste)'!M31</f>
        <v/>
      </c>
      <c r="W33" s="1200" t="str">
        <f>IF('RRT Summary (Paste)'!K31="","",'RRT Summary (Paste)'!J31)</f>
        <v/>
      </c>
      <c r="X33" s="904">
        <v>0</v>
      </c>
      <c r="Y33" s="1240" t="str">
        <f t="shared" si="1"/>
        <v/>
      </c>
      <c r="Z33" s="1201" t="str">
        <f t="shared" si="21"/>
        <v/>
      </c>
      <c r="AA33" s="892"/>
      <c r="AB33" s="906">
        <f t="shared" si="24"/>
        <v>0.04</v>
      </c>
      <c r="AC33" s="905" t="str">
        <f t="shared" si="2"/>
        <v/>
      </c>
      <c r="AD33" s="1201" t="str">
        <f t="shared" si="3"/>
        <v/>
      </c>
      <c r="AE33" s="906">
        <f t="shared" si="25"/>
        <v>7.4999999999999997E-2</v>
      </c>
      <c r="AF33" s="905" t="str">
        <f t="shared" si="4"/>
        <v/>
      </c>
      <c r="AG33" s="1201" t="str">
        <f t="shared" si="5"/>
        <v/>
      </c>
      <c r="AH33" s="905" t="str">
        <f t="shared" si="6"/>
        <v/>
      </c>
      <c r="AI33" s="1201" t="str">
        <f t="shared" si="7"/>
        <v/>
      </c>
      <c r="AJ33" s="1240" t="str">
        <f t="shared" si="8"/>
        <v/>
      </c>
      <c r="AK33" s="906">
        <f t="shared" si="26"/>
        <v>0.08</v>
      </c>
      <c r="AL33" s="1316" t="s">
        <v>557</v>
      </c>
      <c r="AM33" s="1194" t="str">
        <f t="shared" si="9"/>
        <v/>
      </c>
      <c r="AN33" s="1195" t="str">
        <f t="shared" si="10"/>
        <v/>
      </c>
      <c r="AO33" s="1194" t="str">
        <f t="shared" si="11"/>
        <v/>
      </c>
      <c r="AP33" s="1195" t="str">
        <f t="shared" si="12"/>
        <v/>
      </c>
      <c r="AQ33" s="905" t="str">
        <f t="shared" si="22"/>
        <v/>
      </c>
    </row>
    <row r="34" spans="1:43" hidden="1" outlineLevel="1">
      <c r="B34" s="899" t="str">
        <f t="shared" si="23"/>
        <v/>
      </c>
      <c r="C34" s="159" t="str">
        <f>IF(OR('RRT Unit Mix (Paste)'!B31="", 'RRT Unit Mix (Paste)'!B31="Total/Avg"),"",'RRT Unit Mix (Paste)'!B31)</f>
        <v/>
      </c>
      <c r="D34" s="1321"/>
      <c r="E34" s="523" t="str">
        <f>IF($C34="","",'RRT Unit Mix (Paste)'!C31)</f>
        <v/>
      </c>
      <c r="F34" s="523" t="str">
        <f>IF($C34="","",'RRT Unit Mix (Paste)'!D31)</f>
        <v/>
      </c>
      <c r="G34" s="523" t="str">
        <f t="shared" si="13"/>
        <v/>
      </c>
      <c r="H34" s="900" t="str">
        <f>IF($C34="","",'RRT Unit Mix (Paste)'!E31)</f>
        <v/>
      </c>
      <c r="I34" s="900" t="str">
        <f t="shared" si="14"/>
        <v/>
      </c>
      <c r="J34" s="901" t="str">
        <f>IF($C34="","",'RRT Unit Mix (Paste)'!F31)</f>
        <v/>
      </c>
      <c r="K34" s="902" t="str">
        <f t="shared" si="15"/>
        <v/>
      </c>
      <c r="L34" s="901" t="str">
        <f>IF($C34="","",'RRT Unit Mix (Paste)'!G31)</f>
        <v/>
      </c>
      <c r="M34" s="902" t="str">
        <f t="shared" si="16"/>
        <v/>
      </c>
      <c r="N34" s="901" t="str">
        <f>IF($C34="","",'RRT Unit Mix (Paste)'!H31)</f>
        <v/>
      </c>
      <c r="O34" s="902" t="str">
        <f t="shared" si="17"/>
        <v/>
      </c>
      <c r="P34" s="1243"/>
      <c r="Q34" s="1272" t="str">
        <f t="shared" si="29"/>
        <v/>
      </c>
      <c r="R34" s="903" t="str">
        <f t="shared" si="0"/>
        <v/>
      </c>
      <c r="S34" s="1273" t="str">
        <f t="shared" si="30"/>
        <v/>
      </c>
      <c r="T34" s="903" t="str">
        <f t="shared" si="18"/>
        <v/>
      </c>
      <c r="U34" s="903" t="str">
        <f t="shared" si="19"/>
        <v/>
      </c>
      <c r="V34" s="1200" t="str">
        <f>'RRT Summary (Paste)'!M32</f>
        <v/>
      </c>
      <c r="W34" s="1200" t="str">
        <f>IF('RRT Summary (Paste)'!K32="","",'RRT Summary (Paste)'!J32)</f>
        <v/>
      </c>
      <c r="X34" s="904">
        <v>0</v>
      </c>
      <c r="Y34" s="1240" t="str">
        <f t="shared" si="1"/>
        <v/>
      </c>
      <c r="Z34" s="1201" t="str">
        <f t="shared" si="21"/>
        <v/>
      </c>
      <c r="AA34" s="892"/>
      <c r="AB34" s="906">
        <f t="shared" si="24"/>
        <v>0.04</v>
      </c>
      <c r="AC34" s="905" t="str">
        <f t="shared" si="2"/>
        <v/>
      </c>
      <c r="AD34" s="1201" t="str">
        <f t="shared" si="3"/>
        <v/>
      </c>
      <c r="AE34" s="906">
        <f t="shared" si="25"/>
        <v>7.4999999999999997E-2</v>
      </c>
      <c r="AF34" s="905" t="str">
        <f t="shared" si="4"/>
        <v/>
      </c>
      <c r="AG34" s="1201" t="str">
        <f t="shared" si="5"/>
        <v/>
      </c>
      <c r="AH34" s="905" t="str">
        <f t="shared" si="6"/>
        <v/>
      </c>
      <c r="AI34" s="1201" t="str">
        <f t="shared" si="7"/>
        <v/>
      </c>
      <c r="AJ34" s="1240" t="str">
        <f t="shared" si="8"/>
        <v/>
      </c>
      <c r="AK34" s="906">
        <f t="shared" si="26"/>
        <v>0.08</v>
      </c>
      <c r="AL34" s="1316" t="s">
        <v>557</v>
      </c>
      <c r="AM34" s="1194" t="str">
        <f t="shared" si="9"/>
        <v/>
      </c>
      <c r="AN34" s="1195" t="str">
        <f t="shared" si="10"/>
        <v/>
      </c>
      <c r="AO34" s="1194" t="str">
        <f t="shared" si="11"/>
        <v/>
      </c>
      <c r="AP34" s="1195" t="str">
        <f t="shared" si="12"/>
        <v/>
      </c>
      <c r="AQ34" s="905" t="str">
        <f t="shared" si="22"/>
        <v/>
      </c>
    </row>
    <row r="35" spans="1:43" hidden="1" outlineLevel="1">
      <c r="B35" s="899" t="str">
        <f t="shared" si="23"/>
        <v/>
      </c>
      <c r="C35" s="159" t="str">
        <f>IF(OR('RRT Unit Mix (Paste)'!B32="", 'RRT Unit Mix (Paste)'!B32="Total/Avg"),"",'RRT Unit Mix (Paste)'!B32)</f>
        <v/>
      </c>
      <c r="D35" s="1321"/>
      <c r="E35" s="523" t="str">
        <f>IF($C35="","",'RRT Unit Mix (Paste)'!C32)</f>
        <v/>
      </c>
      <c r="F35" s="523" t="str">
        <f>IF($C35="","",'RRT Unit Mix (Paste)'!D32)</f>
        <v/>
      </c>
      <c r="G35" s="523" t="str">
        <f t="shared" si="13"/>
        <v/>
      </c>
      <c r="H35" s="900" t="str">
        <f>IF($C35="","",'RRT Unit Mix (Paste)'!E32)</f>
        <v/>
      </c>
      <c r="I35" s="900" t="str">
        <f t="shared" si="14"/>
        <v/>
      </c>
      <c r="J35" s="901" t="str">
        <f>IF($C35="","",'RRT Unit Mix (Paste)'!F32)</f>
        <v/>
      </c>
      <c r="K35" s="902" t="str">
        <f t="shared" si="15"/>
        <v/>
      </c>
      <c r="L35" s="901" t="str">
        <f>IF($C35="","",'RRT Unit Mix (Paste)'!G32)</f>
        <v/>
      </c>
      <c r="M35" s="902" t="str">
        <f t="shared" si="16"/>
        <v/>
      </c>
      <c r="N35" s="901" t="str">
        <f>IF($C35="","",'RRT Unit Mix (Paste)'!H32)</f>
        <v/>
      </c>
      <c r="O35" s="902" t="str">
        <f t="shared" si="17"/>
        <v/>
      </c>
      <c r="P35" s="1243"/>
      <c r="Q35" s="1272" t="str">
        <f t="shared" si="29"/>
        <v/>
      </c>
      <c r="R35" s="903" t="str">
        <f t="shared" si="0"/>
        <v/>
      </c>
      <c r="S35" s="1273" t="str">
        <f t="shared" si="30"/>
        <v/>
      </c>
      <c r="T35" s="903" t="str">
        <f t="shared" si="18"/>
        <v/>
      </c>
      <c r="U35" s="903" t="str">
        <f t="shared" si="19"/>
        <v/>
      </c>
      <c r="V35" s="1200" t="str">
        <f>'RRT Summary (Paste)'!M33</f>
        <v/>
      </c>
      <c r="W35" s="1200" t="str">
        <f>IF('RRT Summary (Paste)'!K33="","",'RRT Summary (Paste)'!J33)</f>
        <v/>
      </c>
      <c r="X35" s="904">
        <v>0</v>
      </c>
      <c r="Y35" s="1240" t="str">
        <f t="shared" si="1"/>
        <v/>
      </c>
      <c r="Z35" s="1201" t="str">
        <f t="shared" si="21"/>
        <v/>
      </c>
      <c r="AA35" s="892"/>
      <c r="AB35" s="906">
        <f t="shared" si="24"/>
        <v>0.04</v>
      </c>
      <c r="AC35" s="905" t="str">
        <f t="shared" si="2"/>
        <v/>
      </c>
      <c r="AD35" s="1201" t="str">
        <f t="shared" si="3"/>
        <v/>
      </c>
      <c r="AE35" s="906">
        <f t="shared" si="25"/>
        <v>7.4999999999999997E-2</v>
      </c>
      <c r="AF35" s="905" t="str">
        <f t="shared" si="4"/>
        <v/>
      </c>
      <c r="AG35" s="1201" t="str">
        <f t="shared" si="5"/>
        <v/>
      </c>
      <c r="AH35" s="905" t="str">
        <f t="shared" si="6"/>
        <v/>
      </c>
      <c r="AI35" s="1201" t="str">
        <f t="shared" si="7"/>
        <v/>
      </c>
      <c r="AJ35" s="1240" t="str">
        <f t="shared" si="8"/>
        <v/>
      </c>
      <c r="AK35" s="906">
        <f t="shared" si="26"/>
        <v>0.08</v>
      </c>
      <c r="AL35" s="1316" t="s">
        <v>557</v>
      </c>
      <c r="AM35" s="1194" t="str">
        <f t="shared" si="9"/>
        <v/>
      </c>
      <c r="AN35" s="1195" t="str">
        <f t="shared" si="10"/>
        <v/>
      </c>
      <c r="AO35" s="1194" t="str">
        <f t="shared" si="11"/>
        <v/>
      </c>
      <c r="AP35" s="1195" t="str">
        <f t="shared" si="12"/>
        <v/>
      </c>
      <c r="AQ35" s="905" t="str">
        <f t="shared" si="22"/>
        <v/>
      </c>
    </row>
    <row r="36" spans="1:43" hidden="1" outlineLevel="1">
      <c r="B36" s="899" t="str">
        <f t="shared" si="23"/>
        <v/>
      </c>
      <c r="C36" s="159" t="str">
        <f>IF(OR('RRT Unit Mix (Paste)'!B33="", 'RRT Unit Mix (Paste)'!B33="Total/Avg"),"",'RRT Unit Mix (Paste)'!B33)</f>
        <v/>
      </c>
      <c r="D36" s="1321"/>
      <c r="E36" s="523" t="str">
        <f>IF($C36="","",'RRT Unit Mix (Paste)'!C33)</f>
        <v/>
      </c>
      <c r="F36" s="523" t="str">
        <f>IF($C36="","",'RRT Unit Mix (Paste)'!D33)</f>
        <v/>
      </c>
      <c r="G36" s="523" t="str">
        <f t="shared" si="13"/>
        <v/>
      </c>
      <c r="H36" s="900" t="str">
        <f>IF($C36="","",'RRT Unit Mix (Paste)'!E33)</f>
        <v/>
      </c>
      <c r="I36" s="900" t="str">
        <f t="shared" si="14"/>
        <v/>
      </c>
      <c r="J36" s="901" t="str">
        <f>IF($C36="","",'RRT Unit Mix (Paste)'!F33)</f>
        <v/>
      </c>
      <c r="K36" s="902" t="str">
        <f t="shared" si="15"/>
        <v/>
      </c>
      <c r="L36" s="901" t="str">
        <f>IF($C36="","",'RRT Unit Mix (Paste)'!G33)</f>
        <v/>
      </c>
      <c r="M36" s="902" t="str">
        <f t="shared" si="16"/>
        <v/>
      </c>
      <c r="N36" s="901" t="str">
        <f>IF($C36="","",'RRT Unit Mix (Paste)'!H33)</f>
        <v/>
      </c>
      <c r="O36" s="902" t="str">
        <f t="shared" si="17"/>
        <v/>
      </c>
      <c r="P36" s="1243"/>
      <c r="Q36" s="1272" t="str">
        <f t="shared" si="29"/>
        <v/>
      </c>
      <c r="R36" s="903" t="str">
        <f t="shared" si="0"/>
        <v/>
      </c>
      <c r="S36" s="1273" t="str">
        <f t="shared" si="30"/>
        <v/>
      </c>
      <c r="T36" s="903" t="str">
        <f t="shared" si="18"/>
        <v/>
      </c>
      <c r="U36" s="903" t="str">
        <f t="shared" si="19"/>
        <v/>
      </c>
      <c r="V36" s="1200" t="str">
        <f>'RRT Summary (Paste)'!M34</f>
        <v/>
      </c>
      <c r="W36" s="1200" t="str">
        <f>IF('RRT Summary (Paste)'!K34="","",'RRT Summary (Paste)'!J34)</f>
        <v/>
      </c>
      <c r="X36" s="904">
        <v>0</v>
      </c>
      <c r="Y36" s="1240" t="str">
        <f t="shared" si="1"/>
        <v/>
      </c>
      <c r="Z36" s="1201" t="str">
        <f t="shared" si="21"/>
        <v/>
      </c>
      <c r="AA36" s="892"/>
      <c r="AB36" s="906">
        <f t="shared" si="24"/>
        <v>0.04</v>
      </c>
      <c r="AC36" s="905" t="str">
        <f t="shared" si="2"/>
        <v/>
      </c>
      <c r="AD36" s="1201" t="str">
        <f t="shared" si="3"/>
        <v/>
      </c>
      <c r="AE36" s="906">
        <f t="shared" si="25"/>
        <v>7.4999999999999997E-2</v>
      </c>
      <c r="AF36" s="905" t="str">
        <f t="shared" si="4"/>
        <v/>
      </c>
      <c r="AG36" s="1201" t="str">
        <f t="shared" si="5"/>
        <v/>
      </c>
      <c r="AH36" s="905" t="str">
        <f t="shared" si="6"/>
        <v/>
      </c>
      <c r="AI36" s="1201" t="str">
        <f t="shared" si="7"/>
        <v/>
      </c>
      <c r="AJ36" s="1240" t="str">
        <f t="shared" si="8"/>
        <v/>
      </c>
      <c r="AK36" s="906">
        <f t="shared" si="26"/>
        <v>0.08</v>
      </c>
      <c r="AL36" s="1316" t="s">
        <v>557</v>
      </c>
      <c r="AM36" s="1194" t="str">
        <f t="shared" si="9"/>
        <v/>
      </c>
      <c r="AN36" s="1195" t="str">
        <f t="shared" si="10"/>
        <v/>
      </c>
      <c r="AO36" s="1194" t="str">
        <f t="shared" si="11"/>
        <v/>
      </c>
      <c r="AP36" s="1195" t="str">
        <f t="shared" si="12"/>
        <v/>
      </c>
      <c r="AQ36" s="905" t="str">
        <f t="shared" si="22"/>
        <v/>
      </c>
    </row>
    <row r="37" spans="1:43" hidden="1" outlineLevel="1">
      <c r="B37" s="899" t="str">
        <f t="shared" si="23"/>
        <v/>
      </c>
      <c r="C37" s="159" t="str">
        <f>IF(OR('RRT Unit Mix (Paste)'!B34="", 'RRT Unit Mix (Paste)'!B34="Total/Avg"),"",'RRT Unit Mix (Paste)'!B34)</f>
        <v/>
      </c>
      <c r="D37" s="1321"/>
      <c r="E37" s="523" t="str">
        <f>IF($C37="","",'RRT Unit Mix (Paste)'!C34)</f>
        <v/>
      </c>
      <c r="F37" s="523" t="str">
        <f>IF($C37="","",'RRT Unit Mix (Paste)'!D34)</f>
        <v/>
      </c>
      <c r="G37" s="523" t="str">
        <f t="shared" si="13"/>
        <v/>
      </c>
      <c r="H37" s="900" t="str">
        <f>IF($C37="","",'RRT Unit Mix (Paste)'!E34)</f>
        <v/>
      </c>
      <c r="I37" s="900" t="str">
        <f t="shared" si="14"/>
        <v/>
      </c>
      <c r="J37" s="901" t="str">
        <f>IF($C37="","",'RRT Unit Mix (Paste)'!F34)</f>
        <v/>
      </c>
      <c r="K37" s="902" t="str">
        <f t="shared" si="15"/>
        <v/>
      </c>
      <c r="L37" s="901" t="str">
        <f>IF($C37="","",'RRT Unit Mix (Paste)'!G34)</f>
        <v/>
      </c>
      <c r="M37" s="902" t="str">
        <f t="shared" si="16"/>
        <v/>
      </c>
      <c r="N37" s="901" t="str">
        <f>IF($C37="","",'RRT Unit Mix (Paste)'!H34)</f>
        <v/>
      </c>
      <c r="O37" s="902" t="str">
        <f t="shared" si="17"/>
        <v/>
      </c>
      <c r="P37" s="1243"/>
      <c r="Q37" s="1272" t="str">
        <f t="shared" si="29"/>
        <v/>
      </c>
      <c r="R37" s="903" t="str">
        <f t="shared" si="0"/>
        <v/>
      </c>
      <c r="S37" s="1273" t="str">
        <f t="shared" si="30"/>
        <v/>
      </c>
      <c r="T37" s="903" t="str">
        <f t="shared" si="18"/>
        <v/>
      </c>
      <c r="U37" s="903" t="str">
        <f t="shared" si="19"/>
        <v/>
      </c>
      <c r="V37" s="1200" t="str">
        <f>'RRT Summary (Paste)'!M35</f>
        <v/>
      </c>
      <c r="W37" s="1200" t="str">
        <f>IF('RRT Summary (Paste)'!K35="","",'RRT Summary (Paste)'!J35)</f>
        <v/>
      </c>
      <c r="X37" s="904">
        <v>0</v>
      </c>
      <c r="Y37" s="1240" t="str">
        <f t="shared" si="1"/>
        <v/>
      </c>
      <c r="Z37" s="1201" t="str">
        <f t="shared" si="21"/>
        <v/>
      </c>
      <c r="AA37" s="892"/>
      <c r="AB37" s="906">
        <f t="shared" si="24"/>
        <v>0.04</v>
      </c>
      <c r="AC37" s="905" t="str">
        <f t="shared" si="2"/>
        <v/>
      </c>
      <c r="AD37" s="1201" t="str">
        <f t="shared" si="3"/>
        <v/>
      </c>
      <c r="AE37" s="906">
        <f t="shared" si="25"/>
        <v>7.4999999999999997E-2</v>
      </c>
      <c r="AF37" s="905" t="str">
        <f t="shared" si="4"/>
        <v/>
      </c>
      <c r="AG37" s="1201" t="str">
        <f t="shared" si="5"/>
        <v/>
      </c>
      <c r="AH37" s="905" t="str">
        <f t="shared" si="6"/>
        <v/>
      </c>
      <c r="AI37" s="1201" t="str">
        <f t="shared" si="7"/>
        <v/>
      </c>
      <c r="AJ37" s="1240" t="str">
        <f t="shared" si="8"/>
        <v/>
      </c>
      <c r="AK37" s="906">
        <f t="shared" si="26"/>
        <v>0.08</v>
      </c>
      <c r="AL37" s="1316" t="s">
        <v>557</v>
      </c>
      <c r="AM37" s="1194" t="str">
        <f t="shared" si="9"/>
        <v/>
      </c>
      <c r="AN37" s="1195" t="str">
        <f t="shared" si="10"/>
        <v/>
      </c>
      <c r="AO37" s="1194" t="str">
        <f t="shared" si="11"/>
        <v/>
      </c>
      <c r="AP37" s="1195" t="str">
        <f t="shared" si="12"/>
        <v/>
      </c>
      <c r="AQ37" s="905" t="str">
        <f t="shared" si="22"/>
        <v/>
      </c>
    </row>
    <row r="38" spans="1:43" hidden="1" outlineLevel="1">
      <c r="B38" s="899" t="str">
        <f t="shared" si="23"/>
        <v/>
      </c>
      <c r="C38" s="159" t="str">
        <f>IF(OR('RRT Unit Mix (Paste)'!B35="", 'RRT Unit Mix (Paste)'!B35="Total/Avg"),"",'RRT Unit Mix (Paste)'!B35)</f>
        <v/>
      </c>
      <c r="D38" s="1321"/>
      <c r="E38" s="523" t="str">
        <f>IF($C38="","",'RRT Unit Mix (Paste)'!C35)</f>
        <v/>
      </c>
      <c r="F38" s="523" t="str">
        <f>IF($C38="","",'RRT Unit Mix (Paste)'!D35)</f>
        <v/>
      </c>
      <c r="G38" s="523" t="str">
        <f t="shared" si="13"/>
        <v/>
      </c>
      <c r="H38" s="900" t="str">
        <f>IF($C38="","",'RRT Unit Mix (Paste)'!E35)</f>
        <v/>
      </c>
      <c r="I38" s="900" t="str">
        <f t="shared" si="14"/>
        <v/>
      </c>
      <c r="J38" s="901" t="str">
        <f>IF($C38="","",'RRT Unit Mix (Paste)'!F35)</f>
        <v/>
      </c>
      <c r="K38" s="902" t="str">
        <f t="shared" si="15"/>
        <v/>
      </c>
      <c r="L38" s="901" t="str">
        <f>IF($C38="","",'RRT Unit Mix (Paste)'!G35)</f>
        <v/>
      </c>
      <c r="M38" s="902" t="str">
        <f t="shared" si="16"/>
        <v/>
      </c>
      <c r="N38" s="901" t="str">
        <f>IF($C38="","",'RRT Unit Mix (Paste)'!H35)</f>
        <v/>
      </c>
      <c r="O38" s="902" t="str">
        <f t="shared" si="17"/>
        <v/>
      </c>
      <c r="P38" s="1243"/>
      <c r="Q38" s="1272" t="str">
        <f t="shared" si="29"/>
        <v/>
      </c>
      <c r="R38" s="903" t="str">
        <f t="shared" si="0"/>
        <v/>
      </c>
      <c r="S38" s="1273" t="str">
        <f t="shared" si="30"/>
        <v/>
      </c>
      <c r="T38" s="903" t="str">
        <f t="shared" si="18"/>
        <v/>
      </c>
      <c r="U38" s="903" t="str">
        <f t="shared" si="19"/>
        <v/>
      </c>
      <c r="V38" s="1200" t="str">
        <f>'RRT Summary (Paste)'!M36</f>
        <v/>
      </c>
      <c r="W38" s="1200" t="str">
        <f>IF('RRT Summary (Paste)'!K36="","",'RRT Summary (Paste)'!J36)</f>
        <v/>
      </c>
      <c r="X38" s="904">
        <v>0</v>
      </c>
      <c r="Y38" s="1240" t="str">
        <f t="shared" si="1"/>
        <v/>
      </c>
      <c r="Z38" s="1201" t="str">
        <f t="shared" si="21"/>
        <v/>
      </c>
      <c r="AA38" s="892"/>
      <c r="AB38" s="906">
        <f t="shared" si="24"/>
        <v>0.04</v>
      </c>
      <c r="AC38" s="905" t="str">
        <f t="shared" si="2"/>
        <v/>
      </c>
      <c r="AD38" s="1201" t="str">
        <f t="shared" si="3"/>
        <v/>
      </c>
      <c r="AE38" s="906">
        <f t="shared" si="25"/>
        <v>7.4999999999999997E-2</v>
      </c>
      <c r="AF38" s="905" t="str">
        <f t="shared" si="4"/>
        <v/>
      </c>
      <c r="AG38" s="1201" t="str">
        <f t="shared" si="5"/>
        <v/>
      </c>
      <c r="AH38" s="905" t="str">
        <f t="shared" si="6"/>
        <v/>
      </c>
      <c r="AI38" s="1201" t="str">
        <f t="shared" si="7"/>
        <v/>
      </c>
      <c r="AJ38" s="1240" t="str">
        <f t="shared" si="8"/>
        <v/>
      </c>
      <c r="AK38" s="906">
        <f t="shared" si="26"/>
        <v>0.08</v>
      </c>
      <c r="AL38" s="1316" t="s">
        <v>557</v>
      </c>
      <c r="AM38" s="1194" t="str">
        <f t="shared" si="9"/>
        <v/>
      </c>
      <c r="AN38" s="1195" t="str">
        <f t="shared" si="10"/>
        <v/>
      </c>
      <c r="AO38" s="1194" t="str">
        <f t="shared" si="11"/>
        <v/>
      </c>
      <c r="AP38" s="1195" t="str">
        <f t="shared" si="12"/>
        <v/>
      </c>
      <c r="AQ38" s="905" t="str">
        <f t="shared" si="22"/>
        <v/>
      </c>
    </row>
    <row r="39" spans="1:43" hidden="1" outlineLevel="1">
      <c r="B39" s="899" t="str">
        <f t="shared" si="23"/>
        <v/>
      </c>
      <c r="C39" s="159" t="str">
        <f>IF(OR('RRT Unit Mix (Paste)'!B36="", 'RRT Unit Mix (Paste)'!B36="Total/Avg"),"",'RRT Unit Mix (Paste)'!B36)</f>
        <v/>
      </c>
      <c r="D39" s="1321"/>
      <c r="E39" s="523" t="str">
        <f>IF($C39="","",'RRT Unit Mix (Paste)'!C36)</f>
        <v/>
      </c>
      <c r="F39" s="523" t="str">
        <f>IF($C39="","",'RRT Unit Mix (Paste)'!D36)</f>
        <v/>
      </c>
      <c r="G39" s="523" t="str">
        <f t="shared" si="13"/>
        <v/>
      </c>
      <c r="H39" s="900" t="str">
        <f>IF($C39="","",'RRT Unit Mix (Paste)'!E36)</f>
        <v/>
      </c>
      <c r="I39" s="900" t="str">
        <f t="shared" si="14"/>
        <v/>
      </c>
      <c r="J39" s="901" t="str">
        <f>IF($C39="","",'RRT Unit Mix (Paste)'!F36)</f>
        <v/>
      </c>
      <c r="K39" s="902" t="str">
        <f t="shared" si="15"/>
        <v/>
      </c>
      <c r="L39" s="901" t="str">
        <f>IF($C39="","",'RRT Unit Mix (Paste)'!G36)</f>
        <v/>
      </c>
      <c r="M39" s="902" t="str">
        <f t="shared" si="16"/>
        <v/>
      </c>
      <c r="N39" s="901" t="str">
        <f>IF($C39="","",'RRT Unit Mix (Paste)'!H36)</f>
        <v/>
      </c>
      <c r="O39" s="902" t="str">
        <f t="shared" si="17"/>
        <v/>
      </c>
      <c r="P39" s="1243"/>
      <c r="Q39" s="1272" t="str">
        <f t="shared" si="29"/>
        <v/>
      </c>
      <c r="R39" s="903" t="str">
        <f t="shared" si="0"/>
        <v/>
      </c>
      <c r="S39" s="1273" t="str">
        <f t="shared" si="30"/>
        <v/>
      </c>
      <c r="T39" s="903" t="str">
        <f t="shared" si="18"/>
        <v/>
      </c>
      <c r="U39" s="903" t="str">
        <f t="shared" si="19"/>
        <v/>
      </c>
      <c r="V39" s="1200" t="str">
        <f>'RRT Summary (Paste)'!M37</f>
        <v/>
      </c>
      <c r="W39" s="1200" t="str">
        <f>IF('RRT Summary (Paste)'!K37="","",'RRT Summary (Paste)'!J37)</f>
        <v/>
      </c>
      <c r="X39" s="904">
        <v>0</v>
      </c>
      <c r="Y39" s="1240" t="str">
        <f t="shared" si="1"/>
        <v/>
      </c>
      <c r="Z39" s="1201" t="str">
        <f t="shared" si="21"/>
        <v/>
      </c>
      <c r="AA39" s="892"/>
      <c r="AB39" s="906">
        <f t="shared" si="24"/>
        <v>0.04</v>
      </c>
      <c r="AC39" s="905" t="str">
        <f t="shared" si="2"/>
        <v/>
      </c>
      <c r="AD39" s="1201" t="str">
        <f t="shared" si="3"/>
        <v/>
      </c>
      <c r="AE39" s="906">
        <f t="shared" si="25"/>
        <v>7.4999999999999997E-2</v>
      </c>
      <c r="AF39" s="905" t="str">
        <f t="shared" si="4"/>
        <v/>
      </c>
      <c r="AG39" s="1201" t="str">
        <f t="shared" si="5"/>
        <v/>
      </c>
      <c r="AH39" s="905" t="str">
        <f t="shared" si="6"/>
        <v/>
      </c>
      <c r="AI39" s="1201" t="str">
        <f t="shared" si="7"/>
        <v/>
      </c>
      <c r="AJ39" s="1240" t="str">
        <f t="shared" si="8"/>
        <v/>
      </c>
      <c r="AK39" s="906">
        <f t="shared" si="26"/>
        <v>0.08</v>
      </c>
      <c r="AL39" s="1316" t="s">
        <v>557</v>
      </c>
      <c r="AM39" s="1194" t="str">
        <f t="shared" si="9"/>
        <v/>
      </c>
      <c r="AN39" s="1195" t="str">
        <f t="shared" si="10"/>
        <v/>
      </c>
      <c r="AO39" s="1194" t="str">
        <f t="shared" si="11"/>
        <v/>
      </c>
      <c r="AP39" s="1195" t="str">
        <f t="shared" si="12"/>
        <v/>
      </c>
      <c r="AQ39" s="905" t="str">
        <f t="shared" si="22"/>
        <v/>
      </c>
    </row>
    <row r="40" spans="1:43" hidden="1" outlineLevel="1">
      <c r="B40" s="899" t="str">
        <f t="shared" si="23"/>
        <v/>
      </c>
      <c r="C40" s="159" t="str">
        <f>IF(OR('RRT Unit Mix (Paste)'!B37="", 'RRT Unit Mix (Paste)'!B37="Total/Avg"),"",'RRT Unit Mix (Paste)'!B37)</f>
        <v/>
      </c>
      <c r="D40" s="1321"/>
      <c r="E40" s="523" t="str">
        <f>IF($C40="","",'RRT Unit Mix (Paste)'!C37)</f>
        <v/>
      </c>
      <c r="F40" s="523" t="str">
        <f>IF($C40="","",'RRT Unit Mix (Paste)'!D37)</f>
        <v/>
      </c>
      <c r="G40" s="523" t="str">
        <f t="shared" si="13"/>
        <v/>
      </c>
      <c r="H40" s="900" t="str">
        <f>IF($C40="","",'RRT Unit Mix (Paste)'!E37)</f>
        <v/>
      </c>
      <c r="I40" s="900" t="str">
        <f t="shared" si="14"/>
        <v/>
      </c>
      <c r="J40" s="901" t="str">
        <f>IF($C40="","",'RRT Unit Mix (Paste)'!F37)</f>
        <v/>
      </c>
      <c r="K40" s="902" t="str">
        <f t="shared" si="15"/>
        <v/>
      </c>
      <c r="L40" s="901" t="str">
        <f>IF($C40="","",'RRT Unit Mix (Paste)'!G37)</f>
        <v/>
      </c>
      <c r="M40" s="902" t="str">
        <f t="shared" si="16"/>
        <v/>
      </c>
      <c r="N40" s="901" t="str">
        <f>IF($C40="","",'RRT Unit Mix (Paste)'!H37)</f>
        <v/>
      </c>
      <c r="O40" s="902" t="str">
        <f t="shared" si="17"/>
        <v/>
      </c>
      <c r="P40" s="1243"/>
      <c r="Q40" s="1272" t="str">
        <f t="shared" si="29"/>
        <v/>
      </c>
      <c r="R40" s="903" t="str">
        <f t="shared" si="0"/>
        <v/>
      </c>
      <c r="S40" s="1273" t="str">
        <f t="shared" si="30"/>
        <v/>
      </c>
      <c r="T40" s="903" t="str">
        <f t="shared" si="18"/>
        <v/>
      </c>
      <c r="U40" s="903" t="str">
        <f t="shared" si="19"/>
        <v/>
      </c>
      <c r="V40" s="1200" t="str">
        <f>'RRT Summary (Paste)'!M38</f>
        <v/>
      </c>
      <c r="W40" s="1200" t="str">
        <f>IF('RRT Summary (Paste)'!K38="","",'RRT Summary (Paste)'!J38)</f>
        <v/>
      </c>
      <c r="X40" s="904">
        <v>0</v>
      </c>
      <c r="Y40" s="1240" t="str">
        <f t="shared" si="1"/>
        <v/>
      </c>
      <c r="Z40" s="1201" t="str">
        <f t="shared" si="21"/>
        <v/>
      </c>
      <c r="AA40" s="892"/>
      <c r="AB40" s="906">
        <f t="shared" si="24"/>
        <v>0.04</v>
      </c>
      <c r="AC40" s="905" t="str">
        <f t="shared" si="2"/>
        <v/>
      </c>
      <c r="AD40" s="1201" t="str">
        <f t="shared" si="3"/>
        <v/>
      </c>
      <c r="AE40" s="906">
        <f t="shared" si="25"/>
        <v>7.4999999999999997E-2</v>
      </c>
      <c r="AF40" s="905" t="str">
        <f t="shared" si="4"/>
        <v/>
      </c>
      <c r="AG40" s="1201" t="str">
        <f t="shared" si="5"/>
        <v/>
      </c>
      <c r="AH40" s="905" t="str">
        <f t="shared" si="6"/>
        <v/>
      </c>
      <c r="AI40" s="1201" t="str">
        <f t="shared" si="7"/>
        <v/>
      </c>
      <c r="AJ40" s="1317" t="str">
        <f t="shared" si="8"/>
        <v/>
      </c>
      <c r="AK40" s="906">
        <f t="shared" si="26"/>
        <v>0.08</v>
      </c>
      <c r="AL40" s="1316" t="s">
        <v>557</v>
      </c>
      <c r="AM40" s="1194" t="str">
        <f t="shared" si="9"/>
        <v/>
      </c>
      <c r="AN40" s="1195" t="str">
        <f t="shared" si="10"/>
        <v/>
      </c>
      <c r="AO40" s="1194" t="str">
        <f t="shared" si="11"/>
        <v/>
      </c>
      <c r="AP40" s="1195" t="str">
        <f t="shared" si="12"/>
        <v/>
      </c>
      <c r="AQ40" s="905" t="str">
        <f t="shared" si="22"/>
        <v/>
      </c>
    </row>
    <row r="41" spans="1:43" collapsed="1">
      <c r="A41" s="1886" t="s">
        <v>558</v>
      </c>
      <c r="B41" s="907">
        <f>COUNT(B6:B40)</f>
        <v>6</v>
      </c>
      <c r="C41" s="908"/>
      <c r="D41" s="1322" t="s">
        <v>557</v>
      </c>
      <c r="E41" s="907">
        <f>SUM(E6:E40)</f>
        <v>264</v>
      </c>
      <c r="F41" s="907">
        <f>SUM(F6:F40)</f>
        <v>259</v>
      </c>
      <c r="G41" s="907">
        <f>SUM(G6:G40)</f>
        <v>5</v>
      </c>
      <c r="H41" s="1324">
        <f t="shared" ref="H41:O41" si="31">SUMPRODUCT(H6:H40,$E$6:$E$40)/$E$41</f>
        <v>1056.1401515151515</v>
      </c>
      <c r="I41" s="1324">
        <f>SUM(I6:I40)</f>
        <v>278821</v>
      </c>
      <c r="J41" s="909">
        <f t="shared" si="31"/>
        <v>1445.7386363636363</v>
      </c>
      <c r="K41" s="910">
        <f t="shared" si="31"/>
        <v>1.3908438716859266</v>
      </c>
      <c r="L41" s="909">
        <f t="shared" si="31"/>
        <v>1335.4489135481192</v>
      </c>
      <c r="M41" s="910">
        <f t="shared" si="31"/>
        <v>1.2876659672292727</v>
      </c>
      <c r="N41" s="909">
        <f>SUMPRODUCT(N6:N40,$E$6:$E$40)/$E$41</f>
        <v>1335.4489135481192</v>
      </c>
      <c r="O41" s="910">
        <f t="shared" si="31"/>
        <v>1.2876659672292727</v>
      </c>
      <c r="P41" s="892"/>
      <c r="Q41" s="912">
        <f>SUM(Q6:Q40)</f>
        <v>0</v>
      </c>
      <c r="R41" s="907">
        <f>SUM(R6:R40)</f>
        <v>264</v>
      </c>
      <c r="S41" s="907">
        <f>SUM(S6:S40)</f>
        <v>0</v>
      </c>
      <c r="T41" s="907">
        <f>SUM(T6:T40)</f>
        <v>264</v>
      </c>
      <c r="U41" s="907">
        <f>SUM(U6:U40)</f>
        <v>0</v>
      </c>
      <c r="V41" s="907"/>
      <c r="W41" s="907"/>
      <c r="X41" s="909">
        <f>SUMPRODUCT(X6:X40,$E6:$E40)/$E41</f>
        <v>1445.7386363636363</v>
      </c>
      <c r="Y41" s="915">
        <f>AVERAGEIF(Y6:Y40,"&gt;0",Y6:Y40)</f>
        <v>1.3656835933687159</v>
      </c>
      <c r="Z41" s="913">
        <f>SUMPRODUCT(Z6:Z40,$E6:$E40)/$E41</f>
        <v>110.28972281551725</v>
      </c>
      <c r="AA41" s="892"/>
      <c r="AB41" s="914">
        <f t="shared" ref="AB41:AJ41" si="32">SUMPRODUCT(AB6:AB40,$E$6:$E$40)/$E$41</f>
        <v>3.9999999999999994E-2</v>
      </c>
      <c r="AC41" s="913">
        <f t="shared" si="32"/>
        <v>53.417956541924838</v>
      </c>
      <c r="AD41" s="1859">
        <f t="shared" si="32"/>
        <v>1442.2848266319686</v>
      </c>
      <c r="AE41" s="914">
        <f t="shared" si="32"/>
        <v>7.4999999999999983E-2</v>
      </c>
      <c r="AF41" s="913">
        <f t="shared" si="32"/>
        <v>157.58297179867813</v>
      </c>
      <c r="AG41" s="1859">
        <f t="shared" si="32"/>
        <v>1557.6676127625262</v>
      </c>
      <c r="AH41" s="913">
        <f t="shared" si="32"/>
        <v>277.02552262642206</v>
      </c>
      <c r="AI41" s="1859">
        <f t="shared" si="32"/>
        <v>1682.2810217835286</v>
      </c>
      <c r="AJ41" s="915">
        <f t="shared" si="32"/>
        <v>1.6220882709103217</v>
      </c>
      <c r="AK41" s="911"/>
      <c r="AM41" s="1326"/>
      <c r="AN41" s="1326"/>
      <c r="AO41" s="913">
        <f t="shared" ref="AO41:AP41" si="33">SUMPRODUCT(AO6:AO40,$E$6:$E$40)/$E$41</f>
        <v>1682.2810217835286</v>
      </c>
      <c r="AP41" s="913">
        <f t="shared" si="33"/>
        <v>1801.393922424287</v>
      </c>
      <c r="AQ41" s="1355">
        <f>AP41-AO41</f>
        <v>119.11290064075843</v>
      </c>
    </row>
    <row r="42" spans="1:43">
      <c r="A42" s="1887"/>
      <c r="B42" s="885"/>
      <c r="C42" s="916"/>
      <c r="D42" s="916"/>
      <c r="E42" s="885"/>
      <c r="F42" s="885"/>
      <c r="G42" s="885"/>
      <c r="H42" s="917"/>
      <c r="I42" s="917"/>
      <c r="J42" s="918">
        <f>K41</f>
        <v>1.3908438716859266</v>
      </c>
      <c r="K42" s="918"/>
      <c r="L42" s="918">
        <f>M41</f>
        <v>1.2876659672292727</v>
      </c>
      <c r="M42" s="918"/>
      <c r="N42" s="918">
        <f>O41</f>
        <v>1.2876659672292727</v>
      </c>
      <c r="O42" s="918"/>
      <c r="P42" s="892"/>
      <c r="Q42" s="920">
        <f>IFERROR(Q41/$E$41,"")</f>
        <v>0</v>
      </c>
      <c r="R42" s="921">
        <f t="shared" ref="R42:U42" si="34">IFERROR(R41/$E$41,"")</f>
        <v>1</v>
      </c>
      <c r="S42" s="921">
        <f t="shared" si="34"/>
        <v>0</v>
      </c>
      <c r="T42" s="921">
        <f t="shared" si="34"/>
        <v>1</v>
      </c>
      <c r="U42" s="921">
        <f t="shared" si="34"/>
        <v>0</v>
      </c>
      <c r="V42" s="921"/>
      <c r="W42" s="921"/>
      <c r="X42" s="916"/>
      <c r="Y42" s="916"/>
      <c r="Z42" s="916"/>
      <c r="AA42" s="892"/>
      <c r="AB42" s="923"/>
      <c r="AC42" s="922"/>
      <c r="AD42" s="1860">
        <f t="shared" ref="AD42" si="35">AD41/$H$41</f>
        <v>1.365618781335838</v>
      </c>
      <c r="AE42" s="923"/>
      <c r="AF42" s="922"/>
      <c r="AG42" s="1860">
        <f t="shared" ref="AG42" si="36">AG41/$H$41</f>
        <v>1.4748682838427052</v>
      </c>
      <c r="AH42" s="916"/>
      <c r="AI42" s="1860">
        <f>AJ41</f>
        <v>1.6220882709103217</v>
      </c>
      <c r="AJ42" s="918"/>
      <c r="AK42" s="919"/>
      <c r="AM42" s="916"/>
      <c r="AN42" s="916"/>
      <c r="AO42" s="916"/>
      <c r="AP42" s="916"/>
      <c r="AQ42" s="916"/>
    </row>
    <row r="43" spans="1:43" hidden="1" outlineLevel="1">
      <c r="A43" s="886"/>
      <c r="B43" s="886"/>
      <c r="E43" s="886"/>
      <c r="F43" s="886"/>
      <c r="G43" s="886"/>
      <c r="H43" s="924"/>
      <c r="I43" s="924"/>
      <c r="J43" s="925"/>
      <c r="K43" s="925"/>
      <c r="L43" s="925"/>
      <c r="M43" s="925"/>
      <c r="N43" s="925"/>
      <c r="O43" s="925"/>
      <c r="AB43" s="926"/>
      <c r="AC43" s="927" t="s">
        <v>559</v>
      </c>
      <c r="AD43" s="928">
        <f>'Annual Summary'!I6</f>
        <v>4389327.4071683483</v>
      </c>
      <c r="AE43" s="929"/>
      <c r="AF43" s="930"/>
      <c r="AG43" s="928">
        <f>'Annual Summary'!K6</f>
        <v>4740714.23837764</v>
      </c>
      <c r="AH43" s="931"/>
      <c r="AI43" s="928">
        <f>'Annual Summary'!M6</f>
        <v>5012431.6640849467</v>
      </c>
      <c r="AJ43" s="928"/>
    </row>
    <row r="44" spans="1:43" collapsed="1">
      <c r="E44" s="932" t="s">
        <v>560</v>
      </c>
      <c r="F44" s="933">
        <f>F41/E41</f>
        <v>0.98106060606060608</v>
      </c>
      <c r="G44" s="934"/>
      <c r="X44" s="1682"/>
    </row>
    <row r="45" spans="1:43" ht="19">
      <c r="E45" s="935" t="s">
        <v>561</v>
      </c>
      <c r="F45" s="936">
        <f>1-F44</f>
        <v>1.8939393939393923E-2</v>
      </c>
      <c r="G45" s="934"/>
      <c r="J45" s="526"/>
      <c r="K45" s="526"/>
      <c r="L45" s="526"/>
      <c r="M45" s="526"/>
      <c r="N45" s="526"/>
      <c r="AB45" s="173" t="s">
        <v>3</v>
      </c>
      <c r="AC45" s="173"/>
      <c r="AD45" s="173"/>
    </row>
    <row r="46" spans="1:43" ht="19">
      <c r="B46" s="1891" t="s">
        <v>562</v>
      </c>
      <c r="C46" s="1891"/>
      <c r="J46" s="1853"/>
      <c r="K46" s="1853"/>
      <c r="L46" s="1853"/>
      <c r="M46" s="1853"/>
      <c r="N46" s="1853"/>
      <c r="AB46" s="106" t="s">
        <v>139</v>
      </c>
      <c r="AC46" s="110"/>
      <c r="AD46" s="145">
        <f>'Inputs and Assumptions'!P19</f>
        <v>48</v>
      </c>
    </row>
    <row r="47" spans="1:43" ht="19" hidden="1" outlineLevel="1">
      <c r="C47"/>
      <c r="D47" s="529" t="s">
        <v>526</v>
      </c>
      <c r="E47" s="1323" t="s">
        <v>563</v>
      </c>
      <c r="F47" s="1323" t="s">
        <v>564</v>
      </c>
      <c r="G47" s="1323"/>
      <c r="H47" s="1323" t="s">
        <v>565</v>
      </c>
      <c r="I47" s="1323"/>
      <c r="J47" s="1323" t="s">
        <v>566</v>
      </c>
      <c r="K47" s="1323" t="s">
        <v>567</v>
      </c>
      <c r="L47" s="1323" t="s">
        <v>568</v>
      </c>
      <c r="M47" s="1323"/>
      <c r="N47" s="1323" t="s">
        <v>569</v>
      </c>
      <c r="X47" s="1347" t="s">
        <v>568</v>
      </c>
      <c r="Y47" s="1345" t="s">
        <v>569</v>
      </c>
      <c r="Z47"/>
      <c r="AB47" s="106" t="s">
        <v>570</v>
      </c>
      <c r="AC47" s="110"/>
      <c r="AD47" s="145" t="str">
        <f>'Inputs and Assumptions'!P20</f>
        <v>PREFERRED RETURN</v>
      </c>
    </row>
    <row r="48" spans="1:43" ht="19" hidden="1" outlineLevel="1">
      <c r="D48" s="1325" t="s">
        <v>571</v>
      </c>
      <c r="E48" s="1326">
        <f>SUMIF($D$6:$D$40,D48,$E$6:$E$40)</f>
        <v>0</v>
      </c>
      <c r="F48" s="1327" t="e">
        <f>E48/$E$72</f>
        <v>#DIV/0!</v>
      </c>
      <c r="G48" s="1326"/>
      <c r="H48" s="1328">
        <f>SUMIF($D$6:$D$40,D48,$I$6:$I$40)</f>
        <v>0</v>
      </c>
      <c r="I48" s="1328"/>
      <c r="J48" s="1327" t="e">
        <f>H48/$H$72</f>
        <v>#DIV/0!</v>
      </c>
      <c r="K48" s="1328" t="e">
        <f>L48/N48</f>
        <v>#DIV/0!</v>
      </c>
      <c r="L48" s="1329" cm="1">
        <f t="array" ref="L48">IF(E48=0,0,SUMPRODUCT(--($D$6:$D$40=$D48),$E$6:$E$40,$L$6:$L$40)/SUMIF($D$6:$D$40,$D48,$E$6:$E$40))</f>
        <v>0</v>
      </c>
      <c r="M48" s="1326"/>
      <c r="N48" s="1330" cm="1">
        <f t="array" ref="N48">IF(E48=0,0,SUMPRODUCT(--($D$6:$D$40=$D48),$I$6:$I$40,$M$6:$M$40)/SUMIF($D$6:$D$40,$D48,$I$6:$I$40))</f>
        <v>0</v>
      </c>
      <c r="X48" s="1348" cm="1">
        <f t="array" ref="X48">IF(E48=0,0,SUMPRODUCT(--($D$6:$D$40=$D48),$E$6:$E$40,$X$6:$X$40)/SUMIF($D$6:$D$40,$D48,$E$6:$E$40))</f>
        <v>0</v>
      </c>
      <c r="Y48" s="1332" cm="1">
        <f t="array" ref="Y48">IF(E48=0,0,SUMPRODUCT(--($D$6:$D$40=$D48),$I$6:$I$40,$Y$6:$Y$40)/SUMIF($D$6:$D$40,$D48,$I$6:$I$40))</f>
        <v>0</v>
      </c>
      <c r="AB48" s="106" t="s">
        <v>8</v>
      </c>
      <c r="AC48" s="110"/>
      <c r="AD48" s="127">
        <f ca="1">'Inputs and Assumptions'!P21</f>
        <v>0.15896270871162421</v>
      </c>
    </row>
    <row r="49" spans="4:30" ht="19" hidden="1" outlineLevel="1">
      <c r="D49" s="892" t="s">
        <v>572</v>
      </c>
      <c r="E49" s="523">
        <f t="shared" ref="E49:E53" si="37">SUMIF($D$6:$D$40,D49,$E$6:$E$40)</f>
        <v>0</v>
      </c>
      <c r="F49" s="540" t="e">
        <f t="shared" ref="F49:F53" si="38">E49/$E$72</f>
        <v>#DIV/0!</v>
      </c>
      <c r="G49" s="523"/>
      <c r="H49" s="900">
        <f t="shared" ref="H49:H53" si="39">SUMIF($D$6:$D$40,D49,$I$6:$I$40)</f>
        <v>0</v>
      </c>
      <c r="I49" s="900"/>
      <c r="J49" s="540" t="e">
        <f t="shared" ref="J49:J53" si="40">H49/$H$72</f>
        <v>#DIV/0!</v>
      </c>
      <c r="K49" s="900" t="e">
        <f>L49/N49</f>
        <v>#DIV/0!</v>
      </c>
      <c r="L49" s="1331" cm="1">
        <f t="array" ref="L49">IF(E49=0,0,SUMPRODUCT(--($D$6:$D$40=$D49),$E$6:$E$40,$L$6:$L$40)/SUMIF($D$6:$D$40,$D49,$E$6:$E$40))</f>
        <v>0</v>
      </c>
      <c r="M49" s="523"/>
      <c r="N49" s="1332" cm="1">
        <f t="array" ref="N49">IF(E49=0,0,SUMPRODUCT(--($D$6:$D$40=$D49),$I$6:$I$40,$M$6:$M$40)/SUMIF($D$6:$D$40,$D49,$I$6:$I$40))</f>
        <v>0</v>
      </c>
      <c r="X49" s="1348" cm="1">
        <f t="array" ref="X49">IF(E49=0,0,SUMPRODUCT(--($D$6:$D$40=$D49),$E$6:$E$40,$X$6:$X$40)/SUMIF($D$6:$D$40,$D49,$E$6:$E$40))</f>
        <v>0</v>
      </c>
      <c r="Y49" s="1332" cm="1">
        <f t="array" ref="Y49">IF(E49=0,0,SUMPRODUCT(--($D$6:$D$40=$D49),$I$6:$I$40,$Y$6:$Y$40)/SUMIF($D$6:$D$40,$D49,$I$6:$I$40))</f>
        <v>0</v>
      </c>
      <c r="AB49" s="106" t="s">
        <v>150</v>
      </c>
      <c r="AC49" s="110"/>
      <c r="AD49" s="152">
        <f ca="1">'Inputs and Assumptions'!P22</f>
        <v>1.7175438528726268</v>
      </c>
    </row>
    <row r="50" spans="4:30" ht="19" hidden="1" outlineLevel="1">
      <c r="D50" s="892" t="s">
        <v>573</v>
      </c>
      <c r="E50" s="523">
        <f t="shared" si="37"/>
        <v>0</v>
      </c>
      <c r="F50" s="540" t="e">
        <f t="shared" si="38"/>
        <v>#DIV/0!</v>
      </c>
      <c r="G50" s="523"/>
      <c r="H50" s="900">
        <f t="shared" si="39"/>
        <v>0</v>
      </c>
      <c r="I50" s="900"/>
      <c r="J50" s="540" t="e">
        <f t="shared" si="40"/>
        <v>#DIV/0!</v>
      </c>
      <c r="K50" s="900" t="e">
        <f t="shared" ref="K50:K53" si="41">L50/N50</f>
        <v>#DIV/0!</v>
      </c>
      <c r="L50" s="1331" cm="1">
        <f t="array" ref="L50">IF(E50=0,0,SUMPRODUCT(--($D$6:$D$40=$D50),$E$6:$E$40,$L$6:$L$40)/SUMIF($D$6:$D$40,$D50,$E$6:$E$40))</f>
        <v>0</v>
      </c>
      <c r="M50" s="523"/>
      <c r="N50" s="1332" cm="1">
        <f t="array" ref="N50">IF(E50=0,0,SUMPRODUCT(--($D$6:$D$40=$D50),$I$6:$I$40,$M$6:$M$40)/SUMIF($D$6:$D$40,$D50,$I$6:$I$40))</f>
        <v>0</v>
      </c>
      <c r="X50" s="1348" cm="1">
        <f t="array" ref="X50">IF(E50=0,0,SUMPRODUCT(--($D$6:$D$40=$D50),$E$6:$E$40,$X$6:$X$40)/SUMIF($D$6:$D$40,$D50,$E$6:$E$40))</f>
        <v>0</v>
      </c>
      <c r="Y50" s="1332" cm="1">
        <f t="array" ref="Y50">IF(E50=0,0,SUMPRODUCT(--($D$6:$D$40=$D50),$I$6:$I$40,$Y$6:$Y$40)/SUMIF($D$6:$D$40,$D50,$I$6:$I$40))</f>
        <v>0</v>
      </c>
      <c r="AB50" s="106" t="s">
        <v>153</v>
      </c>
      <c r="AC50" s="110"/>
      <c r="AD50" s="127">
        <f ca="1">'Inputs and Assumptions'!P23</f>
        <v>0.14791656136512762</v>
      </c>
    </row>
    <row r="51" spans="4:30" ht="19" hidden="1" outlineLevel="1">
      <c r="D51" s="892" t="s">
        <v>574</v>
      </c>
      <c r="E51" s="523">
        <f t="shared" si="37"/>
        <v>0</v>
      </c>
      <c r="F51" s="540" t="e">
        <f t="shared" si="38"/>
        <v>#DIV/0!</v>
      </c>
      <c r="G51" s="523"/>
      <c r="H51" s="900">
        <f t="shared" si="39"/>
        <v>0</v>
      </c>
      <c r="I51" s="900"/>
      <c r="J51" s="540" t="e">
        <f t="shared" si="40"/>
        <v>#DIV/0!</v>
      </c>
      <c r="K51" s="900" t="e">
        <f t="shared" si="41"/>
        <v>#DIV/0!</v>
      </c>
      <c r="L51" s="1331" cm="1">
        <f t="array" ref="L51">IF(E51=0,0,SUMPRODUCT(--($D$6:$D$40=$D51),$E$6:$E$40,$L$6:$L$40)/SUMIF($D$6:$D$40,$D51,$E$6:$E$40))</f>
        <v>0</v>
      </c>
      <c r="M51" s="523"/>
      <c r="N51" s="1332" cm="1">
        <f t="array" ref="N51">IF(E51=0,0,SUMPRODUCT(--($D$6:$D$40=$D51),$I$6:$I$40,$M$6:$M$40)/SUMIF($D$6:$D$40,$D51,$I$6:$I$40))</f>
        <v>0</v>
      </c>
      <c r="X51" s="1348" cm="1">
        <f t="array" ref="X51">IF(E51=0,0,SUMPRODUCT(--($D$6:$D$40=$D51),$E$6:$E$40,$X$6:$X$40)/SUMIF($D$6:$D$40,$D51,$E$6:$E$40))</f>
        <v>0</v>
      </c>
      <c r="Y51" s="1332" cm="1">
        <f t="array" ref="Y51">IF(E51=0,0,SUMPRODUCT(--($D$6:$D$40=$D51),$I$6:$I$40,$Y$6:$Y$40)/SUMIF($D$6:$D$40,$D51,$I$6:$I$40))</f>
        <v>0</v>
      </c>
      <c r="AB51" s="106" t="s">
        <v>155</v>
      </c>
      <c r="AC51" s="110"/>
      <c r="AD51" s="152">
        <f ca="1">'Inputs and Assumptions'!P24</f>
        <v>1.6564057454439265</v>
      </c>
    </row>
    <row r="52" spans="4:30" ht="19" hidden="1" outlineLevel="1">
      <c r="D52" s="892" t="s">
        <v>575</v>
      </c>
      <c r="E52" s="523">
        <f t="shared" si="37"/>
        <v>0</v>
      </c>
      <c r="F52" s="540" t="e">
        <f t="shared" si="38"/>
        <v>#DIV/0!</v>
      </c>
      <c r="G52" s="523"/>
      <c r="H52" s="900">
        <f t="shared" si="39"/>
        <v>0</v>
      </c>
      <c r="I52" s="900"/>
      <c r="J52" s="540" t="e">
        <f t="shared" si="40"/>
        <v>#DIV/0!</v>
      </c>
      <c r="K52" s="900" t="e">
        <f t="shared" si="41"/>
        <v>#DIV/0!</v>
      </c>
      <c r="L52" s="1331" cm="1">
        <f t="array" ref="L52">IF(E52=0,0,SUMPRODUCT(--($D$6:$D$40=$D52),$E$6:$E$40,$L$6:$L$40)/SUMIF($D$6:$D$40,$D52,$E$6:$E$40))</f>
        <v>0</v>
      </c>
      <c r="M52" s="523"/>
      <c r="N52" s="1332" cm="1">
        <f t="array" ref="N52">IF(E52=0,0,SUMPRODUCT(--($D$6:$D$40=$D52),$I$6:$I$40,$M$6:$M$40)/SUMIF($D$6:$D$40,$D52,$I$6:$I$40))</f>
        <v>0</v>
      </c>
      <c r="X52" s="1348" cm="1">
        <f t="array" ref="X52">IF(E52=0,0,SUMPRODUCT(--($D$6:$D$40=$D52),$E$6:$E$40,$X$6:$X$40)/SUMIF($D$6:$D$40,$D52,$E$6:$E$40))</f>
        <v>0</v>
      </c>
      <c r="Y52" s="1332" cm="1">
        <f t="array" ref="Y52">IF(E52=0,0,SUMPRODUCT(--($D$6:$D$40=$D52),$I$6:$I$40,$Y$6:$Y$40)/SUMIF($D$6:$D$40,$D52,$I$6:$I$40))</f>
        <v>0</v>
      </c>
      <c r="AB52" s="106" t="s">
        <v>158</v>
      </c>
      <c r="AC52" s="110"/>
      <c r="AD52" s="127" t="e">
        <f ca="1">'Inputs and Assumptions'!P25</f>
        <v>#NUM!</v>
      </c>
    </row>
    <row r="53" spans="4:30" ht="19" hidden="1" outlineLevel="1">
      <c r="D53" s="892" t="s">
        <v>576</v>
      </c>
      <c r="E53" s="523">
        <f t="shared" si="37"/>
        <v>0</v>
      </c>
      <c r="F53" s="540" t="e">
        <f t="shared" si="38"/>
        <v>#DIV/0!</v>
      </c>
      <c r="G53" s="523"/>
      <c r="H53" s="900">
        <f t="shared" si="39"/>
        <v>0</v>
      </c>
      <c r="I53" s="900"/>
      <c r="J53" s="540" t="e">
        <f t="shared" si="40"/>
        <v>#DIV/0!</v>
      </c>
      <c r="K53" s="900" t="e">
        <f t="shared" si="41"/>
        <v>#DIV/0!</v>
      </c>
      <c r="L53" s="1331" cm="1">
        <f t="array" ref="L53">IF(E53=0,0,SUMPRODUCT(--($D$6:$D$40=$D53),$E$6:$E$40,$L$6:$L$40)/SUMIF($D$6:$D$40,$D53,$E$6:$E$40))</f>
        <v>0</v>
      </c>
      <c r="M53" s="523"/>
      <c r="N53" s="1332" cm="1">
        <f t="array" ref="N53">IF(E53=0,0,SUMPRODUCT(--($D$6:$D$40=$D53),$I$6:$I$40,$M$6:$M$40)/SUMIF($D$6:$D$40,$D53,$I$6:$I$40))</f>
        <v>0</v>
      </c>
      <c r="X53" s="1348" cm="1">
        <f t="array" ref="X53">IF(E53=0,0,SUMPRODUCT(--($D$6:$D$40=$D53),$E$6:$E$40,$X$6:$X$40)/SUMIF($D$6:$D$40,$D53,$E$6:$E$40))</f>
        <v>0</v>
      </c>
      <c r="Y53" s="1332" cm="1">
        <f t="array" ref="Y53">IF(E53=0,0,SUMPRODUCT(--($D$6:$D$40=$D53),$I$6:$I$40,$Y$6:$Y$40)/SUMIF($D$6:$D$40,$D53,$I$6:$I$40))</f>
        <v>0</v>
      </c>
      <c r="AB53" s="106" t="s">
        <v>161</v>
      </c>
      <c r="AC53" s="110"/>
      <c r="AD53" s="152" t="e">
        <f ca="1">'Inputs and Assumptions'!P26</f>
        <v>#DIV/0!</v>
      </c>
    </row>
    <row r="54" spans="4:30" ht="19" hidden="1" outlineLevel="1">
      <c r="D54" s="892" t="s">
        <v>577</v>
      </c>
      <c r="E54" s="523">
        <f t="shared" ref="E54:E71" si="42">SUMIF($D$6:$D$40,D54,$E$6:$E$40)</f>
        <v>0</v>
      </c>
      <c r="F54" s="540" t="e">
        <f t="shared" ref="F54:F71" si="43">E54/$E$72</f>
        <v>#DIV/0!</v>
      </c>
      <c r="G54" s="523"/>
      <c r="H54" s="900">
        <f t="shared" ref="H54:H71" si="44">SUMIF($D$6:$D$40,D54,$I$6:$I$40)</f>
        <v>0</v>
      </c>
      <c r="I54" s="900"/>
      <c r="J54" s="540" t="e">
        <f t="shared" ref="J54:J71" si="45">H54/$H$72</f>
        <v>#DIV/0!</v>
      </c>
      <c r="K54" s="900" t="e">
        <f t="shared" ref="K54:K71" si="46">L54/N54</f>
        <v>#DIV/0!</v>
      </c>
      <c r="L54" s="1331" cm="1">
        <f t="array" ref="L54">IF(E54=0,0,SUMPRODUCT(--($D$6:$D$40=$D54),$E$6:$E$40,$L$6:$L$40)/SUMIF($D$6:$D$40,$D54,$E$6:$E$40))</f>
        <v>0</v>
      </c>
      <c r="M54" s="523"/>
      <c r="N54" s="1332" cm="1">
        <f t="array" ref="N54">IF(E54=0,0,SUMPRODUCT(--($D$6:$D$40=$D54),$I$6:$I$40,$M$6:$M$40)/SUMIF($D$6:$D$40,$D54,$I$6:$I$40))</f>
        <v>0</v>
      </c>
      <c r="X54" s="1348" cm="1">
        <f t="array" ref="X54">IF(E54=0,0,SUMPRODUCT(--($D$6:$D$40=$D54),$E$6:$E$40,$X$6:$X$40)/SUMIF($D$6:$D$40,$D54,$E$6:$E$40))</f>
        <v>0</v>
      </c>
      <c r="Y54" s="1332" cm="1">
        <f t="array" ref="Y54">IF(E54=0,0,SUMPRODUCT(--($D$6:$D$40=$D54),$I$6:$I$40,$Y$6:$Y$40)/SUMIF($D$6:$D$40,$D54,$I$6:$I$40))</f>
        <v>0</v>
      </c>
      <c r="AB54" s="106"/>
      <c r="AC54" s="110"/>
      <c r="AD54" s="152"/>
    </row>
    <row r="55" spans="4:30" ht="19" hidden="1" outlineLevel="1">
      <c r="D55" s="892" t="s">
        <v>578</v>
      </c>
      <c r="E55" s="523">
        <f t="shared" si="42"/>
        <v>0</v>
      </c>
      <c r="F55" s="540" t="e">
        <f t="shared" si="43"/>
        <v>#DIV/0!</v>
      </c>
      <c r="G55" s="523"/>
      <c r="H55" s="900">
        <f t="shared" si="44"/>
        <v>0</v>
      </c>
      <c r="I55" s="900"/>
      <c r="J55" s="540" t="e">
        <f t="shared" si="45"/>
        <v>#DIV/0!</v>
      </c>
      <c r="K55" s="900" t="e">
        <f t="shared" si="46"/>
        <v>#DIV/0!</v>
      </c>
      <c r="L55" s="1331" cm="1">
        <f t="array" ref="L55">IF(E55=0,0,SUMPRODUCT(--($D$6:$D$40=$D55),$E$6:$E$40,$L$6:$L$40)/SUMIF($D$6:$D$40,$D55,$E$6:$E$40))</f>
        <v>0</v>
      </c>
      <c r="M55" s="523"/>
      <c r="N55" s="1332" cm="1">
        <f t="array" ref="N55">IF(E55=0,0,SUMPRODUCT(--($D$6:$D$40=$D55),$I$6:$I$40,$M$6:$M$40)/SUMIF($D$6:$D$40,$D55,$I$6:$I$40))</f>
        <v>0</v>
      </c>
      <c r="X55" s="1348" cm="1">
        <f t="array" ref="X55">IF(E55=0,0,SUMPRODUCT(--($D$6:$D$40=$D55),$E$6:$E$40,$X$6:$X$40)/SUMIF($D$6:$D$40,$D55,$E$6:$E$40))</f>
        <v>0</v>
      </c>
      <c r="Y55" s="1332" cm="1">
        <f t="array" ref="Y55">IF(E55=0,0,SUMPRODUCT(--($D$6:$D$40=$D55),$I$6:$I$40,$Y$6:$Y$40)/SUMIF($D$6:$D$40,$D55,$I$6:$I$40))</f>
        <v>0</v>
      </c>
      <c r="AB55" s="106"/>
      <c r="AC55" s="110"/>
      <c r="AD55" s="152"/>
    </row>
    <row r="56" spans="4:30" ht="19" hidden="1" outlineLevel="1">
      <c r="D56" s="892" t="s">
        <v>579</v>
      </c>
      <c r="E56" s="523">
        <f t="shared" si="42"/>
        <v>0</v>
      </c>
      <c r="F56" s="540" t="e">
        <f t="shared" si="43"/>
        <v>#DIV/0!</v>
      </c>
      <c r="G56" s="523"/>
      <c r="H56" s="900">
        <f t="shared" si="44"/>
        <v>0</v>
      </c>
      <c r="I56" s="900"/>
      <c r="J56" s="540" t="e">
        <f t="shared" si="45"/>
        <v>#DIV/0!</v>
      </c>
      <c r="K56" s="900" t="e">
        <f t="shared" si="46"/>
        <v>#DIV/0!</v>
      </c>
      <c r="L56" s="1331" cm="1">
        <f t="array" ref="L56">IF(E56=0,0,SUMPRODUCT(--($D$6:$D$40=$D56),$E$6:$E$40,$L$6:$L$40)/SUMIF($D$6:$D$40,$D56,$E$6:$E$40))</f>
        <v>0</v>
      </c>
      <c r="M56" s="523"/>
      <c r="N56" s="1332" cm="1">
        <f t="array" ref="N56">IF(E56=0,0,SUMPRODUCT(--($D$6:$D$40=$D56),$I$6:$I$40,$M$6:$M$40)/SUMIF($D$6:$D$40,$D56,$I$6:$I$40))</f>
        <v>0</v>
      </c>
      <c r="X56" s="1348" cm="1">
        <f t="array" ref="X56">IF(E56=0,0,SUMPRODUCT(--($D$6:$D$40=$D56),$E$6:$E$40,$X$6:$X$40)/SUMIF($D$6:$D$40,$D56,$E$6:$E$40))</f>
        <v>0</v>
      </c>
      <c r="Y56" s="1332" cm="1">
        <f t="array" ref="Y56">IF(E56=0,0,SUMPRODUCT(--($D$6:$D$40=$D56),$I$6:$I$40,$Y$6:$Y$40)/SUMIF($D$6:$D$40,$D56,$I$6:$I$40))</f>
        <v>0</v>
      </c>
      <c r="AB56" s="106"/>
      <c r="AC56" s="110"/>
      <c r="AD56" s="152"/>
    </row>
    <row r="57" spans="4:30" ht="19" hidden="1" outlineLevel="1">
      <c r="D57" s="892" t="s">
        <v>580</v>
      </c>
      <c r="E57" s="523">
        <f t="shared" si="42"/>
        <v>0</v>
      </c>
      <c r="F57" s="540" t="e">
        <f t="shared" si="43"/>
        <v>#DIV/0!</v>
      </c>
      <c r="G57" s="523"/>
      <c r="H57" s="900">
        <f t="shared" si="44"/>
        <v>0</v>
      </c>
      <c r="I57" s="900"/>
      <c r="J57" s="540" t="e">
        <f t="shared" si="45"/>
        <v>#DIV/0!</v>
      </c>
      <c r="K57" s="900" t="e">
        <f t="shared" si="46"/>
        <v>#DIV/0!</v>
      </c>
      <c r="L57" s="1331" cm="1">
        <f t="array" ref="L57">IF(E57=0,0,SUMPRODUCT(--($D$6:$D$40=$D57),$E$6:$E$40,$L$6:$L$40)/SUMIF($D$6:$D$40,$D57,$E$6:$E$40))</f>
        <v>0</v>
      </c>
      <c r="M57" s="523"/>
      <c r="N57" s="1332" cm="1">
        <f t="array" ref="N57">IF(E57=0,0,SUMPRODUCT(--($D$6:$D$40=$D57),$I$6:$I$40,$M$6:$M$40)/SUMIF($D$6:$D$40,$D57,$I$6:$I$40))</f>
        <v>0</v>
      </c>
      <c r="X57" s="1348" cm="1">
        <f t="array" ref="X57">IF(E57=0,0,SUMPRODUCT(--($D$6:$D$40=$D57),$E$6:$E$40,$X$6:$X$40)/SUMIF($D$6:$D$40,$D57,$E$6:$E$40))</f>
        <v>0</v>
      </c>
      <c r="Y57" s="1332" cm="1">
        <f t="array" ref="Y57">IF(E57=0,0,SUMPRODUCT(--($D$6:$D$40=$D57),$I$6:$I$40,$Y$6:$Y$40)/SUMIF($D$6:$D$40,$D57,$I$6:$I$40))</f>
        <v>0</v>
      </c>
      <c r="AB57" s="106"/>
      <c r="AC57" s="110"/>
      <c r="AD57" s="152"/>
    </row>
    <row r="58" spans="4:30" ht="19" hidden="1" outlineLevel="1">
      <c r="D58" s="892" t="s">
        <v>581</v>
      </c>
      <c r="E58" s="523">
        <f t="shared" si="42"/>
        <v>0</v>
      </c>
      <c r="F58" s="540" t="e">
        <f t="shared" si="43"/>
        <v>#DIV/0!</v>
      </c>
      <c r="G58" s="523"/>
      <c r="H58" s="900">
        <f t="shared" si="44"/>
        <v>0</v>
      </c>
      <c r="I58" s="900"/>
      <c r="J58" s="540" t="e">
        <f t="shared" si="45"/>
        <v>#DIV/0!</v>
      </c>
      <c r="K58" s="900" t="e">
        <f t="shared" si="46"/>
        <v>#DIV/0!</v>
      </c>
      <c r="L58" s="1331" cm="1">
        <f t="array" ref="L58">IF(E58=0,0,SUMPRODUCT(--($D$6:$D$40=$D58),$E$6:$E$40,$L$6:$L$40)/SUMIF($D$6:$D$40,$D58,$E$6:$E$40))</f>
        <v>0</v>
      </c>
      <c r="M58" s="523"/>
      <c r="N58" s="1332" cm="1">
        <f t="array" ref="N58">IF(E58=0,0,SUMPRODUCT(--($D$6:$D$40=$D58),$I$6:$I$40,$M$6:$M$40)/SUMIF($D$6:$D$40,$D58,$I$6:$I$40))</f>
        <v>0</v>
      </c>
      <c r="X58" s="1348" cm="1">
        <f t="array" ref="X58">IF(E58=0,0,SUMPRODUCT(--($D$6:$D$40=$D58),$E$6:$E$40,$X$6:$X$40)/SUMIF($D$6:$D$40,$D58,$E$6:$E$40))</f>
        <v>0</v>
      </c>
      <c r="Y58" s="1332" cm="1">
        <f t="array" ref="Y58">IF(E58=0,0,SUMPRODUCT(--($D$6:$D$40=$D58),$I$6:$I$40,$Y$6:$Y$40)/SUMIF($D$6:$D$40,$D58,$I$6:$I$40))</f>
        <v>0</v>
      </c>
      <c r="AB58" s="106"/>
      <c r="AC58" s="110"/>
      <c r="AD58" s="152"/>
    </row>
    <row r="59" spans="4:30" ht="19" hidden="1" outlineLevel="1">
      <c r="D59" s="892" t="s">
        <v>582</v>
      </c>
      <c r="E59" s="523">
        <f t="shared" si="42"/>
        <v>0</v>
      </c>
      <c r="F59" s="540" t="e">
        <f t="shared" si="43"/>
        <v>#DIV/0!</v>
      </c>
      <c r="G59" s="523"/>
      <c r="H59" s="900">
        <f t="shared" si="44"/>
        <v>0</v>
      </c>
      <c r="I59" s="900"/>
      <c r="J59" s="540" t="e">
        <f t="shared" si="45"/>
        <v>#DIV/0!</v>
      </c>
      <c r="K59" s="900" t="e">
        <f t="shared" si="46"/>
        <v>#DIV/0!</v>
      </c>
      <c r="L59" s="1331" cm="1">
        <f t="array" ref="L59">IF(E59=0,0,SUMPRODUCT(--($D$6:$D$40=$D59),$E$6:$E$40,$L$6:$L$40)/SUMIF($D$6:$D$40,$D59,$E$6:$E$40))</f>
        <v>0</v>
      </c>
      <c r="M59" s="523"/>
      <c r="N59" s="1332" cm="1">
        <f t="array" ref="N59">IF(E59=0,0,SUMPRODUCT(--($D$6:$D$40=$D59),$I$6:$I$40,$M$6:$M$40)/SUMIF($D$6:$D$40,$D59,$I$6:$I$40))</f>
        <v>0</v>
      </c>
      <c r="X59" s="1348" cm="1">
        <f t="array" ref="X59">IF(E59=0,0,SUMPRODUCT(--($D$6:$D$40=$D59),$E$6:$E$40,$X$6:$X$40)/SUMIF($D$6:$D$40,$D59,$E$6:$E$40))</f>
        <v>0</v>
      </c>
      <c r="Y59" s="1332" cm="1">
        <f t="array" ref="Y59">IF(E59=0,0,SUMPRODUCT(--($D$6:$D$40=$D59),$I$6:$I$40,$Y$6:$Y$40)/SUMIF($D$6:$D$40,$D59,$I$6:$I$40))</f>
        <v>0</v>
      </c>
      <c r="AB59" s="106"/>
      <c r="AC59" s="110"/>
      <c r="AD59" s="152"/>
    </row>
    <row r="60" spans="4:30" ht="19" hidden="1" outlineLevel="1">
      <c r="D60" s="892" t="s">
        <v>583</v>
      </c>
      <c r="E60" s="523">
        <f t="shared" si="42"/>
        <v>0</v>
      </c>
      <c r="F60" s="540" t="e">
        <f t="shared" si="43"/>
        <v>#DIV/0!</v>
      </c>
      <c r="G60" s="523"/>
      <c r="H60" s="900">
        <f t="shared" si="44"/>
        <v>0</v>
      </c>
      <c r="I60" s="900"/>
      <c r="J60" s="540" t="e">
        <f t="shared" si="45"/>
        <v>#DIV/0!</v>
      </c>
      <c r="K60" s="900" t="e">
        <f t="shared" si="46"/>
        <v>#DIV/0!</v>
      </c>
      <c r="L60" s="1331" cm="1">
        <f t="array" ref="L60">IF(E60=0,0,SUMPRODUCT(--($D$6:$D$40=$D60),$E$6:$E$40,$L$6:$L$40)/SUMIF($D$6:$D$40,$D60,$E$6:$E$40))</f>
        <v>0</v>
      </c>
      <c r="M60" s="523"/>
      <c r="N60" s="1332" cm="1">
        <f t="array" ref="N60">IF(E60=0,0,SUMPRODUCT(--($D$6:$D$40=$D60),$I$6:$I$40,$M$6:$M$40)/SUMIF($D$6:$D$40,$D60,$I$6:$I$40))</f>
        <v>0</v>
      </c>
      <c r="X60" s="1348" cm="1">
        <f t="array" ref="X60">IF(E60=0,0,SUMPRODUCT(--($D$6:$D$40=$D60),$E$6:$E$40,$X$6:$X$40)/SUMIF($D$6:$D$40,$D60,$E$6:$E$40))</f>
        <v>0</v>
      </c>
      <c r="Y60" s="1332" cm="1">
        <f t="array" ref="Y60">IF(E60=0,0,SUMPRODUCT(--($D$6:$D$40=$D60),$I$6:$I$40,$Y$6:$Y$40)/SUMIF($D$6:$D$40,$D60,$I$6:$I$40))</f>
        <v>0</v>
      </c>
      <c r="AB60" s="106"/>
      <c r="AC60" s="110"/>
      <c r="AD60" s="152"/>
    </row>
    <row r="61" spans="4:30" ht="19" hidden="1" outlineLevel="1">
      <c r="D61" s="892" t="s">
        <v>584</v>
      </c>
      <c r="E61" s="523">
        <f t="shared" si="42"/>
        <v>0</v>
      </c>
      <c r="F61" s="540" t="e">
        <f t="shared" si="43"/>
        <v>#DIV/0!</v>
      </c>
      <c r="G61" s="523"/>
      <c r="H61" s="900">
        <f t="shared" si="44"/>
        <v>0</v>
      </c>
      <c r="I61" s="900"/>
      <c r="J61" s="540" t="e">
        <f t="shared" si="45"/>
        <v>#DIV/0!</v>
      </c>
      <c r="K61" s="900" t="e">
        <f t="shared" si="46"/>
        <v>#DIV/0!</v>
      </c>
      <c r="L61" s="1331" cm="1">
        <f t="array" ref="L61">IF(E61=0,0,SUMPRODUCT(--($D$6:$D$40=$D61),$E$6:$E$40,$L$6:$L$40)/SUMIF($D$6:$D$40,$D61,$E$6:$E$40))</f>
        <v>0</v>
      </c>
      <c r="M61" s="523"/>
      <c r="N61" s="1332" cm="1">
        <f t="array" ref="N61">IF(E61=0,0,SUMPRODUCT(--($D$6:$D$40=$D61),$I$6:$I$40,$M$6:$M$40)/SUMIF($D$6:$D$40,$D61,$I$6:$I$40))</f>
        <v>0</v>
      </c>
      <c r="X61" s="1348" cm="1">
        <f t="array" ref="X61">IF(E61=0,0,SUMPRODUCT(--($D$6:$D$40=$D61),$E$6:$E$40,$X$6:$X$40)/SUMIF($D$6:$D$40,$D61,$E$6:$E$40))</f>
        <v>0</v>
      </c>
      <c r="Y61" s="1332" cm="1">
        <f t="array" ref="Y61">IF(E61=0,0,SUMPRODUCT(--($D$6:$D$40=$D61),$I$6:$I$40,$Y$6:$Y$40)/SUMIF($D$6:$D$40,$D61,$I$6:$I$40))</f>
        <v>0</v>
      </c>
      <c r="AB61" s="106"/>
      <c r="AC61" s="110"/>
      <c r="AD61" s="152"/>
    </row>
    <row r="62" spans="4:30" ht="19" hidden="1" outlineLevel="1">
      <c r="D62" s="892" t="s">
        <v>585</v>
      </c>
      <c r="E62" s="523">
        <f t="shared" si="42"/>
        <v>0</v>
      </c>
      <c r="F62" s="540" t="e">
        <f t="shared" si="43"/>
        <v>#DIV/0!</v>
      </c>
      <c r="G62" s="523"/>
      <c r="H62" s="900">
        <f t="shared" si="44"/>
        <v>0</v>
      </c>
      <c r="I62" s="900"/>
      <c r="J62" s="540" t="e">
        <f t="shared" si="45"/>
        <v>#DIV/0!</v>
      </c>
      <c r="K62" s="900" t="e">
        <f t="shared" si="46"/>
        <v>#DIV/0!</v>
      </c>
      <c r="L62" s="1331" cm="1">
        <f t="array" ref="L62">IF(E62=0,0,SUMPRODUCT(--($D$6:$D$40=$D62),$E$6:$E$40,$L$6:$L$40)/SUMIF($D$6:$D$40,$D62,$E$6:$E$40))</f>
        <v>0</v>
      </c>
      <c r="M62" s="523"/>
      <c r="N62" s="1332" cm="1">
        <f t="array" ref="N62">IF(E62=0,0,SUMPRODUCT(--($D$6:$D$40=$D62),$I$6:$I$40,$M$6:$M$40)/SUMIF($D$6:$D$40,$D62,$I$6:$I$40))</f>
        <v>0</v>
      </c>
      <c r="X62" s="1348" cm="1">
        <f t="array" ref="X62">IF(E62=0,0,SUMPRODUCT(--($D$6:$D$40=$D62),$E$6:$E$40,$X$6:$X$40)/SUMIF($D$6:$D$40,$D62,$E$6:$E$40))</f>
        <v>0</v>
      </c>
      <c r="Y62" s="1332" cm="1">
        <f t="array" ref="Y62">IF(E62=0,0,SUMPRODUCT(--($D$6:$D$40=$D62),$I$6:$I$40,$Y$6:$Y$40)/SUMIF($D$6:$D$40,$D62,$I$6:$I$40))</f>
        <v>0</v>
      </c>
      <c r="AB62" s="106"/>
      <c r="AC62" s="110"/>
      <c r="AD62" s="152"/>
    </row>
    <row r="63" spans="4:30" ht="19" hidden="1" outlineLevel="1">
      <c r="D63" s="892" t="s">
        <v>586</v>
      </c>
      <c r="E63" s="523">
        <f t="shared" si="42"/>
        <v>0</v>
      </c>
      <c r="F63" s="540" t="e">
        <f t="shared" si="43"/>
        <v>#DIV/0!</v>
      </c>
      <c r="G63" s="523"/>
      <c r="H63" s="900">
        <f t="shared" si="44"/>
        <v>0</v>
      </c>
      <c r="I63" s="900"/>
      <c r="J63" s="540" t="e">
        <f t="shared" si="45"/>
        <v>#DIV/0!</v>
      </c>
      <c r="K63" s="900" t="e">
        <f t="shared" si="46"/>
        <v>#DIV/0!</v>
      </c>
      <c r="L63" s="1331" cm="1">
        <f t="array" ref="L63">IF(E63=0,0,SUMPRODUCT(--($D$6:$D$40=$D63),$E$6:$E$40,$L$6:$L$40)/SUMIF($D$6:$D$40,$D63,$E$6:$E$40))</f>
        <v>0</v>
      </c>
      <c r="M63" s="523"/>
      <c r="N63" s="1332" cm="1">
        <f t="array" ref="N63">IF(E63=0,0,SUMPRODUCT(--($D$6:$D$40=$D63),$I$6:$I$40,$M$6:$M$40)/SUMIF($D$6:$D$40,$D63,$I$6:$I$40))</f>
        <v>0</v>
      </c>
      <c r="X63" s="1348" cm="1">
        <f t="array" ref="X63">IF(E63=0,0,SUMPRODUCT(--($D$6:$D$40=$D63),$E$6:$E$40,$X$6:$X$40)/SUMIF($D$6:$D$40,$D63,$E$6:$E$40))</f>
        <v>0</v>
      </c>
      <c r="Y63" s="1332" cm="1">
        <f t="array" ref="Y63">IF(E63=0,0,SUMPRODUCT(--($D$6:$D$40=$D63),$I$6:$I$40,$Y$6:$Y$40)/SUMIF($D$6:$D$40,$D63,$I$6:$I$40))</f>
        <v>0</v>
      </c>
      <c r="AB63" s="106"/>
      <c r="AC63" s="110"/>
      <c r="AD63" s="152"/>
    </row>
    <row r="64" spans="4:30" ht="19" hidden="1" outlineLevel="1">
      <c r="D64" s="892" t="s">
        <v>587</v>
      </c>
      <c r="E64" s="523">
        <f t="shared" si="42"/>
        <v>0</v>
      </c>
      <c r="F64" s="540" t="e">
        <f t="shared" si="43"/>
        <v>#DIV/0!</v>
      </c>
      <c r="G64" s="523"/>
      <c r="H64" s="900">
        <f t="shared" si="44"/>
        <v>0</v>
      </c>
      <c r="I64" s="900"/>
      <c r="J64" s="540" t="e">
        <f t="shared" si="45"/>
        <v>#DIV/0!</v>
      </c>
      <c r="K64" s="900" t="e">
        <f t="shared" si="46"/>
        <v>#DIV/0!</v>
      </c>
      <c r="L64" s="1331" cm="1">
        <f t="array" ref="L64">IF(E64=0,0,SUMPRODUCT(--($D$6:$D$40=$D64),$E$6:$E$40,$L$6:$L$40)/SUMIF($D$6:$D$40,$D64,$E$6:$E$40))</f>
        <v>0</v>
      </c>
      <c r="M64" s="523"/>
      <c r="N64" s="1332" cm="1">
        <f t="array" ref="N64">IF(E64=0,0,SUMPRODUCT(--($D$6:$D$40=$D64),$I$6:$I$40,$M$6:$M$40)/SUMIF($D$6:$D$40,$D64,$I$6:$I$40))</f>
        <v>0</v>
      </c>
      <c r="X64" s="1348" cm="1">
        <f t="array" ref="X64">IF(E64=0,0,SUMPRODUCT(--($D$6:$D$40=$D64),$E$6:$E$40,$X$6:$X$40)/SUMIF($D$6:$D$40,$D64,$E$6:$E$40))</f>
        <v>0</v>
      </c>
      <c r="Y64" s="1332" cm="1">
        <f t="array" ref="Y64">IF(E64=0,0,SUMPRODUCT(--($D$6:$D$40=$D64),$I$6:$I$40,$Y$6:$Y$40)/SUMIF($D$6:$D$40,$D64,$I$6:$I$40))</f>
        <v>0</v>
      </c>
      <c r="AB64" s="106"/>
      <c r="AC64" s="110"/>
      <c r="AD64" s="152"/>
    </row>
    <row r="65" spans="4:30" ht="19" hidden="1" outlineLevel="1">
      <c r="D65" s="892" t="s">
        <v>588</v>
      </c>
      <c r="E65" s="523">
        <f t="shared" si="42"/>
        <v>0</v>
      </c>
      <c r="F65" s="540" t="e">
        <f t="shared" si="43"/>
        <v>#DIV/0!</v>
      </c>
      <c r="G65" s="523"/>
      <c r="H65" s="900">
        <f t="shared" si="44"/>
        <v>0</v>
      </c>
      <c r="I65" s="900"/>
      <c r="J65" s="540" t="e">
        <f t="shared" si="45"/>
        <v>#DIV/0!</v>
      </c>
      <c r="K65" s="900" t="e">
        <f t="shared" si="46"/>
        <v>#DIV/0!</v>
      </c>
      <c r="L65" s="1331" cm="1">
        <f t="array" ref="L65">IF(E65=0,0,SUMPRODUCT(--($D$6:$D$40=$D65),$E$6:$E$40,$L$6:$L$40)/SUMIF($D$6:$D$40,$D65,$E$6:$E$40))</f>
        <v>0</v>
      </c>
      <c r="M65" s="523"/>
      <c r="N65" s="1332" cm="1">
        <f t="array" ref="N65">IF(E65=0,0,SUMPRODUCT(--($D$6:$D$40=$D65),$I$6:$I$40,$M$6:$M$40)/SUMIF($D$6:$D$40,$D65,$I$6:$I$40))</f>
        <v>0</v>
      </c>
      <c r="X65" s="1348" cm="1">
        <f t="array" ref="X65">IF(E65=0,0,SUMPRODUCT(--($D$6:$D$40=$D65),$E$6:$E$40,$X$6:$X$40)/SUMIF($D$6:$D$40,$D65,$E$6:$E$40))</f>
        <v>0</v>
      </c>
      <c r="Y65" s="1332" cm="1">
        <f t="array" ref="Y65">IF(E65=0,0,SUMPRODUCT(--($D$6:$D$40=$D65),$I$6:$I$40,$Y$6:$Y$40)/SUMIF($D$6:$D$40,$D65,$I$6:$I$40))</f>
        <v>0</v>
      </c>
      <c r="AB65" s="106"/>
      <c r="AC65" s="110"/>
      <c r="AD65" s="152"/>
    </row>
    <row r="66" spans="4:30" ht="19" hidden="1" outlineLevel="1">
      <c r="D66" s="892" t="s">
        <v>589</v>
      </c>
      <c r="E66" s="523">
        <f t="shared" si="42"/>
        <v>0</v>
      </c>
      <c r="F66" s="540" t="e">
        <f t="shared" si="43"/>
        <v>#DIV/0!</v>
      </c>
      <c r="G66" s="523"/>
      <c r="H66" s="900">
        <f t="shared" si="44"/>
        <v>0</v>
      </c>
      <c r="I66" s="900"/>
      <c r="J66" s="540" t="e">
        <f t="shared" si="45"/>
        <v>#DIV/0!</v>
      </c>
      <c r="K66" s="900" t="e">
        <f t="shared" si="46"/>
        <v>#DIV/0!</v>
      </c>
      <c r="L66" s="1331" cm="1">
        <f t="array" ref="L66">IF(E66=0,0,SUMPRODUCT(--($D$6:$D$40=$D66),$E$6:$E$40,$L$6:$L$40)/SUMIF($D$6:$D$40,$D66,$E$6:$E$40))</f>
        <v>0</v>
      </c>
      <c r="M66" s="523"/>
      <c r="N66" s="1332" cm="1">
        <f t="array" ref="N66">IF(E66=0,0,SUMPRODUCT(--($D$6:$D$40=$D66),$I$6:$I$40,$M$6:$M$40)/SUMIF($D$6:$D$40,$D66,$I$6:$I$40))</f>
        <v>0</v>
      </c>
      <c r="X66" s="1348" cm="1">
        <f t="array" ref="X66">IF(E66=0,0,SUMPRODUCT(--($D$6:$D$40=$D66),$E$6:$E$40,$X$6:$X$40)/SUMIF($D$6:$D$40,$D66,$E$6:$E$40))</f>
        <v>0</v>
      </c>
      <c r="Y66" s="1332" cm="1">
        <f t="array" ref="Y66">IF(E66=0,0,SUMPRODUCT(--($D$6:$D$40=$D66),$I$6:$I$40,$Y$6:$Y$40)/SUMIF($D$6:$D$40,$D66,$I$6:$I$40))</f>
        <v>0</v>
      </c>
      <c r="AB66" s="106"/>
      <c r="AC66" s="110"/>
      <c r="AD66" s="152"/>
    </row>
    <row r="67" spans="4:30" ht="19" hidden="1" outlineLevel="1">
      <c r="D67" s="892" t="s">
        <v>590</v>
      </c>
      <c r="E67" s="523">
        <f t="shared" si="42"/>
        <v>0</v>
      </c>
      <c r="F67" s="540" t="e">
        <f t="shared" si="43"/>
        <v>#DIV/0!</v>
      </c>
      <c r="G67" s="523"/>
      <c r="H67" s="900">
        <f t="shared" si="44"/>
        <v>0</v>
      </c>
      <c r="I67" s="900"/>
      <c r="J67" s="540" t="e">
        <f t="shared" si="45"/>
        <v>#DIV/0!</v>
      </c>
      <c r="K67" s="900" t="e">
        <f t="shared" si="46"/>
        <v>#DIV/0!</v>
      </c>
      <c r="L67" s="1331" cm="1">
        <f t="array" ref="L67">IF(E67=0,0,SUMPRODUCT(--($D$6:$D$40=$D67),$E$6:$E$40,$L$6:$L$40)/SUMIF($D$6:$D$40,$D67,$E$6:$E$40))</f>
        <v>0</v>
      </c>
      <c r="M67" s="523"/>
      <c r="N67" s="1332" cm="1">
        <f t="array" ref="N67">IF(E67=0,0,SUMPRODUCT(--($D$6:$D$40=$D67),$I$6:$I$40,$M$6:$M$40)/SUMIF($D$6:$D$40,$D67,$I$6:$I$40))</f>
        <v>0</v>
      </c>
      <c r="X67" s="1348" cm="1">
        <f t="array" ref="X67">IF(E67=0,0,SUMPRODUCT(--($D$6:$D$40=$D67),$E$6:$E$40,$X$6:$X$40)/SUMIF($D$6:$D$40,$D67,$E$6:$E$40))</f>
        <v>0</v>
      </c>
      <c r="Y67" s="1332" cm="1">
        <f t="array" ref="Y67">IF(E67=0,0,SUMPRODUCT(--($D$6:$D$40=$D67),$I$6:$I$40,$Y$6:$Y$40)/SUMIF($D$6:$D$40,$D67,$I$6:$I$40))</f>
        <v>0</v>
      </c>
      <c r="AB67" s="106"/>
      <c r="AC67" s="110"/>
      <c r="AD67" s="152"/>
    </row>
    <row r="68" spans="4:30" ht="19" hidden="1" outlineLevel="1">
      <c r="D68" s="892" t="s">
        <v>591</v>
      </c>
      <c r="E68" s="523">
        <f t="shared" si="42"/>
        <v>0</v>
      </c>
      <c r="F68" s="540" t="e">
        <f t="shared" si="43"/>
        <v>#DIV/0!</v>
      </c>
      <c r="G68" s="523"/>
      <c r="H68" s="900">
        <f t="shared" si="44"/>
        <v>0</v>
      </c>
      <c r="I68" s="900"/>
      <c r="J68" s="540" t="e">
        <f t="shared" si="45"/>
        <v>#DIV/0!</v>
      </c>
      <c r="K68" s="900" t="e">
        <f t="shared" si="46"/>
        <v>#DIV/0!</v>
      </c>
      <c r="L68" s="1331" cm="1">
        <f t="array" ref="L68">IF(E68=0,0,SUMPRODUCT(--($D$6:$D$40=$D68),$E$6:$E$40,$L$6:$L$40)/SUMIF($D$6:$D$40,$D68,$E$6:$E$40))</f>
        <v>0</v>
      </c>
      <c r="M68" s="523"/>
      <c r="N68" s="1332" cm="1">
        <f t="array" ref="N68">IF(E68=0,0,SUMPRODUCT(--($D$6:$D$40=$D68),$I$6:$I$40,$M$6:$M$40)/SUMIF($D$6:$D$40,$D68,$I$6:$I$40))</f>
        <v>0</v>
      </c>
      <c r="X68" s="1348" cm="1">
        <f t="array" ref="X68">IF(E68=0,0,SUMPRODUCT(--($D$6:$D$40=$D68),$E$6:$E$40,$X$6:$X$40)/SUMIF($D$6:$D$40,$D68,$E$6:$E$40))</f>
        <v>0</v>
      </c>
      <c r="Y68" s="1332" cm="1">
        <f t="array" ref="Y68">IF(E68=0,0,SUMPRODUCT(--($D$6:$D$40=$D68),$I$6:$I$40,$Y$6:$Y$40)/SUMIF($D$6:$D$40,$D68,$I$6:$I$40))</f>
        <v>0</v>
      </c>
      <c r="AB68" s="106"/>
      <c r="AC68" s="110"/>
      <c r="AD68" s="152"/>
    </row>
    <row r="69" spans="4:30" ht="19" hidden="1" outlineLevel="1">
      <c r="D69" s="892" t="s">
        <v>592</v>
      </c>
      <c r="E69" s="523">
        <f t="shared" si="42"/>
        <v>0</v>
      </c>
      <c r="F69" s="540" t="e">
        <f t="shared" si="43"/>
        <v>#DIV/0!</v>
      </c>
      <c r="G69" s="523"/>
      <c r="H69" s="900">
        <f t="shared" si="44"/>
        <v>0</v>
      </c>
      <c r="I69" s="900"/>
      <c r="J69" s="540" t="e">
        <f t="shared" si="45"/>
        <v>#DIV/0!</v>
      </c>
      <c r="K69" s="900" t="e">
        <f t="shared" si="46"/>
        <v>#DIV/0!</v>
      </c>
      <c r="L69" s="1331" cm="1">
        <f t="array" ref="L69">IF(E69=0,0,SUMPRODUCT(--($D$6:$D$40=$D69),$E$6:$E$40,$L$6:$L$40)/SUMIF($D$6:$D$40,$D69,$E$6:$E$40))</f>
        <v>0</v>
      </c>
      <c r="M69" s="523"/>
      <c r="N69" s="1332" cm="1">
        <f t="array" ref="N69">IF(E69=0,0,SUMPRODUCT(--($D$6:$D$40=$D69),$I$6:$I$40,$M$6:$M$40)/SUMIF($D$6:$D$40,$D69,$I$6:$I$40))</f>
        <v>0</v>
      </c>
      <c r="X69" s="1348" cm="1">
        <f t="array" ref="X69">IF(E69=0,0,SUMPRODUCT(--($D$6:$D$40=$D69),$E$6:$E$40,$X$6:$X$40)/SUMIF($D$6:$D$40,$D69,$E$6:$E$40))</f>
        <v>0</v>
      </c>
      <c r="Y69" s="1332" cm="1">
        <f t="array" ref="Y69">IF(E69=0,0,SUMPRODUCT(--($D$6:$D$40=$D69),$I$6:$I$40,$Y$6:$Y$40)/SUMIF($D$6:$D$40,$D69,$I$6:$I$40))</f>
        <v>0</v>
      </c>
      <c r="AB69" s="106"/>
      <c r="AC69" s="110"/>
      <c r="AD69" s="152"/>
    </row>
    <row r="70" spans="4:30" ht="19" hidden="1" outlineLevel="1">
      <c r="D70" s="892" t="s">
        <v>593</v>
      </c>
      <c r="E70" s="523">
        <f t="shared" si="42"/>
        <v>0</v>
      </c>
      <c r="F70" s="540" t="e">
        <f t="shared" si="43"/>
        <v>#DIV/0!</v>
      </c>
      <c r="G70" s="523"/>
      <c r="H70" s="900">
        <f t="shared" si="44"/>
        <v>0</v>
      </c>
      <c r="I70" s="900"/>
      <c r="J70" s="540" t="e">
        <f t="shared" si="45"/>
        <v>#DIV/0!</v>
      </c>
      <c r="K70" s="900" t="e">
        <f t="shared" si="46"/>
        <v>#DIV/0!</v>
      </c>
      <c r="L70" s="1331" cm="1">
        <f t="array" ref="L70">IF(E70=0,0,SUMPRODUCT(--($D$6:$D$40=$D70),$E$6:$E$40,$L$6:$L$40)/SUMIF($D$6:$D$40,$D70,$E$6:$E$40))</f>
        <v>0</v>
      </c>
      <c r="M70" s="523"/>
      <c r="N70" s="1332" cm="1">
        <f t="array" ref="N70">IF(E70=0,0,SUMPRODUCT(--($D$6:$D$40=$D70),$I$6:$I$40,$M$6:$M$40)/SUMIF($D$6:$D$40,$D70,$I$6:$I$40))</f>
        <v>0</v>
      </c>
      <c r="X70" s="1348" cm="1">
        <f t="array" ref="X70">IF(E70=0,0,SUMPRODUCT(--($D$6:$D$40=$D70),$E$6:$E$40,$X$6:$X$40)/SUMIF($D$6:$D$40,$D70,$E$6:$E$40))</f>
        <v>0</v>
      </c>
      <c r="Y70" s="1332" cm="1">
        <f t="array" ref="Y70">IF(E70=0,0,SUMPRODUCT(--($D$6:$D$40=$D70),$I$6:$I$40,$Y$6:$Y$40)/SUMIF($D$6:$D$40,$D70,$I$6:$I$40))</f>
        <v>0</v>
      </c>
      <c r="AB70" s="106" t="s">
        <v>164</v>
      </c>
      <c r="AC70" s="110"/>
      <c r="AD70" s="127">
        <f ca="1">'Inputs and Assumptions'!P27</f>
        <v>6.45499467725692E-2</v>
      </c>
    </row>
    <row r="71" spans="4:30" ht="19" hidden="1" outlineLevel="1">
      <c r="D71" s="892" t="s">
        <v>594</v>
      </c>
      <c r="E71" s="523">
        <f t="shared" si="42"/>
        <v>0</v>
      </c>
      <c r="F71" s="540" t="e">
        <f t="shared" si="43"/>
        <v>#DIV/0!</v>
      </c>
      <c r="G71" s="523"/>
      <c r="H71" s="900">
        <f t="shared" si="44"/>
        <v>0</v>
      </c>
      <c r="I71" s="900"/>
      <c r="J71" s="540" t="e">
        <f t="shared" si="45"/>
        <v>#DIV/0!</v>
      </c>
      <c r="K71" s="900" t="e">
        <f t="shared" si="46"/>
        <v>#DIV/0!</v>
      </c>
      <c r="L71" s="1331" cm="1">
        <f t="array" ref="L71">IF(E71=0,0,SUMPRODUCT(--($D$6:$D$40=$D71),$E$6:$E$40,$L$6:$L$40)/SUMIF($D$6:$D$40,$D71,$E$6:$E$40))</f>
        <v>0</v>
      </c>
      <c r="M71" s="523"/>
      <c r="N71" s="1332" cm="1">
        <f t="array" ref="N71">IF(E71=0,0,SUMPRODUCT(--($D$6:$D$40=$D71),$I$6:$I$40,$M$6:$M$40)/SUMIF($D$6:$D$40,$D71,$I$6:$I$40))</f>
        <v>0</v>
      </c>
      <c r="X71" s="1348" cm="1">
        <f t="array" ref="X71">IF(E71=0,0,SUMPRODUCT(--($D$6:$D$40=$D71),$E$6:$E$40,$X$6:$X$40)/SUMIF($D$6:$D$40,$D71,$E$6:$E$40))</f>
        <v>0</v>
      </c>
      <c r="Y71" s="1332" cm="1">
        <f t="array" ref="Y71">IF(E71=0,0,SUMPRODUCT(--($D$6:$D$40=$D71),$I$6:$I$40,$Y$6:$Y$40)/SUMIF($D$6:$D$40,$D71,$I$6:$I$40))</f>
        <v>0</v>
      </c>
      <c r="AB71" s="106" t="s">
        <v>167</v>
      </c>
      <c r="AC71" s="110"/>
      <c r="AD71" s="127">
        <f ca="1">'Inputs and Assumptions'!P28</f>
        <v>6.9454478801679945E-2</v>
      </c>
    </row>
    <row r="72" spans="4:30" ht="19.5" hidden="1" outlineLevel="1" thickBot="1">
      <c r="D72" s="1333" t="s">
        <v>595</v>
      </c>
      <c r="E72" s="1334">
        <f>SUM(E48:E71)</f>
        <v>0</v>
      </c>
      <c r="F72" s="1335" t="e">
        <f>SUM(F48:F71)</f>
        <v>#DIV/0!</v>
      </c>
      <c r="G72" s="1334"/>
      <c r="H72" s="1336">
        <f>SUM(H48:H71)</f>
        <v>0</v>
      </c>
      <c r="I72" s="1336"/>
      <c r="J72" s="1335" t="e">
        <f>SUM(J48:J71)</f>
        <v>#DIV/0!</v>
      </c>
      <c r="K72" s="1334"/>
      <c r="L72" s="930" t="e">
        <f>SUMPRODUCT(L48:L71,E48:E71)/E72</f>
        <v>#DIV/0!</v>
      </c>
      <c r="M72" s="1334"/>
      <c r="N72" s="1337" t="e">
        <f>SUMPRODUCT(N48:N71,E48:E71)/E72</f>
        <v>#DIV/0!</v>
      </c>
      <c r="X72" s="1350" t="e">
        <f>SUMPRODUCT(X48:X71,E48:E71)/E72</f>
        <v>#DIV/0!</v>
      </c>
      <c r="Y72" s="1346" t="e">
        <f>SUMPRODUCT(Y48:Y71,E48:E71)/E72</f>
        <v>#DIV/0!</v>
      </c>
      <c r="AB72" s="141" t="s">
        <v>170</v>
      </c>
      <c r="AC72" s="142"/>
      <c r="AD72" s="156">
        <f ca="1">'Inputs and Assumptions'!P29</f>
        <v>5.5563583041343956E-2</v>
      </c>
    </row>
    <row r="73" spans="4:30" collapsed="1"/>
  </sheetData>
  <mergeCells count="5">
    <mergeCell ref="A2:B2"/>
    <mergeCell ref="A41:A42"/>
    <mergeCell ref="AT4:AY4"/>
    <mergeCell ref="B46:C46"/>
    <mergeCell ref="AB4:AJ4"/>
  </mergeCells>
  <dataValidations disablePrompts="1" count="3">
    <dataValidation type="list" allowBlank="1" showInputMessage="1" showErrorMessage="1" sqref="Q3" xr:uid="{4571E0C1-4445-4D15-B78D-483CC355CE13}">
      <formula1>"0%, 25%, 50%, 75%, 100%"</formula1>
    </dataValidation>
    <dataValidation type="list" allowBlank="1" showInputMessage="1" showErrorMessage="1" sqref="D6:D40" xr:uid="{03CFDBAB-E3AD-40AC-90A3-2C8702E43E33}">
      <formula1>$D$48:$D$71</formula1>
    </dataValidation>
    <dataValidation type="list" allowBlank="1" showInputMessage="1" showErrorMessage="1" sqref="AV2" xr:uid="{A10C8763-1DF1-4AEF-B54B-E459B8488BF5}">
      <formula1>"Standard,GPR Seek"</formula1>
    </dataValidation>
  </dataValidations>
  <pageMargins left="0.7" right="0.7" top="0.75" bottom="0.75" header="0.3" footer="0.3"/>
  <ignoredErrors>
    <ignoredError sqref="AB41" formulaRange="1"/>
  </ignoredErrors>
  <drawing r:id="rId1"/>
  <legacyDrawing r:id="rId2"/>
  <mc:AlternateContent xmlns:mc="http://schemas.openxmlformats.org/markup-compatibility/2006">
    <mc:Choice Requires="x14">
      <controls>
        <mc:AlternateContent xmlns:mc="http://schemas.openxmlformats.org/markup-compatibility/2006">
          <mc:Choice Requires="x14">
            <control shapeId="146433" r:id="rId3" name="Button 1">
              <controlPr defaultSize="0" print="0" autoFill="0" autoPict="0" macro="[0]!GPR_Seek">
                <anchor moveWithCells="1" sizeWithCells="1">
                  <from>
                    <xdr:col>47</xdr:col>
                    <xdr:colOff>1181100</xdr:colOff>
                    <xdr:row>15</xdr:row>
                    <xdr:rowOff>209550</xdr:rowOff>
                  </from>
                  <to>
                    <xdr:col>49</xdr:col>
                    <xdr:colOff>88900</xdr:colOff>
                    <xdr:row>19</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tabColor theme="4" tint="9.9978637043366805E-2"/>
    <pageSetUpPr fitToPage="1"/>
  </sheetPr>
  <dimension ref="A1:BE54"/>
  <sheetViews>
    <sheetView showGridLines="0" zoomScale="60" zoomScaleNormal="60" workbookViewId="0">
      <pane xSplit="2" ySplit="3" topLeftCell="C27" activePane="bottomRight" state="frozen"/>
      <selection pane="topRight" activeCell="C1" sqref="C1"/>
      <selection pane="bottomLeft" activeCell="A4" sqref="A4"/>
      <selection pane="bottomRight" activeCell="G23" sqref="G23"/>
    </sheetView>
  </sheetViews>
  <sheetFormatPr defaultColWidth="9.1796875" defaultRowHeight="17.5" outlineLevelRow="1" outlineLevelCol="1"/>
  <cols>
    <col min="1" max="1" width="6.1796875" style="294" customWidth="1"/>
    <col min="2" max="2" width="38.1796875" style="294" bestFit="1" customWidth="1"/>
    <col min="3" max="4" width="20.7265625" style="294" customWidth="1"/>
    <col min="5" max="8" width="20.7265625" style="294" customWidth="1" outlineLevel="1"/>
    <col min="9" max="9" width="2.54296875" style="101" customWidth="1"/>
    <col min="10" max="10" width="13" style="101" customWidth="1" outlineLevel="1"/>
    <col min="11" max="12" width="20.7265625" style="294" customWidth="1"/>
    <col min="13" max="13" width="21.1796875" style="458" bestFit="1" customWidth="1"/>
    <col min="14" max="28" width="15.7265625" style="458" customWidth="1"/>
    <col min="29" max="29" width="1.7265625" style="458" customWidth="1"/>
    <col min="30" max="31" width="9.1796875" style="101"/>
    <col min="32" max="32" width="15.7265625" style="294" customWidth="1"/>
    <col min="33" max="33" width="2.81640625" style="294" customWidth="1"/>
    <col min="34" max="34" width="18.7265625" style="296" customWidth="1"/>
    <col min="35" max="51" width="18.7265625" style="294" customWidth="1"/>
    <col min="52" max="52" width="10.7265625" style="294" customWidth="1"/>
    <col min="53" max="16384" width="9.1796875" style="294"/>
  </cols>
  <sheetData>
    <row r="1" spans="1:57" s="180" customFormat="1" ht="28">
      <c r="B1" s="320"/>
      <c r="C1" s="177"/>
      <c r="D1" s="178"/>
      <c r="E1" s="177"/>
      <c r="F1" s="178"/>
      <c r="G1" s="177"/>
      <c r="H1" s="178"/>
      <c r="I1" s="101"/>
      <c r="J1" s="101"/>
      <c r="K1" s="177"/>
      <c r="L1" s="178"/>
      <c r="M1" s="1260"/>
      <c r="N1" s="1260"/>
      <c r="O1" s="1260"/>
      <c r="P1" s="1260"/>
      <c r="Q1" s="1260"/>
      <c r="R1" s="1260"/>
      <c r="S1" s="1260"/>
      <c r="T1" s="1260"/>
      <c r="U1" s="1260"/>
      <c r="V1" s="1260"/>
      <c r="W1" s="1260"/>
      <c r="X1" s="1260"/>
      <c r="Y1" s="1260"/>
      <c r="Z1" s="1260"/>
      <c r="AA1" s="1260"/>
      <c r="AB1" s="1260"/>
      <c r="AC1" s="1260"/>
      <c r="AF1" s="178"/>
      <c r="AG1" s="179"/>
      <c r="AH1"/>
      <c r="AI1"/>
      <c r="AJ1"/>
      <c r="AK1"/>
      <c r="AL1"/>
      <c r="AM1"/>
      <c r="AN1"/>
      <c r="AO1"/>
      <c r="AP1"/>
      <c r="AQ1"/>
      <c r="AR1"/>
      <c r="AS1"/>
      <c r="AT1"/>
      <c r="AU1"/>
      <c r="AV1"/>
      <c r="AW1"/>
      <c r="AX1"/>
      <c r="AY1"/>
      <c r="AZ1"/>
      <c r="BA1"/>
      <c r="BB1"/>
      <c r="BC1" s="179"/>
    </row>
    <row r="2" spans="1:57" s="185" customFormat="1" ht="20.149999999999999" customHeight="1">
      <c r="B2" s="1193"/>
      <c r="C2" s="1900" t="s">
        <v>596</v>
      </c>
      <c r="D2" s="1899"/>
      <c r="E2" s="1900" t="s">
        <v>596</v>
      </c>
      <c r="F2" s="1899"/>
      <c r="G2" s="1900" t="s">
        <v>596</v>
      </c>
      <c r="H2" s="1899"/>
      <c r="I2" s="101"/>
      <c r="J2" s="101"/>
      <c r="K2" s="1898" t="s">
        <v>597</v>
      </c>
      <c r="L2" s="1899"/>
      <c r="M2" s="761"/>
      <c r="N2" s="761"/>
      <c r="O2" s="761"/>
      <c r="P2" s="761"/>
      <c r="Q2" s="761"/>
      <c r="R2" s="761"/>
      <c r="S2" s="761"/>
      <c r="T2" s="761"/>
      <c r="U2" s="761"/>
      <c r="V2" s="761"/>
      <c r="W2" s="761"/>
      <c r="X2" s="761"/>
      <c r="Y2" s="761"/>
      <c r="Z2" s="761"/>
      <c r="AA2" s="761"/>
      <c r="AB2" s="761"/>
      <c r="AC2" s="761"/>
      <c r="AF2" s="761"/>
      <c r="AG2" s="186"/>
      <c r="AH2"/>
      <c r="AI2"/>
      <c r="AJ2"/>
      <c r="AK2"/>
      <c r="AL2"/>
      <c r="AM2"/>
      <c r="AN2"/>
      <c r="AO2"/>
      <c r="AP2"/>
      <c r="AQ2"/>
      <c r="AR2"/>
      <c r="AS2"/>
      <c r="AT2"/>
      <c r="AU2"/>
      <c r="AV2"/>
      <c r="AW2"/>
      <c r="AX2"/>
      <c r="AY2"/>
      <c r="AZ2"/>
      <c r="BA2"/>
      <c r="BB2"/>
      <c r="BC2" s="186"/>
    </row>
    <row r="3" spans="1:57" s="187" customFormat="1" ht="34.15" customHeight="1">
      <c r="B3" s="762" t="s">
        <v>598</v>
      </c>
      <c r="C3" s="1896">
        <f>'Debt Sizing'!B5</f>
        <v>45992</v>
      </c>
      <c r="D3" s="1897"/>
      <c r="E3" s="1896" t="str">
        <f>'Debt Sizing'!D5</f>
        <v>T6</v>
      </c>
      <c r="F3" s="1897"/>
      <c r="G3" s="1896" t="str">
        <f>'Debt Sizing'!F5</f>
        <v>T3</v>
      </c>
      <c r="H3" s="1897"/>
      <c r="I3" s="101"/>
      <c r="J3" s="101"/>
      <c r="K3" s="1894" t="s">
        <v>599</v>
      </c>
      <c r="L3" s="1895"/>
      <c r="M3" s="766"/>
      <c r="N3" s="1410"/>
      <c r="O3" s="766"/>
      <c r="P3" s="766"/>
      <c r="Q3" s="766"/>
      <c r="R3" s="766"/>
      <c r="S3" s="766"/>
      <c r="T3" s="766"/>
      <c r="U3" s="766"/>
      <c r="V3" s="766"/>
      <c r="W3" s="766"/>
      <c r="X3" s="766"/>
      <c r="Y3" s="766"/>
      <c r="Z3" s="766"/>
      <c r="AA3" s="766"/>
      <c r="AB3" s="766"/>
      <c r="AC3" s="766"/>
      <c r="AF3" s="763"/>
      <c r="AG3" s="190"/>
      <c r="AH3"/>
      <c r="AI3"/>
      <c r="AJ3"/>
      <c r="AK3"/>
      <c r="AL3"/>
      <c r="AM3"/>
      <c r="AN3"/>
      <c r="AO3"/>
      <c r="AP3"/>
      <c r="AQ3"/>
      <c r="AR3"/>
      <c r="AS3"/>
      <c r="AT3"/>
      <c r="AU3"/>
      <c r="AV3"/>
      <c r="AW3"/>
      <c r="AX3"/>
      <c r="AY3"/>
      <c r="AZ3"/>
      <c r="BA3"/>
      <c r="BB3"/>
      <c r="BC3" s="190"/>
    </row>
    <row r="4" spans="1:57" s="196" customFormat="1" ht="16" customHeight="1">
      <c r="B4" s="1892"/>
      <c r="C4" s="767"/>
      <c r="D4" s="768"/>
      <c r="E4" s="767"/>
      <c r="F4" s="768"/>
      <c r="G4" s="767"/>
      <c r="H4" s="768"/>
      <c r="I4" s="101"/>
      <c r="J4" s="101"/>
      <c r="K4" s="764"/>
      <c r="L4" s="765"/>
      <c r="M4" s="766"/>
      <c r="N4" s="376"/>
      <c r="O4" s="766"/>
      <c r="P4" s="766"/>
      <c r="Q4" s="766"/>
      <c r="R4" s="766"/>
      <c r="S4" s="766"/>
      <c r="T4" s="766"/>
      <c r="U4" s="766"/>
      <c r="V4" s="766"/>
      <c r="W4" s="766"/>
      <c r="X4" s="766"/>
      <c r="Y4" s="766"/>
      <c r="Z4" s="766"/>
      <c r="AA4" s="766"/>
      <c r="AB4" s="766"/>
      <c r="AC4" s="766"/>
      <c r="AF4" s="763"/>
      <c r="AG4" s="187"/>
      <c r="AH4"/>
      <c r="AI4"/>
      <c r="AJ4"/>
      <c r="AK4"/>
      <c r="AL4"/>
      <c r="AM4"/>
      <c r="AN4"/>
      <c r="AO4"/>
      <c r="AP4"/>
      <c r="AQ4"/>
      <c r="AR4"/>
      <c r="AS4"/>
      <c r="AT4"/>
      <c r="AU4"/>
      <c r="AV4"/>
      <c r="AW4"/>
      <c r="AX4"/>
      <c r="AY4"/>
      <c r="AZ4"/>
      <c r="BA4"/>
      <c r="BB4"/>
      <c r="BC4" s="194"/>
    </row>
    <row r="5" spans="1:57" s="202" customFormat="1" ht="16" customHeight="1">
      <c r="B5" s="1893"/>
      <c r="C5" s="192" t="s">
        <v>595</v>
      </c>
      <c r="D5" s="193" t="s">
        <v>600</v>
      </c>
      <c r="E5" s="192" t="s">
        <v>595</v>
      </c>
      <c r="F5" s="193" t="s">
        <v>600</v>
      </c>
      <c r="G5" s="192" t="s">
        <v>595</v>
      </c>
      <c r="H5" s="193" t="s">
        <v>600</v>
      </c>
      <c r="I5" s="101"/>
      <c r="J5" s="101"/>
      <c r="K5" s="192" t="s">
        <v>595</v>
      </c>
      <c r="L5" s="193" t="s">
        <v>600</v>
      </c>
      <c r="M5" s="769"/>
      <c r="N5" s="393"/>
      <c r="O5" s="393"/>
      <c r="P5" s="393"/>
      <c r="Q5" s="393"/>
      <c r="R5" s="393"/>
      <c r="S5" s="393"/>
      <c r="T5" s="393"/>
      <c r="U5" s="393"/>
      <c r="V5" s="393"/>
      <c r="W5" s="393"/>
      <c r="X5" s="393"/>
      <c r="Y5" s="393"/>
      <c r="Z5" s="393"/>
      <c r="AA5" s="393"/>
      <c r="AB5" s="393"/>
      <c r="AC5" s="393"/>
      <c r="AF5" s="393"/>
      <c r="AG5" s="194"/>
      <c r="AH5"/>
      <c r="AI5"/>
      <c r="AJ5"/>
      <c r="AK5"/>
      <c r="AL5"/>
      <c r="AM5"/>
      <c r="AN5"/>
      <c r="AO5"/>
      <c r="AP5"/>
      <c r="AQ5"/>
      <c r="AR5"/>
      <c r="AS5"/>
      <c r="AT5"/>
      <c r="AU5"/>
      <c r="AV5"/>
      <c r="AW5"/>
      <c r="AX5"/>
      <c r="AY5"/>
      <c r="AZ5"/>
      <c r="BA5"/>
      <c r="BB5"/>
      <c r="BC5" s="201"/>
    </row>
    <row r="6" spans="1:57" s="196" customFormat="1" ht="16" customHeight="1">
      <c r="B6" s="770" t="s">
        <v>601</v>
      </c>
      <c r="C6" s="198"/>
      <c r="D6" s="199"/>
      <c r="E6" s="198"/>
      <c r="F6" s="199"/>
      <c r="G6" s="198"/>
      <c r="H6" s="199"/>
      <c r="I6" s="101"/>
      <c r="J6" s="101"/>
      <c r="K6" s="198"/>
      <c r="L6" s="199"/>
      <c r="M6" s="1261"/>
      <c r="N6" s="1261"/>
      <c r="O6" s="1261"/>
      <c r="P6" s="1261"/>
      <c r="Q6" s="1261"/>
      <c r="R6" s="1261"/>
      <c r="S6" s="1261"/>
      <c r="T6" s="1261"/>
      <c r="U6" s="1261"/>
      <c r="V6" s="1261"/>
      <c r="W6" s="1261"/>
      <c r="X6" s="1261"/>
      <c r="Y6" s="1261"/>
      <c r="Z6" s="1261"/>
      <c r="AA6" s="1261"/>
      <c r="AB6" s="1261"/>
      <c r="AC6" s="1261"/>
      <c r="AF6" s="251"/>
      <c r="AG6" s="201"/>
      <c r="AH6"/>
      <c r="AI6"/>
      <c r="AJ6"/>
      <c r="AK6"/>
      <c r="AL6"/>
      <c r="AM6"/>
      <c r="AN6"/>
      <c r="AO6"/>
      <c r="AP6"/>
      <c r="AQ6"/>
      <c r="AR6"/>
      <c r="AS6"/>
      <c r="AT6"/>
      <c r="AU6"/>
      <c r="AV6"/>
      <c r="AW6"/>
      <c r="AX6"/>
      <c r="AY6"/>
      <c r="AZ6"/>
      <c r="BA6"/>
      <c r="BB6"/>
      <c r="BC6" s="194"/>
    </row>
    <row r="7" spans="1:57" s="196" customFormat="1" ht="16" customHeight="1">
      <c r="B7" s="771" t="str">
        <f>'Debt Sizing'!A8</f>
        <v>Gross Potential Rent</v>
      </c>
      <c r="C7" s="1239">
        <f>'Debt Sizing'!B8</f>
        <v>4204998</v>
      </c>
      <c r="D7" s="205">
        <f>C7/units/12</f>
        <v>1327.3352272727273</v>
      </c>
      <c r="E7" s="1239">
        <f>'Debt Sizing'!D8</f>
        <v>4280472</v>
      </c>
      <c r="F7" s="205">
        <f>E7/units/12</f>
        <v>1351.1590909090908</v>
      </c>
      <c r="G7" s="1239">
        <f>'Debt Sizing'!F8</f>
        <v>4372656</v>
      </c>
      <c r="H7" s="205">
        <f>G7/units/12</f>
        <v>1380.2575757575758</v>
      </c>
      <c r="I7" s="101"/>
      <c r="J7" s="101"/>
      <c r="K7" s="1239">
        <f>'Annual Summary'!I6</f>
        <v>4389327.4071683483</v>
      </c>
      <c r="L7" s="205">
        <f>K7/units/12</f>
        <v>1385.520014888999</v>
      </c>
      <c r="M7" s="1274">
        <v>1</v>
      </c>
      <c r="N7" s="1274">
        <f>M7+1</f>
        <v>2</v>
      </c>
      <c r="O7" s="1274">
        <f>N7+1</f>
        <v>3</v>
      </c>
      <c r="P7" s="1274">
        <f>+O7+1</f>
        <v>4</v>
      </c>
      <c r="Q7" s="1274" t="s">
        <v>602</v>
      </c>
      <c r="R7" s="1275" t="s">
        <v>603</v>
      </c>
      <c r="S7" s="1276">
        <v>1</v>
      </c>
      <c r="T7" s="1276">
        <f>S7+1</f>
        <v>2</v>
      </c>
      <c r="U7" s="1276">
        <f t="shared" ref="U7:AD7" si="0">T7+1</f>
        <v>3</v>
      </c>
      <c r="V7" s="1276">
        <f t="shared" si="0"/>
        <v>4</v>
      </c>
      <c r="W7" s="1276">
        <f t="shared" si="0"/>
        <v>5</v>
      </c>
      <c r="X7" s="1276">
        <f t="shared" si="0"/>
        <v>6</v>
      </c>
      <c r="Y7" s="1276">
        <f t="shared" si="0"/>
        <v>7</v>
      </c>
      <c r="Z7" s="1276">
        <f t="shared" si="0"/>
        <v>8</v>
      </c>
      <c r="AA7" s="1276">
        <f t="shared" si="0"/>
        <v>9</v>
      </c>
      <c r="AB7" s="1276">
        <f t="shared" si="0"/>
        <v>10</v>
      </c>
      <c r="AC7" s="1276">
        <f t="shared" si="0"/>
        <v>11</v>
      </c>
      <c r="AD7" s="1276">
        <f t="shared" si="0"/>
        <v>12</v>
      </c>
      <c r="AE7" s="1263"/>
      <c r="AH7" s="397"/>
      <c r="AI7" s="194"/>
      <c r="AJ7"/>
      <c r="AK7"/>
      <c r="AL7"/>
      <c r="AM7"/>
      <c r="AN7"/>
      <c r="AO7"/>
      <c r="AP7"/>
      <c r="AQ7"/>
      <c r="AR7"/>
      <c r="AS7"/>
      <c r="AT7"/>
      <c r="AU7"/>
      <c r="AV7"/>
      <c r="AW7"/>
      <c r="AX7"/>
      <c r="AY7"/>
      <c r="AZ7"/>
      <c r="BA7"/>
      <c r="BB7"/>
      <c r="BC7"/>
      <c r="BD7"/>
      <c r="BE7" s="194"/>
    </row>
    <row r="8" spans="1:57" s="196" customFormat="1" ht="16" customHeight="1">
      <c r="B8" s="771" t="str">
        <f>'Debt Sizing'!A9</f>
        <v>Loss to Lease</v>
      </c>
      <c r="C8" s="1239">
        <f>'Debt Sizing'!B9</f>
        <v>82987.729999999981</v>
      </c>
      <c r="D8" s="208">
        <f>C8/$C$7*-1</f>
        <v>-1.973549809060551E-2</v>
      </c>
      <c r="E8" s="1239">
        <f>'Debt Sizing'!D9</f>
        <v>-35628.639999999999</v>
      </c>
      <c r="F8" s="208">
        <f>E8/$C$7*-1</f>
        <v>8.472926740987749E-3</v>
      </c>
      <c r="G8" s="1239">
        <f>'Debt Sizing'!F9</f>
        <v>-136518.24</v>
      </c>
      <c r="H8" s="208">
        <f>G8/$C$7*-1</f>
        <v>3.2465708663832894E-2</v>
      </c>
      <c r="I8" s="101"/>
      <c r="J8" s="101"/>
      <c r="K8" s="1239">
        <f>'Annual Summary'!I7</f>
        <v>0</v>
      </c>
      <c r="L8" s="207">
        <f>-K8/K7</f>
        <v>0</v>
      </c>
      <c r="M8" s="1278">
        <v>0</v>
      </c>
      <c r="N8" s="1264">
        <v>0</v>
      </c>
      <c r="O8" s="1264">
        <v>0</v>
      </c>
      <c r="P8" s="1264">
        <v>0</v>
      </c>
      <c r="Q8" s="1279">
        <v>0</v>
      </c>
      <c r="R8" s="1488"/>
      <c r="S8" s="1264">
        <v>0</v>
      </c>
      <c r="T8" s="1264">
        <v>0</v>
      </c>
      <c r="U8" s="1264">
        <v>0</v>
      </c>
      <c r="V8" s="1264">
        <v>0</v>
      </c>
      <c r="W8" s="1264">
        <v>0</v>
      </c>
      <c r="X8" s="1264">
        <v>0.05</v>
      </c>
      <c r="Y8" s="1264">
        <v>0.05</v>
      </c>
      <c r="Z8" s="1264">
        <v>0.05</v>
      </c>
      <c r="AA8" s="1264">
        <v>0.05</v>
      </c>
      <c r="AB8" s="1264">
        <v>0.05</v>
      </c>
      <c r="AC8" s="1264">
        <v>0.05</v>
      </c>
      <c r="AD8" s="1264">
        <v>0.05</v>
      </c>
      <c r="AE8" s="1293"/>
      <c r="AH8" s="490"/>
      <c r="AI8" s="194"/>
      <c r="AJ8"/>
      <c r="AK8"/>
      <c r="AL8"/>
      <c r="AM8"/>
      <c r="AN8"/>
      <c r="AO8"/>
      <c r="AP8"/>
      <c r="AQ8"/>
      <c r="AR8"/>
      <c r="AS8"/>
      <c r="AT8"/>
      <c r="AU8"/>
      <c r="AV8"/>
      <c r="AW8"/>
      <c r="AX8"/>
      <c r="AY8"/>
      <c r="AZ8"/>
      <c r="BA8"/>
      <c r="BB8"/>
      <c r="BC8"/>
      <c r="BD8"/>
      <c r="BE8" s="194"/>
    </row>
    <row r="9" spans="1:57" s="196" customFormat="1" ht="16" customHeight="1">
      <c r="B9" s="771" t="str">
        <f>'Debt Sizing'!A10</f>
        <v>Vacancy</v>
      </c>
      <c r="C9" s="1239">
        <f>'Debt Sizing'!B10</f>
        <v>-799229.20000000019</v>
      </c>
      <c r="D9" s="207">
        <f>-C9/C7</f>
        <v>0.19006648754648639</v>
      </c>
      <c r="E9" s="1239">
        <f>'Debt Sizing'!D10</f>
        <v>-214970.42</v>
      </c>
      <c r="F9" s="207">
        <f>-E9/E7</f>
        <v>5.0221195232675278E-2</v>
      </c>
      <c r="G9" s="1239">
        <f>'Debt Sizing'!F10</f>
        <v>-110921.31999999999</v>
      </c>
      <c r="H9" s="207">
        <f>-G9/G7</f>
        <v>2.5367035504279319E-2</v>
      </c>
      <c r="I9" s="101"/>
      <c r="J9" s="101"/>
      <c r="K9" s="1239">
        <f>'Annual Summary'!I8</f>
        <v>-219466.37035841745</v>
      </c>
      <c r="L9" s="207">
        <f>-K9/K7</f>
        <v>5.000000000000001E-2</v>
      </c>
      <c r="M9" s="1278">
        <v>0.05</v>
      </c>
      <c r="N9" s="1264">
        <v>0.05</v>
      </c>
      <c r="O9" s="1264">
        <v>0.05</v>
      </c>
      <c r="P9" s="1264">
        <v>0.05</v>
      </c>
      <c r="Q9" s="1279">
        <v>0.05</v>
      </c>
      <c r="R9" s="1489"/>
      <c r="S9" s="1264">
        <v>0</v>
      </c>
      <c r="T9" s="1264">
        <v>0</v>
      </c>
      <c r="U9" s="1264">
        <v>0</v>
      </c>
      <c r="V9" s="1264">
        <v>0</v>
      </c>
      <c r="W9" s="1264">
        <v>0</v>
      </c>
      <c r="X9" s="1264">
        <f t="shared" ref="X9:AC9" si="1">W9-1%</f>
        <v>-0.01</v>
      </c>
      <c r="Y9" s="1264">
        <f t="shared" si="1"/>
        <v>-0.02</v>
      </c>
      <c r="Z9" s="1264">
        <f t="shared" si="1"/>
        <v>-0.03</v>
      </c>
      <c r="AA9" s="1264">
        <f t="shared" si="1"/>
        <v>-0.04</v>
      </c>
      <c r="AB9" s="1264">
        <f t="shared" si="1"/>
        <v>-0.05</v>
      </c>
      <c r="AC9" s="1264">
        <f t="shared" si="1"/>
        <v>-6.0000000000000005E-2</v>
      </c>
      <c r="AD9" s="1284">
        <v>0.05</v>
      </c>
      <c r="AE9" s="1294">
        <v>0.05</v>
      </c>
      <c r="AH9" s="491"/>
      <c r="AI9" s="209"/>
      <c r="AJ9"/>
      <c r="AK9"/>
      <c r="AL9"/>
      <c r="AM9"/>
      <c r="AN9"/>
      <c r="AO9"/>
      <c r="AP9"/>
      <c r="AQ9"/>
      <c r="AR9"/>
      <c r="AS9"/>
      <c r="AT9"/>
      <c r="AU9"/>
      <c r="AV9"/>
      <c r="AW9"/>
      <c r="AX9"/>
      <c r="AY9"/>
      <c r="AZ9"/>
      <c r="BA9"/>
      <c r="BB9"/>
      <c r="BC9"/>
      <c r="BD9"/>
      <c r="BE9" s="194"/>
    </row>
    <row r="10" spans="1:57" s="196" customFormat="1" ht="16" customHeight="1">
      <c r="B10" s="771" t="str">
        <f>'Debt Sizing'!A11</f>
        <v>Concessions</v>
      </c>
      <c r="C10" s="1239">
        <f>'Debt Sizing'!B11</f>
        <v>-385795.18</v>
      </c>
      <c r="D10" s="208">
        <f>C10/$C$7*-1</f>
        <v>9.1746816526428784E-2</v>
      </c>
      <c r="E10" s="1239">
        <f>'Debt Sizing'!D11</f>
        <v>-472789.04000000004</v>
      </c>
      <c r="F10" s="208">
        <f>E10/$C$7*-1</f>
        <v>0.11243502137218615</v>
      </c>
      <c r="G10" s="1239">
        <f>'Debt Sizing'!F11</f>
        <v>-216876</v>
      </c>
      <c r="H10" s="208">
        <f>G10/$C$7*-1</f>
        <v>5.1575767693587488E-2</v>
      </c>
      <c r="I10" s="101"/>
      <c r="J10" s="101"/>
      <c r="K10" s="1239">
        <f>'Annual Summary'!I9</f>
        <v>0</v>
      </c>
      <c r="L10" s="208">
        <f>K10/$K$7*-1</f>
        <v>0</v>
      </c>
      <c r="M10" s="1278">
        <v>0</v>
      </c>
      <c r="N10" s="1264">
        <v>0</v>
      </c>
      <c r="O10" s="1264">
        <v>0</v>
      </c>
      <c r="P10" s="1264">
        <v>0</v>
      </c>
      <c r="Q10" s="1279">
        <v>0</v>
      </c>
      <c r="R10" s="1490"/>
      <c r="S10" s="1285" t="s">
        <v>604</v>
      </c>
      <c r="T10" s="1286">
        <f t="shared" ref="T10:AD10" si="2">-(T9-S9)*units</f>
        <v>0</v>
      </c>
      <c r="U10" s="1286">
        <f t="shared" si="2"/>
        <v>0</v>
      </c>
      <c r="V10" s="1286">
        <f t="shared" si="2"/>
        <v>0</v>
      </c>
      <c r="W10" s="1286">
        <f t="shared" si="2"/>
        <v>0</v>
      </c>
      <c r="X10" s="1286">
        <f t="shared" si="2"/>
        <v>2.64</v>
      </c>
      <c r="Y10" s="1286">
        <f t="shared" si="2"/>
        <v>2.64</v>
      </c>
      <c r="Z10" s="1286">
        <f t="shared" si="2"/>
        <v>2.6399999999999997</v>
      </c>
      <c r="AA10" s="1286">
        <f t="shared" si="2"/>
        <v>2.6400000000000006</v>
      </c>
      <c r="AB10" s="1286">
        <f t="shared" si="2"/>
        <v>2.6400000000000006</v>
      </c>
      <c r="AC10" s="1286">
        <f t="shared" si="2"/>
        <v>2.6400000000000006</v>
      </c>
      <c r="AD10" s="1287">
        <f t="shared" si="2"/>
        <v>-29.040000000000003</v>
      </c>
      <c r="AE10" s="1259"/>
      <c r="AH10" s="491"/>
      <c r="AI10" s="210"/>
      <c r="AJ10"/>
      <c r="AK10"/>
      <c r="AL10"/>
      <c r="AM10"/>
      <c r="AN10"/>
      <c r="AO10"/>
      <c r="AP10"/>
      <c r="AQ10"/>
      <c r="AR10"/>
      <c r="AS10"/>
      <c r="AT10"/>
      <c r="AU10"/>
      <c r="AV10"/>
      <c r="AW10"/>
      <c r="AX10"/>
      <c r="AY10"/>
      <c r="AZ10"/>
      <c r="BA10"/>
      <c r="BB10"/>
      <c r="BC10"/>
      <c r="BD10"/>
      <c r="BE10" s="194"/>
    </row>
    <row r="11" spans="1:57" s="202" customFormat="1" ht="16" customHeight="1">
      <c r="A11" s="196"/>
      <c r="B11" s="771" t="str">
        <f>'Debt Sizing'!A12</f>
        <v>Models/Non-Rev Units</v>
      </c>
      <c r="C11" s="1239">
        <f>'Debt Sizing'!B12</f>
        <v>-36838.389999999992</v>
      </c>
      <c r="D11" s="208">
        <f>C11/$C$7*-1</f>
        <v>8.7606201001760274E-3</v>
      </c>
      <c r="E11" s="1239">
        <f>'Debt Sizing'!D12</f>
        <v>-37430.9</v>
      </c>
      <c r="F11" s="208">
        <f>E11/$C$7*-1</f>
        <v>8.9015262314036774E-3</v>
      </c>
      <c r="G11" s="1239">
        <f>'Debt Sizing'!F12</f>
        <v>-37925</v>
      </c>
      <c r="H11" s="208">
        <f>G11/$C$7*-1</f>
        <v>9.0190292599425723E-3</v>
      </c>
      <c r="I11" s="101"/>
      <c r="J11" s="101"/>
      <c r="K11" s="1239">
        <f>'Annual Summary'!I10</f>
        <v>-16626.240178667987</v>
      </c>
      <c r="L11" s="208">
        <f>K11/$K$7*-1</f>
        <v>3.7878787878787884E-3</v>
      </c>
      <c r="M11" s="1280">
        <v>1</v>
      </c>
      <c r="N11" s="1265">
        <v>1</v>
      </c>
      <c r="O11" s="1265">
        <v>1</v>
      </c>
      <c r="P11" s="1265">
        <v>1</v>
      </c>
      <c r="Q11" s="1281">
        <v>1</v>
      </c>
      <c r="R11" s="1259"/>
      <c r="S11" s="1259"/>
      <c r="T11" s="1259"/>
      <c r="U11" s="1259"/>
      <c r="V11" s="1259"/>
      <c r="W11" s="1259"/>
      <c r="X11" s="1259"/>
      <c r="Y11" s="1259"/>
      <c r="Z11" s="1259"/>
      <c r="AA11" s="1259"/>
      <c r="AB11" s="1259"/>
      <c r="AC11" s="1259"/>
      <c r="AD11" s="1259"/>
      <c r="AE11" s="393"/>
      <c r="AH11" s="491"/>
      <c r="AI11" s="211"/>
      <c r="AJ11"/>
      <c r="AK11"/>
      <c r="AL11"/>
      <c r="AM11"/>
      <c r="AN11"/>
      <c r="AO11"/>
      <c r="AP11"/>
      <c r="AQ11"/>
      <c r="AR11"/>
      <c r="AS11"/>
      <c r="AT11"/>
      <c r="AU11"/>
      <c r="AV11"/>
      <c r="AW11"/>
      <c r="AX11"/>
      <c r="AY11"/>
      <c r="AZ11"/>
      <c r="BA11"/>
      <c r="BB11"/>
      <c r="BC11"/>
      <c r="BD11"/>
      <c r="BE11" s="201"/>
    </row>
    <row r="12" spans="1:57" s="196" customFormat="1" ht="16" customHeight="1">
      <c r="A12" s="202"/>
      <c r="B12" s="772" t="str">
        <f>'Debt Sizing'!A13</f>
        <v>Bad Debt</v>
      </c>
      <c r="C12" s="1239">
        <f>'Debt Sizing'!B13</f>
        <v>-128985.43</v>
      </c>
      <c r="D12" s="208">
        <f>C12/$C$7*-1</f>
        <v>3.0674314232729715E-2</v>
      </c>
      <c r="E12" s="1239">
        <f>'Debt Sizing'!D13</f>
        <v>-133594.12</v>
      </c>
      <c r="F12" s="208">
        <f>E12/$C$7*-1</f>
        <v>3.1770317132136565E-2</v>
      </c>
      <c r="G12" s="1239">
        <f>'Debt Sizing'!F13</f>
        <v>-172668.32</v>
      </c>
      <c r="H12" s="208">
        <f>G12/$C$7*-1</f>
        <v>4.1062640220042912E-2</v>
      </c>
      <c r="I12" s="101"/>
      <c r="J12" s="101"/>
      <c r="K12" s="1239">
        <f>'Annual Summary'!I11</f>
        <v>-41698.610368099311</v>
      </c>
      <c r="L12" s="208">
        <f>K12/$K$7*-1</f>
        <v>9.4999999999999998E-3</v>
      </c>
      <c r="M12" s="1282">
        <v>0.01</v>
      </c>
      <c r="N12" s="1283">
        <v>0.01</v>
      </c>
      <c r="O12" s="1283">
        <v>0.01</v>
      </c>
      <c r="P12" s="1283">
        <v>0.01</v>
      </c>
      <c r="Q12" s="1284">
        <v>0.01</v>
      </c>
      <c r="R12" s="393"/>
      <c r="S12" s="393"/>
      <c r="T12" s="393"/>
      <c r="U12" s="393"/>
      <c r="V12" s="393"/>
      <c r="W12" s="393"/>
      <c r="X12" s="393"/>
      <c r="Y12" s="393"/>
      <c r="Z12" s="393"/>
      <c r="AA12" s="393"/>
      <c r="AB12" s="393"/>
      <c r="AC12" s="393"/>
      <c r="AD12" s="393"/>
      <c r="AE12" s="1261"/>
      <c r="AH12" s="776"/>
      <c r="AI12" s="201"/>
      <c r="AJ12"/>
      <c r="AK12"/>
      <c r="AL12"/>
      <c r="AM12"/>
      <c r="AN12"/>
      <c r="AO12"/>
      <c r="AP12"/>
      <c r="AQ12"/>
      <c r="AR12"/>
      <c r="AS12"/>
      <c r="AT12"/>
      <c r="AU12"/>
      <c r="AV12"/>
      <c r="AW12"/>
      <c r="AX12"/>
      <c r="AY12"/>
      <c r="AZ12"/>
      <c r="BA12"/>
      <c r="BB12"/>
      <c r="BC12"/>
      <c r="BD12"/>
      <c r="BE12" s="194"/>
    </row>
    <row r="13" spans="1:57" s="196" customFormat="1" ht="16" customHeight="1">
      <c r="B13" s="773" t="s">
        <v>605</v>
      </c>
      <c r="C13" s="774">
        <f>SUM(C7:C12)</f>
        <v>2937137.53</v>
      </c>
      <c r="D13" s="1314">
        <f>SUM(D8:D12)</f>
        <v>0.30151274031521541</v>
      </c>
      <c r="E13" s="774">
        <f>SUM(E7:E12)</f>
        <v>3386058.8800000004</v>
      </c>
      <c r="F13" s="1314">
        <f>SUM(F8:F12)</f>
        <v>0.2118009867093894</v>
      </c>
      <c r="G13" s="774">
        <f>SUM(G7:G12)</f>
        <v>3697747.12</v>
      </c>
      <c r="H13" s="1314">
        <f>SUM(H8:H12)</f>
        <v>0.15949018134168519</v>
      </c>
      <c r="I13" s="101"/>
      <c r="J13" s="101"/>
      <c r="K13" s="774">
        <f>SUM(K7:K12)</f>
        <v>4111536.1862631636</v>
      </c>
      <c r="L13" s="1314">
        <f>SUM(L8:L12)</f>
        <v>6.3287878787878796E-2</v>
      </c>
      <c r="M13" s="1312"/>
      <c r="N13" s="1313"/>
      <c r="O13" s="1313"/>
      <c r="P13" s="1261"/>
      <c r="Q13" s="1261"/>
      <c r="R13" s="1261"/>
      <c r="S13" s="1261"/>
      <c r="T13" s="1261"/>
      <c r="U13" s="1261"/>
      <c r="V13" s="1261"/>
      <c r="W13" s="1261"/>
      <c r="X13" s="1261"/>
      <c r="Y13" s="1261"/>
      <c r="Z13" s="1261"/>
      <c r="AA13" s="1261"/>
      <c r="AB13" s="1261"/>
      <c r="AC13" s="1266"/>
      <c r="AF13" s="778"/>
      <c r="AG13" s="194"/>
      <c r="AH13"/>
      <c r="AI13"/>
      <c r="AJ13"/>
      <c r="AK13"/>
      <c r="AL13"/>
      <c r="AM13"/>
      <c r="AN13"/>
      <c r="AO13"/>
      <c r="AP13"/>
      <c r="AQ13"/>
      <c r="AR13"/>
      <c r="AS13"/>
      <c r="AT13"/>
      <c r="AU13"/>
      <c r="AV13"/>
      <c r="AW13"/>
      <c r="AX13"/>
      <c r="AY13"/>
      <c r="AZ13"/>
      <c r="BA13"/>
      <c r="BB13"/>
      <c r="BC13" s="194"/>
    </row>
    <row r="14" spans="1:57" s="196" customFormat="1" ht="16" customHeight="1">
      <c r="B14" s="777" t="s">
        <v>606</v>
      </c>
      <c r="C14" s="215">
        <f>C13/12</f>
        <v>244761.46083333332</v>
      </c>
      <c r="D14" s="216"/>
      <c r="E14" s="215">
        <f>E13/12</f>
        <v>282171.57333333336</v>
      </c>
      <c r="F14" s="216"/>
      <c r="G14" s="215">
        <f>G13/12</f>
        <v>308145.59333333332</v>
      </c>
      <c r="H14" s="216"/>
      <c r="I14" s="101"/>
      <c r="J14" s="101"/>
      <c r="K14" s="215">
        <f>K13/12</f>
        <v>342628.0155219303</v>
      </c>
      <c r="L14" s="216"/>
      <c r="M14" s="1866"/>
      <c r="N14" s="1266"/>
      <c r="O14" s="1266"/>
      <c r="P14" s="1266"/>
      <c r="Q14" s="1266"/>
      <c r="R14" s="1266"/>
      <c r="S14" s="1266"/>
      <c r="T14" s="1266"/>
      <c r="U14" s="1266"/>
      <c r="V14" s="1266"/>
      <c r="W14" s="1266"/>
      <c r="X14" s="1266"/>
      <c r="Y14" s="1266"/>
      <c r="Z14" s="1266"/>
      <c r="AA14" s="1266"/>
      <c r="AB14" s="1266"/>
      <c r="AC14" s="1267"/>
      <c r="AF14" s="779"/>
      <c r="AG14" s="194"/>
      <c r="AH14"/>
      <c r="AI14"/>
      <c r="AJ14"/>
      <c r="AK14"/>
      <c r="AL14"/>
      <c r="AM14"/>
      <c r="AN14"/>
      <c r="AO14"/>
      <c r="AP14"/>
      <c r="AQ14"/>
      <c r="AR14"/>
      <c r="AS14"/>
      <c r="AT14"/>
      <c r="AU14"/>
      <c r="AV14"/>
      <c r="AW14"/>
      <c r="AX14"/>
      <c r="AY14"/>
      <c r="AZ14"/>
      <c r="BA14"/>
      <c r="BB14"/>
      <c r="BC14" s="194"/>
    </row>
    <row r="15" spans="1:57" s="196" customFormat="1" ht="16" customHeight="1">
      <c r="B15" s="777"/>
      <c r="C15" s="217"/>
      <c r="D15" s="218"/>
      <c r="E15" s="217"/>
      <c r="F15" s="218"/>
      <c r="G15" s="217"/>
      <c r="H15" s="218"/>
      <c r="I15" s="101"/>
      <c r="J15" s="101"/>
      <c r="K15" s="217"/>
      <c r="L15" s="218"/>
      <c r="M15" s="1304" t="s">
        <v>607</v>
      </c>
      <c r="N15" s="1277" t="s">
        <v>603</v>
      </c>
      <c r="O15" s="1274">
        <v>1</v>
      </c>
      <c r="P15" s="1274">
        <f>O15+1</f>
        <v>2</v>
      </c>
      <c r="Q15" s="1274">
        <f t="shared" ref="Q15:Z15" si="3">P15+1</f>
        <v>3</v>
      </c>
      <c r="R15" s="1274">
        <f t="shared" si="3"/>
        <v>4</v>
      </c>
      <c r="S15" s="1274">
        <f t="shared" si="3"/>
        <v>5</v>
      </c>
      <c r="T15" s="1274">
        <f t="shared" si="3"/>
        <v>6</v>
      </c>
      <c r="U15" s="1274">
        <f t="shared" si="3"/>
        <v>7</v>
      </c>
      <c r="V15" s="1274">
        <f t="shared" si="3"/>
        <v>8</v>
      </c>
      <c r="W15" s="1274">
        <f t="shared" si="3"/>
        <v>9</v>
      </c>
      <c r="X15" s="1274">
        <f t="shared" si="3"/>
        <v>10</v>
      </c>
      <c r="Y15" s="1274">
        <f t="shared" si="3"/>
        <v>11</v>
      </c>
      <c r="Z15" s="1274">
        <f t="shared" si="3"/>
        <v>12</v>
      </c>
      <c r="AA15" s="1267"/>
      <c r="AB15" s="1267"/>
      <c r="AC15" s="1263"/>
      <c r="AF15" s="397"/>
      <c r="AG15" s="219"/>
      <c r="AH15"/>
      <c r="AI15"/>
      <c r="AJ15"/>
      <c r="AK15"/>
      <c r="AL15"/>
      <c r="AM15"/>
      <c r="AN15"/>
      <c r="AO15"/>
      <c r="AP15"/>
      <c r="AQ15"/>
      <c r="AR15"/>
      <c r="AS15"/>
      <c r="AT15"/>
      <c r="AU15"/>
      <c r="AV15"/>
      <c r="AW15"/>
      <c r="AX15"/>
      <c r="AY15"/>
      <c r="AZ15"/>
      <c r="BA15"/>
      <c r="BB15"/>
      <c r="BC15" s="194"/>
    </row>
    <row r="16" spans="1:57" s="196" customFormat="1" ht="16" customHeight="1" outlineLevel="1">
      <c r="B16" s="771" t="str">
        <f>'Debt Sizing'!A17</f>
        <v>Commercial Income</v>
      </c>
      <c r="C16" s="1239">
        <f>'Debt Sizing'!B17</f>
        <v>0</v>
      </c>
      <c r="D16" s="205">
        <f>C16/units/12</f>
        <v>0</v>
      </c>
      <c r="E16" s="1239">
        <f>'Debt Sizing'!D17</f>
        <v>0</v>
      </c>
      <c r="F16" s="205">
        <f>E16/units/12</f>
        <v>0</v>
      </c>
      <c r="G16" s="1239">
        <f>'Debt Sizing'!F17</f>
        <v>0</v>
      </c>
      <c r="H16" s="205">
        <f>G16/units/12</f>
        <v>0</v>
      </c>
      <c r="I16" s="101"/>
      <c r="J16" s="101"/>
      <c r="K16" s="1239">
        <f>'Debt Sizing'!N17</f>
        <v>0</v>
      </c>
      <c r="L16" s="205">
        <f>K16/units/12</f>
        <v>0</v>
      </c>
      <c r="M16" s="1288">
        <v>0.03</v>
      </c>
      <c r="N16" s="1309"/>
      <c r="O16" s="1707">
        <f t="shared" ref="O16" si="4">+K16</f>
        <v>0</v>
      </c>
      <c r="P16" s="1707">
        <f t="shared" ref="P16:Z16" si="5">+O16*(1+$M16)</f>
        <v>0</v>
      </c>
      <c r="Q16" s="1707">
        <f t="shared" si="5"/>
        <v>0</v>
      </c>
      <c r="R16" s="1707">
        <f t="shared" si="5"/>
        <v>0</v>
      </c>
      <c r="S16" s="1707">
        <f t="shared" si="5"/>
        <v>0</v>
      </c>
      <c r="T16" s="1707">
        <f t="shared" si="5"/>
        <v>0</v>
      </c>
      <c r="U16" s="1707">
        <f t="shared" si="5"/>
        <v>0</v>
      </c>
      <c r="V16" s="1707">
        <f t="shared" si="5"/>
        <v>0</v>
      </c>
      <c r="W16" s="1707">
        <f t="shared" si="5"/>
        <v>0</v>
      </c>
      <c r="X16" s="1707">
        <f t="shared" si="5"/>
        <v>0</v>
      </c>
      <c r="Y16" s="1707">
        <f t="shared" si="5"/>
        <v>0</v>
      </c>
      <c r="Z16" s="1707">
        <f t="shared" si="5"/>
        <v>0</v>
      </c>
      <c r="AA16" s="1306"/>
      <c r="AB16" s="1263"/>
      <c r="AC16" s="1263"/>
      <c r="AF16" s="397"/>
      <c r="AG16" s="219"/>
      <c r="AH16"/>
      <c r="AI16"/>
      <c r="AJ16"/>
      <c r="AK16"/>
      <c r="AL16"/>
      <c r="AM16"/>
      <c r="AN16"/>
      <c r="AO16"/>
      <c r="AP16"/>
      <c r="AQ16"/>
      <c r="AR16"/>
      <c r="AS16"/>
      <c r="AT16"/>
      <c r="AU16"/>
      <c r="AV16"/>
      <c r="AW16"/>
      <c r="AX16"/>
      <c r="AY16"/>
      <c r="AZ16"/>
      <c r="BA16"/>
      <c r="BB16"/>
      <c r="BC16" s="194"/>
    </row>
    <row r="17" spans="1:55" s="196" customFormat="1" ht="16" customHeight="1">
      <c r="B17" s="771" t="str">
        <f>'Debt Sizing'!A18</f>
        <v>RUBS Income</v>
      </c>
      <c r="C17" s="1239">
        <f>'Debt Sizing'!B18</f>
        <v>393202.91999999993</v>
      </c>
      <c r="D17" s="205">
        <f>C17/units/12</f>
        <v>124.11708333333331</v>
      </c>
      <c r="E17" s="1239">
        <f>'Debt Sizing'!D18</f>
        <v>468875.18</v>
      </c>
      <c r="F17" s="205">
        <f>E17/units/12</f>
        <v>148.00352904040403</v>
      </c>
      <c r="G17" s="1239">
        <f>'Debt Sizing'!F18</f>
        <v>483928.20000000013</v>
      </c>
      <c r="H17" s="205">
        <f>G17/units/12</f>
        <v>152.75511363636369</v>
      </c>
      <c r="I17" s="101"/>
      <c r="J17" s="101"/>
      <c r="K17" s="1239">
        <f>+O17</f>
        <v>492469</v>
      </c>
      <c r="L17" s="205">
        <f>K17/units/12</f>
        <v>155.45107323232324</v>
      </c>
      <c r="M17" s="1288">
        <v>0.03</v>
      </c>
      <c r="N17" s="1310" t="s">
        <v>603</v>
      </c>
      <c r="O17" s="1268">
        <v>492469</v>
      </c>
      <c r="P17" s="1707">
        <f t="shared" ref="P17:Z18" si="6">+O17*(1+$M17)</f>
        <v>507243.07</v>
      </c>
      <c r="Q17" s="1707">
        <f t="shared" si="6"/>
        <v>522460.36210000003</v>
      </c>
      <c r="R17" s="1707">
        <f t="shared" si="6"/>
        <v>538134.17296300002</v>
      </c>
      <c r="S17" s="1707">
        <f t="shared" si="6"/>
        <v>554278.19815189007</v>
      </c>
      <c r="T17" s="1707">
        <f t="shared" si="6"/>
        <v>570906.54409644683</v>
      </c>
      <c r="U17" s="1707">
        <f t="shared" si="6"/>
        <v>588033.7404193402</v>
      </c>
      <c r="V17" s="1707">
        <f t="shared" si="6"/>
        <v>605674.75263192039</v>
      </c>
      <c r="W17" s="1707">
        <f t="shared" si="6"/>
        <v>623844.99521087797</v>
      </c>
      <c r="X17" s="1707">
        <f t="shared" si="6"/>
        <v>642560.34506720433</v>
      </c>
      <c r="Y17" s="1707">
        <f t="shared" si="6"/>
        <v>661837.15541922045</v>
      </c>
      <c r="Z17" s="1707">
        <f t="shared" si="6"/>
        <v>681692.27008179703</v>
      </c>
      <c r="AA17" s="1306"/>
      <c r="AB17" s="1263"/>
      <c r="AC17" s="1263"/>
      <c r="AF17" s="397"/>
      <c r="AG17" s="194"/>
      <c r="AH17"/>
      <c r="AI17"/>
      <c r="AJ17"/>
      <c r="AK17"/>
      <c r="AL17"/>
      <c r="AM17"/>
      <c r="AN17"/>
      <c r="AO17"/>
      <c r="AP17"/>
      <c r="AQ17"/>
      <c r="AR17"/>
      <c r="AS17"/>
      <c r="AT17"/>
      <c r="AU17"/>
      <c r="AV17"/>
      <c r="AW17"/>
      <c r="AX17"/>
      <c r="AY17"/>
      <c r="AZ17"/>
      <c r="BA17"/>
      <c r="BB17"/>
      <c r="BC17" s="194"/>
    </row>
    <row r="18" spans="1:55" s="202" customFormat="1" ht="16" customHeight="1">
      <c r="A18" s="196"/>
      <c r="B18" s="771" t="str">
        <f>'Debt Sizing'!A19</f>
        <v>Other Income</v>
      </c>
      <c r="C18" s="1239">
        <f>'Debt Sizing'!B19</f>
        <v>264257.02999999985</v>
      </c>
      <c r="D18" s="205">
        <f>C18/units/12</f>
        <v>83.414466540403993</v>
      </c>
      <c r="E18" s="1239">
        <f>'Debt Sizing'!D19</f>
        <v>223363.96000000008</v>
      </c>
      <c r="F18" s="205">
        <f>E18/units/12</f>
        <v>70.506300505050532</v>
      </c>
      <c r="G18" s="1239">
        <f>'Debt Sizing'!F19</f>
        <v>227038.44000000003</v>
      </c>
      <c r="H18" s="205">
        <f>G18/units/12</f>
        <v>71.666174242424248</v>
      </c>
      <c r="I18" s="101"/>
      <c r="J18" s="101"/>
      <c r="K18" s="1239">
        <f>+O18</f>
        <v>227038</v>
      </c>
      <c r="L18" s="205">
        <f>K18/units/12</f>
        <v>71.666035353535349</v>
      </c>
      <c r="M18" s="1289">
        <v>0.03</v>
      </c>
      <c r="N18" s="1310" t="s">
        <v>603</v>
      </c>
      <c r="O18" s="1268">
        <v>227038</v>
      </c>
      <c r="P18" s="1707">
        <f t="shared" si="6"/>
        <v>233849.14</v>
      </c>
      <c r="Q18" s="1707">
        <f t="shared" ref="Q18" si="7">+P18*(1+$M18)</f>
        <v>240864.61420000001</v>
      </c>
      <c r="R18" s="1707">
        <f t="shared" ref="R18" si="8">+Q18*(1+$M18)</f>
        <v>248090.55262600002</v>
      </c>
      <c r="S18" s="1707">
        <f t="shared" ref="S18" si="9">+R18*(1+$M18)</f>
        <v>255533.26920478002</v>
      </c>
      <c r="T18" s="1707">
        <f t="shared" ref="T18" si="10">+S18*(1+$M18)</f>
        <v>263199.26728092344</v>
      </c>
      <c r="U18" s="1707">
        <f t="shared" ref="U18" si="11">+T18*(1+$M18)</f>
        <v>271095.24529935117</v>
      </c>
      <c r="V18" s="1707">
        <f t="shared" ref="V18" si="12">+U18*(1+$M18)</f>
        <v>279228.10265833169</v>
      </c>
      <c r="W18" s="1707">
        <f t="shared" ref="W18" si="13">+V18*(1+$M18)</f>
        <v>287604.94573808165</v>
      </c>
      <c r="X18" s="1707">
        <f t="shared" ref="X18" si="14">+W18*(1+$M18)</f>
        <v>296233.0941102241</v>
      </c>
      <c r="Y18" s="1707">
        <f t="shared" ref="Y18" si="15">+X18*(1+$M18)</f>
        <v>305120.08693353081</v>
      </c>
      <c r="Z18" s="1707">
        <f t="shared" ref="Z18" si="16">+Y18*(1+$M18)</f>
        <v>314273.68954153673</v>
      </c>
      <c r="AA18" s="1306"/>
      <c r="AB18" s="1263"/>
      <c r="AC18" s="1262"/>
      <c r="AF18" s="776"/>
      <c r="AG18" s="194"/>
      <c r="AH18"/>
      <c r="AI18"/>
      <c r="AJ18"/>
      <c r="AK18"/>
      <c r="AL18"/>
      <c r="AM18"/>
      <c r="AN18"/>
      <c r="AO18"/>
      <c r="AP18"/>
      <c r="AQ18"/>
      <c r="AR18"/>
      <c r="AS18"/>
      <c r="AT18"/>
      <c r="AU18"/>
      <c r="AV18"/>
      <c r="AW18"/>
      <c r="AX18"/>
      <c r="AY18"/>
      <c r="AZ18"/>
      <c r="BA18"/>
      <c r="BB18"/>
      <c r="BC18" s="201"/>
    </row>
    <row r="19" spans="1:55" s="196" customFormat="1" ht="16" customHeight="1">
      <c r="A19" s="202"/>
      <c r="B19" s="780" t="s">
        <v>608</v>
      </c>
      <c r="C19" s="234">
        <f>SUM(C16:C18)</f>
        <v>657459.94999999972</v>
      </c>
      <c r="D19" s="235">
        <f>C19/units/12</f>
        <v>207.53154987373728</v>
      </c>
      <c r="E19" s="234">
        <f>SUM(E16:E18)</f>
        <v>692239.14000000013</v>
      </c>
      <c r="F19" s="235">
        <f>E19/units/12</f>
        <v>218.50982954545461</v>
      </c>
      <c r="G19" s="234">
        <f>SUM(G16:G18)</f>
        <v>710966.64000000013</v>
      </c>
      <c r="H19" s="235">
        <f>G19/units/12</f>
        <v>224.42128787878792</v>
      </c>
      <c r="I19" s="101"/>
      <c r="J19" s="101"/>
      <c r="K19" s="234">
        <f>SUM(K16:K18)</f>
        <v>719507</v>
      </c>
      <c r="L19" s="235">
        <f>K19/units/12</f>
        <v>227.11710858585857</v>
      </c>
      <c r="M19" s="1308"/>
      <c r="N19" s="1305"/>
      <c r="O19" s="1305"/>
      <c r="P19" s="1305"/>
      <c r="Q19" s="1305"/>
      <c r="R19" s="1305"/>
      <c r="S19" s="1305"/>
      <c r="T19" s="1305"/>
      <c r="U19" s="1305"/>
      <c r="V19" s="1305"/>
      <c r="W19" s="1305"/>
      <c r="X19" s="1305"/>
      <c r="Y19" s="1305"/>
      <c r="Z19" s="1305"/>
      <c r="AA19" s="1262"/>
      <c r="AB19" s="1262"/>
      <c r="AC19" s="1261"/>
      <c r="AF19" s="776"/>
      <c r="AG19" s="194"/>
      <c r="AH19"/>
      <c r="AI19"/>
      <c r="AJ19"/>
      <c r="AK19"/>
      <c r="AL19"/>
      <c r="AM19"/>
      <c r="AN19"/>
      <c r="AO19"/>
      <c r="AP19"/>
      <c r="AQ19"/>
      <c r="AR19"/>
      <c r="AS19"/>
      <c r="AT19"/>
      <c r="AU19"/>
      <c r="AV19"/>
      <c r="AW19"/>
      <c r="AX19"/>
      <c r="AY19"/>
      <c r="AZ19"/>
      <c r="BA19"/>
      <c r="BB19"/>
      <c r="BC19" s="194"/>
    </row>
    <row r="20" spans="1:55" s="202" customFormat="1" ht="16" customHeight="1">
      <c r="A20" s="196"/>
      <c r="B20" s="781" t="s">
        <v>609</v>
      </c>
      <c r="C20" s="774">
        <f>C19+C13</f>
        <v>3594597.4799999995</v>
      </c>
      <c r="D20" s="775">
        <f>C20/units/12</f>
        <v>1134.6582954545454</v>
      </c>
      <c r="E20" s="774">
        <f>E19+E13</f>
        <v>4078298.0200000005</v>
      </c>
      <c r="F20" s="775">
        <f>E20/units/12</f>
        <v>1287.3415467171719</v>
      </c>
      <c r="G20" s="774">
        <f>G19+G13</f>
        <v>4408713.76</v>
      </c>
      <c r="H20" s="775">
        <f>G20/units/12</f>
        <v>1391.6394444444443</v>
      </c>
      <c r="I20" s="101"/>
      <c r="J20" s="101"/>
      <c r="K20" s="774">
        <f>K19+K13</f>
        <v>4831043.1862631636</v>
      </c>
      <c r="L20" s="775">
        <f>K20/units/12</f>
        <v>1524.9505007143825</v>
      </c>
      <c r="M20" s="1868"/>
      <c r="N20" s="1261"/>
      <c r="O20" s="1261"/>
      <c r="P20" s="1261"/>
      <c r="Q20" s="1261"/>
      <c r="R20" s="1261"/>
      <c r="S20" s="1261"/>
      <c r="T20" s="1261"/>
      <c r="U20" s="1261"/>
      <c r="V20" s="1261"/>
      <c r="W20" s="1261"/>
      <c r="X20" s="1261"/>
      <c r="Y20" s="1261"/>
      <c r="Z20" s="1261"/>
      <c r="AA20" s="1261"/>
      <c r="AB20" s="1261"/>
      <c r="AC20" s="1269"/>
      <c r="AF20" s="783"/>
      <c r="AG20" s="223"/>
      <c r="AH20"/>
      <c r="AI20"/>
      <c r="AJ20"/>
      <c r="AK20"/>
      <c r="AL20"/>
      <c r="AM20"/>
      <c r="AN20"/>
      <c r="AO20"/>
      <c r="AP20"/>
      <c r="AQ20"/>
      <c r="AR20"/>
      <c r="AS20"/>
      <c r="AT20"/>
      <c r="AU20"/>
      <c r="AV20"/>
      <c r="AW20"/>
      <c r="AX20"/>
      <c r="AY20"/>
      <c r="AZ20"/>
      <c r="BA20"/>
      <c r="BB20"/>
      <c r="BC20" s="201"/>
    </row>
    <row r="21" spans="1:55" s="196" customFormat="1" ht="16" customHeight="1">
      <c r="A21" s="202"/>
      <c r="B21" s="782"/>
      <c r="C21" s="227"/>
      <c r="D21" s="228"/>
      <c r="E21" s="227"/>
      <c r="F21" s="228"/>
      <c r="G21" s="227"/>
      <c r="H21" s="228"/>
      <c r="I21" s="101"/>
      <c r="J21" s="101"/>
      <c r="K21" s="227"/>
      <c r="L21" s="228"/>
      <c r="M21" s="1269"/>
      <c r="N21" s="1269"/>
      <c r="O21" s="1269"/>
      <c r="P21" s="1269"/>
      <c r="Q21" s="1269"/>
      <c r="R21" s="1269"/>
      <c r="S21" s="1269"/>
      <c r="T21" s="1269"/>
      <c r="U21" s="1269"/>
      <c r="V21" s="1269"/>
      <c r="W21" s="1269"/>
      <c r="X21" s="1269"/>
      <c r="Y21" s="1269"/>
      <c r="Z21" s="1269"/>
      <c r="AA21" s="1269"/>
      <c r="AB21" s="1269"/>
      <c r="AC21" s="1270"/>
      <c r="AF21" s="101"/>
      <c r="AG21" s="194"/>
      <c r="AH21"/>
      <c r="AI21"/>
      <c r="AJ21"/>
      <c r="AK21"/>
      <c r="AL21"/>
      <c r="AM21"/>
      <c r="AN21"/>
      <c r="AO21"/>
      <c r="AP21"/>
      <c r="AQ21"/>
      <c r="AR21"/>
      <c r="AS21"/>
      <c r="AT21"/>
      <c r="AU21"/>
      <c r="AV21"/>
      <c r="AW21"/>
      <c r="AX21"/>
      <c r="AY21"/>
      <c r="AZ21"/>
      <c r="BA21"/>
      <c r="BB21"/>
      <c r="BC21" s="194"/>
    </row>
    <row r="22" spans="1:55" s="196" customFormat="1" ht="16" customHeight="1">
      <c r="B22" s="770" t="s">
        <v>610</v>
      </c>
      <c r="C22" s="229"/>
      <c r="D22" s="230" t="s">
        <v>79</v>
      </c>
      <c r="E22" s="229"/>
      <c r="F22" s="230" t="s">
        <v>79</v>
      </c>
      <c r="G22" s="229"/>
      <c r="H22" s="230" t="s">
        <v>79</v>
      </c>
      <c r="I22" s="101"/>
      <c r="J22" s="101"/>
      <c r="K22" s="229"/>
      <c r="L22" s="230" t="s">
        <v>79</v>
      </c>
      <c r="M22" s="1277" t="s">
        <v>607</v>
      </c>
      <c r="N22" s="1277" t="s">
        <v>603</v>
      </c>
      <c r="O22" s="1274">
        <v>1</v>
      </c>
      <c r="P22" s="1274">
        <f>O22+1</f>
        <v>2</v>
      </c>
      <c r="Q22" s="1274">
        <f t="shared" ref="Q22:Z22" si="17">P22+1</f>
        <v>3</v>
      </c>
      <c r="R22" s="1274">
        <f t="shared" si="17"/>
        <v>4</v>
      </c>
      <c r="S22" s="1274">
        <f t="shared" si="17"/>
        <v>5</v>
      </c>
      <c r="T22" s="1274">
        <f t="shared" si="17"/>
        <v>6</v>
      </c>
      <c r="U22" s="1274">
        <f t="shared" si="17"/>
        <v>7</v>
      </c>
      <c r="V22" s="1274">
        <f t="shared" si="17"/>
        <v>8</v>
      </c>
      <c r="W22" s="1274">
        <f t="shared" si="17"/>
        <v>9</v>
      </c>
      <c r="X22" s="1274">
        <f t="shared" si="17"/>
        <v>10</v>
      </c>
      <c r="Y22" s="1274">
        <f t="shared" si="17"/>
        <v>11</v>
      </c>
      <c r="Z22" s="1274">
        <f t="shared" si="17"/>
        <v>12</v>
      </c>
      <c r="AA22" s="1271"/>
      <c r="AB22" s="1270"/>
      <c r="AC22" s="1270"/>
      <c r="AF22" s="101"/>
      <c r="AG22" s="201"/>
      <c r="AH22"/>
      <c r="AI22"/>
      <c r="AJ22"/>
      <c r="AK22"/>
      <c r="AL22"/>
      <c r="AM22"/>
      <c r="AN22"/>
      <c r="AO22"/>
      <c r="AP22"/>
      <c r="AQ22"/>
      <c r="AR22"/>
      <c r="AS22"/>
      <c r="AT22"/>
      <c r="AU22"/>
      <c r="AV22"/>
      <c r="AW22"/>
      <c r="AX22"/>
      <c r="AY22"/>
      <c r="AZ22"/>
      <c r="BA22"/>
      <c r="BB22"/>
      <c r="BC22" s="194"/>
    </row>
    <row r="23" spans="1:55" s="196" customFormat="1" ht="16" customHeight="1">
      <c r="B23" s="771" t="str">
        <f>'Debt Sizing'!A24</f>
        <v>Repairs &amp; Maint</v>
      </c>
      <c r="C23" s="1239">
        <f>'Debt Sizing'!B24</f>
        <v>77136.06</v>
      </c>
      <c r="D23" s="785">
        <f t="shared" ref="D23:D32" si="18">C23/units</f>
        <v>292.18204545454546</v>
      </c>
      <c r="E23" s="1239">
        <f>'Debt Sizing'!D24</f>
        <v>89586.079999999987</v>
      </c>
      <c r="F23" s="785">
        <f t="shared" ref="F23:F30" si="19">E23/units</f>
        <v>339.3412121212121</v>
      </c>
      <c r="G23" s="1239">
        <f>'Debt Sizing'!F24</f>
        <v>78097.760000000009</v>
      </c>
      <c r="H23" s="785">
        <f t="shared" ref="H23:H30" si="20">G23/units</f>
        <v>295.82484848484853</v>
      </c>
      <c r="I23" s="101"/>
      <c r="J23" s="1253">
        <v>0</v>
      </c>
      <c r="K23" s="204">
        <f t="shared" ref="K23:K29" si="21">L23*units</f>
        <v>73920</v>
      </c>
      <c r="L23" s="784">
        <v>280</v>
      </c>
      <c r="M23" s="1288">
        <v>0.02</v>
      </c>
      <c r="N23" s="1310" t="s">
        <v>603</v>
      </c>
      <c r="O23" s="1707">
        <f t="shared" ref="O23:O29" si="22">K23</f>
        <v>73920</v>
      </c>
      <c r="P23" s="1707">
        <f t="shared" ref="P23" si="23">+O23*(1+$M23)</f>
        <v>75398.399999999994</v>
      </c>
      <c r="Q23" s="1707">
        <f t="shared" ref="Q23" si="24">+P23*(1+$M23)</f>
        <v>76906.368000000002</v>
      </c>
      <c r="R23" s="1707">
        <f t="shared" ref="R23" si="25">+Q23*(1+$M23)</f>
        <v>78444.495360000001</v>
      </c>
      <c r="S23" s="1707">
        <f t="shared" ref="S23" si="26">+R23*(1+$M23)</f>
        <v>80013.385267200007</v>
      </c>
      <c r="T23" s="1707">
        <f t="shared" ref="T23" si="27">+S23*(1+$M23)</f>
        <v>81613.652972544005</v>
      </c>
      <c r="U23" s="1707">
        <f t="shared" ref="U23" si="28">+T23*(1+$M23)</f>
        <v>83245.926031994881</v>
      </c>
      <c r="V23" s="1707">
        <f t="shared" ref="V23" si="29">+U23*(1+$M23)</f>
        <v>84910.844552634779</v>
      </c>
      <c r="W23" s="1707">
        <f t="shared" ref="W23" si="30">+V23*(1+$M23)</f>
        <v>86609.061443687475</v>
      </c>
      <c r="X23" s="1707">
        <f t="shared" ref="X23" si="31">+W23*(1+$M23)</f>
        <v>88341.242672561231</v>
      </c>
      <c r="Y23" s="1707">
        <f t="shared" ref="Y23" si="32">+X23*(1+$M23)</f>
        <v>90108.067526012455</v>
      </c>
      <c r="Z23" s="1707">
        <f t="shared" ref="Z23" si="33">+Y23*(1+$M23)</f>
        <v>91910.22887653271</v>
      </c>
      <c r="AA23" s="1297"/>
      <c r="AB23" s="1270"/>
      <c r="AC23" s="1270"/>
      <c r="AF23" s="101"/>
      <c r="AG23" s="194"/>
      <c r="AH23"/>
      <c r="AI23"/>
      <c r="AJ23"/>
      <c r="AK23"/>
      <c r="AL23"/>
      <c r="AM23"/>
      <c r="AN23"/>
      <c r="AO23"/>
      <c r="AP23"/>
      <c r="AQ23"/>
      <c r="AR23"/>
      <c r="AS23"/>
      <c r="AT23"/>
      <c r="AU23"/>
      <c r="AV23"/>
      <c r="AW23"/>
      <c r="AX23"/>
      <c r="AY23"/>
      <c r="AZ23"/>
      <c r="BA23"/>
      <c r="BB23"/>
      <c r="BC23" s="194"/>
    </row>
    <row r="24" spans="1:55" s="202" customFormat="1" ht="16" customHeight="1" outlineLevel="1">
      <c r="A24" s="196"/>
      <c r="B24" s="771" t="str">
        <f>'Debt Sizing'!A25</f>
        <v>Contract Services</v>
      </c>
      <c r="C24" s="1239">
        <f>'Debt Sizing'!B25</f>
        <v>45632.900000000009</v>
      </c>
      <c r="D24" s="785">
        <f t="shared" si="18"/>
        <v>172.85189393939396</v>
      </c>
      <c r="E24" s="1239">
        <f>'Debt Sizing'!D25</f>
        <v>46394.01999999999</v>
      </c>
      <c r="F24" s="785">
        <f t="shared" si="19"/>
        <v>175.7349242424242</v>
      </c>
      <c r="G24" s="1239">
        <f>'Debt Sizing'!F25</f>
        <v>36036.560000000005</v>
      </c>
      <c r="H24" s="785">
        <f t="shared" si="20"/>
        <v>136.50212121212124</v>
      </c>
      <c r="I24" s="101"/>
      <c r="J24" s="1254">
        <v>0</v>
      </c>
      <c r="K24" s="204">
        <f t="shared" si="21"/>
        <v>46728</v>
      </c>
      <c r="L24" s="784">
        <v>177</v>
      </c>
      <c r="M24" s="1288">
        <v>0.02</v>
      </c>
      <c r="N24" s="1310" t="s">
        <v>603</v>
      </c>
      <c r="O24" s="1707">
        <f t="shared" si="22"/>
        <v>46728</v>
      </c>
      <c r="P24" s="1707">
        <f t="shared" ref="P24:P29" si="34">+O24*(1+$M24)</f>
        <v>47662.559999999998</v>
      </c>
      <c r="Q24" s="1707">
        <f t="shared" ref="Q24:Q29" si="35">+P24*(1+$M24)</f>
        <v>48615.811199999996</v>
      </c>
      <c r="R24" s="1707">
        <f t="shared" ref="R24:R29" si="36">+Q24*(1+$M24)</f>
        <v>49588.127423999998</v>
      </c>
      <c r="S24" s="1707">
        <f t="shared" ref="S24:S29" si="37">+R24*(1+$M24)</f>
        <v>50579.889972479999</v>
      </c>
      <c r="T24" s="1707">
        <f t="shared" ref="T24:T29" si="38">+S24*(1+$M24)</f>
        <v>51591.487771929598</v>
      </c>
      <c r="U24" s="1707">
        <f t="shared" ref="U24:U29" si="39">+T24*(1+$M24)</f>
        <v>52623.317527368192</v>
      </c>
      <c r="V24" s="1707">
        <f t="shared" ref="V24:V29" si="40">+U24*(1+$M24)</f>
        <v>53675.783877915557</v>
      </c>
      <c r="W24" s="1707">
        <f t="shared" ref="W24:W29" si="41">+V24*(1+$M24)</f>
        <v>54749.299555473866</v>
      </c>
      <c r="X24" s="1707">
        <f t="shared" ref="X24:X29" si="42">+W24*(1+$M24)</f>
        <v>55844.285546583342</v>
      </c>
      <c r="Y24" s="1707">
        <f t="shared" ref="Y24:Y29" si="43">+X24*(1+$M24)</f>
        <v>56961.171257515009</v>
      </c>
      <c r="Z24" s="1707">
        <f t="shared" ref="Z24:Z29" si="44">+Y24*(1+$M24)</f>
        <v>58100.394682665312</v>
      </c>
      <c r="AA24" s="1297"/>
      <c r="AB24" s="1270"/>
      <c r="AC24" s="1270"/>
      <c r="AF24" s="101"/>
      <c r="AG24" s="194"/>
      <c r="AH24"/>
      <c r="AI24"/>
      <c r="AJ24"/>
      <c r="AK24"/>
      <c r="AL24"/>
      <c r="AM24"/>
      <c r="AN24"/>
      <c r="AO24"/>
      <c r="AP24"/>
      <c r="AQ24"/>
      <c r="AR24"/>
      <c r="AS24"/>
      <c r="AT24"/>
      <c r="AU24"/>
      <c r="AV24"/>
      <c r="AW24"/>
      <c r="AX24"/>
      <c r="AY24"/>
      <c r="AZ24"/>
      <c r="BA24"/>
      <c r="BB24"/>
      <c r="BC24" s="201"/>
    </row>
    <row r="25" spans="1:55" s="196" customFormat="1" ht="16" customHeight="1">
      <c r="A25" s="202"/>
      <c r="B25" s="771" t="str">
        <f>'Debt Sizing'!A26</f>
        <v>Turnover</v>
      </c>
      <c r="C25" s="1239">
        <f>'Debt Sizing'!B26</f>
        <v>69162.34</v>
      </c>
      <c r="D25" s="785">
        <f t="shared" si="18"/>
        <v>261.97856060606057</v>
      </c>
      <c r="E25" s="1239">
        <f>'Debt Sizing'!D26</f>
        <v>68653.160000000033</v>
      </c>
      <c r="F25" s="785">
        <f t="shared" si="19"/>
        <v>260.04984848484861</v>
      </c>
      <c r="G25" s="1239">
        <f>'Debt Sizing'!F26</f>
        <v>37509.839999999997</v>
      </c>
      <c r="H25" s="785">
        <f t="shared" si="20"/>
        <v>142.08272727272725</v>
      </c>
      <c r="I25" s="101"/>
      <c r="J25" s="1254">
        <v>0</v>
      </c>
      <c r="K25" s="204">
        <f t="shared" si="21"/>
        <v>82896</v>
      </c>
      <c r="L25" s="784">
        <v>314</v>
      </c>
      <c r="M25" s="1288">
        <v>0.02</v>
      </c>
      <c r="N25" s="1310" t="s">
        <v>603</v>
      </c>
      <c r="O25" s="1707">
        <f t="shared" si="22"/>
        <v>82896</v>
      </c>
      <c r="P25" s="1707">
        <f t="shared" si="34"/>
        <v>84553.919999999998</v>
      </c>
      <c r="Q25" s="1707">
        <f t="shared" si="35"/>
        <v>86244.998399999997</v>
      </c>
      <c r="R25" s="1707">
        <f t="shared" si="36"/>
        <v>87969.898367999995</v>
      </c>
      <c r="S25" s="1707">
        <f t="shared" si="37"/>
        <v>89729.296335359992</v>
      </c>
      <c r="T25" s="1707">
        <f t="shared" si="38"/>
        <v>91523.8822620672</v>
      </c>
      <c r="U25" s="1707">
        <f t="shared" si="39"/>
        <v>93354.35990730855</v>
      </c>
      <c r="V25" s="1707">
        <f t="shared" si="40"/>
        <v>95221.447105454718</v>
      </c>
      <c r="W25" s="1707">
        <f t="shared" si="41"/>
        <v>97125.876047563812</v>
      </c>
      <c r="X25" s="1707">
        <f t="shared" si="42"/>
        <v>99068.393568515094</v>
      </c>
      <c r="Y25" s="1707">
        <f t="shared" si="43"/>
        <v>101049.76143988539</v>
      </c>
      <c r="Z25" s="1707">
        <f t="shared" si="44"/>
        <v>103070.7566686831</v>
      </c>
      <c r="AA25" s="1297"/>
      <c r="AB25" s="1270"/>
      <c r="AC25" s="1270"/>
      <c r="AF25" s="101"/>
      <c r="AG25" s="194"/>
      <c r="AH25"/>
      <c r="AI25"/>
      <c r="AJ25"/>
      <c r="AK25"/>
      <c r="AL25"/>
      <c r="AM25"/>
      <c r="AN25"/>
      <c r="AO25"/>
      <c r="AP25"/>
      <c r="AQ25"/>
      <c r="AR25"/>
      <c r="AS25"/>
      <c r="AT25"/>
      <c r="AU25"/>
      <c r="AV25"/>
      <c r="AW25"/>
      <c r="AX25"/>
      <c r="AY25"/>
      <c r="AZ25"/>
      <c r="BA25"/>
      <c r="BB25"/>
      <c r="BC25" s="194"/>
    </row>
    <row r="26" spans="1:55" s="196" customFormat="1" ht="16" customHeight="1">
      <c r="B26" s="771" t="str">
        <f>'Debt Sizing'!A27</f>
        <v>Payroll</v>
      </c>
      <c r="C26" s="1239">
        <f>'Debt Sizing'!B27</f>
        <v>493485.87000000029</v>
      </c>
      <c r="D26" s="785">
        <f t="shared" si="18"/>
        <v>1869.2646590909101</v>
      </c>
      <c r="E26" s="1239">
        <f>'Debt Sizing'!D27</f>
        <v>513711.10000000015</v>
      </c>
      <c r="F26" s="785">
        <f t="shared" si="19"/>
        <v>1945.8753787878793</v>
      </c>
      <c r="G26" s="1239">
        <f>'Debt Sizing'!F27</f>
        <v>514473.6399999999</v>
      </c>
      <c r="H26" s="785">
        <f t="shared" si="20"/>
        <v>1948.7637878787875</v>
      </c>
      <c r="I26" s="101"/>
      <c r="J26" s="1254">
        <v>0</v>
      </c>
      <c r="K26" s="204">
        <f t="shared" si="21"/>
        <v>537240</v>
      </c>
      <c r="L26" s="784">
        <v>2035</v>
      </c>
      <c r="M26" s="1288">
        <v>0.02</v>
      </c>
      <c r="N26" s="1310" t="s">
        <v>603</v>
      </c>
      <c r="O26" s="1707">
        <f>K26</f>
        <v>537240</v>
      </c>
      <c r="P26" s="1707">
        <f t="shared" si="34"/>
        <v>547984.80000000005</v>
      </c>
      <c r="Q26" s="1707">
        <f t="shared" si="35"/>
        <v>558944.49600000004</v>
      </c>
      <c r="R26" s="1707">
        <f t="shared" si="36"/>
        <v>570123.38592000003</v>
      </c>
      <c r="S26" s="1707">
        <f t="shared" si="37"/>
        <v>581525.85363840009</v>
      </c>
      <c r="T26" s="1707">
        <f t="shared" si="38"/>
        <v>593156.37071116816</v>
      </c>
      <c r="U26" s="1707">
        <f t="shared" si="39"/>
        <v>605019.49812539155</v>
      </c>
      <c r="V26" s="1707">
        <f t="shared" si="40"/>
        <v>617119.88808789942</v>
      </c>
      <c r="W26" s="1707">
        <f t="shared" si="41"/>
        <v>629462.28584965738</v>
      </c>
      <c r="X26" s="1707">
        <f t="shared" si="42"/>
        <v>642051.53156665049</v>
      </c>
      <c r="Y26" s="1707">
        <f t="shared" si="43"/>
        <v>654892.5621979835</v>
      </c>
      <c r="Z26" s="1707">
        <f t="shared" si="44"/>
        <v>667990.41344194324</v>
      </c>
      <c r="AA26" s="1297"/>
      <c r="AB26" s="1270"/>
      <c r="AC26" s="1270"/>
      <c r="AF26" s="101"/>
      <c r="AG26" s="231"/>
      <c r="AH26"/>
      <c r="AI26"/>
      <c r="AJ26"/>
      <c r="AK26"/>
      <c r="AL26"/>
      <c r="AM26"/>
      <c r="AN26"/>
      <c r="AO26"/>
      <c r="AP26"/>
      <c r="AQ26"/>
      <c r="AR26"/>
      <c r="AS26"/>
      <c r="AT26"/>
      <c r="AU26"/>
      <c r="AV26"/>
      <c r="AW26"/>
      <c r="AX26"/>
      <c r="AY26"/>
      <c r="AZ26"/>
      <c r="BA26"/>
      <c r="BB26"/>
      <c r="BC26" s="194"/>
    </row>
    <row r="27" spans="1:55" s="196" customFormat="1" ht="16" customHeight="1">
      <c r="B27" s="771" t="str">
        <f>'Debt Sizing'!A28</f>
        <v>Marketing</v>
      </c>
      <c r="C27" s="1239">
        <f>'Debt Sizing'!B28</f>
        <v>144095.60999999996</v>
      </c>
      <c r="D27" s="205">
        <f t="shared" si="18"/>
        <v>545.8167045454544</v>
      </c>
      <c r="E27" s="1239">
        <f>'Debt Sizing'!D28</f>
        <v>138012.01999999996</v>
      </c>
      <c r="F27" s="205">
        <f t="shared" si="19"/>
        <v>522.77280303030284</v>
      </c>
      <c r="G27" s="1239">
        <f>'Debt Sizing'!F28</f>
        <v>130984.59999999996</v>
      </c>
      <c r="H27" s="205">
        <f t="shared" si="20"/>
        <v>496.15378787878774</v>
      </c>
      <c r="I27" s="101"/>
      <c r="J27" s="1254">
        <v>0</v>
      </c>
      <c r="K27" s="204">
        <f t="shared" si="21"/>
        <v>155496</v>
      </c>
      <c r="L27" s="786">
        <v>589</v>
      </c>
      <c r="M27" s="1288">
        <v>0.02</v>
      </c>
      <c r="N27" s="1310" t="s">
        <v>603</v>
      </c>
      <c r="O27" s="1707">
        <f t="shared" si="22"/>
        <v>155496</v>
      </c>
      <c r="P27" s="1707">
        <f t="shared" si="34"/>
        <v>158605.92000000001</v>
      </c>
      <c r="Q27" s="1707">
        <f t="shared" si="35"/>
        <v>161778.03840000002</v>
      </c>
      <c r="R27" s="1707">
        <f t="shared" si="36"/>
        <v>165013.59916800002</v>
      </c>
      <c r="S27" s="1707">
        <f t="shared" si="37"/>
        <v>168313.87115136001</v>
      </c>
      <c r="T27" s="1707">
        <f t="shared" si="38"/>
        <v>171680.14857438722</v>
      </c>
      <c r="U27" s="1707">
        <f t="shared" si="39"/>
        <v>175113.75154587495</v>
      </c>
      <c r="V27" s="1707">
        <f t="shared" si="40"/>
        <v>178616.02657679244</v>
      </c>
      <c r="W27" s="1707">
        <f t="shared" si="41"/>
        <v>182188.34710832831</v>
      </c>
      <c r="X27" s="1707">
        <f t="shared" si="42"/>
        <v>185832.11405049489</v>
      </c>
      <c r="Y27" s="1707">
        <f t="shared" si="43"/>
        <v>189548.75633150479</v>
      </c>
      <c r="Z27" s="1707">
        <f t="shared" si="44"/>
        <v>193339.73145813489</v>
      </c>
      <c r="AA27" s="1297"/>
      <c r="AB27" s="1270"/>
      <c r="AC27" s="1270"/>
      <c r="AF27" s="397"/>
      <c r="AG27" s="194"/>
      <c r="AH27"/>
      <c r="AI27"/>
      <c r="AJ27"/>
      <c r="AK27"/>
      <c r="AL27"/>
      <c r="AM27"/>
      <c r="AN27"/>
      <c r="AO27"/>
      <c r="AP27"/>
      <c r="AQ27"/>
      <c r="AR27"/>
      <c r="AS27"/>
      <c r="AT27"/>
      <c r="AU27"/>
      <c r="AV27"/>
      <c r="AW27"/>
      <c r="AX27"/>
      <c r="AY27"/>
      <c r="AZ27"/>
      <c r="BA27"/>
      <c r="BB27"/>
      <c r="BC27" s="194"/>
    </row>
    <row r="28" spans="1:55" s="196" customFormat="1" ht="16" customHeight="1">
      <c r="B28" s="771" t="str">
        <f>'Debt Sizing'!A29</f>
        <v>General &amp; Admin</v>
      </c>
      <c r="C28" s="1239">
        <f>'Debt Sizing'!B29</f>
        <v>153695.04999999999</v>
      </c>
      <c r="D28" s="205">
        <f t="shared" si="18"/>
        <v>582.17821969696968</v>
      </c>
      <c r="E28" s="1239">
        <f>'Debt Sizing'!D29</f>
        <v>152906.96000000002</v>
      </c>
      <c r="F28" s="205">
        <f t="shared" si="19"/>
        <v>579.19303030303035</v>
      </c>
      <c r="G28" s="1239">
        <f>'Debt Sizing'!F29</f>
        <v>165003.76</v>
      </c>
      <c r="H28" s="205">
        <f t="shared" si="20"/>
        <v>625.01424242424241</v>
      </c>
      <c r="I28" s="101"/>
      <c r="J28" s="1254">
        <v>0</v>
      </c>
      <c r="K28" s="204">
        <f t="shared" si="21"/>
        <v>149952</v>
      </c>
      <c r="L28" s="786">
        <v>568</v>
      </c>
      <c r="M28" s="1288">
        <v>0.02</v>
      </c>
      <c r="N28" s="1310" t="s">
        <v>603</v>
      </c>
      <c r="O28" s="1707">
        <f t="shared" si="22"/>
        <v>149952</v>
      </c>
      <c r="P28" s="1707">
        <f t="shared" si="34"/>
        <v>152951.04000000001</v>
      </c>
      <c r="Q28" s="1707">
        <f t="shared" si="35"/>
        <v>156010.06080000001</v>
      </c>
      <c r="R28" s="1707">
        <f t="shared" si="36"/>
        <v>159130.26201600002</v>
      </c>
      <c r="S28" s="1707">
        <f t="shared" si="37"/>
        <v>162312.86725632002</v>
      </c>
      <c r="T28" s="1707">
        <f t="shared" si="38"/>
        <v>165559.12460144641</v>
      </c>
      <c r="U28" s="1707">
        <f t="shared" si="39"/>
        <v>168870.30709347533</v>
      </c>
      <c r="V28" s="1707">
        <f t="shared" si="40"/>
        <v>172247.71323534485</v>
      </c>
      <c r="W28" s="1707">
        <f t="shared" si="41"/>
        <v>175692.66750005176</v>
      </c>
      <c r="X28" s="1707">
        <f t="shared" si="42"/>
        <v>179206.5208500528</v>
      </c>
      <c r="Y28" s="1707">
        <f t="shared" si="43"/>
        <v>182790.65126705385</v>
      </c>
      <c r="Z28" s="1707">
        <f t="shared" si="44"/>
        <v>186446.46429239493</v>
      </c>
      <c r="AA28" s="1297"/>
      <c r="AB28" s="1270"/>
      <c r="AC28" s="1270"/>
      <c r="AF28" s="397"/>
      <c r="AG28" s="209"/>
      <c r="AH28"/>
      <c r="AI28"/>
      <c r="AJ28"/>
      <c r="AK28"/>
      <c r="AL28"/>
      <c r="AM28"/>
      <c r="AN28"/>
      <c r="AO28"/>
      <c r="AP28"/>
      <c r="AQ28"/>
      <c r="AR28"/>
      <c r="AS28"/>
      <c r="AT28"/>
      <c r="AU28"/>
      <c r="AV28"/>
      <c r="AW28"/>
      <c r="AX28"/>
      <c r="AY28"/>
      <c r="AZ28"/>
      <c r="BA28"/>
      <c r="BB28"/>
      <c r="BC28" s="194"/>
    </row>
    <row r="29" spans="1:55" s="196" customFormat="1" ht="16" customHeight="1">
      <c r="B29" s="771" t="str">
        <f>'Debt Sizing'!A30</f>
        <v>Utilities</v>
      </c>
      <c r="C29" s="1239">
        <f>'Debt Sizing'!B30</f>
        <v>411474.28999999969</v>
      </c>
      <c r="D29" s="205">
        <f t="shared" si="18"/>
        <v>1558.6147348484837</v>
      </c>
      <c r="E29" s="1239">
        <f>'Debt Sizing'!D30</f>
        <v>432987.22000000003</v>
      </c>
      <c r="F29" s="205">
        <f t="shared" si="19"/>
        <v>1640.1031060606063</v>
      </c>
      <c r="G29" s="1239">
        <f>'Debt Sizing'!F30</f>
        <v>455721.67999999993</v>
      </c>
      <c r="H29" s="205">
        <f t="shared" si="20"/>
        <v>1726.2184848484846</v>
      </c>
      <c r="I29" s="101"/>
      <c r="J29" s="1254">
        <v>0</v>
      </c>
      <c r="K29" s="204">
        <f t="shared" si="21"/>
        <v>404448</v>
      </c>
      <c r="L29" s="786">
        <f>660+872</f>
        <v>1532</v>
      </c>
      <c r="M29" s="1288">
        <v>0.02</v>
      </c>
      <c r="N29" s="1310" t="s">
        <v>603</v>
      </c>
      <c r="O29" s="1707">
        <f t="shared" si="22"/>
        <v>404448</v>
      </c>
      <c r="P29" s="1707">
        <f t="shared" si="34"/>
        <v>412536.96</v>
      </c>
      <c r="Q29" s="1707">
        <f t="shared" si="35"/>
        <v>420787.69920000003</v>
      </c>
      <c r="R29" s="1707">
        <f t="shared" si="36"/>
        <v>429203.45318400004</v>
      </c>
      <c r="S29" s="1707">
        <f t="shared" si="37"/>
        <v>437787.52224768006</v>
      </c>
      <c r="T29" s="1707">
        <f t="shared" si="38"/>
        <v>446543.27269263368</v>
      </c>
      <c r="U29" s="1707">
        <f t="shared" si="39"/>
        <v>455474.13814648637</v>
      </c>
      <c r="V29" s="1707">
        <f t="shared" si="40"/>
        <v>464583.62090941612</v>
      </c>
      <c r="W29" s="1707">
        <f t="shared" si="41"/>
        <v>473875.29332760442</v>
      </c>
      <c r="X29" s="1707">
        <f t="shared" si="42"/>
        <v>483352.79919415654</v>
      </c>
      <c r="Y29" s="1707">
        <f t="shared" si="43"/>
        <v>493019.8551780397</v>
      </c>
      <c r="Z29" s="1707">
        <f t="shared" si="44"/>
        <v>502880.25228160049</v>
      </c>
      <c r="AA29" s="1297"/>
      <c r="AB29" s="1270"/>
      <c r="AC29" s="1270"/>
      <c r="AF29" s="776"/>
      <c r="AG29" s="194"/>
      <c r="AH29"/>
      <c r="AI29"/>
      <c r="AJ29"/>
      <c r="AK29"/>
      <c r="AL29"/>
      <c r="AM29"/>
      <c r="AN29"/>
      <c r="AO29"/>
      <c r="AP29"/>
      <c r="AQ29"/>
      <c r="AR29"/>
      <c r="AS29"/>
      <c r="AT29"/>
      <c r="AU29"/>
      <c r="AV29"/>
      <c r="AW29"/>
      <c r="AX29"/>
      <c r="AY29"/>
      <c r="AZ29"/>
      <c r="BA29"/>
      <c r="BB29"/>
      <c r="BC29" s="194"/>
    </row>
    <row r="30" spans="1:55" s="196" customFormat="1" ht="16" customHeight="1">
      <c r="B30" s="787" t="s">
        <v>611</v>
      </c>
      <c r="C30" s="234">
        <f>SUM(C23:C29)</f>
        <v>1394682.12</v>
      </c>
      <c r="D30" s="235">
        <f t="shared" si="18"/>
        <v>5282.8868181818189</v>
      </c>
      <c r="E30" s="234">
        <f>SUM(E23:E29)</f>
        <v>1442250.56</v>
      </c>
      <c r="F30" s="235">
        <f t="shared" si="19"/>
        <v>5463.070303030303</v>
      </c>
      <c r="G30" s="234">
        <f>SUM(G23:G29)</f>
        <v>1417827.8399999999</v>
      </c>
      <c r="H30" s="235">
        <f t="shared" si="20"/>
        <v>5370.5599999999995</v>
      </c>
      <c r="I30" s="101"/>
      <c r="J30" s="1256">
        <f>SUM(J23:J29)</f>
        <v>0</v>
      </c>
      <c r="K30" s="234">
        <f>SUM(K23:K29)</f>
        <v>1450680</v>
      </c>
      <c r="L30" s="235">
        <f t="shared" ref="L30" si="45">K30/units</f>
        <v>5495</v>
      </c>
      <c r="M30" s="1307"/>
      <c r="N30" s="1298"/>
      <c r="O30" s="1298"/>
      <c r="P30" s="1298"/>
      <c r="Q30" s="1298"/>
      <c r="R30" s="1298"/>
      <c r="S30" s="1298"/>
      <c r="T30" s="1298"/>
      <c r="U30" s="1298"/>
      <c r="V30" s="1298"/>
      <c r="W30" s="1298"/>
      <c r="X30" s="1298"/>
      <c r="Y30" s="1298"/>
      <c r="Z30" s="1298"/>
      <c r="AA30" s="1270"/>
      <c r="AB30" s="1270"/>
      <c r="AC30" s="1270"/>
      <c r="AF30" s="397"/>
      <c r="AG30" s="194"/>
      <c r="AH30"/>
      <c r="AI30"/>
      <c r="AJ30"/>
      <c r="AK30"/>
      <c r="AL30"/>
      <c r="AM30"/>
      <c r="AN30"/>
      <c r="AO30"/>
      <c r="AP30"/>
      <c r="AQ30"/>
      <c r="AR30"/>
      <c r="AS30"/>
      <c r="AT30"/>
      <c r="AU30"/>
      <c r="AV30"/>
      <c r="AW30"/>
      <c r="AX30"/>
      <c r="AY30"/>
      <c r="AZ30"/>
      <c r="BA30"/>
      <c r="BB30"/>
      <c r="BC30" s="194"/>
    </row>
    <row r="31" spans="1:55" s="196" customFormat="1" ht="16" customHeight="1">
      <c r="B31" s="771"/>
      <c r="C31" s="204"/>
      <c r="D31" s="205"/>
      <c r="E31" s="204"/>
      <c r="F31" s="205"/>
      <c r="G31" s="204"/>
      <c r="H31" s="205"/>
      <c r="I31" s="101"/>
      <c r="J31" s="101"/>
      <c r="K31" s="204"/>
      <c r="L31" s="205"/>
      <c r="M31" s="1270"/>
      <c r="N31" s="1270"/>
      <c r="O31" s="1270"/>
      <c r="P31" s="1270"/>
      <c r="Q31" s="1270"/>
      <c r="R31" s="1270"/>
      <c r="S31" s="1270"/>
      <c r="T31" s="1270"/>
      <c r="U31" s="1270"/>
      <c r="V31" s="1270"/>
      <c r="W31" s="1270"/>
      <c r="X31" s="1270"/>
      <c r="Y31" s="1270"/>
      <c r="Z31" s="1270"/>
      <c r="AA31" s="1270"/>
      <c r="AB31" s="1270"/>
      <c r="AC31" s="1270"/>
      <c r="AF31" s="397"/>
      <c r="AG31" s="194"/>
      <c r="AH31"/>
      <c r="AI31"/>
      <c r="AJ31"/>
      <c r="AK31"/>
      <c r="AL31"/>
      <c r="AM31"/>
      <c r="AN31"/>
      <c r="AO31"/>
      <c r="AP31"/>
      <c r="AQ31"/>
      <c r="AR31"/>
      <c r="AS31"/>
      <c r="AT31"/>
      <c r="AU31"/>
      <c r="AV31"/>
      <c r="AW31"/>
      <c r="AX31"/>
      <c r="AY31"/>
      <c r="AZ31"/>
      <c r="BA31"/>
      <c r="BB31"/>
      <c r="BC31" s="194"/>
    </row>
    <row r="32" spans="1:55" s="196" customFormat="1" ht="16" customHeight="1">
      <c r="B32" s="771" t="str">
        <f>'Debt Sizing'!A33</f>
        <v>Insurance</v>
      </c>
      <c r="C32" s="1239">
        <f>'Debt Sizing'!B33</f>
        <v>133981.79</v>
      </c>
      <c r="D32" s="205">
        <f t="shared" si="18"/>
        <v>507.50678030303033</v>
      </c>
      <c r="E32" s="1239">
        <f>'Debt Sizing'!D33</f>
        <v>145990.34000000003</v>
      </c>
      <c r="F32" s="205">
        <f t="shared" ref="F32" si="46">E32/units</f>
        <v>552.99371212121218</v>
      </c>
      <c r="G32" s="1239">
        <f>'Debt Sizing'!F33</f>
        <v>88865.64</v>
      </c>
      <c r="H32" s="205">
        <f t="shared" ref="H32" si="47">G32/units</f>
        <v>336.61227272727274</v>
      </c>
      <c r="I32" s="101"/>
      <c r="J32" s="1253">
        <v>0</v>
      </c>
      <c r="K32" s="204">
        <f>L32*units</f>
        <v>117480</v>
      </c>
      <c r="L32" s="786">
        <v>445</v>
      </c>
      <c r="M32" s="1290">
        <v>0.03</v>
      </c>
      <c r="N32" s="1311"/>
      <c r="O32" s="1708">
        <f>K32</f>
        <v>117480</v>
      </c>
      <c r="P32" s="1708">
        <f>+O32*(1+$M32)</f>
        <v>121004.40000000001</v>
      </c>
      <c r="Q32" s="1708">
        <f t="shared" ref="Q32:Z32" si="48">+P32*(1+$M32)</f>
        <v>124634.53200000001</v>
      </c>
      <c r="R32" s="1708">
        <f t="shared" si="48"/>
        <v>128373.56796000001</v>
      </c>
      <c r="S32" s="1708">
        <f t="shared" si="48"/>
        <v>132224.77499880001</v>
      </c>
      <c r="T32" s="1708">
        <f t="shared" si="48"/>
        <v>136191.51824876401</v>
      </c>
      <c r="U32" s="1708">
        <f t="shared" si="48"/>
        <v>140277.26379622694</v>
      </c>
      <c r="V32" s="1708">
        <f t="shared" si="48"/>
        <v>144485.58171011374</v>
      </c>
      <c r="W32" s="1708">
        <f t="shared" si="48"/>
        <v>148820.14916141715</v>
      </c>
      <c r="X32" s="1708">
        <f t="shared" si="48"/>
        <v>153284.75363625967</v>
      </c>
      <c r="Y32" s="1708">
        <f t="shared" si="48"/>
        <v>157883.29624534748</v>
      </c>
      <c r="Z32" s="1708">
        <f t="shared" si="48"/>
        <v>162619.79513270789</v>
      </c>
      <c r="AA32" s="1297"/>
      <c r="AB32" s="1270"/>
      <c r="AC32" s="1270"/>
      <c r="AF32" s="788"/>
      <c r="AG32" s="194"/>
      <c r="AH32"/>
      <c r="AI32"/>
      <c r="AJ32"/>
      <c r="AK32"/>
      <c r="AL32" s="194"/>
      <c r="AM32" s="225"/>
      <c r="AN32" s="225"/>
      <c r="AO32" s="194"/>
      <c r="AP32" s="194"/>
      <c r="AQ32" s="194"/>
      <c r="AR32" s="194"/>
      <c r="AS32" s="194"/>
      <c r="AT32" s="194"/>
      <c r="AU32" s="194"/>
      <c r="AV32" s="194"/>
      <c r="AW32" s="194"/>
      <c r="AX32" s="194"/>
      <c r="AY32" s="194"/>
      <c r="AZ32" s="194"/>
      <c r="BA32" s="194"/>
      <c r="BB32" s="194"/>
      <c r="BC32" s="194"/>
    </row>
    <row r="33" spans="1:55" s="196" customFormat="1" ht="16" customHeight="1">
      <c r="B33" s="771" t="str">
        <f>'Debt Sizing'!A34</f>
        <v xml:space="preserve">Property Management </v>
      </c>
      <c r="C33" s="1239">
        <f>'Debt Sizing'!B34</f>
        <v>114091.56000000001</v>
      </c>
      <c r="D33" s="492">
        <f>C33/C20</f>
        <v>3.1739731815535584E-2</v>
      </c>
      <c r="E33" s="1239">
        <f>'Debt Sizing'!D34</f>
        <v>125716.99999999999</v>
      </c>
      <c r="F33" s="492">
        <f>E33/E20</f>
        <v>3.0825849259539882E-2</v>
      </c>
      <c r="G33" s="1239">
        <f>'Debt Sizing'!F34</f>
        <v>137749.07999999999</v>
      </c>
      <c r="H33" s="492">
        <f>G33/G20</f>
        <v>3.1244732023609532E-2</v>
      </c>
      <c r="I33" s="101"/>
      <c r="J33" s="1869">
        <f>+L33</f>
        <v>0.03</v>
      </c>
      <c r="K33" s="204">
        <f>L33*K20</f>
        <v>144931.29558789491</v>
      </c>
      <c r="L33" s="1851">
        <v>0.03</v>
      </c>
      <c r="M33" s="1264"/>
      <c r="N33" s="1270"/>
      <c r="O33" s="1268"/>
      <c r="P33" s="1268"/>
      <c r="Q33" s="1268"/>
      <c r="R33" s="1268"/>
      <c r="S33" s="1268"/>
      <c r="T33" s="1268"/>
      <c r="U33" s="1268"/>
      <c r="V33" s="1268"/>
      <c r="W33" s="1268"/>
      <c r="X33" s="1268"/>
      <c r="Y33" s="1268"/>
      <c r="Z33" s="1268"/>
      <c r="AA33" s="1270"/>
      <c r="AB33" s="1270"/>
      <c r="AC33" s="1270"/>
      <c r="AF33" s="397"/>
      <c r="AG33" s="194"/>
      <c r="AK33" s="224"/>
      <c r="AL33" s="224"/>
      <c r="AM33" s="225"/>
      <c r="AN33" s="225"/>
      <c r="AO33" s="194"/>
      <c r="AP33" s="194"/>
      <c r="AQ33" s="194"/>
      <c r="AR33" s="194"/>
      <c r="AS33" s="194"/>
      <c r="AT33" s="194"/>
      <c r="AU33" s="194"/>
      <c r="AV33" s="194"/>
      <c r="AW33" s="194"/>
      <c r="AX33" s="194"/>
      <c r="AY33" s="194"/>
      <c r="AZ33" s="194"/>
      <c r="BA33" s="194"/>
      <c r="BB33" s="194"/>
      <c r="BC33" s="194"/>
    </row>
    <row r="34" spans="1:55" s="196" customFormat="1" ht="16" customHeight="1" outlineLevel="1">
      <c r="B34" s="771" t="str">
        <f>'Debt Sizing'!A35</f>
        <v>Real Estate Taxes</v>
      </c>
      <c r="C34" s="1239">
        <f>'Debt Sizing'!B35</f>
        <v>623314.08999999985</v>
      </c>
      <c r="D34" s="205">
        <f>C34/units</f>
        <v>2361.038219696969</v>
      </c>
      <c r="E34" s="1239">
        <f>'Debt Sizing'!D35</f>
        <v>706028.17999999993</v>
      </c>
      <c r="F34" s="205">
        <f>E34/units</f>
        <v>2674.3491666666664</v>
      </c>
      <c r="G34" s="1239">
        <f>'Debt Sizing'!F35</f>
        <v>588286.24</v>
      </c>
      <c r="H34" s="205">
        <f>G34/units</f>
        <v>2228.3569696969698</v>
      </c>
      <c r="I34" s="101"/>
      <c r="J34" s="1254">
        <v>0</v>
      </c>
      <c r="K34" s="1239">
        <f>Taxes!H13</f>
        <v>478792.32</v>
      </c>
      <c r="L34" s="205">
        <f>K34/units</f>
        <v>1813.6072727272729</v>
      </c>
      <c r="M34" s="1290">
        <v>0.03</v>
      </c>
      <c r="N34" s="1311"/>
      <c r="O34" s="1709">
        <f>K34</f>
        <v>478792.32</v>
      </c>
      <c r="P34" s="1708">
        <f>+O34*(1+$M34)</f>
        <v>493156.08960000001</v>
      </c>
      <c r="Q34" s="1708">
        <f t="shared" ref="Q34:Z34" si="49">+P34*(1+$M34)</f>
        <v>507950.77228800004</v>
      </c>
      <c r="R34" s="1708">
        <f t="shared" si="49"/>
        <v>523189.29545664007</v>
      </c>
      <c r="S34" s="1708">
        <f t="shared" si="49"/>
        <v>538884.97432033927</v>
      </c>
      <c r="T34" s="1708">
        <f t="shared" si="49"/>
        <v>555051.52354994952</v>
      </c>
      <c r="U34" s="1708">
        <f t="shared" si="49"/>
        <v>571703.06925644807</v>
      </c>
      <c r="V34" s="1708">
        <f t="shared" si="49"/>
        <v>588854.16133414151</v>
      </c>
      <c r="W34" s="1708">
        <f t="shared" si="49"/>
        <v>606519.78617416578</v>
      </c>
      <c r="X34" s="1708">
        <f t="shared" si="49"/>
        <v>624715.37975939072</v>
      </c>
      <c r="Y34" s="1708">
        <f t="shared" si="49"/>
        <v>643456.84115217242</v>
      </c>
      <c r="Z34" s="1708">
        <f t="shared" si="49"/>
        <v>662760.54638673761</v>
      </c>
      <c r="AA34" s="1297"/>
      <c r="AB34" s="1270"/>
      <c r="AC34" s="1270"/>
      <c r="AF34" s="790"/>
      <c r="AG34" s="194"/>
      <c r="AK34" s="194"/>
      <c r="AL34" s="194"/>
      <c r="AM34" s="225"/>
      <c r="AN34" s="225"/>
      <c r="AO34" s="194"/>
      <c r="AP34" s="194"/>
      <c r="AQ34" s="194"/>
      <c r="AR34" s="194"/>
      <c r="AS34" s="194"/>
      <c r="AT34" s="194"/>
      <c r="AU34" s="194"/>
      <c r="AV34" s="194"/>
      <c r="AW34" s="194"/>
      <c r="AX34" s="194"/>
      <c r="AY34" s="194"/>
      <c r="AZ34" s="194"/>
      <c r="BA34" s="194"/>
      <c r="BB34" s="194"/>
      <c r="BC34" s="194"/>
    </row>
    <row r="35" spans="1:55" s="196" customFormat="1" ht="16" customHeight="1">
      <c r="B35" s="771" t="str">
        <f>'Debt Sizing'!A36</f>
        <v>Franchise Taxes</v>
      </c>
      <c r="C35" s="1239">
        <f>'Debt Sizing'!B36</f>
        <v>0</v>
      </c>
      <c r="D35" s="238">
        <f>C35/C20</f>
        <v>0</v>
      </c>
      <c r="E35" s="1239">
        <f>'Debt Sizing'!D36</f>
        <v>0</v>
      </c>
      <c r="F35" s="238">
        <f>E35/E20</f>
        <v>0</v>
      </c>
      <c r="G35" s="1239">
        <f>'Debt Sizing'!F36</f>
        <v>0</v>
      </c>
      <c r="H35" s="238">
        <f>G35/G20</f>
        <v>0</v>
      </c>
      <c r="I35" s="101"/>
      <c r="J35" s="1257">
        <v>0</v>
      </c>
      <c r="K35" s="204">
        <f>L35*K20</f>
        <v>0</v>
      </c>
      <c r="L35" s="789">
        <v>0</v>
      </c>
      <c r="M35" s="1264"/>
      <c r="N35" s="1270"/>
      <c r="O35" s="1270"/>
      <c r="P35" s="1840"/>
      <c r="Q35" s="1270"/>
      <c r="R35" s="1270"/>
      <c r="S35" s="1270"/>
      <c r="T35" s="1270"/>
      <c r="U35" s="1270"/>
      <c r="V35" s="1270"/>
      <c r="W35" s="1270"/>
      <c r="X35" s="1270"/>
      <c r="Y35" s="1270"/>
      <c r="Z35" s="1270"/>
      <c r="AA35" s="1270"/>
      <c r="AB35" s="1270"/>
      <c r="AC35" s="1270"/>
      <c r="AF35" s="397"/>
      <c r="AG35" s="194"/>
      <c r="AK35" s="194"/>
      <c r="AL35" s="194"/>
      <c r="AM35" s="194"/>
      <c r="AN35" s="194"/>
      <c r="AO35" s="194"/>
      <c r="AP35" s="194"/>
      <c r="AQ35" s="194"/>
      <c r="AR35" s="194"/>
      <c r="AS35" s="194"/>
      <c r="AT35" s="194"/>
      <c r="AU35" s="194"/>
      <c r="AV35" s="194"/>
      <c r="AW35" s="194"/>
      <c r="AX35" s="194"/>
      <c r="AY35" s="194"/>
      <c r="AZ35" s="194"/>
      <c r="BA35" s="194"/>
      <c r="BB35" s="194"/>
      <c r="BC35" s="194"/>
    </row>
    <row r="36" spans="1:55" s="202" customFormat="1" ht="16" customHeight="1">
      <c r="A36" s="196"/>
      <c r="B36" s="771" t="str">
        <f>'Debt Sizing'!A37</f>
        <v>Replacement Reserves</v>
      </c>
      <c r="C36" s="1239">
        <f>'Debt Sizing'!B37</f>
        <v>0</v>
      </c>
      <c r="D36" s="205">
        <f>C36/units</f>
        <v>0</v>
      </c>
      <c r="E36" s="1239">
        <f>'Debt Sizing'!D37</f>
        <v>0</v>
      </c>
      <c r="F36" s="205">
        <f>E36/units</f>
        <v>0</v>
      </c>
      <c r="G36" s="1239">
        <f>'Debt Sizing'!F37</f>
        <v>0</v>
      </c>
      <c r="H36" s="205">
        <f>G36/units</f>
        <v>0</v>
      </c>
      <c r="I36" s="101"/>
      <c r="J36" s="1255">
        <v>0</v>
      </c>
      <c r="K36" s="204">
        <f>L36*units</f>
        <v>66000</v>
      </c>
      <c r="L36" s="786">
        <v>250</v>
      </c>
      <c r="M36" s="1264"/>
      <c r="N36" s="101"/>
      <c r="O36" s="101"/>
      <c r="P36" s="101"/>
      <c r="Q36" s="101"/>
      <c r="R36" s="1270"/>
      <c r="S36" s="1270"/>
      <c r="T36" s="1270"/>
      <c r="U36" s="1270"/>
      <c r="V36" s="1270"/>
      <c r="W36" s="1270"/>
      <c r="X36" s="1270"/>
      <c r="Y36" s="1270"/>
      <c r="Z36" s="1270"/>
      <c r="AA36" s="1270"/>
      <c r="AB36" s="1270"/>
      <c r="AC36" s="1270"/>
      <c r="AF36" s="776"/>
      <c r="AG36" s="194"/>
      <c r="AK36" s="194"/>
      <c r="AL36" s="194"/>
      <c r="AM36" s="194"/>
      <c r="AN36" s="194"/>
      <c r="AO36" s="194"/>
      <c r="AP36" s="194"/>
      <c r="AQ36" s="194"/>
      <c r="AR36" s="194"/>
      <c r="AS36" s="194"/>
      <c r="AT36" s="194"/>
      <c r="AU36" s="194"/>
      <c r="AV36" s="194"/>
      <c r="AW36" s="194"/>
      <c r="AX36" s="194"/>
      <c r="AY36" s="194"/>
      <c r="AZ36" s="201"/>
      <c r="BA36" s="201"/>
      <c r="BB36" s="201"/>
      <c r="BC36" s="201"/>
    </row>
    <row r="37" spans="1:55" s="196" customFormat="1" ht="16" customHeight="1">
      <c r="A37" s="202"/>
      <c r="B37" s="791" t="s">
        <v>612</v>
      </c>
      <c r="C37" s="220">
        <f>SUM(C32:C36)</f>
        <v>871387.44</v>
      </c>
      <c r="D37" s="235">
        <f>C37/units</f>
        <v>3300.7099999999996</v>
      </c>
      <c r="E37" s="220">
        <f>SUM(E32:E36)</f>
        <v>977735.52</v>
      </c>
      <c r="F37" s="235">
        <f>E37/units</f>
        <v>3703.5436363636363</v>
      </c>
      <c r="G37" s="220">
        <f>SUM(G32:G36)</f>
        <v>814900.96</v>
      </c>
      <c r="H37" s="235">
        <f>G37/units</f>
        <v>3086.7460606060604</v>
      </c>
      <c r="I37" s="101"/>
      <c r="J37" s="101"/>
      <c r="K37" s="234">
        <f>SUM(K32:K36)</f>
        <v>807203.61558789492</v>
      </c>
      <c r="L37" s="235">
        <f>K37/units</f>
        <v>3057.5894529844504</v>
      </c>
      <c r="M37" s="1270"/>
      <c r="N37" s="101"/>
      <c r="O37" s="940"/>
      <c r="P37" s="103"/>
      <c r="Q37" s="101"/>
      <c r="R37" s="1270"/>
      <c r="S37" s="1270"/>
      <c r="T37" s="1270"/>
      <c r="U37" s="1270"/>
      <c r="V37" s="1270"/>
      <c r="W37" s="1270"/>
      <c r="X37" s="1270"/>
      <c r="Y37" s="1270"/>
      <c r="Z37" s="1270"/>
      <c r="AA37" s="1270"/>
      <c r="AB37" s="1270"/>
      <c r="AC37" s="1270"/>
      <c r="AF37" s="776"/>
      <c r="AG37" s="194"/>
      <c r="AK37" s="194"/>
      <c r="AL37" s="194"/>
      <c r="AM37" s="194"/>
      <c r="AN37" s="194"/>
      <c r="AO37" s="194"/>
      <c r="AP37" s="194"/>
      <c r="AQ37" s="194"/>
      <c r="AR37" s="194"/>
      <c r="AS37" s="194"/>
      <c r="AT37" s="194"/>
      <c r="AU37" s="194"/>
      <c r="AV37" s="194"/>
      <c r="AW37" s="194"/>
      <c r="AX37" s="194"/>
      <c r="AY37" s="201"/>
      <c r="AZ37" s="194"/>
      <c r="BA37" s="194"/>
      <c r="BB37" s="194"/>
      <c r="BC37" s="194"/>
    </row>
    <row r="38" spans="1:55" s="202" customFormat="1" ht="16" customHeight="1">
      <c r="A38" s="196"/>
      <c r="B38" s="792" t="s">
        <v>40</v>
      </c>
      <c r="C38" s="793">
        <f>C30+C37</f>
        <v>2266069.56</v>
      </c>
      <c r="D38" s="775">
        <f>C38/units</f>
        <v>8583.5968181818189</v>
      </c>
      <c r="E38" s="793">
        <f>E30+E37</f>
        <v>2419986.08</v>
      </c>
      <c r="F38" s="775">
        <f>E38/units</f>
        <v>9166.6139393939393</v>
      </c>
      <c r="G38" s="793">
        <f>G30+G37</f>
        <v>2232728.7999999998</v>
      </c>
      <c r="H38" s="775">
        <f>G38/units</f>
        <v>8457.3060606060608</v>
      </c>
      <c r="I38" s="101"/>
      <c r="J38" s="101"/>
      <c r="K38" s="793">
        <f>K30+K37</f>
        <v>2257883.6155878948</v>
      </c>
      <c r="L38" s="775">
        <f>K38/units</f>
        <v>8552.58945298445</v>
      </c>
      <c r="M38" s="1270"/>
      <c r="N38" s="101"/>
      <c r="O38" s="101"/>
      <c r="P38" s="101"/>
      <c r="Q38" s="101"/>
      <c r="R38" s="1270"/>
      <c r="S38" s="1270"/>
      <c r="T38" s="1270"/>
      <c r="U38" s="1270"/>
      <c r="V38" s="1270"/>
      <c r="W38" s="1270"/>
      <c r="X38" s="1270"/>
      <c r="Y38" s="1270"/>
      <c r="Z38" s="1270"/>
      <c r="AA38" s="1270"/>
      <c r="AB38" s="1270"/>
      <c r="AC38" s="1270"/>
      <c r="AF38" s="794"/>
      <c r="AG38" s="201"/>
      <c r="AK38" s="201"/>
      <c r="AL38" s="201"/>
      <c r="AM38" s="194"/>
      <c r="AN38" s="194"/>
      <c r="AO38" s="194"/>
      <c r="AP38" s="194"/>
      <c r="AQ38" s="194"/>
      <c r="AR38" s="194"/>
      <c r="AS38" s="194"/>
      <c r="AT38" s="194"/>
      <c r="AU38" s="194"/>
      <c r="AV38" s="194"/>
      <c r="AW38" s="194"/>
      <c r="AX38" s="194"/>
      <c r="AY38" s="194"/>
      <c r="AZ38" s="201"/>
      <c r="BA38" s="201"/>
      <c r="BB38" s="201"/>
      <c r="BC38" s="201"/>
    </row>
    <row r="39" spans="1:55" ht="16" customHeight="1">
      <c r="A39" s="202"/>
      <c r="B39" s="777" t="s">
        <v>42</v>
      </c>
      <c r="C39" s="243"/>
      <c r="D39" s="244">
        <f>C38/C20</f>
        <v>0.63040982268757406</v>
      </c>
      <c r="E39" s="243"/>
      <c r="F39" s="244">
        <f>E38/E20</f>
        <v>0.59338137334063679</v>
      </c>
      <c r="G39" s="243"/>
      <c r="H39" s="244">
        <f>G38/G20</f>
        <v>0.50643541893270927</v>
      </c>
      <c r="K39" s="243"/>
      <c r="L39" s="244">
        <f>K38/K20</f>
        <v>0.46736978506175997</v>
      </c>
      <c r="M39" s="1270"/>
      <c r="N39" s="1715"/>
      <c r="O39" s="1716"/>
      <c r="P39" s="1717"/>
      <c r="Q39" s="1717"/>
      <c r="R39" s="1717"/>
      <c r="S39" s="1270"/>
      <c r="T39" s="1270"/>
      <c r="U39" s="1270"/>
      <c r="V39" s="1270"/>
      <c r="W39" s="1270"/>
      <c r="X39" s="1270"/>
      <c r="Y39" s="1270"/>
      <c r="Z39" s="1270"/>
      <c r="AA39" s="1270"/>
      <c r="AB39" s="1270"/>
      <c r="AC39" s="1270"/>
      <c r="AF39" s="776"/>
      <c r="AG39" s="194"/>
      <c r="AK39" s="194"/>
      <c r="AL39" s="194"/>
      <c r="AM39" s="201"/>
      <c r="AN39" s="201"/>
      <c r="AO39" s="201"/>
      <c r="AP39" s="201"/>
      <c r="AQ39" s="201"/>
      <c r="AR39" s="201"/>
      <c r="AS39" s="201"/>
      <c r="AT39" s="201"/>
      <c r="AU39" s="201"/>
      <c r="AV39" s="201"/>
      <c r="AW39" s="201"/>
      <c r="AX39" s="201"/>
      <c r="AY39" s="201"/>
    </row>
    <row r="40" spans="1:55" ht="19">
      <c r="B40" s="795" t="s">
        <v>613</v>
      </c>
      <c r="C40" s="241">
        <f>+C20-C38</f>
        <v>1328527.9199999995</v>
      </c>
      <c r="D40" s="222">
        <f>C40/units</f>
        <v>5032.302727272725</v>
      </c>
      <c r="E40" s="241">
        <f>+E20-E38</f>
        <v>1658311.9400000004</v>
      </c>
      <c r="F40" s="222">
        <f>E40/units</f>
        <v>6281.4846212121229</v>
      </c>
      <c r="G40" s="241">
        <f>+G20-G38</f>
        <v>2175984.96</v>
      </c>
      <c r="H40" s="222">
        <f>G40/units</f>
        <v>8242.3672727272733</v>
      </c>
      <c r="K40" s="241">
        <f>+K20-K38</f>
        <v>2573159.5706752688</v>
      </c>
      <c r="L40" s="222">
        <f>K40/units</f>
        <v>9746.8165555881387</v>
      </c>
      <c r="M40" s="1270"/>
      <c r="N40" s="1717"/>
      <c r="O40" s="1718"/>
      <c r="P40" s="1717"/>
      <c r="Q40" s="1717"/>
      <c r="R40" s="1717"/>
      <c r="S40" s="1270"/>
      <c r="T40" s="1270"/>
      <c r="U40" s="1270"/>
      <c r="V40" s="1270"/>
      <c r="W40" s="1270"/>
      <c r="X40" s="1270"/>
      <c r="Y40" s="1270"/>
      <c r="Z40" s="1270"/>
      <c r="AA40" s="1270"/>
      <c r="AB40" s="1270"/>
      <c r="AC40" s="1270"/>
      <c r="AG40" s="231"/>
      <c r="AK40" s="201"/>
      <c r="AL40" s="201"/>
      <c r="AM40" s="194"/>
      <c r="AN40" s="194"/>
      <c r="AO40" s="194"/>
      <c r="AP40" s="194"/>
      <c r="AQ40" s="194"/>
      <c r="AR40" s="194"/>
      <c r="AS40" s="194"/>
      <c r="AT40" s="194"/>
      <c r="AU40" s="194"/>
      <c r="AV40" s="194"/>
      <c r="AW40" s="194"/>
      <c r="AX40" s="194"/>
    </row>
    <row r="41" spans="1:55">
      <c r="M41" s="1270"/>
      <c r="N41" s="1719"/>
      <c r="O41" s="1720"/>
      <c r="P41" s="1720"/>
      <c r="Q41" s="1720"/>
      <c r="R41" s="1720"/>
      <c r="S41" s="1270"/>
      <c r="T41" s="1270"/>
      <c r="U41" s="1270"/>
      <c r="V41" s="1270"/>
      <c r="W41" s="1270"/>
      <c r="X41" s="1270"/>
      <c r="Y41" s="1270"/>
      <c r="Z41" s="1270"/>
      <c r="AA41" s="1270"/>
      <c r="AB41" s="1270"/>
      <c r="AM41" s="201"/>
      <c r="AN41" s="201"/>
      <c r="AO41" s="201"/>
      <c r="AP41" s="201"/>
      <c r="AQ41" s="201"/>
      <c r="AR41" s="201"/>
      <c r="AS41" s="201"/>
      <c r="AT41" s="201"/>
      <c r="AU41" s="201"/>
      <c r="AV41" s="201"/>
      <c r="AW41" s="201"/>
      <c r="AX41" s="201"/>
    </row>
    <row r="42" spans="1:55" ht="21.5">
      <c r="K42" s="1518" t="s">
        <v>614</v>
      </c>
      <c r="L42" s="1519" t="s">
        <v>615</v>
      </c>
      <c r="M42" s="1738"/>
      <c r="N42" s="1739"/>
      <c r="O42" s="1740"/>
      <c r="P42" s="1740"/>
      <c r="Q42" s="1740"/>
      <c r="R42" s="1740"/>
      <c r="S42" s="1738"/>
      <c r="T42" s="1738"/>
      <c r="U42" s="1738"/>
      <c r="V42" s="1738"/>
      <c r="W42" s="1738"/>
    </row>
    <row r="43" spans="1:55">
      <c r="N43" s="1739"/>
      <c r="O43" s="1740"/>
      <c r="P43" s="1740"/>
      <c r="Q43" s="1740"/>
      <c r="R43" s="1740"/>
      <c r="S43" s="1738"/>
      <c r="T43" s="1738"/>
      <c r="U43" s="1738"/>
      <c r="V43" s="1738"/>
      <c r="W43" s="1738"/>
    </row>
    <row r="44" spans="1:55">
      <c r="K44" s="1865"/>
      <c r="L44" s="473"/>
      <c r="N44" s="1721"/>
      <c r="O44" s="1721"/>
      <c r="P44" s="1721"/>
      <c r="Q44" s="1721"/>
      <c r="R44" s="1721"/>
      <c r="S44" s="1721"/>
      <c r="T44" s="1721"/>
      <c r="U44" s="1721"/>
      <c r="V44" s="1721"/>
      <c r="W44" s="1721"/>
    </row>
    <row r="45" spans="1:55">
      <c r="N45" s="1721"/>
      <c r="O45" s="1722"/>
      <c r="P45" s="1723"/>
      <c r="Q45" s="1724"/>
      <c r="R45" s="1725"/>
    </row>
    <row r="46" spans="1:55">
      <c r="N46" s="1721"/>
      <c r="O46" s="1722"/>
      <c r="P46" s="1723"/>
      <c r="Q46" s="1724"/>
      <c r="R46" s="1725"/>
    </row>
    <row r="47" spans="1:55">
      <c r="N47" s="1721"/>
      <c r="O47" s="1722"/>
      <c r="P47" s="1723"/>
      <c r="Q47" s="1724"/>
      <c r="R47" s="1725"/>
    </row>
    <row r="48" spans="1:55">
      <c r="N48" s="1721"/>
      <c r="O48" s="1722"/>
      <c r="P48" s="1723"/>
      <c r="Q48" s="1724"/>
      <c r="R48" s="1725"/>
    </row>
    <row r="49" spans="14:18">
      <c r="N49" s="1721"/>
      <c r="O49" s="1722"/>
      <c r="P49" s="1723"/>
      <c r="Q49" s="1724"/>
      <c r="R49" s="1725"/>
    </row>
    <row r="50" spans="14:18">
      <c r="N50" s="1726"/>
      <c r="O50" s="1727"/>
      <c r="P50" s="1728"/>
      <c r="Q50" s="1728"/>
      <c r="R50" s="1729"/>
    </row>
    <row r="51" spans="14:18">
      <c r="N51"/>
      <c r="O51"/>
      <c r="P51"/>
      <c r="Q51"/>
      <c r="R51"/>
    </row>
    <row r="52" spans="14:18">
      <c r="N52" s="1721"/>
      <c r="O52" s="1730"/>
      <c r="P52" s="1731"/>
      <c r="Q52" s="1732"/>
      <c r="R52" s="1725"/>
    </row>
    <row r="53" spans="14:18">
      <c r="N53" s="1733"/>
      <c r="O53" s="1733"/>
      <c r="P53" s="1734"/>
      <c r="Q53" s="1734"/>
      <c r="R53" s="1735"/>
    </row>
    <row r="54" spans="14:18">
      <c r="N54" s="1721"/>
      <c r="O54" s="1721"/>
      <c r="P54" s="1736"/>
      <c r="Q54" s="1737"/>
      <c r="R54" s="1735"/>
    </row>
  </sheetData>
  <mergeCells count="9">
    <mergeCell ref="B4:B5"/>
    <mergeCell ref="K3:L3"/>
    <mergeCell ref="C3:D3"/>
    <mergeCell ref="K2:L2"/>
    <mergeCell ref="C2:D2"/>
    <mergeCell ref="E2:F2"/>
    <mergeCell ref="E3:F3"/>
    <mergeCell ref="G2:H2"/>
    <mergeCell ref="G3:H3"/>
  </mergeCells>
  <dataValidations count="3">
    <dataValidation type="list" allowBlank="1" showInputMessage="1" showErrorMessage="1" sqref="AP32:AX34 AY32" xr:uid="{00000000-0002-0000-0900-000001000000}">
      <formula1>$B$26:$B$36</formula1>
    </dataValidation>
    <dataValidation type="list" allowBlank="1" showInputMessage="1" showErrorMessage="1" sqref="R8:R9 N16:N18 N34 N32 N23:N29" xr:uid="{65DAE1D1-E223-4E94-ABD8-29F3DA8AAE14}">
      <formula1>"Override"</formula1>
    </dataValidation>
    <dataValidation type="list" allowBlank="1" showInputMessage="1" showErrorMessage="1" sqref="L42" xr:uid="{595C8AED-AA2C-46EF-9EA5-BA5910946F4B}">
      <formula1>"Monthly,Annual"</formula1>
    </dataValidation>
  </dataValidations>
  <pageMargins left="0.25" right="0.25" top="0.75" bottom="0.75" header="0.3" footer="0.3"/>
  <pageSetup paperSize="3" scale="22" orientation="landscape" r:id="rId1"/>
  <headerFooter>
    <oddHeader>&amp;R&amp;G</oddHeader>
  </headerFooter>
  <ignoredErrors>
    <ignoredError sqref="L9:L12 L30:L31 L34 L14:L22" evalError="1"/>
  </ignoredErrors>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ADB9F-F2F4-4407-8B29-5F05DC1A6CFA}">
  <sheetPr>
    <tabColor theme="8" tint="0.59999389629810485"/>
  </sheetPr>
  <dimension ref="A1:EV187"/>
  <sheetViews>
    <sheetView topLeftCell="C1" workbookViewId="0">
      <selection activeCell="C4" sqref="C4"/>
    </sheetView>
  </sheetViews>
  <sheetFormatPr defaultColWidth="8.81640625" defaultRowHeight="13" outlineLevelCol="1"/>
  <cols>
    <col min="1" max="2" width="3.453125" style="1741" hidden="1" customWidth="1"/>
    <col min="3" max="3" width="27" style="1741" bestFit="1" customWidth="1"/>
    <col min="4" max="4" width="8.81640625" style="1741" customWidth="1"/>
    <col min="5" max="6" width="12.1796875" style="1741" hidden="1" customWidth="1"/>
    <col min="7" max="7" width="9.1796875" style="1741" customWidth="1"/>
    <col min="8" max="8" width="6.453125" style="1741" customWidth="1"/>
    <col min="9" max="9" width="9.7265625" style="1741" customWidth="1"/>
    <col min="10" max="10" width="6.1796875" style="1741" customWidth="1"/>
    <col min="11" max="11" width="11.453125" style="1741" customWidth="1"/>
    <col min="12" max="12" width="7.1796875" style="1741" customWidth="1"/>
    <col min="13" max="13" width="10.81640625" style="1741" bestFit="1" customWidth="1"/>
    <col min="14" max="14" width="6.453125" style="1741" bestFit="1" customWidth="1"/>
    <col min="15" max="15" width="9.7265625" style="1741" bestFit="1" customWidth="1"/>
    <col min="16" max="16" width="6.453125" style="1741" bestFit="1" customWidth="1"/>
    <col min="17" max="17" width="10.81640625" style="1741" bestFit="1" customWidth="1"/>
    <col min="18" max="18" width="6.453125" style="1741" bestFit="1" customWidth="1"/>
    <col min="19" max="19" width="10.81640625" style="1741" bestFit="1" customWidth="1"/>
    <col min="20" max="20" width="6.453125" style="1741" bestFit="1" customWidth="1"/>
    <col min="21" max="21" width="2.81640625" style="1741" customWidth="1"/>
    <col min="22" max="22" width="2" style="1741" customWidth="1"/>
    <col min="23" max="23" width="10.81640625" style="1741" bestFit="1" customWidth="1"/>
    <col min="24" max="24" width="7" style="1741" customWidth="1"/>
    <col min="25" max="25" width="9.7265625" style="1741" hidden="1" customWidth="1"/>
    <col min="26" max="26" width="7.1796875" style="1741" hidden="1" customWidth="1"/>
    <col min="27" max="27" width="2.453125" style="1741" customWidth="1"/>
    <col min="28" max="28" width="9.7265625" style="1741" bestFit="1" customWidth="1"/>
    <col min="29" max="29" width="7.26953125" style="1741" bestFit="1" customWidth="1"/>
    <col min="30" max="30" width="23.26953125" style="1741" bestFit="1" customWidth="1"/>
    <col min="31" max="31" width="2.81640625" style="1745" customWidth="1"/>
    <col min="32" max="32" width="0" style="1745" hidden="1" customWidth="1"/>
    <col min="33" max="34" width="12.26953125" style="1745" hidden="1" customWidth="1" outlineLevel="1"/>
    <col min="35" max="35" width="20.81640625" style="1745" hidden="1" customWidth="1" outlineLevel="1"/>
    <col min="36" max="37" width="0" style="1745" hidden="1" customWidth="1" outlineLevel="1"/>
    <col min="38" max="38" width="0" style="1745" hidden="1" customWidth="1" collapsed="1"/>
    <col min="39" max="39" width="0" style="1745" hidden="1" customWidth="1"/>
    <col min="40" max="152" width="8.81640625" style="1745"/>
    <col min="153" max="16384" width="8.81640625" style="1741"/>
  </cols>
  <sheetData>
    <row r="1" spans="1:36">
      <c r="C1" s="1742"/>
      <c r="D1" s="1743"/>
      <c r="E1" s="1743"/>
      <c r="F1" s="1743"/>
      <c r="G1" s="1743"/>
      <c r="H1" s="1743"/>
      <c r="I1" s="1743"/>
      <c r="J1" s="1743"/>
      <c r="K1" s="1743"/>
      <c r="L1" s="1743"/>
      <c r="M1" s="1743"/>
      <c r="N1" s="1743"/>
      <c r="O1" s="1743"/>
      <c r="P1" s="1743"/>
      <c r="Q1" s="1743"/>
      <c r="R1" s="1743"/>
      <c r="S1" s="1743"/>
      <c r="T1" s="1743"/>
      <c r="U1" s="1743"/>
      <c r="V1" s="1743"/>
      <c r="W1" s="1743"/>
      <c r="X1" s="1743"/>
      <c r="Y1" s="1743"/>
      <c r="Z1" s="1743"/>
      <c r="AA1" s="1743"/>
      <c r="AB1" s="1743"/>
      <c r="AC1" s="1743"/>
      <c r="AD1" s="1743"/>
      <c r="AE1" s="1744"/>
      <c r="AG1" s="1744"/>
      <c r="AH1" s="1744"/>
      <c r="AI1" s="1744"/>
    </row>
    <row r="2" spans="1:36">
      <c r="D2" s="1746"/>
    </row>
    <row r="3" spans="1:36">
      <c r="D3" s="1747"/>
    </row>
    <row r="4" spans="1:36" ht="13.5" thickBot="1"/>
    <row r="5" spans="1:36">
      <c r="E5" s="1875"/>
      <c r="F5" s="1876"/>
      <c r="G5" s="1875"/>
      <c r="H5" s="1876"/>
      <c r="I5" s="1875"/>
      <c r="J5" s="1876"/>
      <c r="K5" s="1875"/>
      <c r="L5" s="1876"/>
      <c r="M5" s="1875"/>
      <c r="N5" s="1876"/>
      <c r="O5" s="1875"/>
      <c r="P5" s="1876"/>
      <c r="Q5" s="1875"/>
      <c r="R5" s="1876"/>
      <c r="S5" s="1875"/>
      <c r="T5" s="1876"/>
      <c r="W5" s="1875"/>
      <c r="X5" s="1876"/>
      <c r="Y5" s="1875"/>
      <c r="Z5" s="1876"/>
      <c r="AB5" s="1875"/>
      <c r="AC5" s="1876"/>
      <c r="AG5" s="1877"/>
      <c r="AH5" s="1878"/>
    </row>
    <row r="6" spans="1:36">
      <c r="E6" s="1748"/>
      <c r="F6" s="1749"/>
      <c r="G6" s="1748"/>
      <c r="H6" s="1749"/>
      <c r="I6" s="1748"/>
      <c r="J6" s="1749"/>
      <c r="K6" s="1748"/>
      <c r="L6" s="1749"/>
      <c r="M6" s="1748"/>
      <c r="N6" s="1749"/>
      <c r="O6" s="1748"/>
      <c r="P6" s="1749"/>
      <c r="Q6" s="1748"/>
      <c r="R6" s="1749"/>
      <c r="S6" s="1748"/>
      <c r="T6" s="1749"/>
      <c r="W6" s="1750"/>
      <c r="X6" s="1751"/>
      <c r="Y6" s="1748"/>
      <c r="Z6" s="1749"/>
      <c r="AB6" s="1752"/>
      <c r="AC6" s="1749"/>
      <c r="AG6" s="1753"/>
      <c r="AH6" s="1754"/>
    </row>
    <row r="7" spans="1:36" ht="15" customHeight="1" thickBot="1">
      <c r="E7" s="1755"/>
      <c r="F7" s="1756"/>
      <c r="G7" s="1755"/>
      <c r="H7" s="1756"/>
      <c r="I7" s="1755"/>
      <c r="J7" s="1756"/>
      <c r="K7" s="1755"/>
      <c r="L7" s="1756"/>
      <c r="M7" s="1755"/>
      <c r="N7" s="1756"/>
      <c r="O7" s="1755"/>
      <c r="P7" s="1756"/>
      <c r="Q7" s="1755"/>
      <c r="R7" s="1756"/>
      <c r="S7" s="1755"/>
      <c r="T7" s="1756"/>
      <c r="W7" s="1901"/>
      <c r="X7" s="1902"/>
      <c r="Y7" s="1755"/>
      <c r="Z7" s="1756"/>
      <c r="AB7" s="1755"/>
      <c r="AC7" s="1756"/>
      <c r="AG7" s="1757"/>
      <c r="AH7" s="1758"/>
    </row>
    <row r="8" spans="1:36">
      <c r="E8" s="1759"/>
      <c r="F8" s="1760"/>
      <c r="G8" s="1759"/>
      <c r="H8" s="1760"/>
      <c r="I8" s="1759"/>
      <c r="J8" s="1760"/>
      <c r="K8" s="1759"/>
      <c r="L8" s="1760"/>
      <c r="M8" s="1759"/>
      <c r="N8" s="1760"/>
      <c r="O8" s="1759"/>
      <c r="P8" s="1760"/>
      <c r="Q8" s="1759"/>
      <c r="R8" s="1760"/>
      <c r="S8" s="1759"/>
      <c r="T8" s="1760"/>
      <c r="W8" s="1759"/>
      <c r="X8" s="1760"/>
      <c r="Y8" s="1759"/>
      <c r="Z8" s="1760"/>
      <c r="AB8" s="1759"/>
      <c r="AC8" s="1760"/>
      <c r="AG8" s="1761"/>
      <c r="AH8" s="1762"/>
    </row>
    <row r="9" spans="1:36">
      <c r="E9" s="1759"/>
      <c r="F9" s="1760"/>
      <c r="G9" s="1759"/>
      <c r="H9" s="1760"/>
      <c r="I9" s="1759"/>
      <c r="J9" s="1760"/>
      <c r="K9" s="1759"/>
      <c r="L9" s="1760"/>
      <c r="M9" s="1759"/>
      <c r="N9" s="1760"/>
      <c r="O9" s="1759"/>
      <c r="P9" s="1760"/>
      <c r="Q9" s="1759"/>
      <c r="R9" s="1760"/>
      <c r="S9" s="1759"/>
      <c r="T9" s="1760"/>
      <c r="W9" s="1759"/>
      <c r="X9" s="1760"/>
      <c r="Y9" s="1759"/>
      <c r="Z9" s="1760"/>
      <c r="AB9" s="1759"/>
      <c r="AC9" s="1760"/>
      <c r="AG9" s="1761"/>
      <c r="AH9" s="1762"/>
    </row>
    <row r="10" spans="1:36">
      <c r="E10" s="1759"/>
      <c r="F10" s="1760"/>
      <c r="G10" s="1759"/>
      <c r="H10" s="1760"/>
      <c r="I10" s="1759"/>
      <c r="J10" s="1760"/>
      <c r="K10" s="1759"/>
      <c r="L10" s="1760"/>
      <c r="M10" s="1759"/>
      <c r="N10" s="1760"/>
      <c r="O10" s="1759"/>
      <c r="P10" s="1760"/>
      <c r="Q10" s="1759"/>
      <c r="R10" s="1760"/>
      <c r="S10" s="1759"/>
      <c r="T10" s="1760"/>
      <c r="W10" s="1759"/>
      <c r="X10" s="1760"/>
      <c r="Y10" s="1759"/>
      <c r="Z10" s="1760"/>
      <c r="AB10" s="1759"/>
      <c r="AC10" s="1760"/>
      <c r="AG10" s="1761"/>
      <c r="AH10" s="1762"/>
    </row>
    <row r="11" spans="1:36">
      <c r="A11" s="1763"/>
      <c r="E11" s="1764"/>
      <c r="F11" s="1765"/>
      <c r="G11" s="1764"/>
      <c r="H11" s="1765"/>
      <c r="I11" s="1764"/>
      <c r="J11" s="1765"/>
      <c r="K11" s="1764"/>
      <c r="L11" s="1765"/>
      <c r="M11" s="1766"/>
      <c r="N11" s="1765"/>
      <c r="O11" s="1766"/>
      <c r="P11" s="1765"/>
      <c r="Q11" s="1766"/>
      <c r="R11" s="1765"/>
      <c r="S11" s="1766"/>
      <c r="T11" s="1765"/>
      <c r="U11" s="1767"/>
      <c r="V11" s="1767"/>
      <c r="W11" s="1764"/>
      <c r="X11" s="1765"/>
      <c r="Y11" s="1764"/>
      <c r="Z11" s="1765"/>
      <c r="AA11" s="1767"/>
      <c r="AB11" s="1768"/>
      <c r="AC11" s="1765"/>
      <c r="AD11" s="1769"/>
      <c r="AE11" s="1770"/>
      <c r="AG11" s="1771"/>
      <c r="AH11" s="1772"/>
      <c r="AI11" s="1773"/>
    </row>
    <row r="12" spans="1:36">
      <c r="E12" s="1774"/>
      <c r="F12" s="1775"/>
      <c r="G12" s="1774"/>
      <c r="H12" s="1775"/>
      <c r="I12" s="1774"/>
      <c r="J12" s="1775"/>
      <c r="K12" s="1774"/>
      <c r="L12" s="1775"/>
      <c r="M12" s="1774"/>
      <c r="N12" s="1775"/>
      <c r="O12" s="1774"/>
      <c r="P12" s="1775"/>
      <c r="Q12" s="1774"/>
      <c r="R12" s="1775"/>
      <c r="S12" s="1774"/>
      <c r="T12" s="1775"/>
      <c r="U12" s="1776"/>
      <c r="V12" s="1776"/>
      <c r="W12" s="1774"/>
      <c r="X12" s="1775"/>
      <c r="Y12" s="1774"/>
      <c r="Z12" s="1775"/>
      <c r="AA12" s="1776"/>
      <c r="AB12" s="1774"/>
      <c r="AC12" s="1775"/>
      <c r="AD12" s="1769"/>
      <c r="AE12" s="1777"/>
      <c r="AG12" s="1778"/>
      <c r="AH12" s="1779"/>
      <c r="AI12" s="1777"/>
    </row>
    <row r="13" spans="1:36">
      <c r="A13" s="1763"/>
      <c r="E13" s="1774"/>
      <c r="F13" s="1775"/>
      <c r="G13" s="1774"/>
      <c r="H13" s="1775"/>
      <c r="I13" s="1774"/>
      <c r="J13" s="1775"/>
      <c r="K13" s="1774"/>
      <c r="L13" s="1775"/>
      <c r="M13" s="1774"/>
      <c r="N13" s="1775"/>
      <c r="O13" s="1774"/>
      <c r="P13" s="1775"/>
      <c r="Q13" s="1774"/>
      <c r="R13" s="1775"/>
      <c r="S13" s="1774"/>
      <c r="T13" s="1775"/>
      <c r="U13" s="1776"/>
      <c r="V13" s="1776"/>
      <c r="W13" s="1774"/>
      <c r="X13" s="1775"/>
      <c r="Y13" s="1774"/>
      <c r="Z13" s="1765"/>
      <c r="AA13" s="1776"/>
      <c r="AB13" s="1768"/>
      <c r="AC13" s="1775"/>
      <c r="AD13" s="1769"/>
      <c r="AE13" s="1777"/>
      <c r="AG13" s="1780"/>
      <c r="AH13" s="1779"/>
      <c r="AI13" s="1781"/>
    </row>
    <row r="14" spans="1:36">
      <c r="E14" s="1782"/>
      <c r="F14" s="1775"/>
      <c r="G14" s="1782"/>
      <c r="H14" s="1775"/>
      <c r="I14" s="1782"/>
      <c r="J14" s="1775"/>
      <c r="K14" s="1782"/>
      <c r="L14" s="1775"/>
      <c r="M14" s="1782"/>
      <c r="N14" s="1775"/>
      <c r="O14" s="1782"/>
      <c r="P14" s="1775"/>
      <c r="Q14" s="1782"/>
      <c r="R14" s="1775"/>
      <c r="S14" s="1782"/>
      <c r="T14" s="1775"/>
      <c r="U14" s="1776"/>
      <c r="V14" s="1776"/>
      <c r="W14" s="1782"/>
      <c r="X14" s="1775"/>
      <c r="Y14" s="1782"/>
      <c r="Z14" s="1765"/>
      <c r="AA14" s="1776"/>
      <c r="AB14" s="1783"/>
      <c r="AC14" s="1775"/>
      <c r="AD14" s="1769"/>
      <c r="AE14" s="1777"/>
      <c r="AG14" s="1784"/>
      <c r="AH14" s="1779"/>
      <c r="AI14" s="1781"/>
    </row>
    <row r="15" spans="1:36">
      <c r="C15" s="1785"/>
      <c r="E15" s="1774"/>
      <c r="F15" s="1775"/>
      <c r="G15" s="1774"/>
      <c r="H15" s="1775"/>
      <c r="I15" s="1774"/>
      <c r="J15" s="1775"/>
      <c r="K15" s="1774"/>
      <c r="L15" s="1775"/>
      <c r="M15" s="1774"/>
      <c r="N15" s="1775"/>
      <c r="O15" s="1774"/>
      <c r="P15" s="1775"/>
      <c r="Q15" s="1774"/>
      <c r="R15" s="1775"/>
      <c r="S15" s="1774"/>
      <c r="T15" s="1775"/>
      <c r="U15" s="1776"/>
      <c r="V15" s="1776"/>
      <c r="W15" s="1774"/>
      <c r="X15" s="1775"/>
      <c r="Y15" s="1774"/>
      <c r="Z15" s="1765"/>
      <c r="AA15" s="1776"/>
      <c r="AB15" s="1774"/>
      <c r="AC15" s="1775"/>
      <c r="AD15" s="1776"/>
      <c r="AE15" s="1777"/>
      <c r="AG15" s="1778"/>
      <c r="AH15" s="1779"/>
      <c r="AI15" s="1777"/>
    </row>
    <row r="16" spans="1:36">
      <c r="C16" s="1785"/>
      <c r="E16" s="1774"/>
      <c r="F16" s="1775"/>
      <c r="G16" s="1774"/>
      <c r="H16" s="1775"/>
      <c r="I16" s="1774"/>
      <c r="J16" s="1775"/>
      <c r="K16" s="1774"/>
      <c r="L16" s="1775"/>
      <c r="M16" s="1774"/>
      <c r="N16" s="1775"/>
      <c r="O16" s="1774"/>
      <c r="P16" s="1775"/>
      <c r="Q16" s="1774"/>
      <c r="R16" s="1775"/>
      <c r="S16" s="1774"/>
      <c r="T16" s="1775"/>
      <c r="U16" s="1776"/>
      <c r="V16" s="1776"/>
      <c r="W16" s="1774"/>
      <c r="X16" s="1775"/>
      <c r="Y16" s="1774"/>
      <c r="Z16" s="1775"/>
      <c r="AA16" s="1776"/>
      <c r="AB16" s="1774"/>
      <c r="AC16" s="1775"/>
      <c r="AD16" s="1776"/>
      <c r="AE16" s="1777"/>
      <c r="AG16" s="1778"/>
      <c r="AH16" s="1779"/>
      <c r="AI16" s="1777"/>
      <c r="AJ16" s="1786"/>
    </row>
    <row r="17" spans="1:152">
      <c r="A17" s="1763"/>
      <c r="E17" s="1774"/>
      <c r="F17" s="1775"/>
      <c r="G17" s="1774"/>
      <c r="H17" s="1775"/>
      <c r="I17" s="1774"/>
      <c r="J17" s="1775"/>
      <c r="K17" s="1774"/>
      <c r="L17" s="1775"/>
      <c r="M17" s="1774"/>
      <c r="N17" s="1775"/>
      <c r="O17" s="1774"/>
      <c r="P17" s="1775"/>
      <c r="Q17" s="1774"/>
      <c r="R17" s="1775"/>
      <c r="S17" s="1774"/>
      <c r="T17" s="1775"/>
      <c r="U17" s="1776"/>
      <c r="V17" s="1776"/>
      <c r="W17" s="1774"/>
      <c r="X17" s="1775"/>
      <c r="Y17" s="1774"/>
      <c r="Z17" s="1765"/>
      <c r="AA17" s="1776"/>
      <c r="AB17" s="1787"/>
      <c r="AC17" s="1775"/>
      <c r="AD17" s="1769"/>
      <c r="AE17" s="1777"/>
      <c r="AG17" s="1780"/>
      <c r="AH17" s="1779"/>
      <c r="AI17" s="1781"/>
      <c r="AJ17" s="1788"/>
    </row>
    <row r="18" spans="1:152">
      <c r="E18" s="1774"/>
      <c r="F18" s="1775"/>
      <c r="G18" s="1774"/>
      <c r="H18" s="1775"/>
      <c r="I18" s="1774"/>
      <c r="J18" s="1775"/>
      <c r="K18" s="1774"/>
      <c r="L18" s="1775"/>
      <c r="M18" s="1774"/>
      <c r="N18" s="1775"/>
      <c r="O18" s="1774"/>
      <c r="P18" s="1775"/>
      <c r="Q18" s="1774"/>
      <c r="R18" s="1775"/>
      <c r="S18" s="1774"/>
      <c r="T18" s="1775"/>
      <c r="U18" s="1776"/>
      <c r="V18" s="1776"/>
      <c r="W18" s="1774"/>
      <c r="X18" s="1775"/>
      <c r="Y18" s="1774"/>
      <c r="Z18" s="1775"/>
      <c r="AA18" s="1776"/>
      <c r="AB18" s="1774"/>
      <c r="AC18" s="1775"/>
      <c r="AD18" s="1776"/>
      <c r="AE18" s="1777"/>
      <c r="AG18" s="1778"/>
      <c r="AH18" s="1779"/>
      <c r="AI18" s="1777"/>
      <c r="AJ18" s="1786"/>
    </row>
    <row r="19" spans="1:152" s="1767" customFormat="1">
      <c r="A19" s="1763"/>
      <c r="B19" s="1741"/>
      <c r="C19" s="1789"/>
      <c r="E19" s="1774"/>
      <c r="F19" s="1775"/>
      <c r="G19" s="1774"/>
      <c r="H19" s="1775"/>
      <c r="I19" s="1774"/>
      <c r="J19" s="1775"/>
      <c r="K19" s="1774"/>
      <c r="L19" s="1775"/>
      <c r="M19" s="1774"/>
      <c r="N19" s="1775"/>
      <c r="O19" s="1774"/>
      <c r="P19" s="1775"/>
      <c r="Q19" s="1774"/>
      <c r="R19" s="1775"/>
      <c r="S19" s="1774"/>
      <c r="T19" s="1775"/>
      <c r="W19" s="1774"/>
      <c r="X19" s="1775"/>
      <c r="Y19" s="1774"/>
      <c r="Z19" s="1765"/>
      <c r="AB19" s="1768"/>
      <c r="AC19" s="1775"/>
      <c r="AD19" s="1769"/>
      <c r="AE19" s="1770"/>
      <c r="AF19" s="1770"/>
      <c r="AG19" s="1780"/>
      <c r="AH19" s="1779"/>
      <c r="AI19" s="1781"/>
      <c r="AJ19" s="1770"/>
      <c r="AK19" s="1770"/>
      <c r="AL19" s="1770"/>
      <c r="AM19" s="1770"/>
      <c r="AN19" s="1770"/>
      <c r="AO19" s="1770"/>
      <c r="AP19" s="1770"/>
      <c r="AQ19" s="1770"/>
      <c r="AR19" s="1770"/>
      <c r="AS19" s="1770"/>
      <c r="AT19" s="1770"/>
      <c r="AU19" s="1770"/>
      <c r="AV19" s="1770"/>
      <c r="AW19" s="1770"/>
      <c r="AX19" s="1770"/>
      <c r="AY19" s="1770"/>
      <c r="AZ19" s="1770"/>
      <c r="BA19" s="1770"/>
      <c r="BB19" s="1770"/>
      <c r="BC19" s="1770"/>
      <c r="BD19" s="1770"/>
      <c r="BE19" s="1770"/>
      <c r="BF19" s="1770"/>
      <c r="BG19" s="1770"/>
      <c r="BH19" s="1770"/>
      <c r="BI19" s="1770"/>
      <c r="BJ19" s="1770"/>
      <c r="BK19" s="1770"/>
      <c r="BL19" s="1770"/>
      <c r="BM19" s="1770"/>
      <c r="BN19" s="1770"/>
      <c r="BO19" s="1770"/>
      <c r="BP19" s="1770"/>
      <c r="BQ19" s="1770"/>
      <c r="BR19" s="1770"/>
      <c r="BS19" s="1770"/>
      <c r="BT19" s="1770"/>
      <c r="BU19" s="1770"/>
      <c r="BV19" s="1770"/>
      <c r="BW19" s="1770"/>
      <c r="BX19" s="1770"/>
      <c r="BY19" s="1770"/>
      <c r="BZ19" s="1770"/>
      <c r="CA19" s="1770"/>
      <c r="CB19" s="1770"/>
      <c r="CC19" s="1770"/>
      <c r="CD19" s="1770"/>
      <c r="CE19" s="1770"/>
      <c r="CF19" s="1770"/>
      <c r="CG19" s="1770"/>
      <c r="CH19" s="1770"/>
      <c r="CI19" s="1770"/>
      <c r="CJ19" s="1770"/>
      <c r="CK19" s="1770"/>
      <c r="CL19" s="1770"/>
      <c r="CM19" s="1770"/>
      <c r="CN19" s="1770"/>
      <c r="CO19" s="1770"/>
      <c r="CP19" s="1770"/>
      <c r="CQ19" s="1770"/>
      <c r="CR19" s="1770"/>
      <c r="CS19" s="1770"/>
      <c r="CT19" s="1770"/>
      <c r="CU19" s="1770"/>
      <c r="CV19" s="1770"/>
      <c r="CW19" s="1770"/>
      <c r="CX19" s="1770"/>
      <c r="CY19" s="1770"/>
      <c r="CZ19" s="1770"/>
      <c r="DA19" s="1770"/>
      <c r="DB19" s="1770"/>
      <c r="DC19" s="1770"/>
      <c r="DD19" s="1770"/>
      <c r="DE19" s="1770"/>
      <c r="DF19" s="1770"/>
      <c r="DG19" s="1770"/>
      <c r="DH19" s="1770"/>
      <c r="DI19" s="1770"/>
      <c r="DJ19" s="1770"/>
      <c r="DK19" s="1770"/>
      <c r="DL19" s="1770"/>
      <c r="DM19" s="1770"/>
      <c r="DN19" s="1770"/>
      <c r="DO19" s="1770"/>
      <c r="DP19" s="1770"/>
      <c r="DQ19" s="1770"/>
      <c r="DR19" s="1770"/>
      <c r="DS19" s="1770"/>
      <c r="DT19" s="1770"/>
      <c r="DU19" s="1770"/>
      <c r="DV19" s="1770"/>
      <c r="DW19" s="1770"/>
      <c r="DX19" s="1770"/>
      <c r="DY19" s="1770"/>
      <c r="DZ19" s="1770"/>
      <c r="EA19" s="1770"/>
      <c r="EB19" s="1770"/>
      <c r="EC19" s="1770"/>
      <c r="ED19" s="1770"/>
      <c r="EE19" s="1770"/>
      <c r="EF19" s="1770"/>
      <c r="EG19" s="1770"/>
      <c r="EH19" s="1770"/>
      <c r="EI19" s="1770"/>
      <c r="EJ19" s="1770"/>
      <c r="EK19" s="1770"/>
      <c r="EL19" s="1770"/>
      <c r="EM19" s="1770"/>
      <c r="EN19" s="1770"/>
      <c r="EO19" s="1770"/>
      <c r="EP19" s="1770"/>
      <c r="EQ19" s="1770"/>
      <c r="ER19" s="1770"/>
      <c r="ES19" s="1770"/>
      <c r="ET19" s="1770"/>
      <c r="EU19" s="1770"/>
      <c r="EV19" s="1770"/>
    </row>
    <row r="20" spans="1:152">
      <c r="E20" s="1774"/>
      <c r="F20" s="1775"/>
      <c r="G20" s="1774"/>
      <c r="H20" s="1775"/>
      <c r="I20" s="1774"/>
      <c r="J20" s="1775"/>
      <c r="K20" s="1774"/>
      <c r="L20" s="1775"/>
      <c r="M20" s="1774"/>
      <c r="N20" s="1775"/>
      <c r="O20" s="1774"/>
      <c r="P20" s="1775"/>
      <c r="Q20" s="1774"/>
      <c r="R20" s="1775"/>
      <c r="S20" s="1774"/>
      <c r="T20" s="1775"/>
      <c r="U20" s="1776"/>
      <c r="V20" s="1776"/>
      <c r="W20" s="1774"/>
      <c r="X20" s="1775"/>
      <c r="Y20" s="1774"/>
      <c r="Z20" s="1765"/>
      <c r="AA20" s="1776"/>
      <c r="AB20" s="1768"/>
      <c r="AC20" s="1775"/>
      <c r="AD20" s="1769"/>
      <c r="AE20" s="1777"/>
      <c r="AG20" s="1780"/>
      <c r="AH20" s="1779"/>
      <c r="AI20" s="1781"/>
    </row>
    <row r="21" spans="1:152">
      <c r="E21" s="1774"/>
      <c r="F21" s="1775"/>
      <c r="G21" s="1774"/>
      <c r="H21" s="1775"/>
      <c r="I21" s="1774"/>
      <c r="J21" s="1775"/>
      <c r="K21" s="1774"/>
      <c r="L21" s="1775"/>
      <c r="M21" s="1774"/>
      <c r="N21" s="1775"/>
      <c r="O21" s="1774"/>
      <c r="P21" s="1775"/>
      <c r="Q21" s="1774"/>
      <c r="R21" s="1775"/>
      <c r="S21" s="1774"/>
      <c r="T21" s="1775"/>
      <c r="U21" s="1776"/>
      <c r="V21" s="1776"/>
      <c r="W21" s="1774"/>
      <c r="X21" s="1775"/>
      <c r="Y21" s="1774"/>
      <c r="Z21" s="1765"/>
      <c r="AA21" s="1776"/>
      <c r="AB21" s="1787"/>
      <c r="AC21" s="1775"/>
      <c r="AD21" s="1769"/>
      <c r="AE21" s="1777"/>
      <c r="AG21" s="1780"/>
      <c r="AH21" s="1779"/>
      <c r="AI21" s="1781"/>
    </row>
    <row r="22" spans="1:152">
      <c r="E22" s="1774"/>
      <c r="F22" s="1775"/>
      <c r="G22" s="1774"/>
      <c r="H22" s="1775"/>
      <c r="I22" s="1774"/>
      <c r="J22" s="1775"/>
      <c r="K22" s="1774"/>
      <c r="L22" s="1775"/>
      <c r="M22" s="1774"/>
      <c r="N22" s="1775"/>
      <c r="O22" s="1774"/>
      <c r="P22" s="1775"/>
      <c r="Q22" s="1774"/>
      <c r="R22" s="1775"/>
      <c r="S22" s="1774"/>
      <c r="T22" s="1775"/>
      <c r="U22" s="1776"/>
      <c r="V22" s="1776"/>
      <c r="W22" s="1774"/>
      <c r="X22" s="1775"/>
      <c r="Y22" s="1774"/>
      <c r="Z22" s="1765"/>
      <c r="AA22" s="1776"/>
      <c r="AB22" s="1787"/>
      <c r="AC22" s="1775"/>
      <c r="AD22" s="1769"/>
      <c r="AE22" s="1777"/>
      <c r="AG22" s="1780"/>
      <c r="AH22" s="1779"/>
      <c r="AI22" s="1781"/>
    </row>
    <row r="23" spans="1:152">
      <c r="E23" s="1782"/>
      <c r="F23" s="1790"/>
      <c r="G23" s="1782"/>
      <c r="H23" s="1790"/>
      <c r="I23" s="1782"/>
      <c r="J23" s="1790"/>
      <c r="K23" s="1782"/>
      <c r="L23" s="1790"/>
      <c r="M23" s="1782"/>
      <c r="N23" s="1790"/>
      <c r="O23" s="1782"/>
      <c r="P23" s="1790"/>
      <c r="Q23" s="1782"/>
      <c r="R23" s="1790"/>
      <c r="S23" s="1782"/>
      <c r="T23" s="1790"/>
      <c r="U23" s="1776"/>
      <c r="V23" s="1776"/>
      <c r="W23" s="1782"/>
      <c r="X23" s="1790"/>
      <c r="Y23" s="1782"/>
      <c r="Z23" s="1791"/>
      <c r="AA23" s="1776"/>
      <c r="AB23" s="1792"/>
      <c r="AC23" s="1790"/>
      <c r="AD23" s="1769"/>
      <c r="AE23" s="1777"/>
      <c r="AG23" s="1784"/>
      <c r="AH23" s="1793"/>
      <c r="AI23" s="1781"/>
    </row>
    <row r="24" spans="1:152">
      <c r="C24" s="1785"/>
      <c r="E24" s="1774"/>
      <c r="F24" s="1775"/>
      <c r="G24" s="1774"/>
      <c r="H24" s="1775"/>
      <c r="I24" s="1774"/>
      <c r="J24" s="1775"/>
      <c r="K24" s="1774"/>
      <c r="L24" s="1775"/>
      <c r="M24" s="1774"/>
      <c r="N24" s="1775"/>
      <c r="O24" s="1774"/>
      <c r="P24" s="1775"/>
      <c r="Q24" s="1774"/>
      <c r="R24" s="1775"/>
      <c r="S24" s="1774"/>
      <c r="T24" s="1775"/>
      <c r="U24" s="1776"/>
      <c r="V24" s="1776"/>
      <c r="W24" s="1774"/>
      <c r="X24" s="1775"/>
      <c r="Y24" s="1774"/>
      <c r="Z24" s="1765"/>
      <c r="AA24" s="1776"/>
      <c r="AB24" s="1774"/>
      <c r="AC24" s="1775"/>
      <c r="AD24" s="1776"/>
      <c r="AE24" s="1777"/>
      <c r="AG24" s="1778"/>
      <c r="AH24" s="1779"/>
      <c r="AI24" s="1777"/>
    </row>
    <row r="25" spans="1:152">
      <c r="E25" s="1774"/>
      <c r="F25" s="1775"/>
      <c r="G25" s="1774"/>
      <c r="H25" s="1775"/>
      <c r="I25" s="1774"/>
      <c r="J25" s="1775"/>
      <c r="K25" s="1774"/>
      <c r="L25" s="1775"/>
      <c r="M25" s="1774"/>
      <c r="N25" s="1775"/>
      <c r="O25" s="1774"/>
      <c r="P25" s="1775"/>
      <c r="Q25" s="1774"/>
      <c r="R25" s="1775"/>
      <c r="S25" s="1774"/>
      <c r="T25" s="1775"/>
      <c r="U25" s="1776"/>
      <c r="V25" s="1776"/>
      <c r="W25" s="1774"/>
      <c r="X25" s="1775"/>
      <c r="Y25" s="1774"/>
      <c r="Z25" s="1775"/>
      <c r="AA25" s="1776"/>
      <c r="AB25" s="1774"/>
      <c r="AC25" s="1775"/>
      <c r="AD25" s="1776"/>
      <c r="AE25" s="1777"/>
      <c r="AG25" s="1778"/>
      <c r="AH25" s="1779"/>
      <c r="AI25" s="1777"/>
    </row>
    <row r="26" spans="1:152">
      <c r="A26" s="1763"/>
      <c r="E26" s="1774"/>
      <c r="F26" s="1775"/>
      <c r="G26" s="1774"/>
      <c r="H26" s="1775"/>
      <c r="I26" s="1774"/>
      <c r="J26" s="1775"/>
      <c r="K26" s="1774"/>
      <c r="L26" s="1775"/>
      <c r="M26" s="1774"/>
      <c r="N26" s="1775"/>
      <c r="O26" s="1774"/>
      <c r="P26" s="1775"/>
      <c r="Q26" s="1774"/>
      <c r="R26" s="1775"/>
      <c r="S26" s="1774"/>
      <c r="T26" s="1775"/>
      <c r="U26" s="1776"/>
      <c r="V26" s="1776"/>
      <c r="W26" s="1774"/>
      <c r="X26" s="1775"/>
      <c r="Y26" s="1774"/>
      <c r="Z26" s="1765"/>
      <c r="AA26" s="1776"/>
      <c r="AB26" s="1768"/>
      <c r="AC26" s="1775"/>
      <c r="AD26" s="1769"/>
      <c r="AE26" s="1777"/>
      <c r="AG26" s="1780"/>
      <c r="AH26" s="1779"/>
      <c r="AI26" s="1781"/>
    </row>
    <row r="27" spans="1:152">
      <c r="E27" s="1774"/>
      <c r="F27" s="1775"/>
      <c r="G27" s="1774"/>
      <c r="H27" s="1775"/>
      <c r="I27" s="1774"/>
      <c r="J27" s="1775"/>
      <c r="K27" s="1774"/>
      <c r="L27" s="1775"/>
      <c r="M27" s="1774"/>
      <c r="N27" s="1775"/>
      <c r="O27" s="1774"/>
      <c r="P27" s="1775"/>
      <c r="Q27" s="1774"/>
      <c r="R27" s="1775"/>
      <c r="S27" s="1774"/>
      <c r="T27" s="1775"/>
      <c r="U27" s="1776"/>
      <c r="V27" s="1776"/>
      <c r="W27" s="1774"/>
      <c r="X27" s="1775"/>
      <c r="Y27" s="1774"/>
      <c r="Z27" s="1765"/>
      <c r="AA27" s="1776"/>
      <c r="AB27" s="1768"/>
      <c r="AC27" s="1775"/>
      <c r="AD27" s="1769"/>
      <c r="AE27" s="1777"/>
      <c r="AG27" s="1780"/>
      <c r="AH27" s="1779"/>
      <c r="AI27" s="1781"/>
    </row>
    <row r="28" spans="1:152">
      <c r="E28" s="1774"/>
      <c r="F28" s="1775"/>
      <c r="G28" s="1774"/>
      <c r="H28" s="1775"/>
      <c r="I28" s="1774"/>
      <c r="J28" s="1775"/>
      <c r="K28" s="1774"/>
      <c r="L28" s="1775"/>
      <c r="M28" s="1774"/>
      <c r="N28" s="1775"/>
      <c r="O28" s="1774"/>
      <c r="P28" s="1775"/>
      <c r="Q28" s="1774"/>
      <c r="R28" s="1775"/>
      <c r="S28" s="1774"/>
      <c r="T28" s="1775"/>
      <c r="U28" s="1776"/>
      <c r="V28" s="1776"/>
      <c r="W28" s="1774"/>
      <c r="X28" s="1775"/>
      <c r="Y28" s="1774"/>
      <c r="Z28" s="1765"/>
      <c r="AA28" s="1776"/>
      <c r="AB28" s="1768"/>
      <c r="AC28" s="1775"/>
      <c r="AD28" s="1769"/>
      <c r="AE28" s="1777"/>
      <c r="AG28" s="1780"/>
      <c r="AH28" s="1779"/>
      <c r="AI28" s="1781"/>
    </row>
    <row r="29" spans="1:152">
      <c r="E29" s="1774"/>
      <c r="F29" s="1775"/>
      <c r="G29" s="1774"/>
      <c r="H29" s="1775"/>
      <c r="I29" s="1774"/>
      <c r="J29" s="1775"/>
      <c r="K29" s="1774"/>
      <c r="L29" s="1775"/>
      <c r="M29" s="1774"/>
      <c r="N29" s="1775"/>
      <c r="O29" s="1774"/>
      <c r="P29" s="1775"/>
      <c r="Q29" s="1774"/>
      <c r="R29" s="1775"/>
      <c r="S29" s="1774"/>
      <c r="T29" s="1775"/>
      <c r="U29" s="1776"/>
      <c r="V29" s="1776"/>
      <c r="W29" s="1774"/>
      <c r="X29" s="1775"/>
      <c r="Y29" s="1774"/>
      <c r="Z29" s="1765"/>
      <c r="AA29" s="1776"/>
      <c r="AB29" s="1768"/>
      <c r="AC29" s="1775"/>
      <c r="AD29" s="1769"/>
      <c r="AE29" s="1777"/>
      <c r="AG29" s="1780"/>
      <c r="AH29" s="1779"/>
      <c r="AI29" s="1781"/>
    </row>
    <row r="30" spans="1:152">
      <c r="E30" s="1774"/>
      <c r="F30" s="1775"/>
      <c r="G30" s="1774"/>
      <c r="H30" s="1775"/>
      <c r="I30" s="1774"/>
      <c r="J30" s="1775"/>
      <c r="K30" s="1774"/>
      <c r="L30" s="1775"/>
      <c r="M30" s="1774"/>
      <c r="N30" s="1775"/>
      <c r="O30" s="1774"/>
      <c r="P30" s="1775"/>
      <c r="Q30" s="1774"/>
      <c r="R30" s="1775"/>
      <c r="S30" s="1774"/>
      <c r="T30" s="1775"/>
      <c r="U30" s="1776"/>
      <c r="V30" s="1776"/>
      <c r="W30" s="1774"/>
      <c r="X30" s="1775"/>
      <c r="Y30" s="1774"/>
      <c r="Z30" s="1765"/>
      <c r="AA30" s="1776"/>
      <c r="AB30" s="1768"/>
      <c r="AC30" s="1775"/>
      <c r="AD30" s="1769"/>
      <c r="AE30" s="1777"/>
      <c r="AG30" s="1780"/>
      <c r="AH30" s="1779"/>
      <c r="AI30" s="1781"/>
    </row>
    <row r="31" spans="1:152">
      <c r="E31" s="1774"/>
      <c r="F31" s="1775"/>
      <c r="G31" s="1774"/>
      <c r="H31" s="1775"/>
      <c r="I31" s="1774"/>
      <c r="J31" s="1775"/>
      <c r="K31" s="1774"/>
      <c r="L31" s="1775"/>
      <c r="M31" s="1774"/>
      <c r="N31" s="1775"/>
      <c r="O31" s="1774"/>
      <c r="P31" s="1775"/>
      <c r="Q31" s="1774"/>
      <c r="R31" s="1775"/>
      <c r="S31" s="1774"/>
      <c r="T31" s="1775"/>
      <c r="U31" s="1776"/>
      <c r="V31" s="1776"/>
      <c r="W31" s="1774"/>
      <c r="X31" s="1775"/>
      <c r="Y31" s="1774"/>
      <c r="Z31" s="1765"/>
      <c r="AA31" s="1776"/>
      <c r="AB31" s="1768"/>
      <c r="AC31" s="1775"/>
      <c r="AD31" s="1769"/>
      <c r="AE31" s="1777"/>
      <c r="AG31" s="1780"/>
      <c r="AH31" s="1779"/>
      <c r="AI31" s="1781"/>
    </row>
    <row r="32" spans="1:152">
      <c r="C32" s="1746"/>
      <c r="E32" s="1774"/>
      <c r="F32" s="1775"/>
      <c r="G32" s="1774"/>
      <c r="H32" s="1775"/>
      <c r="I32" s="1774"/>
      <c r="J32" s="1775"/>
      <c r="K32" s="1774"/>
      <c r="L32" s="1775"/>
      <c r="M32" s="1774"/>
      <c r="N32" s="1775"/>
      <c r="O32" s="1774"/>
      <c r="P32" s="1775"/>
      <c r="Q32" s="1774"/>
      <c r="R32" s="1775"/>
      <c r="S32" s="1774"/>
      <c r="T32" s="1775"/>
      <c r="U32" s="1776"/>
      <c r="V32" s="1776"/>
      <c r="W32" s="1774"/>
      <c r="X32" s="1775"/>
      <c r="Y32" s="1774"/>
      <c r="Z32" s="1765"/>
      <c r="AA32" s="1776"/>
      <c r="AB32" s="1768"/>
      <c r="AC32" s="1775"/>
      <c r="AD32" s="1769"/>
      <c r="AE32" s="1777"/>
      <c r="AG32" s="1780"/>
      <c r="AH32" s="1779"/>
      <c r="AI32" s="1781"/>
    </row>
    <row r="33" spans="3:152">
      <c r="C33" s="1746"/>
      <c r="E33" s="1774"/>
      <c r="F33" s="1775"/>
      <c r="G33" s="1774"/>
      <c r="H33" s="1775"/>
      <c r="I33" s="1774"/>
      <c r="J33" s="1775"/>
      <c r="K33" s="1774"/>
      <c r="L33" s="1775"/>
      <c r="M33" s="1774"/>
      <c r="N33" s="1775"/>
      <c r="O33" s="1774"/>
      <c r="P33" s="1775"/>
      <c r="Q33" s="1774"/>
      <c r="R33" s="1775"/>
      <c r="S33" s="1774"/>
      <c r="T33" s="1775"/>
      <c r="U33" s="1776"/>
      <c r="V33" s="1776"/>
      <c r="W33" s="1774"/>
      <c r="X33" s="1775"/>
      <c r="Y33" s="1774"/>
      <c r="Z33" s="1765"/>
      <c r="AA33" s="1776"/>
      <c r="AB33" s="1768"/>
      <c r="AC33" s="1775"/>
      <c r="AD33" s="1769"/>
      <c r="AE33" s="1777"/>
      <c r="AG33" s="1780"/>
      <c r="AH33" s="1779"/>
      <c r="AI33" s="1781"/>
    </row>
    <row r="34" spans="3:152">
      <c r="E34" s="1774"/>
      <c r="F34" s="1775"/>
      <c r="G34" s="1774"/>
      <c r="H34" s="1775"/>
      <c r="I34" s="1774"/>
      <c r="J34" s="1775"/>
      <c r="K34" s="1774"/>
      <c r="L34" s="1775"/>
      <c r="M34" s="1774"/>
      <c r="N34" s="1775"/>
      <c r="O34" s="1774"/>
      <c r="P34" s="1775"/>
      <c r="Q34" s="1774"/>
      <c r="R34" s="1775"/>
      <c r="S34" s="1774"/>
      <c r="T34" s="1775"/>
      <c r="U34" s="1776"/>
      <c r="V34" s="1776"/>
      <c r="W34" s="1774"/>
      <c r="X34" s="1775"/>
      <c r="Y34" s="1774"/>
      <c r="Z34" s="1765"/>
      <c r="AA34" s="1776"/>
      <c r="AB34" s="1794"/>
      <c r="AC34" s="1775"/>
      <c r="AD34" s="1769"/>
      <c r="AE34" s="1777"/>
      <c r="AG34" s="1780"/>
      <c r="AH34" s="1779"/>
      <c r="AI34" s="1781"/>
    </row>
    <row r="35" spans="3:152">
      <c r="C35" s="1746"/>
      <c r="E35" s="1774"/>
      <c r="F35" s="1775"/>
      <c r="G35" s="1774"/>
      <c r="H35" s="1775"/>
      <c r="I35" s="1774"/>
      <c r="J35" s="1775"/>
      <c r="K35" s="1774"/>
      <c r="L35" s="1775"/>
      <c r="M35" s="1774"/>
      <c r="N35" s="1775"/>
      <c r="O35" s="1774"/>
      <c r="P35" s="1775"/>
      <c r="Q35" s="1774"/>
      <c r="R35" s="1775"/>
      <c r="S35" s="1774"/>
      <c r="T35" s="1775"/>
      <c r="U35" s="1776"/>
      <c r="V35" s="1776"/>
      <c r="W35" s="1774"/>
      <c r="X35" s="1775"/>
      <c r="Y35" s="1774"/>
      <c r="Z35" s="1765"/>
      <c r="AA35" s="1776"/>
      <c r="AB35" s="1768"/>
      <c r="AC35" s="1775"/>
      <c r="AD35" s="1769"/>
      <c r="AE35" s="1777"/>
      <c r="AG35" s="1780"/>
      <c r="AH35" s="1779"/>
      <c r="AI35" s="1781"/>
    </row>
    <row r="36" spans="3:152">
      <c r="E36" s="1774"/>
      <c r="F36" s="1775"/>
      <c r="G36" s="1774"/>
      <c r="H36" s="1775"/>
      <c r="I36" s="1774"/>
      <c r="J36" s="1775"/>
      <c r="K36" s="1774"/>
      <c r="L36" s="1775"/>
      <c r="M36" s="1774"/>
      <c r="N36" s="1775"/>
      <c r="O36" s="1774"/>
      <c r="P36" s="1775"/>
      <c r="Q36" s="1774"/>
      <c r="R36" s="1775"/>
      <c r="S36" s="1774"/>
      <c r="T36" s="1775"/>
      <c r="U36" s="1776"/>
      <c r="V36" s="1776"/>
      <c r="W36" s="1774"/>
      <c r="X36" s="1775"/>
      <c r="Y36" s="1774"/>
      <c r="Z36" s="1765"/>
      <c r="AA36" s="1776"/>
      <c r="AB36" s="1768"/>
      <c r="AC36" s="1775"/>
      <c r="AD36" s="1769"/>
      <c r="AE36" s="1777"/>
      <c r="AG36" s="1780"/>
      <c r="AH36" s="1779"/>
      <c r="AI36" s="1781"/>
    </row>
    <row r="37" spans="3:152">
      <c r="E37" s="1774"/>
      <c r="F37" s="1775"/>
      <c r="G37" s="1774"/>
      <c r="H37" s="1775"/>
      <c r="I37" s="1774"/>
      <c r="J37" s="1775"/>
      <c r="K37" s="1774"/>
      <c r="L37" s="1775"/>
      <c r="M37" s="1774"/>
      <c r="N37" s="1775"/>
      <c r="O37" s="1774"/>
      <c r="P37" s="1775"/>
      <c r="Q37" s="1774"/>
      <c r="R37" s="1775"/>
      <c r="S37" s="1774"/>
      <c r="T37" s="1775"/>
      <c r="U37" s="1776"/>
      <c r="V37" s="1776"/>
      <c r="W37" s="1774"/>
      <c r="X37" s="1775"/>
      <c r="Y37" s="1774"/>
      <c r="Z37" s="1765"/>
      <c r="AA37" s="1776"/>
      <c r="AB37" s="1768"/>
      <c r="AC37" s="1775"/>
      <c r="AD37" s="1769"/>
      <c r="AE37" s="1777"/>
      <c r="AG37" s="1780"/>
      <c r="AH37" s="1779"/>
      <c r="AI37" s="1781"/>
    </row>
    <row r="38" spans="3:152">
      <c r="E38" s="1774"/>
      <c r="F38" s="1775"/>
      <c r="G38" s="1774"/>
      <c r="H38" s="1775"/>
      <c r="I38" s="1774"/>
      <c r="J38" s="1775"/>
      <c r="K38" s="1774"/>
      <c r="L38" s="1775"/>
      <c r="M38" s="1774"/>
      <c r="N38" s="1775"/>
      <c r="O38" s="1774"/>
      <c r="P38" s="1775"/>
      <c r="Q38" s="1774"/>
      <c r="R38" s="1775"/>
      <c r="S38" s="1774"/>
      <c r="T38" s="1775"/>
      <c r="U38" s="1776"/>
      <c r="V38" s="1776"/>
      <c r="W38" s="1774"/>
      <c r="X38" s="1775"/>
      <c r="Y38" s="1774"/>
      <c r="Z38" s="1765"/>
      <c r="AA38" s="1776"/>
      <c r="AB38" s="1768"/>
      <c r="AC38" s="1775"/>
      <c r="AD38" s="1769"/>
      <c r="AE38" s="1777"/>
      <c r="AG38" s="1780"/>
      <c r="AH38" s="1779"/>
      <c r="AI38" s="1781"/>
    </row>
    <row r="39" spans="3:152">
      <c r="E39" s="1774"/>
      <c r="F39" s="1775"/>
      <c r="G39" s="1774"/>
      <c r="H39" s="1775"/>
      <c r="I39" s="1774"/>
      <c r="J39" s="1775"/>
      <c r="K39" s="1774"/>
      <c r="L39" s="1775"/>
      <c r="M39" s="1774"/>
      <c r="N39" s="1775"/>
      <c r="O39" s="1774"/>
      <c r="P39" s="1775"/>
      <c r="Q39" s="1774"/>
      <c r="R39" s="1775"/>
      <c r="S39" s="1774"/>
      <c r="T39" s="1775"/>
      <c r="U39" s="1776"/>
      <c r="V39" s="1776"/>
      <c r="W39" s="1774"/>
      <c r="X39" s="1775"/>
      <c r="Y39" s="1774"/>
      <c r="Z39" s="1765"/>
      <c r="AA39" s="1776"/>
      <c r="AB39" s="1768"/>
      <c r="AC39" s="1775"/>
      <c r="AD39" s="1769"/>
      <c r="AE39" s="1777"/>
      <c r="AG39" s="1780"/>
      <c r="AH39" s="1779"/>
      <c r="AI39" s="1781"/>
    </row>
    <row r="40" spans="3:152">
      <c r="E40" s="1774"/>
      <c r="F40" s="1775"/>
      <c r="G40" s="1774"/>
      <c r="H40" s="1775"/>
      <c r="I40" s="1774"/>
      <c r="J40" s="1775"/>
      <c r="K40" s="1774"/>
      <c r="L40" s="1775"/>
      <c r="M40" s="1774"/>
      <c r="N40" s="1775"/>
      <c r="O40" s="1774"/>
      <c r="P40" s="1775"/>
      <c r="Q40" s="1774"/>
      <c r="R40" s="1775"/>
      <c r="S40" s="1774"/>
      <c r="T40" s="1775"/>
      <c r="U40" s="1776"/>
      <c r="V40" s="1776"/>
      <c r="W40" s="1774"/>
      <c r="X40" s="1775"/>
      <c r="Y40" s="1774"/>
      <c r="Z40" s="1765"/>
      <c r="AA40" s="1776"/>
      <c r="AB40" s="1768"/>
      <c r="AC40" s="1775"/>
      <c r="AD40" s="1769"/>
      <c r="AE40" s="1777"/>
      <c r="AG40" s="1780"/>
      <c r="AH40" s="1779"/>
      <c r="AI40" s="1781"/>
    </row>
    <row r="41" spans="3:152">
      <c r="C41" s="1763"/>
      <c r="E41" s="1774"/>
      <c r="F41" s="1775"/>
      <c r="G41" s="1774"/>
      <c r="H41" s="1775"/>
      <c r="I41" s="1774"/>
      <c r="J41" s="1775"/>
      <c r="K41" s="1774"/>
      <c r="L41" s="1775"/>
      <c r="M41" s="1774"/>
      <c r="N41" s="1775"/>
      <c r="O41" s="1774"/>
      <c r="P41" s="1775"/>
      <c r="Q41" s="1774"/>
      <c r="R41" s="1775"/>
      <c r="S41" s="1774"/>
      <c r="T41" s="1775"/>
      <c r="U41" s="1776"/>
      <c r="V41" s="1776"/>
      <c r="W41" s="1774"/>
      <c r="X41" s="1775"/>
      <c r="Y41" s="1774"/>
      <c r="Z41" s="1765"/>
      <c r="AA41" s="1776"/>
      <c r="AB41" s="1768"/>
      <c r="AC41" s="1775"/>
      <c r="AD41" s="1769"/>
      <c r="AE41" s="1777"/>
      <c r="AG41" s="1780"/>
      <c r="AH41" s="1779"/>
      <c r="AI41" s="1781"/>
    </row>
    <row r="42" spans="3:152">
      <c r="C42" s="1763"/>
      <c r="E42" s="1774"/>
      <c r="F42" s="1775"/>
      <c r="G42" s="1774"/>
      <c r="H42" s="1775"/>
      <c r="I42" s="1774"/>
      <c r="J42" s="1775"/>
      <c r="K42" s="1774"/>
      <c r="L42" s="1775"/>
      <c r="M42" s="1774"/>
      <c r="N42" s="1775"/>
      <c r="O42" s="1774"/>
      <c r="P42" s="1775"/>
      <c r="Q42" s="1774"/>
      <c r="R42" s="1775"/>
      <c r="S42" s="1774"/>
      <c r="T42" s="1775"/>
      <c r="U42" s="1776"/>
      <c r="V42" s="1776"/>
      <c r="W42" s="1774"/>
      <c r="X42" s="1775"/>
      <c r="Y42" s="1774"/>
      <c r="Z42" s="1765"/>
      <c r="AA42" s="1776"/>
      <c r="AB42" s="1768"/>
      <c r="AC42" s="1775"/>
      <c r="AD42" s="1769"/>
      <c r="AE42" s="1777"/>
      <c r="AG42" s="1780"/>
      <c r="AH42" s="1779"/>
      <c r="AI42" s="1781"/>
    </row>
    <row r="43" spans="3:152">
      <c r="C43" s="1795"/>
      <c r="E43" s="1782"/>
      <c r="F43" s="1790"/>
      <c r="G43" s="1782"/>
      <c r="H43" s="1790"/>
      <c r="I43" s="1782"/>
      <c r="J43" s="1790"/>
      <c r="K43" s="1782"/>
      <c r="L43" s="1790"/>
      <c r="M43" s="1782"/>
      <c r="N43" s="1790"/>
      <c r="O43" s="1782"/>
      <c r="P43" s="1790"/>
      <c r="Q43" s="1782"/>
      <c r="R43" s="1790"/>
      <c r="S43" s="1782"/>
      <c r="T43" s="1790"/>
      <c r="U43" s="1776"/>
      <c r="V43" s="1776"/>
      <c r="W43" s="1782"/>
      <c r="X43" s="1790"/>
      <c r="Y43" s="1782"/>
      <c r="Z43" s="1765"/>
      <c r="AA43" s="1776"/>
      <c r="AB43" s="1792"/>
      <c r="AC43" s="1790"/>
      <c r="AD43" s="1769"/>
      <c r="AE43" s="1777"/>
      <c r="AG43" s="1784"/>
      <c r="AH43" s="1793"/>
      <c r="AI43" s="1781"/>
    </row>
    <row r="44" spans="3:152">
      <c r="C44" s="1785"/>
      <c r="E44" s="1774"/>
      <c r="F44" s="1775"/>
      <c r="G44" s="1774"/>
      <c r="H44" s="1775"/>
      <c r="I44" s="1774"/>
      <c r="J44" s="1775"/>
      <c r="K44" s="1774"/>
      <c r="L44" s="1775"/>
      <c r="M44" s="1774"/>
      <c r="N44" s="1775"/>
      <c r="O44" s="1774"/>
      <c r="P44" s="1775"/>
      <c r="Q44" s="1774"/>
      <c r="R44" s="1775"/>
      <c r="S44" s="1774"/>
      <c r="T44" s="1775"/>
      <c r="U44" s="1776"/>
      <c r="V44" s="1776"/>
      <c r="W44" s="1774"/>
      <c r="X44" s="1775"/>
      <c r="Y44" s="1774"/>
      <c r="Z44" s="1791"/>
      <c r="AA44" s="1776"/>
      <c r="AB44" s="1774"/>
      <c r="AC44" s="1775"/>
      <c r="AD44" s="1776"/>
      <c r="AE44" s="1777"/>
      <c r="AG44" s="1778"/>
      <c r="AH44" s="1779"/>
      <c r="AI44" s="1777"/>
    </row>
    <row r="45" spans="3:152" ht="13.5" thickBot="1">
      <c r="E45" s="1774"/>
      <c r="F45" s="1775"/>
      <c r="G45" s="1774"/>
      <c r="H45" s="1775"/>
      <c r="I45" s="1774"/>
      <c r="J45" s="1775"/>
      <c r="K45" s="1774"/>
      <c r="L45" s="1775"/>
      <c r="M45" s="1774"/>
      <c r="N45" s="1775"/>
      <c r="O45" s="1774"/>
      <c r="P45" s="1775"/>
      <c r="Q45" s="1774"/>
      <c r="R45" s="1775"/>
      <c r="S45" s="1774"/>
      <c r="T45" s="1775"/>
      <c r="U45" s="1776"/>
      <c r="V45" s="1776"/>
      <c r="W45" s="1774"/>
      <c r="X45" s="1775"/>
      <c r="Y45" s="1774"/>
      <c r="Z45" s="1775"/>
      <c r="AA45" s="1776"/>
      <c r="AB45" s="1774"/>
      <c r="AC45" s="1775"/>
      <c r="AD45" s="1776"/>
      <c r="AE45" s="1777"/>
      <c r="AG45" s="1778"/>
      <c r="AH45" s="1779"/>
      <c r="AI45" s="1777"/>
    </row>
    <row r="46" spans="3:152" s="1767" customFormat="1" ht="13.5" thickBot="1">
      <c r="C46" s="1796"/>
      <c r="E46" s="1797"/>
      <c r="F46" s="1798"/>
      <c r="G46" s="1797"/>
      <c r="H46" s="1798"/>
      <c r="I46" s="1797"/>
      <c r="J46" s="1798"/>
      <c r="K46" s="1797"/>
      <c r="L46" s="1798"/>
      <c r="M46" s="1797"/>
      <c r="N46" s="1798"/>
      <c r="O46" s="1797"/>
      <c r="P46" s="1798"/>
      <c r="Q46" s="1797"/>
      <c r="R46" s="1798"/>
      <c r="S46" s="1797"/>
      <c r="T46" s="1798"/>
      <c r="W46" s="1797"/>
      <c r="X46" s="1798"/>
      <c r="Y46" s="1797"/>
      <c r="Z46" s="1798"/>
      <c r="AB46" s="1797"/>
      <c r="AC46" s="1798"/>
      <c r="AD46" s="1769"/>
      <c r="AE46" s="1770"/>
      <c r="AF46" s="1770"/>
      <c r="AG46" s="1799"/>
      <c r="AH46" s="1800"/>
      <c r="AI46" s="1770"/>
      <c r="AJ46" s="1770"/>
      <c r="AK46" s="1770"/>
      <c r="AL46" s="1770"/>
      <c r="AM46" s="1770"/>
      <c r="AN46" s="1770"/>
      <c r="AO46" s="1770"/>
      <c r="AP46" s="1770"/>
      <c r="AQ46" s="1770"/>
      <c r="AR46" s="1770"/>
      <c r="AS46" s="1770"/>
      <c r="AT46" s="1770"/>
      <c r="AU46" s="1770"/>
      <c r="AV46" s="1770"/>
      <c r="AW46" s="1770"/>
      <c r="AX46" s="1770"/>
      <c r="AY46" s="1770"/>
      <c r="AZ46" s="1770"/>
      <c r="BA46" s="1770"/>
      <c r="BB46" s="1770"/>
      <c r="BC46" s="1770"/>
      <c r="BD46" s="1770"/>
      <c r="BE46" s="1770"/>
      <c r="BF46" s="1770"/>
      <c r="BG46" s="1770"/>
      <c r="BH46" s="1770"/>
      <c r="BI46" s="1770"/>
      <c r="BJ46" s="1770"/>
      <c r="BK46" s="1770"/>
      <c r="BL46" s="1770"/>
      <c r="BM46" s="1770"/>
      <c r="BN46" s="1770"/>
      <c r="BO46" s="1770"/>
      <c r="BP46" s="1770"/>
      <c r="BQ46" s="1770"/>
      <c r="BR46" s="1770"/>
      <c r="BS46" s="1770"/>
      <c r="BT46" s="1770"/>
      <c r="BU46" s="1770"/>
      <c r="BV46" s="1770"/>
      <c r="BW46" s="1770"/>
      <c r="BX46" s="1770"/>
      <c r="BY46" s="1770"/>
      <c r="BZ46" s="1770"/>
      <c r="CA46" s="1770"/>
      <c r="CB46" s="1770"/>
      <c r="CC46" s="1770"/>
      <c r="CD46" s="1770"/>
      <c r="CE46" s="1770"/>
      <c r="CF46" s="1770"/>
      <c r="CG46" s="1770"/>
      <c r="CH46" s="1770"/>
      <c r="CI46" s="1770"/>
      <c r="CJ46" s="1770"/>
      <c r="CK46" s="1770"/>
      <c r="CL46" s="1770"/>
      <c r="CM46" s="1770"/>
      <c r="CN46" s="1770"/>
      <c r="CO46" s="1770"/>
      <c r="CP46" s="1770"/>
      <c r="CQ46" s="1770"/>
      <c r="CR46" s="1770"/>
      <c r="CS46" s="1770"/>
      <c r="CT46" s="1770"/>
      <c r="CU46" s="1770"/>
      <c r="CV46" s="1770"/>
      <c r="CW46" s="1770"/>
      <c r="CX46" s="1770"/>
      <c r="CY46" s="1770"/>
      <c r="CZ46" s="1770"/>
      <c r="DA46" s="1770"/>
      <c r="DB46" s="1770"/>
      <c r="DC46" s="1770"/>
      <c r="DD46" s="1770"/>
      <c r="DE46" s="1770"/>
      <c r="DF46" s="1770"/>
      <c r="DG46" s="1770"/>
      <c r="DH46" s="1770"/>
      <c r="DI46" s="1770"/>
      <c r="DJ46" s="1770"/>
      <c r="DK46" s="1770"/>
      <c r="DL46" s="1770"/>
      <c r="DM46" s="1770"/>
      <c r="DN46" s="1770"/>
      <c r="DO46" s="1770"/>
      <c r="DP46" s="1770"/>
      <c r="DQ46" s="1770"/>
      <c r="DR46" s="1770"/>
      <c r="DS46" s="1770"/>
      <c r="DT46" s="1770"/>
      <c r="DU46" s="1770"/>
      <c r="DV46" s="1770"/>
      <c r="DW46" s="1770"/>
      <c r="DX46" s="1770"/>
      <c r="DY46" s="1770"/>
      <c r="DZ46" s="1770"/>
      <c r="EA46" s="1770"/>
      <c r="EB46" s="1770"/>
      <c r="EC46" s="1770"/>
      <c r="ED46" s="1770"/>
      <c r="EE46" s="1770"/>
      <c r="EF46" s="1770"/>
      <c r="EG46" s="1770"/>
      <c r="EH46" s="1770"/>
      <c r="EI46" s="1770"/>
      <c r="EJ46" s="1770"/>
      <c r="EK46" s="1770"/>
      <c r="EL46" s="1770"/>
      <c r="EM46" s="1770"/>
      <c r="EN46" s="1770"/>
      <c r="EO46" s="1770"/>
      <c r="EP46" s="1770"/>
      <c r="EQ46" s="1770"/>
      <c r="ER46" s="1770"/>
      <c r="ES46" s="1770"/>
      <c r="ET46" s="1770"/>
      <c r="EU46" s="1770"/>
      <c r="EV46" s="1770"/>
    </row>
    <row r="47" spans="3:152" s="1745" customFormat="1">
      <c r="E47" s="1777"/>
      <c r="F47" s="1777"/>
      <c r="G47" s="1777"/>
      <c r="H47" s="1777"/>
      <c r="I47" s="1777"/>
      <c r="J47" s="1777"/>
      <c r="K47" s="1777"/>
      <c r="L47" s="1777"/>
      <c r="M47" s="1777"/>
      <c r="N47" s="1777"/>
      <c r="O47" s="1777"/>
      <c r="P47" s="1777"/>
      <c r="Q47" s="1777"/>
      <c r="R47" s="1777"/>
      <c r="S47" s="1777"/>
      <c r="T47" s="1777"/>
      <c r="U47" s="1777"/>
      <c r="V47" s="1777"/>
      <c r="W47" s="1777"/>
      <c r="X47" s="1777"/>
      <c r="Y47" s="1777"/>
      <c r="Z47" s="1777"/>
      <c r="AA47" s="1777"/>
      <c r="AB47" s="1777"/>
      <c r="AC47" s="1777"/>
      <c r="AD47" s="1777"/>
      <c r="AE47" s="1777"/>
      <c r="AG47" s="1777"/>
      <c r="AH47" s="1777"/>
      <c r="AI47" s="1777"/>
    </row>
    <row r="48" spans="3:152" s="1745" customFormat="1">
      <c r="E48" s="1777"/>
      <c r="F48" s="1777"/>
      <c r="G48" s="1777"/>
      <c r="H48" s="1777"/>
      <c r="I48" s="1777"/>
      <c r="J48" s="1777"/>
      <c r="K48" s="1777"/>
      <c r="L48" s="1777"/>
      <c r="M48" s="1777"/>
      <c r="N48" s="1777"/>
      <c r="O48" s="1777"/>
      <c r="P48" s="1777"/>
      <c r="Q48" s="1777"/>
      <c r="R48" s="1777"/>
      <c r="S48" s="1777"/>
      <c r="T48" s="1777"/>
      <c r="U48" s="1777"/>
      <c r="V48" s="1777"/>
      <c r="W48" s="1777"/>
      <c r="X48" s="1777"/>
      <c r="Y48" s="1777"/>
      <c r="Z48" s="1777"/>
      <c r="AA48" s="1777"/>
      <c r="AB48" s="1777"/>
      <c r="AC48" s="1777"/>
      <c r="AD48" s="1777"/>
      <c r="AE48" s="1777"/>
      <c r="AG48" s="1777"/>
      <c r="AH48" s="1777"/>
      <c r="AI48" s="1777"/>
    </row>
    <row r="49" spans="5:35" s="1745" customFormat="1">
      <c r="E49" s="1777"/>
      <c r="F49" s="1777"/>
      <c r="G49" s="1777"/>
      <c r="H49" s="1777"/>
      <c r="I49" s="1777"/>
      <c r="J49" s="1777"/>
      <c r="K49" s="1777"/>
      <c r="L49" s="1777"/>
      <c r="M49" s="1777"/>
      <c r="N49" s="1777"/>
      <c r="O49" s="1777"/>
      <c r="P49" s="1777"/>
      <c r="Q49" s="1777"/>
      <c r="R49" s="1777"/>
      <c r="S49" s="1777"/>
      <c r="T49" s="1777"/>
      <c r="U49" s="1777"/>
      <c r="V49" s="1777"/>
      <c r="W49" s="1777"/>
      <c r="X49" s="1777"/>
      <c r="Y49" s="1777"/>
      <c r="Z49" s="1777"/>
      <c r="AA49" s="1777"/>
      <c r="AB49" s="1777"/>
      <c r="AC49" s="1777"/>
      <c r="AD49" s="1777"/>
      <c r="AE49" s="1777"/>
      <c r="AG49" s="1777"/>
      <c r="AH49" s="1777"/>
      <c r="AI49" s="1777"/>
    </row>
    <row r="50" spans="5:35" s="1745" customFormat="1">
      <c r="E50" s="1777"/>
      <c r="F50" s="1777"/>
      <c r="G50" s="1777"/>
      <c r="H50" s="1777"/>
      <c r="I50" s="1777"/>
      <c r="J50" s="1777"/>
      <c r="K50" s="1777"/>
      <c r="L50" s="1777"/>
      <c r="M50" s="1777"/>
      <c r="N50" s="1777"/>
      <c r="O50" s="1777"/>
      <c r="P50" s="1777"/>
      <c r="Q50" s="1777"/>
      <c r="R50" s="1777"/>
      <c r="S50" s="1777"/>
      <c r="T50" s="1777"/>
      <c r="U50" s="1777"/>
      <c r="V50" s="1777"/>
      <c r="W50" s="1777"/>
      <c r="X50" s="1777"/>
      <c r="Y50" s="1777"/>
      <c r="Z50" s="1777"/>
      <c r="AA50" s="1777"/>
      <c r="AB50" s="1777"/>
      <c r="AC50" s="1777"/>
      <c r="AD50" s="1777"/>
      <c r="AE50" s="1777"/>
      <c r="AG50" s="1777"/>
      <c r="AH50" s="1777"/>
      <c r="AI50" s="1777"/>
    </row>
    <row r="51" spans="5:35" s="1745" customFormat="1">
      <c r="E51" s="1777"/>
      <c r="F51" s="1777"/>
      <c r="G51" s="1777"/>
      <c r="H51" s="1777"/>
      <c r="I51" s="1777"/>
      <c r="J51" s="1777"/>
      <c r="K51" s="1777"/>
      <c r="L51" s="1777"/>
      <c r="M51" s="1777"/>
      <c r="N51" s="1777"/>
      <c r="O51" s="1777"/>
      <c r="P51" s="1777"/>
      <c r="Q51" s="1777"/>
      <c r="R51" s="1777"/>
      <c r="S51" s="1777"/>
      <c r="T51" s="1777"/>
      <c r="U51" s="1777"/>
      <c r="V51" s="1777"/>
      <c r="W51" s="1777"/>
      <c r="X51" s="1777"/>
      <c r="Y51" s="1777"/>
      <c r="Z51" s="1777"/>
      <c r="AA51" s="1777"/>
      <c r="AB51" s="1777"/>
      <c r="AC51" s="1777"/>
      <c r="AD51" s="1777"/>
      <c r="AE51" s="1777"/>
      <c r="AG51" s="1777"/>
      <c r="AH51" s="1777"/>
      <c r="AI51" s="1777"/>
    </row>
    <row r="52" spans="5:35" s="1745" customFormat="1"/>
    <row r="53" spans="5:35" s="1745" customFormat="1"/>
    <row r="54" spans="5:35" s="1745" customFormat="1"/>
    <row r="55" spans="5:35" s="1745" customFormat="1"/>
    <row r="56" spans="5:35" s="1745" customFormat="1"/>
    <row r="57" spans="5:35" s="1745" customFormat="1"/>
    <row r="58" spans="5:35" s="1745" customFormat="1"/>
    <row r="59" spans="5:35" s="1745" customFormat="1"/>
    <row r="60" spans="5:35" s="1745" customFormat="1"/>
    <row r="61" spans="5:35" s="1745" customFormat="1"/>
    <row r="62" spans="5:35" s="1745" customFormat="1"/>
    <row r="63" spans="5:35" s="1745" customFormat="1"/>
    <row r="64" spans="5:35" s="1745" customFormat="1"/>
    <row r="65" s="1745" customFormat="1"/>
    <row r="66" s="1745" customFormat="1"/>
    <row r="67" s="1745" customFormat="1"/>
    <row r="68" s="1745" customFormat="1"/>
    <row r="69" s="1745" customFormat="1"/>
    <row r="70" s="1745" customFormat="1"/>
    <row r="71" s="1745" customFormat="1"/>
    <row r="72" s="1745" customFormat="1"/>
    <row r="73" s="1745" customFormat="1"/>
    <row r="74" s="1745" customFormat="1"/>
    <row r="75" s="1745" customFormat="1"/>
    <row r="76" s="1745" customFormat="1"/>
    <row r="77" s="1745" customFormat="1"/>
    <row r="78" s="1745" customFormat="1"/>
    <row r="79" s="1745" customFormat="1"/>
    <row r="80" s="1745" customFormat="1"/>
    <row r="81" s="1745" customFormat="1"/>
    <row r="82" s="1745" customFormat="1"/>
    <row r="83" s="1745" customFormat="1"/>
    <row r="84" s="1745" customFormat="1"/>
    <row r="85" s="1745" customFormat="1"/>
    <row r="86" s="1745" customFormat="1"/>
    <row r="87" s="1745" customFormat="1"/>
    <row r="88" s="1745" customFormat="1"/>
    <row r="89" s="1745" customFormat="1"/>
    <row r="90" s="1745" customFormat="1"/>
    <row r="91" s="1745" customFormat="1"/>
    <row r="92" s="1745" customFormat="1"/>
    <row r="93" s="1745" customFormat="1"/>
    <row r="94" s="1745" customFormat="1"/>
    <row r="95" s="1745" customFormat="1"/>
    <row r="96" s="1745" customFormat="1"/>
    <row r="97" s="1745" customFormat="1"/>
    <row r="98" s="1745" customFormat="1"/>
    <row r="99" s="1745" customFormat="1"/>
    <row r="100" s="1745" customFormat="1"/>
    <row r="101" s="1745" customFormat="1"/>
    <row r="102" s="1745" customFormat="1"/>
    <row r="103" s="1745" customFormat="1"/>
    <row r="104" s="1745" customFormat="1"/>
    <row r="105" s="1745" customFormat="1"/>
    <row r="106" s="1745" customFormat="1"/>
    <row r="107" s="1745" customFormat="1"/>
    <row r="108" s="1745" customFormat="1"/>
    <row r="109" s="1745" customFormat="1"/>
    <row r="110" s="1745" customFormat="1"/>
    <row r="111" s="1745" customFormat="1"/>
    <row r="112" s="1745" customFormat="1"/>
    <row r="113" s="1745" customFormat="1"/>
    <row r="114" s="1745" customFormat="1"/>
    <row r="115" s="1745" customFormat="1"/>
    <row r="116" s="1745" customFormat="1"/>
    <row r="117" s="1745" customFormat="1"/>
    <row r="118" s="1745" customFormat="1"/>
    <row r="119" s="1745" customFormat="1"/>
    <row r="120" s="1745" customFormat="1"/>
    <row r="121" s="1745" customFormat="1"/>
    <row r="122" s="1745" customFormat="1"/>
    <row r="123" s="1745" customFormat="1"/>
    <row r="124" s="1745" customFormat="1"/>
    <row r="125" s="1745" customFormat="1"/>
    <row r="126" s="1745" customFormat="1"/>
    <row r="127" s="1745" customFormat="1"/>
    <row r="128" s="1745" customFormat="1"/>
    <row r="129" s="1745" customFormat="1"/>
    <row r="130" s="1745" customFormat="1"/>
    <row r="131" s="1745" customFormat="1"/>
    <row r="132" s="1745" customFormat="1"/>
    <row r="133" s="1745" customFormat="1"/>
    <row r="134" s="1745" customFormat="1"/>
    <row r="135" s="1745" customFormat="1"/>
    <row r="136" s="1745" customFormat="1"/>
    <row r="137" s="1745" customFormat="1"/>
    <row r="138" s="1745" customFormat="1"/>
    <row r="139" s="1745" customFormat="1"/>
    <row r="140" s="1745" customFormat="1"/>
    <row r="141" s="1745" customFormat="1"/>
    <row r="142" s="1745" customFormat="1"/>
    <row r="143" s="1745" customFormat="1"/>
    <row r="144" s="1745" customFormat="1"/>
    <row r="145" s="1745" customFormat="1"/>
    <row r="146" s="1745" customFormat="1"/>
    <row r="147" s="1745" customFormat="1"/>
    <row r="148" s="1745" customFormat="1"/>
    <row r="149" s="1745" customFormat="1"/>
    <row r="150" s="1745" customFormat="1"/>
    <row r="151" s="1745" customFormat="1"/>
    <row r="152" s="1745" customFormat="1"/>
    <row r="153" s="1745" customFormat="1"/>
    <row r="154" s="1745" customFormat="1"/>
    <row r="155" s="1745" customFormat="1"/>
    <row r="156" s="1745" customFormat="1"/>
    <row r="157" s="1745" customFormat="1"/>
    <row r="158" s="1745" customFormat="1"/>
    <row r="159" s="1745" customFormat="1"/>
    <row r="160" s="1745" customFormat="1"/>
    <row r="161" s="1745" customFormat="1"/>
    <row r="162" s="1745" customFormat="1"/>
    <row r="163" s="1745" customFormat="1"/>
    <row r="164" s="1745" customFormat="1"/>
    <row r="165" s="1745" customFormat="1"/>
    <row r="166" s="1745" customFormat="1"/>
    <row r="167" s="1745" customFormat="1"/>
    <row r="168" s="1745" customFormat="1"/>
    <row r="169" s="1745" customFormat="1"/>
    <row r="170" s="1745" customFormat="1"/>
    <row r="171" s="1745" customFormat="1"/>
    <row r="172" s="1745" customFormat="1"/>
    <row r="173" s="1745" customFormat="1"/>
    <row r="174" s="1745" customFormat="1"/>
    <row r="175" s="1745" customFormat="1"/>
    <row r="176" s="1745" customFormat="1"/>
    <row r="177" s="1745" customFormat="1"/>
    <row r="178" s="1745" customFormat="1"/>
    <row r="179" s="1745" customFormat="1"/>
    <row r="180" s="1745" customFormat="1"/>
    <row r="181" s="1745" customFormat="1"/>
    <row r="182" s="1745" customFormat="1"/>
    <row r="183" s="1745" customFormat="1"/>
    <row r="184" s="1745" customFormat="1"/>
    <row r="185" s="1745" customFormat="1"/>
    <row r="186" s="1745" customFormat="1"/>
    <row r="187" s="1745" customFormat="1"/>
  </sheetData>
  <mergeCells count="1">
    <mergeCell ref="W7:X7"/>
  </mergeCells>
  <conditionalFormatting sqref="AB46">
    <cfRule type="cellIs" dxfId="8" priority="1" operator="greaterThan">
      <formula>$M$46</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4" tint="9.9978637043366805E-2"/>
    <pageSetUpPr fitToPage="1"/>
  </sheetPr>
  <dimension ref="A1:BA110"/>
  <sheetViews>
    <sheetView showGridLines="0" topLeftCell="A10" zoomScale="60" zoomScaleNormal="60" workbookViewId="0">
      <selection activeCell="H45" sqref="H45"/>
    </sheetView>
  </sheetViews>
  <sheetFormatPr defaultColWidth="9.1796875" defaultRowHeight="12.5" outlineLevelRow="1" outlineLevelCol="2"/>
  <cols>
    <col min="1" max="1" width="38.1796875" style="7" bestFit="1" customWidth="1"/>
    <col min="2" max="3" width="22.7265625" style="7" customWidth="1"/>
    <col min="4" max="5" width="22.7265625" style="7" hidden="1" customWidth="1" outlineLevel="1"/>
    <col min="6" max="6" width="22.7265625" style="7" customWidth="1" collapsed="1"/>
    <col min="7" max="9" width="22.7265625" style="7" customWidth="1"/>
    <col min="10" max="15" width="22.7265625" style="7" customWidth="1" outlineLevel="2"/>
    <col min="16" max="17" width="22.7265625" style="7" customWidth="1"/>
    <col min="18" max="23" width="22.7265625" style="7" customWidth="1" outlineLevel="1"/>
    <col min="24" max="24" width="28.81640625" style="7" customWidth="1"/>
    <col min="25" max="25" width="45.7265625" style="7" customWidth="1"/>
    <col min="26" max="27" width="22.7265625" style="7" hidden="1" customWidth="1" outlineLevel="1"/>
    <col min="28" max="28" width="45.7265625" style="7" hidden="1" customWidth="1" outlineLevel="1"/>
    <col min="29" max="29" width="14.26953125" style="7" customWidth="1" collapsed="1"/>
    <col min="30" max="30" width="13.7265625" style="7" hidden="1" customWidth="1" outlineLevel="1"/>
    <col min="31" max="37" width="20.7265625" style="7" hidden="1" customWidth="1" outlineLevel="1"/>
    <col min="38" max="38" width="5.453125" style="7" hidden="1" customWidth="1" outlineLevel="1"/>
    <col min="39" max="39" width="28.26953125" style="7" hidden="1" customWidth="1" outlineLevel="1"/>
    <col min="40" max="40" width="16.453125" style="7" hidden="1" customWidth="1" outlineLevel="1"/>
    <col min="41" max="41" width="9.1796875" style="7" collapsed="1"/>
    <col min="42" max="42" width="9.1796875" style="7"/>
    <col min="43" max="44" width="22.7265625" style="7" hidden="1" customWidth="1" outlineLevel="1"/>
    <col min="45" max="45" width="9.1796875" style="7" collapsed="1"/>
    <col min="46" max="49" width="9.1796875" style="7"/>
    <col min="50" max="53" width="0" style="7" hidden="1" customWidth="1"/>
    <col min="54" max="16384" width="9.1796875" style="7"/>
  </cols>
  <sheetData>
    <row r="1" spans="1:53" s="1" customFormat="1" ht="28">
      <c r="A1" s="176" t="str">
        <f>'Inputs and Assumptions'!property_name</f>
        <v>The Winchester</v>
      </c>
      <c r="B1" s="177"/>
      <c r="C1" s="178"/>
      <c r="D1" s="177"/>
      <c r="E1" s="178"/>
      <c r="F1" s="178"/>
      <c r="G1" s="178"/>
      <c r="H1" s="178"/>
      <c r="I1" s="178"/>
      <c r="J1" s="177"/>
      <c r="K1" s="178"/>
      <c r="L1" s="178"/>
      <c r="M1" s="178"/>
      <c r="N1" s="178"/>
      <c r="O1" s="178"/>
      <c r="P1" s="178"/>
      <c r="Q1" s="178"/>
      <c r="R1" s="178"/>
      <c r="S1" s="178"/>
      <c r="T1" s="178"/>
      <c r="U1" s="178"/>
      <c r="V1" s="178"/>
      <c r="W1" s="178"/>
      <c r="X1" s="178"/>
      <c r="Y1" s="178"/>
      <c r="Z1" s="178"/>
      <c r="AA1" s="178"/>
      <c r="AB1" s="179"/>
      <c r="AC1" s="179"/>
      <c r="AD1" s="179"/>
      <c r="AE1" s="179"/>
      <c r="AF1" s="179"/>
      <c r="AG1" s="179"/>
      <c r="AH1" s="179"/>
      <c r="AI1" s="179"/>
      <c r="AJ1" s="179"/>
      <c r="AK1" s="179"/>
      <c r="AL1" s="179"/>
      <c r="AM1" s="179"/>
      <c r="AN1" s="179"/>
      <c r="AO1" s="180"/>
      <c r="AP1" s="180"/>
      <c r="AQ1" s="178"/>
      <c r="AR1" s="178"/>
      <c r="AS1" s="180"/>
      <c r="AT1" s="180"/>
      <c r="AU1" s="180"/>
    </row>
    <row r="2" spans="1:53" s="1" customFormat="1" ht="17.25" customHeight="1">
      <c r="A2" s="1019" t="s">
        <v>616</v>
      </c>
      <c r="B2" s="181"/>
      <c r="C2" s="182"/>
      <c r="D2" s="181"/>
      <c r="E2" s="182"/>
      <c r="F2" s="182"/>
      <c r="G2" s="182"/>
      <c r="H2" s="182"/>
      <c r="I2" s="182"/>
      <c r="J2" s="181"/>
      <c r="K2" s="182"/>
      <c r="L2" s="182"/>
      <c r="M2" s="182"/>
      <c r="N2" s="182"/>
      <c r="O2" s="182"/>
      <c r="P2" s="182"/>
      <c r="Q2" s="182"/>
      <c r="R2" s="182"/>
      <c r="S2" s="182"/>
      <c r="T2" s="182"/>
      <c r="U2" s="182"/>
      <c r="V2"/>
      <c r="W2"/>
      <c r="X2"/>
      <c r="Y2"/>
      <c r="Z2"/>
      <c r="AA2"/>
      <c r="AB2" s="179"/>
      <c r="AC2" s="179"/>
      <c r="AD2" s="179"/>
      <c r="AE2" s="179"/>
      <c r="AF2" s="179"/>
      <c r="AG2" s="179"/>
      <c r="AH2" s="179"/>
      <c r="AI2" s="179"/>
      <c r="AJ2" s="179"/>
      <c r="AK2" s="179"/>
      <c r="AL2" s="179"/>
      <c r="AM2" s="179"/>
      <c r="AN2" s="179"/>
      <c r="AO2" s="180"/>
      <c r="AP2" s="180"/>
      <c r="AQ2" s="182"/>
      <c r="AR2" s="182"/>
      <c r="AS2" s="180"/>
      <c r="AT2" s="180"/>
      <c r="AU2" s="180"/>
    </row>
    <row r="3" spans="1:53" s="2" customFormat="1" ht="9" customHeight="1" thickBot="1">
      <c r="A3" s="183"/>
      <c r="B3" s="184"/>
      <c r="C3" s="184"/>
      <c r="D3" s="184"/>
      <c r="E3" s="184"/>
      <c r="F3" s="184"/>
      <c r="G3" s="184"/>
      <c r="H3" s="184"/>
      <c r="I3" s="184"/>
      <c r="J3" s="184"/>
      <c r="K3" s="184"/>
      <c r="L3" s="184"/>
      <c r="M3" s="184"/>
      <c r="N3" s="184"/>
      <c r="O3" s="184"/>
      <c r="P3" s="184"/>
      <c r="Q3" s="184"/>
      <c r="R3" s="184"/>
      <c r="S3" s="184"/>
      <c r="T3" s="184"/>
      <c r="U3" s="184"/>
      <c r="V3" s="184"/>
      <c r="W3" s="184"/>
      <c r="X3" s="185"/>
      <c r="Y3" s="185"/>
      <c r="Z3" s="185"/>
      <c r="AA3" s="185"/>
      <c r="AB3" s="186"/>
      <c r="AC3" s="186"/>
      <c r="AD3" s="186"/>
      <c r="AE3" s="186"/>
      <c r="AF3" s="186"/>
      <c r="AG3" s="186"/>
      <c r="AH3" s="186"/>
      <c r="AI3" s="186"/>
      <c r="AJ3" s="186"/>
      <c r="AK3" s="186"/>
      <c r="AL3" s="186"/>
      <c r="AM3" s="186"/>
      <c r="AN3" s="186"/>
      <c r="AO3" s="185"/>
      <c r="AP3" s="185"/>
      <c r="AQ3" s="184"/>
      <c r="AR3" s="184"/>
      <c r="AS3" s="185"/>
      <c r="AT3" s="185"/>
      <c r="AU3" s="185"/>
    </row>
    <row r="4" spans="1:53" s="3" customFormat="1" ht="24.5">
      <c r="A4" s="187"/>
      <c r="B4" s="184"/>
      <c r="C4" s="184"/>
      <c r="D4" s="184"/>
      <c r="E4" s="184"/>
      <c r="F4" s="188"/>
      <c r="G4" s="184"/>
      <c r="H4" s="184"/>
      <c r="I4" s="184"/>
      <c r="J4" s="184"/>
      <c r="K4" s="184"/>
      <c r="L4" s="1903" t="s">
        <v>88</v>
      </c>
      <c r="M4" s="1904"/>
      <c r="N4" s="1903" t="s">
        <v>88</v>
      </c>
      <c r="O4" s="1904"/>
      <c r="P4" s="1903" t="s">
        <v>88</v>
      </c>
      <c r="Q4" s="1904"/>
      <c r="R4" s="1903" t="s">
        <v>617</v>
      </c>
      <c r="S4" s="1904"/>
      <c r="T4" s="1903" t="s">
        <v>618</v>
      </c>
      <c r="U4" s="1904"/>
      <c r="V4" s="1903" t="s">
        <v>619</v>
      </c>
      <c r="W4" s="1904"/>
      <c r="X4" s="189"/>
      <c r="Y4" s="189"/>
      <c r="Z4" s="189"/>
      <c r="AA4" s="189"/>
      <c r="AB4" s="190"/>
      <c r="AC4" s="190"/>
      <c r="AD4" s="191"/>
      <c r="AE4" s="190"/>
      <c r="AF4" s="190"/>
      <c r="AG4" s="190"/>
      <c r="AH4" s="190"/>
      <c r="AI4" s="190"/>
      <c r="AJ4" s="190"/>
      <c r="AK4" s="190"/>
      <c r="AL4" s="190"/>
      <c r="AM4" s="190"/>
      <c r="AN4" s="190"/>
      <c r="AO4" s="190"/>
      <c r="AP4" s="187"/>
      <c r="AQ4" s="1903" t="s">
        <v>620</v>
      </c>
      <c r="AR4" s="1904"/>
      <c r="AS4" s="187"/>
      <c r="AT4" s="187"/>
      <c r="AU4" s="187"/>
      <c r="AV4" s="187"/>
    </row>
    <row r="5" spans="1:53" s="3" customFormat="1" ht="38.25" customHeight="1">
      <c r="A5" s="308" t="s">
        <v>598</v>
      </c>
      <c r="B5" s="1907">
        <f>'T12'!M6</f>
        <v>45992</v>
      </c>
      <c r="C5" s="1907"/>
      <c r="D5" s="1905" t="s">
        <v>621</v>
      </c>
      <c r="E5" s="1905"/>
      <c r="F5" s="1905" t="s">
        <v>622</v>
      </c>
      <c r="G5" s="1905"/>
      <c r="H5" s="1905" t="s">
        <v>623</v>
      </c>
      <c r="I5" s="1905"/>
      <c r="J5" s="1905" t="s">
        <v>599</v>
      </c>
      <c r="K5" s="1905"/>
      <c r="L5" s="1906" t="s">
        <v>624</v>
      </c>
      <c r="M5" s="1906"/>
      <c r="N5" s="1906" t="s">
        <v>625</v>
      </c>
      <c r="O5" s="1906"/>
      <c r="P5" s="1905" t="s">
        <v>626</v>
      </c>
      <c r="Q5" s="1905"/>
      <c r="R5" s="1906" t="s">
        <v>627</v>
      </c>
      <c r="S5" s="1906"/>
      <c r="T5" s="1906" t="s">
        <v>627</v>
      </c>
      <c r="U5" s="1906"/>
      <c r="V5" s="1906" t="s">
        <v>628</v>
      </c>
      <c r="W5" s="1906"/>
      <c r="X5" s="308" t="s">
        <v>629</v>
      </c>
      <c r="Y5" s="308" t="s">
        <v>630</v>
      </c>
      <c r="Z5" s="1905" t="s">
        <v>631</v>
      </c>
      <c r="AA5" s="1895"/>
      <c r="AB5" s="308" t="s">
        <v>630</v>
      </c>
      <c r="AC5" s="190"/>
      <c r="AD5" s="191"/>
      <c r="AE5" s="1905" t="s">
        <v>632</v>
      </c>
      <c r="AF5" s="1905"/>
      <c r="AG5" s="1905" t="s">
        <v>623</v>
      </c>
      <c r="AH5" s="1905"/>
      <c r="AI5" s="190"/>
      <c r="AJ5" s="190"/>
      <c r="AK5" s="190"/>
      <c r="AL5" s="190"/>
      <c r="AM5" s="190"/>
      <c r="AN5" s="190"/>
      <c r="AO5" s="190"/>
      <c r="AP5" s="187"/>
      <c r="AQ5" s="1905" t="s">
        <v>628</v>
      </c>
      <c r="AR5" s="1905"/>
      <c r="AS5" s="187"/>
      <c r="AT5" s="187"/>
      <c r="AU5" s="187"/>
      <c r="AV5" s="187"/>
    </row>
    <row r="6" spans="1:53" s="1213" customFormat="1" ht="19">
      <c r="A6" s="1206"/>
      <c r="B6" s="1207" t="s">
        <v>595</v>
      </c>
      <c r="C6" s="1208" t="s">
        <v>633</v>
      </c>
      <c r="D6" s="1207" t="s">
        <v>595</v>
      </c>
      <c r="E6" s="1208" t="s">
        <v>633</v>
      </c>
      <c r="F6" s="1207" t="s">
        <v>595</v>
      </c>
      <c r="G6" s="1208" t="s">
        <v>633</v>
      </c>
      <c r="H6" s="1207" t="s">
        <v>595</v>
      </c>
      <c r="I6" s="1208" t="s">
        <v>633</v>
      </c>
      <c r="J6" s="1207" t="s">
        <v>595</v>
      </c>
      <c r="K6" s="1208" t="s">
        <v>633</v>
      </c>
      <c r="L6" s="1207" t="s">
        <v>595</v>
      </c>
      <c r="M6" s="1208" t="s">
        <v>633</v>
      </c>
      <c r="N6" s="1207" t="s">
        <v>595</v>
      </c>
      <c r="O6" s="1208" t="s">
        <v>633</v>
      </c>
      <c r="P6" s="1207" t="s">
        <v>595</v>
      </c>
      <c r="Q6" s="1208" t="s">
        <v>633</v>
      </c>
      <c r="R6" s="1207" t="s">
        <v>595</v>
      </c>
      <c r="S6" s="1208" t="s">
        <v>633</v>
      </c>
      <c r="T6" s="1207" t="s">
        <v>595</v>
      </c>
      <c r="U6" s="1208" t="s">
        <v>633</v>
      </c>
      <c r="V6" s="1207" t="s">
        <v>595</v>
      </c>
      <c r="W6" s="1208" t="s">
        <v>633</v>
      </c>
      <c r="X6" s="1209"/>
      <c r="Y6" s="1505"/>
      <c r="Z6" s="1207" t="s">
        <v>595</v>
      </c>
      <c r="AA6" s="1208" t="s">
        <v>633</v>
      </c>
      <c r="AB6" s="1505"/>
      <c r="AC6" s="1210"/>
      <c r="AD6" s="1211"/>
      <c r="AE6" s="1207" t="s">
        <v>595</v>
      </c>
      <c r="AF6" s="1208" t="s">
        <v>633</v>
      </c>
      <c r="AG6" s="1207" t="s">
        <v>595</v>
      </c>
      <c r="AH6" s="1208" t="s">
        <v>633</v>
      </c>
      <c r="AI6" s="1210"/>
      <c r="AJ6" s="1210"/>
      <c r="AK6" s="1210"/>
      <c r="AL6" s="1210"/>
      <c r="AM6" s="1210"/>
      <c r="AN6" s="1210"/>
      <c r="AO6" s="1210"/>
      <c r="AP6" s="1212"/>
      <c r="AQ6" s="1207" t="s">
        <v>595</v>
      </c>
      <c r="AR6" s="1208" t="s">
        <v>633</v>
      </c>
      <c r="AS6" s="1212"/>
      <c r="AT6" s="1212"/>
      <c r="AU6" s="1212"/>
      <c r="AV6" s="1212"/>
    </row>
    <row r="7" spans="1:53" s="6" customFormat="1" ht="19">
      <c r="A7" s="625" t="s">
        <v>601</v>
      </c>
      <c r="B7" s="626"/>
      <c r="C7" s="627"/>
      <c r="D7" s="626"/>
      <c r="E7" s="627"/>
      <c r="F7" s="626"/>
      <c r="G7" s="627"/>
      <c r="H7" s="626"/>
      <c r="I7" s="627"/>
      <c r="J7" s="198"/>
      <c r="K7" s="199"/>
      <c r="L7" s="626"/>
      <c r="M7" s="627"/>
      <c r="N7" s="626"/>
      <c r="O7" s="627"/>
      <c r="P7" s="626"/>
      <c r="Q7" s="627"/>
      <c r="R7" s="626"/>
      <c r="S7" s="627"/>
      <c r="T7" s="626"/>
      <c r="U7" s="627"/>
      <c r="V7" s="626"/>
      <c r="W7" s="627"/>
      <c r="X7" s="200"/>
      <c r="Y7" s="200"/>
      <c r="Z7" s="626"/>
      <c r="AA7" s="627"/>
      <c r="AB7" s="200"/>
      <c r="AC7" s="201"/>
      <c r="AD7" s="195"/>
      <c r="AE7" s="626"/>
      <c r="AF7" s="627"/>
      <c r="AG7" s="626"/>
      <c r="AH7" s="627"/>
      <c r="AI7" s="201"/>
      <c r="AJ7" s="201"/>
      <c r="AK7" s="201"/>
      <c r="AL7" s="201"/>
      <c r="AM7" s="201"/>
      <c r="AN7" s="201"/>
      <c r="AO7" s="201"/>
      <c r="AP7" s="202"/>
      <c r="AQ7" s="626"/>
      <c r="AR7" s="627"/>
      <c r="AS7" s="202"/>
      <c r="AT7" s="202"/>
      <c r="AU7" s="202"/>
      <c r="AV7" s="202"/>
      <c r="AY7" s="6" t="s">
        <v>634</v>
      </c>
    </row>
    <row r="8" spans="1:53" s="5" customFormat="1" ht="19">
      <c r="A8" s="628" t="s">
        <v>635</v>
      </c>
      <c r="B8" s="629">
        <f>'T12'!U9</f>
        <v>4204998</v>
      </c>
      <c r="C8" s="630">
        <f>B8/units/12</f>
        <v>1327.3352272727273</v>
      </c>
      <c r="D8" s="629">
        <f>'T12'!W9</f>
        <v>4280472</v>
      </c>
      <c r="E8" s="630">
        <f>D8/units/12</f>
        <v>1351.1590909090908</v>
      </c>
      <c r="F8" s="629">
        <f>'T12'!Y9</f>
        <v>4372656</v>
      </c>
      <c r="G8" s="630">
        <f>F8/units/12</f>
        <v>1380.2575757575758</v>
      </c>
      <c r="H8" s="629">
        <f>'T12'!AC9</f>
        <v>4481568</v>
      </c>
      <c r="I8" s="630">
        <f>H8/units/12</f>
        <v>1414.6363636363637</v>
      </c>
      <c r="J8" s="206">
        <f>'Sponsor Pro Forma'!K7</f>
        <v>4389327.4071683483</v>
      </c>
      <c r="K8" s="630">
        <f>J8/units/12</f>
        <v>1385.520014888999</v>
      </c>
      <c r="L8" s="629">
        <f>N8</f>
        <v>4150512</v>
      </c>
      <c r="M8" s="630">
        <f>L8/units/12</f>
        <v>1310.1363636363637</v>
      </c>
      <c r="N8" s="629">
        <f>'RRT Summary (Paste)'!D1003</f>
        <v>4150512</v>
      </c>
      <c r="O8" s="630">
        <f>N8/units/12</f>
        <v>1310.1363636363637</v>
      </c>
      <c r="P8" s="629">
        <f>'RRT Summary (Paste)'!$D$1003</f>
        <v>4150512</v>
      </c>
      <c r="Q8" s="630">
        <f>P8/units/12</f>
        <v>1310.1363636363637</v>
      </c>
      <c r="R8" s="629">
        <f>'RRT Summary (Paste)'!$D$1003</f>
        <v>4150512</v>
      </c>
      <c r="S8" s="630">
        <f>R8/units/12</f>
        <v>1310.1363636363637</v>
      </c>
      <c r="T8" s="629">
        <f>'RRT Summary (Paste)'!$D$1003</f>
        <v>4150512</v>
      </c>
      <c r="U8" s="630">
        <f>T8/units/12</f>
        <v>1310.1363636363637</v>
      </c>
      <c r="V8" s="629">
        <f>'RRT Summary (Paste)'!$D$1003</f>
        <v>4150512</v>
      </c>
      <c r="W8" s="630">
        <f>V8/units/12</f>
        <v>1310.1363636363637</v>
      </c>
      <c r="X8" s="667" t="s">
        <v>636</v>
      </c>
      <c r="Y8" s="667" t="s">
        <v>637</v>
      </c>
      <c r="Z8" s="629">
        <f>'RRT Summary (Paste)'!$D$1003</f>
        <v>4150512</v>
      </c>
      <c r="AA8" s="630">
        <f>Z8/units/12</f>
        <v>1310.1363636363637</v>
      </c>
      <c r="AB8" s="667"/>
      <c r="AC8" s="194"/>
      <c r="AD8" s="195"/>
      <c r="AE8" s="629">
        <f>'T12'!AA9</f>
        <v>4475232</v>
      </c>
      <c r="AF8" s="630">
        <f>AE8/units/12</f>
        <v>1412.6363636363637</v>
      </c>
      <c r="AG8" s="629">
        <f>'T12'!AC9</f>
        <v>4481568</v>
      </c>
      <c r="AH8" s="630">
        <f>AG8/units/12</f>
        <v>1414.6363636363637</v>
      </c>
      <c r="AI8" s="194"/>
      <c r="AJ8" s="194"/>
      <c r="AK8" s="194"/>
      <c r="AL8" s="194"/>
      <c r="AM8" s="194"/>
      <c r="AN8" s="194"/>
      <c r="AO8" s="194"/>
      <c r="AP8" s="196"/>
      <c r="AQ8" s="629">
        <f t="shared" ref="AQ8:AQ13" si="0">P8</f>
        <v>4150512</v>
      </c>
      <c r="AR8" s="630">
        <f>AQ8/units/12</f>
        <v>1310.1363636363637</v>
      </c>
      <c r="AS8" s="196"/>
      <c r="AT8" s="196"/>
      <c r="AU8" s="196"/>
      <c r="AV8" s="196"/>
      <c r="AY8" s="5" t="s">
        <v>638</v>
      </c>
      <c r="BA8" s="4" t="s">
        <v>636</v>
      </c>
    </row>
    <row r="9" spans="1:53" s="5" customFormat="1" ht="19" hidden="1" outlineLevel="1">
      <c r="A9" s="628" t="s">
        <v>639</v>
      </c>
      <c r="B9" s="629">
        <f>'T12'!U10</f>
        <v>82987.729999999981</v>
      </c>
      <c r="C9" s="631">
        <f>-B9/B8</f>
        <v>-1.973549809060551E-2</v>
      </c>
      <c r="D9" s="629">
        <f>'T12'!W10</f>
        <v>-35628.639999999999</v>
      </c>
      <c r="E9" s="631">
        <f>-D9/D8</f>
        <v>8.3235306760562847E-3</v>
      </c>
      <c r="F9" s="629">
        <f>'T12'!Y10</f>
        <v>-136518.24</v>
      </c>
      <c r="G9" s="631">
        <f>-F9/F8</f>
        <v>3.1220896407126466E-2</v>
      </c>
      <c r="H9" s="629">
        <f>'T12'!AA10</f>
        <v>-237601.80000000002</v>
      </c>
      <c r="I9" s="631">
        <f>-H9/H8</f>
        <v>5.3017559925454663E-2</v>
      </c>
      <c r="J9" s="206">
        <f>'Sponsor Pro Forma'!K8</f>
        <v>0</v>
      </c>
      <c r="K9" s="631">
        <f>-J9/J8</f>
        <v>0</v>
      </c>
      <c r="L9" s="629">
        <f t="array" ref="L9">INDEX('T12'!$U$9:$AE$38,MATCH('Debt Sizing'!$A9,'T12'!$T$9:$T$38,0),MATCH('Debt Sizing'!$X9,'T12'!$U$7:$AE$7,0))</f>
        <v>82987.729999999981</v>
      </c>
      <c r="M9" s="632">
        <f>L9/$N$8*-1</f>
        <v>-1.9994576572721627E-2</v>
      </c>
      <c r="N9" s="629">
        <f t="array" ref="N9">INDEX('T12'!$U$9:$AE$38,MATCH('Debt Sizing'!$A9,'T12'!$T$9:$T$38,0),MATCH('Debt Sizing'!$X9,'T12'!$U$7:$AE$7,0))</f>
        <v>82987.729999999981</v>
      </c>
      <c r="O9" s="632">
        <f>N9/$N$8*-1</f>
        <v>-1.9994576572721627E-2</v>
      </c>
      <c r="P9" s="629">
        <f t="array" ref="P9">INDEX('T12'!$U$9:$AE$38,MATCH('Debt Sizing'!$A9,'T12'!$T$9:$T$38,0),MATCH('Debt Sizing'!$X9,'T12'!$U$7:$AE$7,0))</f>
        <v>82987.729999999981</v>
      </c>
      <c r="Q9" s="632">
        <f t="shared" ref="Q9" si="1">P9/-$P$8</f>
        <v>-1.9994576572721627E-2</v>
      </c>
      <c r="R9" s="629">
        <f>P9</f>
        <v>82987.729999999981</v>
      </c>
      <c r="S9" s="631">
        <f>-R9/R8</f>
        <v>-1.9994576572721627E-2</v>
      </c>
      <c r="T9" s="629">
        <f>R9</f>
        <v>82987.729999999981</v>
      </c>
      <c r="U9" s="631">
        <f>-T9/T8</f>
        <v>-1.9994576572721627E-2</v>
      </c>
      <c r="V9" s="629"/>
      <c r="W9" s="632">
        <f>V9/$N$8*-1</f>
        <v>0</v>
      </c>
      <c r="X9" s="668" t="s">
        <v>640</v>
      </c>
      <c r="Y9" s="667"/>
      <c r="Z9" s="629" t="str">
        <f>X9</f>
        <v>T12</v>
      </c>
      <c r="AA9" s="631" t="e">
        <f>-Z9/Z8</f>
        <v>#VALUE!</v>
      </c>
      <c r="AB9" s="667"/>
      <c r="AC9" s="194"/>
      <c r="AD9" s="195"/>
      <c r="AE9" s="629">
        <f>'T12'!AA10</f>
        <v>-237601.80000000002</v>
      </c>
      <c r="AF9" s="631">
        <f>-AE9/AE8</f>
        <v>5.3092621790333999E-2</v>
      </c>
      <c r="AG9" s="629">
        <f>'T12'!AC10</f>
        <v>-245146.44</v>
      </c>
      <c r="AH9" s="631">
        <f>-AG9/AG8</f>
        <v>5.4701042135252662E-2</v>
      </c>
      <c r="AI9" s="194"/>
      <c r="AJ9" s="194"/>
      <c r="AK9" s="194"/>
      <c r="AL9" s="194"/>
      <c r="AM9" s="194"/>
      <c r="AN9" s="194"/>
      <c r="AO9" s="194"/>
      <c r="AP9" s="196"/>
      <c r="AQ9" s="629">
        <f t="shared" si="0"/>
        <v>82987.729999999981</v>
      </c>
      <c r="AR9" s="631">
        <f>-AQ9/AQ8</f>
        <v>-1.9994576572721627E-2</v>
      </c>
      <c r="AS9" s="196"/>
      <c r="AT9" s="196"/>
      <c r="AU9" s="196"/>
      <c r="AV9" s="196"/>
      <c r="BA9" s="4"/>
    </row>
    <row r="10" spans="1:53" s="5" customFormat="1" ht="19" collapsed="1">
      <c r="A10" s="628" t="s">
        <v>561</v>
      </c>
      <c r="B10" s="629">
        <f>'T12'!U11</f>
        <v>-799229.20000000019</v>
      </c>
      <c r="C10" s="631">
        <f>-B10/B8</f>
        <v>0.19006648754648639</v>
      </c>
      <c r="D10" s="629">
        <f>'T12'!W11</f>
        <v>-214970.42</v>
      </c>
      <c r="E10" s="631">
        <f>-D10/D8</f>
        <v>5.0221195232675278E-2</v>
      </c>
      <c r="F10" s="629">
        <f>'T12'!Y11</f>
        <v>-110921.31999999999</v>
      </c>
      <c r="G10" s="631">
        <f>-F10/F8</f>
        <v>2.5367035504279319E-2</v>
      </c>
      <c r="H10" s="629">
        <f>'T12'!AC11</f>
        <v>-46803.840000000004</v>
      </c>
      <c r="I10" s="631">
        <f>-H10/H8</f>
        <v>1.0443630443630444E-2</v>
      </c>
      <c r="J10" s="206">
        <f>'Sponsor Pro Forma'!K9</f>
        <v>-219466.37035841745</v>
      </c>
      <c r="K10" s="631">
        <f>-J10/J8</f>
        <v>5.000000000000001E-2</v>
      </c>
      <c r="L10" s="629">
        <f>-L8*M10</f>
        <v>-207525.6</v>
      </c>
      <c r="M10" s="631">
        <f>IF('RRT Summary (Paste)'!$A$1004&lt;=0.05, 0.05, 'RRT Summary (Paste)'!$A$1004)</f>
        <v>0.05</v>
      </c>
      <c r="N10" s="629">
        <f>-N8*O10</f>
        <v>-207525.6</v>
      </c>
      <c r="O10" s="631">
        <f>IF('RRT Summary (Paste)'!$A$1004&lt;=0.05, 0.05, 'RRT Summary (Paste)'!$A$1004)</f>
        <v>0.05</v>
      </c>
      <c r="P10" s="629">
        <f>-P8*Q10</f>
        <v>-207525.6</v>
      </c>
      <c r="Q10" s="631">
        <f>IF('RRT Summary (Paste)'!$A$1004&lt;=0.05, 0.05, 'RRT Summary (Paste)'!$A$1004)</f>
        <v>0.05</v>
      </c>
      <c r="R10" s="629">
        <f>-R8*S10</f>
        <v>-207525.6</v>
      </c>
      <c r="S10" s="631">
        <f>IF('RRT Summary (Paste)'!$A$1004&lt;=0.05, 0.05, 'RRT Summary (Paste)'!$A$1004)</f>
        <v>0.05</v>
      </c>
      <c r="T10" s="629">
        <f>-T8*U10</f>
        <v>-207525.6</v>
      </c>
      <c r="U10" s="631">
        <f>IF('RRT Summary (Paste)'!$A$1004&lt;=0.05, 0.05, 'RRT Summary (Paste)'!$A$1004)</f>
        <v>0.05</v>
      </c>
      <c r="V10" s="629">
        <f>-V8*W10</f>
        <v>-290535.84000000003</v>
      </c>
      <c r="W10" s="631">
        <f>IF('RRT Summary (Paste)'!$A$1004&lt;=0.07, 0.07, 'RRT Summary (Paste)'!$A$1004)</f>
        <v>7.0000000000000007E-2</v>
      </c>
      <c r="X10" s="667" t="str">
        <f>IF('RRT Summary (Paste)'!A1004&lt;=0.05,"Minimum Vacancy 5%", "Current Rent Roll")</f>
        <v>Minimum Vacancy 5%</v>
      </c>
      <c r="Y10" s="667"/>
      <c r="Z10" s="629">
        <f>-Z8*AA10</f>
        <v>-207525.6</v>
      </c>
      <c r="AA10" s="631">
        <f>IF('RRT Summary (Paste)'!$A$1004&lt;=0.05, 0.05, 'RRT Summary (Paste)'!$A$1004)</f>
        <v>0.05</v>
      </c>
      <c r="AB10" s="667"/>
      <c r="AC10" s="194"/>
      <c r="AD10" s="196"/>
      <c r="AE10" s="629">
        <f>'T12'!AA11</f>
        <v>-68595.72</v>
      </c>
      <c r="AF10" s="631">
        <f>-AE10/AE8</f>
        <v>1.5327857863011348E-2</v>
      </c>
      <c r="AG10" s="629">
        <f>'T12'!AC11</f>
        <v>-46803.840000000004</v>
      </c>
      <c r="AH10" s="631">
        <f>-AG10/AG8</f>
        <v>1.0443630443630444E-2</v>
      </c>
      <c r="AI10" s="194"/>
      <c r="AJ10" s="194"/>
      <c r="AK10" s="194"/>
      <c r="AL10" s="194"/>
      <c r="AM10" s="194"/>
      <c r="AN10" s="194"/>
      <c r="AO10" s="194"/>
      <c r="AP10" s="196"/>
      <c r="AQ10" s="629">
        <f t="shared" si="0"/>
        <v>-207525.6</v>
      </c>
      <c r="AR10" s="631">
        <f>-AQ10/AQ8</f>
        <v>0.05</v>
      </c>
      <c r="AS10" s="196"/>
      <c r="AT10" s="196"/>
      <c r="AU10" s="196"/>
      <c r="AV10" s="196"/>
      <c r="AY10" s="5" t="s">
        <v>641</v>
      </c>
      <c r="BA10" s="4" t="s">
        <v>642</v>
      </c>
    </row>
    <row r="11" spans="1:53" s="5" customFormat="1" ht="19">
      <c r="A11" s="628" t="s">
        <v>643</v>
      </c>
      <c r="B11" s="629">
        <f>'T12'!U12</f>
        <v>-385795.18</v>
      </c>
      <c r="C11" s="632">
        <f>B11/$B$8*-1</f>
        <v>9.1746816526428784E-2</v>
      </c>
      <c r="D11" s="629">
        <f>'T12'!W12</f>
        <v>-472789.04000000004</v>
      </c>
      <c r="E11" s="632">
        <f>D11/$D$8*-1</f>
        <v>0.11045254822365384</v>
      </c>
      <c r="F11" s="629">
        <f>'T12'!Y12</f>
        <v>-216876</v>
      </c>
      <c r="G11" s="632">
        <f>F11/$F$8*-1</f>
        <v>4.9598230457644048E-2</v>
      </c>
      <c r="H11" s="629">
        <f>'T12'!AC12</f>
        <v>-180462</v>
      </c>
      <c r="I11" s="632">
        <f>H11/$F$8*-1</f>
        <v>4.1270568734425944E-2</v>
      </c>
      <c r="J11" s="206">
        <f>'Sponsor Pro Forma'!K10</f>
        <v>0</v>
      </c>
      <c r="K11" s="632">
        <f>J11/$J$8*-1</f>
        <v>0</v>
      </c>
      <c r="L11" s="629">
        <f t="array" ref="L11">INDEX('T12'!$U$9:$AE$38,MATCH('Debt Sizing'!$A11,'T12'!$T$9:$T$38,0),MATCH('Debt Sizing'!$X11,'T12'!$U$7:$AE$7,0))</f>
        <v>-385795.18</v>
      </c>
      <c r="M11" s="632">
        <f>L11/$N$8*-1</f>
        <v>9.2951226258350769E-2</v>
      </c>
      <c r="N11" s="629">
        <f t="array" ref="N11">INDEX('T12'!$U$9:$AE$38,MATCH('Debt Sizing'!$A11,'T12'!$T$9:$T$38,0),MATCH('Debt Sizing'!$X11,'T12'!$U$7:$AE$7,0))</f>
        <v>-385795.18</v>
      </c>
      <c r="O11" s="632">
        <f>N11/$N$8*-1</f>
        <v>9.2951226258350769E-2</v>
      </c>
      <c r="P11" s="629">
        <f t="array" ref="P11">INDEX('T12'!$U$9:$AE$38,MATCH('Debt Sizing'!$A11,'T12'!$T$9:$T$38,0),MATCH('Debt Sizing'!$X11,'T12'!$U$7:$AE$7,0))</f>
        <v>-385795.18</v>
      </c>
      <c r="Q11" s="631">
        <f>P11/-$P$8</f>
        <v>9.2951226258350769E-2</v>
      </c>
      <c r="R11" s="629">
        <f t="array" ref="R11">INDEX('T12'!$U$9:$AE$38,MATCH('Debt Sizing'!$A11,'T12'!$T$9:$T$38,0),MATCH('Debt Sizing'!$X11,'T12'!$U$7:$AE$7,0))</f>
        <v>-385795.18</v>
      </c>
      <c r="S11" s="631">
        <f>R11/-$P$8</f>
        <v>9.2951226258350769E-2</v>
      </c>
      <c r="T11" s="629">
        <f t="array" ref="T11">INDEX('T12'!$U$9:$AE$38,MATCH('Debt Sizing'!$A11,'T12'!$T$9:$T$38,0),MATCH('Debt Sizing'!$X11,'T12'!$U$7:$AE$7,0))</f>
        <v>-385795.18</v>
      </c>
      <c r="U11" s="631">
        <f>T11/-$P$8</f>
        <v>9.2951226258350769E-2</v>
      </c>
      <c r="V11" s="629">
        <f>INDEX('T12'!$U$9:$AE$38,MATCH('Debt Sizing'!$A11,'T12'!$T$9:$T$38,0),MATCH('Debt Sizing'!$X11,'T12'!$U$7:$AE$7,0))</f>
        <v>-385795.18</v>
      </c>
      <c r="W11" s="632">
        <f>V11/$N$8*-1</f>
        <v>9.2951226258350769E-2</v>
      </c>
      <c r="X11" s="668" t="s">
        <v>640</v>
      </c>
      <c r="Y11" s="668"/>
      <c r="Z11" s="629">
        <f t="array" ref="Z11">INDEX('T12'!$U$9:$AE$38,MATCH('Debt Sizing'!$A11,'T12'!$T$9:$T$38,0),MATCH('Debt Sizing'!$X11,'T12'!$U$7:$AE$7,0))</f>
        <v>-385795.18</v>
      </c>
      <c r="AA11" s="631">
        <f>Z11/-$P$8</f>
        <v>9.2951226258350769E-2</v>
      </c>
      <c r="AB11" s="668"/>
      <c r="AC11" s="209"/>
      <c r="AD11" s="196"/>
      <c r="AE11" s="629">
        <f>'T12'!AA12</f>
        <v>-211047</v>
      </c>
      <c r="AF11" s="632">
        <f>AE11/$F$8*-1</f>
        <v>4.8265173386609878E-2</v>
      </c>
      <c r="AG11" s="629">
        <f>'T12'!AC12</f>
        <v>-180462</v>
      </c>
      <c r="AH11" s="632">
        <f>AG11/$F$8*-1</f>
        <v>4.1270568734425944E-2</v>
      </c>
      <c r="AI11" s="194"/>
      <c r="AJ11" s="194"/>
      <c r="AK11" s="194"/>
      <c r="AL11" s="194"/>
      <c r="AM11" s="194"/>
      <c r="AN11" s="194"/>
      <c r="AO11" s="194"/>
      <c r="AP11" s="196"/>
      <c r="AQ11" s="629">
        <f t="shared" si="0"/>
        <v>-385795.18</v>
      </c>
      <c r="AR11" s="632">
        <f>AQ11/$P$8*-1</f>
        <v>9.2951226258350769E-2</v>
      </c>
      <c r="AS11" s="196"/>
      <c r="AT11" s="196"/>
      <c r="AU11" s="196"/>
      <c r="AV11" s="196"/>
      <c r="AY11" s="5" t="s">
        <v>644</v>
      </c>
    </row>
    <row r="12" spans="1:53" s="5" customFormat="1" ht="19" outlineLevel="1">
      <c r="A12" s="628" t="s">
        <v>645</v>
      </c>
      <c r="B12" s="629">
        <f>'T12'!U13</f>
        <v>-36838.389999999992</v>
      </c>
      <c r="C12" s="632">
        <f t="shared" ref="C12:C13" si="2">B12/$B$8*-1</f>
        <v>8.7606201001760274E-3</v>
      </c>
      <c r="D12" s="629">
        <f>'T12'!W13</f>
        <v>-37430.9</v>
      </c>
      <c r="E12" s="632">
        <f t="shared" ref="E12:E13" si="3">D12/$D$8*-1</f>
        <v>8.7445730283950002E-3</v>
      </c>
      <c r="F12" s="629">
        <f>'T12'!Y13</f>
        <v>-37925</v>
      </c>
      <c r="G12" s="632">
        <f t="shared" ref="G12:G13" si="4">F12/$F$8*-1</f>
        <v>8.6732182911255767E-3</v>
      </c>
      <c r="H12" s="629">
        <f>'T12'!AC13</f>
        <v>-38821.199999999997</v>
      </c>
      <c r="I12" s="632">
        <f t="shared" ref="I12:I13" si="5">H12/$F$8*-1</f>
        <v>8.8781738147249625E-3</v>
      </c>
      <c r="J12" s="206">
        <f>'Sponsor Pro Forma'!K11</f>
        <v>-16626.240178667987</v>
      </c>
      <c r="K12" s="632">
        <f>J12/$J$8*-1</f>
        <v>3.7878787878787884E-3</v>
      </c>
      <c r="L12" s="629">
        <f t="array" ref="L12">INDEX('T12'!$U$9:$AE$38,MATCH('Debt Sizing'!$A12,'T12'!$T$9:$T$38,0),MATCH('Debt Sizing'!$X12,'T12'!$U$7:$AE$7,0))</f>
        <v>-36838.389999999992</v>
      </c>
      <c r="M12" s="632">
        <f>L12/$N$8*-1</f>
        <v>8.8756254650028694E-3</v>
      </c>
      <c r="N12" s="629">
        <f t="array" ref="N12">INDEX('T12'!$U$9:$AE$38,MATCH('Debt Sizing'!$A12,'T12'!$T$9:$T$38,0),MATCH('Debt Sizing'!$X12,'T12'!$U$7:$AE$7,0))</f>
        <v>-36838.389999999992</v>
      </c>
      <c r="O12" s="632">
        <f>N12/$N$8*-1</f>
        <v>8.8756254650028694E-3</v>
      </c>
      <c r="P12" s="629">
        <f t="array" ref="P12">INDEX('T12'!$U$9:$AE$38,MATCH('Debt Sizing'!$A12,'T12'!$T$9:$T$38,0),MATCH('Debt Sizing'!$X12,'T12'!$U$7:$AE$7,0))</f>
        <v>-36838.389999999992</v>
      </c>
      <c r="Q12" s="632">
        <f t="shared" ref="Q12:Q13" si="6">P12/-$P$8</f>
        <v>8.8756254650028694E-3</v>
      </c>
      <c r="R12" s="629">
        <f t="array" ref="R12">INDEX('T12'!$U$9:$AE$38,MATCH('Debt Sizing'!$A12,'T12'!$T$9:$T$38,0),MATCH('Debt Sizing'!$X12,'T12'!$U$7:$AE$7,0))</f>
        <v>-36838.389999999992</v>
      </c>
      <c r="S12" s="632">
        <f t="shared" ref="S12:S13" si="7">R12/-$P$8</f>
        <v>8.8756254650028694E-3</v>
      </c>
      <c r="T12" s="629">
        <f t="array" ref="T12">INDEX('T12'!$U$9:$AE$38,MATCH('Debt Sizing'!$A12,'T12'!$T$9:$T$38,0),MATCH('Debt Sizing'!$X12,'T12'!$U$7:$AE$7,0))</f>
        <v>-36838.389999999992</v>
      </c>
      <c r="U12" s="632">
        <f t="shared" ref="U12:U13" si="8">T12/-$P$8</f>
        <v>8.8756254650028694E-3</v>
      </c>
      <c r="V12" s="629">
        <f>INDEX('T12'!$U$9:$AE$38,MATCH('Debt Sizing'!$A12,'T12'!$T$9:$T$38,0),MATCH('Debt Sizing'!$X12,'T12'!$U$7:$AE$7,0))</f>
        <v>-36838.389999999992</v>
      </c>
      <c r="W12" s="632">
        <f>V12/$N$8*-1</f>
        <v>8.8756254650028694E-3</v>
      </c>
      <c r="X12" s="668" t="s">
        <v>640</v>
      </c>
      <c r="Y12" s="668"/>
      <c r="Z12" s="629">
        <f t="array" ref="Z12">INDEX('T12'!$U$9:$AE$38,MATCH('Debt Sizing'!$A12,'T12'!$T$9:$T$38,0),MATCH('Debt Sizing'!$X12,'T12'!$U$7:$AE$7,0))</f>
        <v>-36838.389999999992</v>
      </c>
      <c r="AA12" s="632">
        <f t="shared" ref="AA12:AA13" si="9">Z12/-$P$8</f>
        <v>8.8756254650028694E-3</v>
      </c>
      <c r="AB12" s="668"/>
      <c r="AC12" s="210"/>
      <c r="AD12" s="195"/>
      <c r="AE12" s="629">
        <f>'T12'!AA13</f>
        <v>-38737.200000000004</v>
      </c>
      <c r="AF12" s="632">
        <f t="shared" ref="AF12:AF13" si="10">AE12/$F$8*-1</f>
        <v>8.8589635223992012E-3</v>
      </c>
      <c r="AG12" s="629">
        <f>'T12'!AC13</f>
        <v>-38821.199999999997</v>
      </c>
      <c r="AH12" s="632">
        <f t="shared" ref="AH12:AH13" si="11">AG12/$F$8*-1</f>
        <v>8.8781738147249625E-3</v>
      </c>
      <c r="AI12" s="194"/>
      <c r="AJ12" s="194"/>
      <c r="AK12" s="194"/>
      <c r="AL12" s="194"/>
      <c r="AM12" s="194"/>
      <c r="AN12" s="194"/>
      <c r="AO12" s="194"/>
      <c r="AP12" s="196"/>
      <c r="AQ12" s="629">
        <f t="shared" si="0"/>
        <v>-36838.389999999992</v>
      </c>
      <c r="AR12" s="632">
        <f>AQ12/$P$8*-1</f>
        <v>8.8756254650028694E-3</v>
      </c>
      <c r="AS12" s="196"/>
      <c r="AT12" s="196"/>
      <c r="AU12" s="196"/>
      <c r="AV12" s="196"/>
      <c r="AY12" s="5" t="s">
        <v>646</v>
      </c>
    </row>
    <row r="13" spans="1:53" s="5" customFormat="1" ht="19">
      <c r="A13" s="633" t="s">
        <v>647</v>
      </c>
      <c r="B13" s="629">
        <f>'T12'!U14</f>
        <v>-128985.43</v>
      </c>
      <c r="C13" s="632">
        <f t="shared" si="2"/>
        <v>3.0674314232729715E-2</v>
      </c>
      <c r="D13" s="629">
        <f>'T12'!W14</f>
        <v>-133594.12</v>
      </c>
      <c r="E13" s="632">
        <f t="shared" si="3"/>
        <v>3.1210137573613374E-2</v>
      </c>
      <c r="F13" s="629">
        <f>'T12'!Y14</f>
        <v>-172668.32</v>
      </c>
      <c r="G13" s="632">
        <f t="shared" si="4"/>
        <v>3.9488201221408684E-2</v>
      </c>
      <c r="H13" s="629">
        <f>'T12'!AC14</f>
        <v>-204205.08000000002</v>
      </c>
      <c r="I13" s="632">
        <f t="shared" si="5"/>
        <v>4.6700467633401764E-2</v>
      </c>
      <c r="J13" s="206">
        <f>'Sponsor Pro Forma'!K12</f>
        <v>-41698.610368099311</v>
      </c>
      <c r="K13" s="632">
        <f>J13/$J$8*-1</f>
        <v>9.4999999999999998E-3</v>
      </c>
      <c r="L13" s="629">
        <f t="array" ref="L13">INDEX('T12'!$U$9:$AE$38,MATCH('Debt Sizing'!$A13,'T12'!$T$9:$T$38,0),MATCH('Debt Sizing'!$X13,'T12'!$U$7:$AE$7,0))</f>
        <v>-128985.43</v>
      </c>
      <c r="M13" s="632">
        <f>L13/$N$8*-1</f>
        <v>3.1076992428885879E-2</v>
      </c>
      <c r="N13" s="629">
        <f t="array" ref="N13">INDEX('T12'!$U$9:$AE$38,MATCH('Debt Sizing'!$A13,'T12'!$T$9:$T$38,0),MATCH('Debt Sizing'!$X13,'T12'!$U$7:$AE$7,0))</f>
        <v>-128985.43</v>
      </c>
      <c r="O13" s="632">
        <f>N13/$N$8*-1</f>
        <v>3.1076992428885879E-2</v>
      </c>
      <c r="P13" s="629">
        <f>INDEX('T12'!$U$9:$AE$38,MATCH('Debt Sizing'!$A13,'T12'!$T$9:$T$38,0),MATCH('Debt Sizing'!$X13,'T12'!$U$7:$AE$7,0))</f>
        <v>-128985.43</v>
      </c>
      <c r="Q13" s="632">
        <f t="shared" si="6"/>
        <v>3.1076992428885879E-2</v>
      </c>
      <c r="R13" s="629">
        <f>INDEX('T12'!$U$9:$AE$38,MATCH('Debt Sizing'!$A13,'T12'!$T$9:$T$38,0),MATCH('Debt Sizing'!$X13,'T12'!$U$7:$AE$7,0))</f>
        <v>-128985.43</v>
      </c>
      <c r="S13" s="632">
        <f t="shared" si="7"/>
        <v>3.1076992428885879E-2</v>
      </c>
      <c r="T13" s="629">
        <f>INDEX('T12'!$U$9:$AE$38,MATCH('Debt Sizing'!$A13,'T12'!$T$9:$T$38,0),MATCH('Debt Sizing'!$X13,'T12'!$U$7:$AE$7,0))</f>
        <v>-128985.43</v>
      </c>
      <c r="U13" s="632">
        <f t="shared" si="8"/>
        <v>3.1076992428885879E-2</v>
      </c>
      <c r="V13" s="629">
        <f>INDEX('T12'!$U$9:$AE$38,MATCH('Debt Sizing'!$A13,'T12'!$T$9:$T$38,0),MATCH('Debt Sizing'!$X13,'T12'!$U$7:$AE$7,0))</f>
        <v>-128985.43</v>
      </c>
      <c r="W13" s="632">
        <f>V13/$N$8*-1</f>
        <v>3.1076992428885879E-2</v>
      </c>
      <c r="X13" s="668" t="s">
        <v>640</v>
      </c>
      <c r="Y13" s="668"/>
      <c r="Z13" s="629">
        <f>INDEX('T12'!$U$9:$AE$38,MATCH('Debt Sizing'!$A13,'T12'!$T$9:$T$38,0),MATCH('Debt Sizing'!$X13,'T12'!$U$7:$AE$7,0))</f>
        <v>-128985.43</v>
      </c>
      <c r="AA13" s="632">
        <f t="shared" si="9"/>
        <v>3.1076992428885879E-2</v>
      </c>
      <c r="AB13" s="668"/>
      <c r="AC13" s="211"/>
      <c r="AD13" s="195"/>
      <c r="AE13" s="629">
        <f>'T12'!AA14</f>
        <v>-187287.48</v>
      </c>
      <c r="AF13" s="632">
        <f t="shared" si="10"/>
        <v>4.2831514758993161E-2</v>
      </c>
      <c r="AG13" s="629">
        <f>'T12'!AC14</f>
        <v>-204205.08000000002</v>
      </c>
      <c r="AH13" s="632">
        <f t="shared" si="11"/>
        <v>4.6700467633401764E-2</v>
      </c>
      <c r="AI13" s="194"/>
      <c r="AJ13" s="194"/>
      <c r="AK13" s="194"/>
      <c r="AL13" s="194"/>
      <c r="AM13" s="194"/>
      <c r="AN13" s="194"/>
      <c r="AO13" s="194"/>
      <c r="AP13" s="196"/>
      <c r="AQ13" s="629">
        <f t="shared" si="0"/>
        <v>-128985.43</v>
      </c>
      <c r="AR13" s="632">
        <f>AQ13/$P$8*-1</f>
        <v>3.1076992428885879E-2</v>
      </c>
      <c r="AS13" s="196"/>
      <c r="AT13" s="196"/>
      <c r="AU13" s="196"/>
      <c r="AV13" s="196"/>
      <c r="AY13" s="5" t="s">
        <v>648</v>
      </c>
    </row>
    <row r="14" spans="1:53" s="6" customFormat="1" ht="19">
      <c r="A14" s="634" t="s">
        <v>605</v>
      </c>
      <c r="B14" s="635">
        <f>SUM(B8:B13)</f>
        <v>2937137.53</v>
      </c>
      <c r="C14" s="1258">
        <f>SUM(C9:C13)</f>
        <v>0.30151274031521541</v>
      </c>
      <c r="D14" s="635">
        <f>SUM(D8:D13)</f>
        <v>3386058.8800000004</v>
      </c>
      <c r="E14" s="1258">
        <f>SUM(E9:E13)</f>
        <v>0.20895198473439378</v>
      </c>
      <c r="F14" s="635">
        <f>SUM(F8:F13)</f>
        <v>3697747.12</v>
      </c>
      <c r="G14" s="1258">
        <f>SUM(G9:G13)</f>
        <v>0.15434758188158409</v>
      </c>
      <c r="H14" s="635">
        <f>SUM(H8:H13)</f>
        <v>3773674.08</v>
      </c>
      <c r="I14" s="1258">
        <f>SUM(I9:I13)</f>
        <v>0.16031040055163778</v>
      </c>
      <c r="J14" s="635">
        <f>SUM(J8:J13)</f>
        <v>4111536.1862631636</v>
      </c>
      <c r="K14" s="1258">
        <f>SUM(K9:K13)</f>
        <v>6.3287878787878796E-2</v>
      </c>
      <c r="L14" s="635">
        <f>SUM(L8:L13)</f>
        <v>3474355.13</v>
      </c>
      <c r="M14" s="1258">
        <f>SUM(M9:M13)</f>
        <v>0.16290926757951787</v>
      </c>
      <c r="N14" s="635">
        <f>SUM(N8:N13)</f>
        <v>3474355.13</v>
      </c>
      <c r="O14" s="1258">
        <f>SUM(O9:O13)</f>
        <v>0.16290926757951787</v>
      </c>
      <c r="P14" s="635">
        <f>SUM(P8:P13)</f>
        <v>3474355.13</v>
      </c>
      <c r="Q14" s="1258">
        <f>SUM(Q9:Q13)</f>
        <v>0.16290926757951787</v>
      </c>
      <c r="R14" s="635">
        <f>SUM(R8:R13)</f>
        <v>3474355.13</v>
      </c>
      <c r="S14" s="1258">
        <f>SUM(S9:S13)</f>
        <v>0.16290926757951787</v>
      </c>
      <c r="T14" s="635">
        <f>SUM(T8:T13)</f>
        <v>3474355.13</v>
      </c>
      <c r="U14" s="1258">
        <f>SUM(U9:U13)</f>
        <v>0.16290926757951787</v>
      </c>
      <c r="V14" s="635">
        <f>SUM(V8:V13)</f>
        <v>3308357.1599999997</v>
      </c>
      <c r="W14" s="1258">
        <f>SUM(W9:W13)</f>
        <v>0.20290384415223953</v>
      </c>
      <c r="X14" s="669"/>
      <c r="Y14" s="1504"/>
      <c r="Z14" s="635">
        <f>SUM(Z8:Z13)</f>
        <v>3391367.3999999994</v>
      </c>
      <c r="AA14" s="1258" t="e">
        <f>SUM(AA9:AA13)</f>
        <v>#VALUE!</v>
      </c>
      <c r="AB14" s="1504"/>
      <c r="AC14" s="201"/>
      <c r="AD14" s="213"/>
      <c r="AE14" s="635">
        <f>SUM(AE8:AE13)</f>
        <v>3731962.8</v>
      </c>
      <c r="AF14" s="1258">
        <f>SUM(AF9:AF13)</f>
        <v>0.16837613132134757</v>
      </c>
      <c r="AG14" s="635">
        <f>SUM(AG8:AG13)</f>
        <v>3766129.4399999995</v>
      </c>
      <c r="AH14" s="1258">
        <f>SUM(AH9:AH13)</f>
        <v>0.16199388276143578</v>
      </c>
      <c r="AI14" s="201"/>
      <c r="AJ14" s="201"/>
      <c r="AK14" s="201"/>
      <c r="AL14" s="201"/>
      <c r="AM14" s="201"/>
      <c r="AN14" s="201"/>
      <c r="AO14" s="201"/>
      <c r="AP14" s="202"/>
      <c r="AQ14" s="635">
        <f>SUM(AQ8:AQ13)</f>
        <v>3474355.13</v>
      </c>
      <c r="AR14" s="1258">
        <f>SUM(AR9:AR13)</f>
        <v>0.16290926757951787</v>
      </c>
      <c r="AS14" s="202"/>
      <c r="AT14" s="202"/>
      <c r="AU14" s="202"/>
      <c r="AV14" s="202"/>
      <c r="AY14" s="6" t="s">
        <v>649</v>
      </c>
    </row>
    <row r="15" spans="1:53" s="5" customFormat="1" ht="19">
      <c r="A15" s="637" t="s">
        <v>606</v>
      </c>
      <c r="B15" s="638">
        <f>B14/12</f>
        <v>244761.46083333332</v>
      </c>
      <c r="C15" s="639"/>
      <c r="D15" s="638">
        <f>D14/12</f>
        <v>282171.57333333336</v>
      </c>
      <c r="E15" s="639"/>
      <c r="F15" s="638">
        <f>F14/12</f>
        <v>308145.59333333332</v>
      </c>
      <c r="G15" s="639"/>
      <c r="H15" s="638">
        <f>H14/12</f>
        <v>314472.84000000003</v>
      </c>
      <c r="I15" s="639"/>
      <c r="J15" s="215">
        <f>J14/12</f>
        <v>342628.0155219303</v>
      </c>
      <c r="K15" s="639"/>
      <c r="L15" s="638">
        <f>L14/12</f>
        <v>289529.59416666668</v>
      </c>
      <c r="M15" s="639"/>
      <c r="N15" s="638">
        <f>N14/12</f>
        <v>289529.59416666668</v>
      </c>
      <c r="O15" s="639"/>
      <c r="P15" s="638">
        <f>P14/12</f>
        <v>289529.59416666668</v>
      </c>
      <c r="Q15" s="639"/>
      <c r="R15" s="638">
        <f>R14/12</f>
        <v>289529.59416666668</v>
      </c>
      <c r="S15" s="639"/>
      <c r="T15" s="638">
        <f>T14/12</f>
        <v>289529.59416666668</v>
      </c>
      <c r="U15" s="639"/>
      <c r="V15" s="638">
        <f>V14/12</f>
        <v>275696.43</v>
      </c>
      <c r="W15" s="639"/>
      <c r="X15" s="1507">
        <f>MIN((SUM('T12'!$AC$9:$AC$13)+'T12'!$U$14)/12,(SUM('T12'!$Y$9:$Y$13)+'T12'!$U$14)/12,('RRT Summary (Paste)'!$D$1003-('RRT Summary (Paste)'!$D$1003*'RRT Summary (Paste)'!$A$1004)+'T12'!$U$14)/12)</f>
        <v>311785.83416666667</v>
      </c>
      <c r="Y15" s="670" t="s">
        <v>650</v>
      </c>
      <c r="Z15" s="638">
        <f>Z14/12</f>
        <v>282613.94999999995</v>
      </c>
      <c r="AA15" s="639"/>
      <c r="AB15" s="670"/>
      <c r="AC15" s="1506"/>
      <c r="AE15" s="638">
        <f>AE14/12</f>
        <v>310996.89999999997</v>
      </c>
      <c r="AF15" s="639"/>
      <c r="AG15" s="638">
        <f>AG14/12</f>
        <v>313844.11999999994</v>
      </c>
      <c r="AH15" s="639"/>
      <c r="AI15" s="194"/>
      <c r="AJ15" s="194"/>
      <c r="AK15" s="194"/>
      <c r="AL15" s="194"/>
      <c r="AM15" s="194"/>
      <c r="AN15" s="194"/>
      <c r="AO15" s="194"/>
      <c r="AP15" s="196"/>
      <c r="AQ15" s="638">
        <f>AQ14/12</f>
        <v>289529.59416666668</v>
      </c>
      <c r="AR15" s="639"/>
      <c r="AS15" s="196"/>
      <c r="AT15" s="196"/>
      <c r="AU15" s="196"/>
      <c r="AV15" s="196"/>
    </row>
    <row r="16" spans="1:53" s="5" customFormat="1" ht="19">
      <c r="A16" s="637"/>
      <c r="B16" s="640"/>
      <c r="C16" s="641"/>
      <c r="D16" s="640"/>
      <c r="E16" s="641"/>
      <c r="F16" s="640"/>
      <c r="G16" s="641"/>
      <c r="H16" s="640"/>
      <c r="I16" s="641"/>
      <c r="J16" s="217"/>
      <c r="K16" s="641"/>
      <c r="L16" s="640"/>
      <c r="M16" s="641"/>
      <c r="N16" s="640"/>
      <c r="O16" s="641"/>
      <c r="P16" s="640"/>
      <c r="Q16" s="641"/>
      <c r="R16" s="640"/>
      <c r="S16" s="641"/>
      <c r="T16" s="640"/>
      <c r="U16" s="641"/>
      <c r="V16" s="640"/>
      <c r="W16" s="641"/>
      <c r="X16" s="670"/>
      <c r="Y16" s="670"/>
      <c r="Z16" s="640"/>
      <c r="AA16" s="641"/>
      <c r="AB16" s="670"/>
      <c r="AD16" s="195"/>
      <c r="AE16" s="640"/>
      <c r="AF16" s="641"/>
      <c r="AG16" s="640"/>
      <c r="AH16" s="641"/>
      <c r="AI16" s="194"/>
      <c r="AJ16" s="194"/>
      <c r="AK16" s="194"/>
      <c r="AL16" s="194"/>
      <c r="AM16" s="194"/>
      <c r="AN16" s="194"/>
      <c r="AO16" s="194"/>
      <c r="AP16" s="196"/>
      <c r="AQ16" s="640"/>
      <c r="AR16" s="641"/>
      <c r="AS16" s="196"/>
      <c r="AT16" s="196"/>
      <c r="AU16" s="196"/>
      <c r="AV16" s="196"/>
    </row>
    <row r="17" spans="1:51" s="5" customFormat="1" ht="19" hidden="1" outlineLevel="1">
      <c r="A17" s="628" t="s">
        <v>651</v>
      </c>
      <c r="B17" s="629">
        <f>'T12'!U18</f>
        <v>0</v>
      </c>
      <c r="C17" s="630">
        <f>B17/units/12</f>
        <v>0</v>
      </c>
      <c r="D17" s="629">
        <f>'T12'!W18</f>
        <v>0</v>
      </c>
      <c r="E17" s="630">
        <f>D17/units/12</f>
        <v>0</v>
      </c>
      <c r="F17" s="629">
        <f>'T12'!Y18</f>
        <v>0</v>
      </c>
      <c r="G17" s="630">
        <f>F17/units/12</f>
        <v>0</v>
      </c>
      <c r="H17" s="629">
        <f>'T12'!AC18</f>
        <v>0</v>
      </c>
      <c r="I17" s="630">
        <f>H17/units/12</f>
        <v>0</v>
      </c>
      <c r="J17" s="206">
        <f>'Sponsor Pro Forma'!K16</f>
        <v>0</v>
      </c>
      <c r="K17" s="630">
        <f>J17/units/12</f>
        <v>0</v>
      </c>
      <c r="L17" s="629">
        <f t="array" ref="L17">INDEX('T12'!$U$9:$AE$38,MATCH('Debt Sizing'!$A17,'T12'!$T$9:$T$38,0),MATCH('Debt Sizing'!$X17,'T12'!$U$7:$AE$7,0))</f>
        <v>0</v>
      </c>
      <c r="M17" s="630">
        <f>L17/units/12</f>
        <v>0</v>
      </c>
      <c r="N17" s="629">
        <f t="array" ref="N17">INDEX('T12'!$U$9:$AE$38,MATCH('Debt Sizing'!$A17,'T12'!$T$9:$T$38,0),MATCH('Debt Sizing'!$X17,'T12'!$U$7:$AE$7,0))</f>
        <v>0</v>
      </c>
      <c r="O17" s="630">
        <f>N17/units/12</f>
        <v>0</v>
      </c>
      <c r="P17" s="629">
        <f t="array" ref="P17">INDEX('T12'!$U$9:$AE$38,MATCH('Debt Sizing'!$A17,'T12'!$T$9:$T$38,0),MATCH('Debt Sizing'!$X17,'T12'!$U$7:$AE$7,0))</f>
        <v>0</v>
      </c>
      <c r="Q17" s="630">
        <f>P17/units/12</f>
        <v>0</v>
      </c>
      <c r="R17" s="629">
        <f t="array" ref="R17">INDEX('T12'!$U$9:$AE$38,MATCH('Debt Sizing'!$A17,'T12'!$T$9:$T$38,0),MATCH('Debt Sizing'!$X17,'T12'!$U$7:$AE$7,0))</f>
        <v>0</v>
      </c>
      <c r="S17" s="630">
        <f>R17/units/12</f>
        <v>0</v>
      </c>
      <c r="T17" s="629">
        <f t="array" ref="T17">INDEX('T12'!$U$9:$AE$38,MATCH('Debt Sizing'!$A17,'T12'!$T$9:$T$38,0),MATCH('Debt Sizing'!$X17,'T12'!$U$7:$AE$7,0))</f>
        <v>0</v>
      </c>
      <c r="U17" s="630">
        <f>T17/units/12</f>
        <v>0</v>
      </c>
      <c r="V17" s="629">
        <f t="array" ref="V17">INDEX('T12'!$U$9:$AE$38,MATCH('Debt Sizing'!$A17,'T12'!$T$9:$T$38,0),MATCH('Debt Sizing'!$X17,'T12'!$U$7:$AE$7,0))</f>
        <v>0</v>
      </c>
      <c r="W17" s="630">
        <f>V17/units/12</f>
        <v>0</v>
      </c>
      <c r="X17" s="668" t="s">
        <v>640</v>
      </c>
      <c r="Y17" s="668"/>
      <c r="Z17" s="629">
        <f t="array" ref="Z17">INDEX('T12'!$U$9:$AE$38,MATCH('Debt Sizing'!$A17,'T12'!$T$9:$T$38,0),MATCH('Debt Sizing'!$X17,'T12'!$U$7:$AE$7,0))</f>
        <v>0</v>
      </c>
      <c r="AA17" s="630">
        <f>Z17/units/12</f>
        <v>0</v>
      </c>
      <c r="AB17" s="668"/>
      <c r="AC17" s="194"/>
      <c r="AD17" s="195"/>
      <c r="AE17" s="629">
        <f>'T12'!AA18</f>
        <v>0</v>
      </c>
      <c r="AF17" s="630">
        <f>AE17/units/12</f>
        <v>0</v>
      </c>
      <c r="AG17" s="629">
        <f>'T12'!AC18</f>
        <v>0</v>
      </c>
      <c r="AH17" s="630">
        <f>AG17/units/12</f>
        <v>0</v>
      </c>
      <c r="AI17" s="194"/>
      <c r="AJ17" s="194"/>
      <c r="AK17" s="194"/>
      <c r="AL17" s="194"/>
      <c r="AM17" s="194"/>
      <c r="AN17" s="194"/>
      <c r="AO17" s="194"/>
      <c r="AP17" s="196"/>
      <c r="AQ17" s="629">
        <f>P17</f>
        <v>0</v>
      </c>
      <c r="AR17" s="630">
        <f>AQ17/units/12</f>
        <v>0</v>
      </c>
      <c r="AS17" s="196"/>
      <c r="AT17" s="196"/>
      <c r="AU17" s="196"/>
      <c r="AV17" s="196"/>
    </row>
    <row r="18" spans="1:51" s="5" customFormat="1" ht="19" collapsed="1">
      <c r="A18" s="628" t="s">
        <v>652</v>
      </c>
      <c r="B18" s="629">
        <f>'T12'!U19</f>
        <v>393202.91999999993</v>
      </c>
      <c r="C18" s="630">
        <f>B18/units/12</f>
        <v>124.11708333333331</v>
      </c>
      <c r="D18" s="629">
        <f>'T12'!W19</f>
        <v>468875.18</v>
      </c>
      <c r="E18" s="630">
        <f>D18/units/12</f>
        <v>148.00352904040403</v>
      </c>
      <c r="F18" s="629">
        <f>'T12'!Y19</f>
        <v>483928.20000000013</v>
      </c>
      <c r="G18" s="630">
        <f>F18/units/12</f>
        <v>152.75511363636369</v>
      </c>
      <c r="H18" s="629">
        <f>'T12'!AC19</f>
        <v>492468.83999999997</v>
      </c>
      <c r="I18" s="630">
        <f>H18/units/12</f>
        <v>155.45102272727271</v>
      </c>
      <c r="J18" s="206">
        <f>'Sponsor Pro Forma'!K17</f>
        <v>492469</v>
      </c>
      <c r="K18" s="630">
        <f>J18/units/12</f>
        <v>155.45107323232324</v>
      </c>
      <c r="L18" s="629">
        <f t="array" ref="L18">INDEX('T12'!$U$9:$AE$38,MATCH('Debt Sizing'!$A18,'T12'!$T$9:$T$38,0),MATCH('Debt Sizing'!$X18,'T12'!$U$7:$AE$7,0))</f>
        <v>393202.91999999993</v>
      </c>
      <c r="M18" s="630">
        <f>L18/units/12</f>
        <v>124.11708333333331</v>
      </c>
      <c r="N18" s="629">
        <f t="array" ref="N18">INDEX('T12'!$U$9:$AE$38,MATCH('Debt Sizing'!$A18,'T12'!$T$9:$T$38,0),MATCH('Debt Sizing'!$X18,'T12'!$U$7:$AE$7,0))</f>
        <v>393202.91999999993</v>
      </c>
      <c r="O18" s="630">
        <f>N18/units/12</f>
        <v>124.11708333333331</v>
      </c>
      <c r="P18" s="629">
        <f t="array" ref="P18">INDEX('T12'!$U$9:$AE$38,MATCH('Debt Sizing'!$A18,'T12'!$T$9:$T$38,0),MATCH('Debt Sizing'!$X18,'T12'!$U$7:$AE$7,0))</f>
        <v>393202.91999999993</v>
      </c>
      <c r="Q18" s="630">
        <f>P18/units/12</f>
        <v>124.11708333333331</v>
      </c>
      <c r="R18" s="629">
        <f t="array" ref="R18">INDEX('T12'!$U$9:$AE$38,MATCH('Debt Sizing'!$A18,'T12'!$T$9:$T$38,0),MATCH('Debt Sizing'!$X18,'T12'!$U$7:$AE$7,0))</f>
        <v>393202.91999999993</v>
      </c>
      <c r="S18" s="630">
        <f>R18/units/12</f>
        <v>124.11708333333331</v>
      </c>
      <c r="T18" s="629">
        <f t="array" ref="T18">INDEX('T12'!$U$9:$AE$38,MATCH('Debt Sizing'!$A18,'T12'!$T$9:$T$38,0),MATCH('Debt Sizing'!$X18,'T12'!$U$7:$AE$7,0))</f>
        <v>393202.91999999993</v>
      </c>
      <c r="U18" s="630">
        <f>T18/units/12</f>
        <v>124.11708333333331</v>
      </c>
      <c r="V18" s="629">
        <f t="array" ref="V18">INDEX('T12'!$U$9:$AE$38,MATCH('Debt Sizing'!$A18,'T12'!$T$9:$T$38,0),MATCH('Debt Sizing'!$X18,'T12'!$U$7:$AE$7,0))</f>
        <v>393202.91999999993</v>
      </c>
      <c r="W18" s="630">
        <f>V18/units/12</f>
        <v>124.11708333333331</v>
      </c>
      <c r="X18" s="668" t="s">
        <v>640</v>
      </c>
      <c r="Y18" s="668"/>
      <c r="Z18" s="629">
        <f t="array" ref="Z18">INDEX('T12'!$U$9:$AE$38,MATCH('Debt Sizing'!$A18,'T12'!$T$9:$T$38,0),MATCH('Debt Sizing'!$X18,'T12'!$U$7:$AE$7,0))</f>
        <v>393202.91999999993</v>
      </c>
      <c r="AA18" s="630">
        <f>Z18/units/12</f>
        <v>124.11708333333331</v>
      </c>
      <c r="AB18" s="668"/>
      <c r="AC18" s="219"/>
      <c r="AD18" s="195"/>
      <c r="AE18" s="629">
        <f>'T12'!AA19</f>
        <v>489065.82</v>
      </c>
      <c r="AF18" s="630">
        <f>AE18/units/12</f>
        <v>154.37683712121211</v>
      </c>
      <c r="AG18" s="629">
        <f>'T12'!AC19</f>
        <v>492468.83999999997</v>
      </c>
      <c r="AH18" s="630">
        <f>AG18/units/12</f>
        <v>155.45102272727271</v>
      </c>
      <c r="AI18" s="194"/>
      <c r="AJ18" s="194"/>
      <c r="AK18" s="194"/>
      <c r="AL18" s="194"/>
      <c r="AM18" s="194"/>
      <c r="AN18" s="194"/>
      <c r="AO18" s="194"/>
      <c r="AP18" s="196"/>
      <c r="AQ18" s="629">
        <f>P18</f>
        <v>393202.91999999993</v>
      </c>
      <c r="AR18" s="630">
        <f>AQ18/units/12</f>
        <v>124.11708333333331</v>
      </c>
      <c r="AS18" s="196"/>
      <c r="AT18" s="196"/>
      <c r="AU18" s="196"/>
      <c r="AV18" s="196"/>
    </row>
    <row r="19" spans="1:51" s="5" customFormat="1" ht="19">
      <c r="A19" s="628" t="s">
        <v>653</v>
      </c>
      <c r="B19" s="629">
        <f>'T12'!U20</f>
        <v>264257.02999999985</v>
      </c>
      <c r="C19" s="630">
        <f>B19/units/12</f>
        <v>83.414466540403993</v>
      </c>
      <c r="D19" s="629">
        <f>'T12'!W20</f>
        <v>223363.96000000008</v>
      </c>
      <c r="E19" s="630">
        <f>D19/units/12</f>
        <v>70.506300505050532</v>
      </c>
      <c r="F19" s="629">
        <f>'T12'!Y20</f>
        <v>227038.44000000003</v>
      </c>
      <c r="G19" s="630">
        <f>F19/units/12</f>
        <v>71.666174242424248</v>
      </c>
      <c r="H19" s="629">
        <f>'T12'!AC20</f>
        <v>217360.68</v>
      </c>
      <c r="I19" s="630">
        <f>H19/units/12</f>
        <v>68.611325757575756</v>
      </c>
      <c r="J19" s="206">
        <f>'Sponsor Pro Forma'!K18</f>
        <v>227038</v>
      </c>
      <c r="K19" s="630">
        <f>J19/units/12</f>
        <v>71.666035353535349</v>
      </c>
      <c r="L19" s="629">
        <f t="array" ref="L19">INDEX('T12'!$U$9:$AE$38,MATCH('Debt Sizing'!$A19,'T12'!$T$9:$T$38,0),MATCH('Debt Sizing'!$X19,'T12'!$U$7:$AE$7,0))</f>
        <v>264257.02999999985</v>
      </c>
      <c r="M19" s="630">
        <f>L19/units/12</f>
        <v>83.414466540403993</v>
      </c>
      <c r="N19" s="629">
        <f t="array" ref="N19">INDEX('T12'!$U$9:$AE$38,MATCH('Debt Sizing'!$A19,'T12'!$T$9:$T$38,0),MATCH('Debt Sizing'!$X19,'T12'!$U$7:$AE$7,0))</f>
        <v>264257.02999999985</v>
      </c>
      <c r="O19" s="630">
        <f>N19/units/12</f>
        <v>83.414466540403993</v>
      </c>
      <c r="P19" s="629">
        <f t="array" ref="P19">INDEX('T12'!$U$9:$AE$38,MATCH('Debt Sizing'!$A19,'T12'!$T$9:$T$38,0),MATCH('Debt Sizing'!$X19,'T12'!$U$7:$AE$7,0))</f>
        <v>264257.02999999985</v>
      </c>
      <c r="Q19" s="630">
        <f>P19/units/12</f>
        <v>83.414466540403993</v>
      </c>
      <c r="R19" s="629">
        <f t="array" ref="R19">INDEX('T12'!$U$9:$AE$38,MATCH('Debt Sizing'!$A19,'T12'!$T$9:$T$38,0),MATCH('Debt Sizing'!$X19,'T12'!$U$7:$AE$7,0))</f>
        <v>264257.02999999985</v>
      </c>
      <c r="S19" s="630">
        <f>R19/units/12</f>
        <v>83.414466540403993</v>
      </c>
      <c r="T19" s="629">
        <f t="array" ref="T19">INDEX('T12'!$U$9:$AE$38,MATCH('Debt Sizing'!$A19,'T12'!$T$9:$T$38,0),MATCH('Debt Sizing'!$X19,'T12'!$U$7:$AE$7,0))</f>
        <v>264257.02999999985</v>
      </c>
      <c r="U19" s="630">
        <f>T19/units/12</f>
        <v>83.414466540403993</v>
      </c>
      <c r="V19" s="629">
        <f t="array" ref="V19">INDEX('T12'!$U$9:$AE$38,MATCH('Debt Sizing'!$A19,'T12'!$T$9:$T$38,0),MATCH('Debt Sizing'!$X19,'T12'!$U$7:$AE$7,0))</f>
        <v>264257.02999999985</v>
      </c>
      <c r="W19" s="630">
        <f>V19/units/12</f>
        <v>83.414466540403993</v>
      </c>
      <c r="X19" s="668" t="s">
        <v>640</v>
      </c>
      <c r="Y19" s="668"/>
      <c r="Z19" s="629">
        <f t="array" ref="Z19">INDEX('T12'!$U$9:$AE$38,MATCH('Debt Sizing'!$A19,'T12'!$T$9:$T$38,0),MATCH('Debt Sizing'!$X19,'T12'!$U$7:$AE$7,0))</f>
        <v>264257.02999999985</v>
      </c>
      <c r="AA19" s="630">
        <f>Z19/units/12</f>
        <v>83.414466540403993</v>
      </c>
      <c r="AB19" s="668"/>
      <c r="AC19" s="194"/>
      <c r="AD19" s="194"/>
      <c r="AE19" s="629">
        <f>'T12'!AA20</f>
        <v>205428</v>
      </c>
      <c r="AF19" s="630">
        <f>AE19/units/12</f>
        <v>64.844696969696969</v>
      </c>
      <c r="AG19" s="629">
        <f>'T12'!AC20</f>
        <v>217360.68</v>
      </c>
      <c r="AH19" s="630">
        <f>AG19/units/12</f>
        <v>68.611325757575756</v>
      </c>
      <c r="AI19" s="194"/>
      <c r="AJ19" s="194"/>
      <c r="AK19" s="194"/>
      <c r="AL19" s="194"/>
      <c r="AM19" s="194"/>
      <c r="AN19" s="194"/>
      <c r="AO19" s="194"/>
      <c r="AP19" s="196"/>
      <c r="AQ19" s="629">
        <f>P19</f>
        <v>264257.02999999985</v>
      </c>
      <c r="AR19" s="630">
        <f>AQ19/units/12</f>
        <v>83.414466540403993</v>
      </c>
      <c r="AS19" s="196"/>
      <c r="AT19" s="196"/>
      <c r="AU19" s="196"/>
      <c r="AV19" s="196"/>
    </row>
    <row r="20" spans="1:51" s="5" customFormat="1" ht="19">
      <c r="A20" s="642" t="s">
        <v>608</v>
      </c>
      <c r="B20" s="643">
        <f>SUM(B17:B19)</f>
        <v>657459.94999999972</v>
      </c>
      <c r="C20" s="644">
        <f>B20/units/12</f>
        <v>207.53154987373728</v>
      </c>
      <c r="D20" s="643">
        <f>SUM(D17:D19)</f>
        <v>692239.14000000013</v>
      </c>
      <c r="E20" s="644">
        <f>D20/units/12</f>
        <v>218.50982954545461</v>
      </c>
      <c r="F20" s="643">
        <f>SUM(F17:F19)</f>
        <v>710966.64000000013</v>
      </c>
      <c r="G20" s="644">
        <f>F20/units/12</f>
        <v>224.42128787878792</v>
      </c>
      <c r="H20" s="643">
        <f>SUM(H17:H19)</f>
        <v>709829.52</v>
      </c>
      <c r="I20" s="644">
        <f>H20/units/12</f>
        <v>224.06234848484848</v>
      </c>
      <c r="J20" s="643">
        <f>SUM(J17:J19)</f>
        <v>719507</v>
      </c>
      <c r="K20" s="644">
        <f>J20/units/12</f>
        <v>227.11710858585857</v>
      </c>
      <c r="L20" s="643">
        <f>SUM(L17:L19)</f>
        <v>657459.94999999972</v>
      </c>
      <c r="M20" s="644">
        <f>L20/units/12</f>
        <v>207.53154987373728</v>
      </c>
      <c r="N20" s="643">
        <f>SUM(N17:N19)</f>
        <v>657459.94999999972</v>
      </c>
      <c r="O20" s="644">
        <f>N20/units/12</f>
        <v>207.53154987373728</v>
      </c>
      <c r="P20" s="643">
        <f>SUM(P17:P19)</f>
        <v>657459.94999999972</v>
      </c>
      <c r="Q20" s="644">
        <f>P20/units/12</f>
        <v>207.53154987373728</v>
      </c>
      <c r="R20" s="643">
        <f>SUM(R17:R19)</f>
        <v>657459.94999999972</v>
      </c>
      <c r="S20" s="644">
        <f>R20/units/12</f>
        <v>207.53154987373728</v>
      </c>
      <c r="T20" s="643">
        <f>SUM(T17:T19)</f>
        <v>657459.94999999972</v>
      </c>
      <c r="U20" s="644">
        <f>T20/units/12</f>
        <v>207.53154987373728</v>
      </c>
      <c r="V20" s="643">
        <f>SUM(V17:V19)</f>
        <v>657459.94999999972</v>
      </c>
      <c r="W20" s="644">
        <f>V20/units/12</f>
        <v>207.53154987373728</v>
      </c>
      <c r="X20" s="671"/>
      <c r="Y20" s="668"/>
      <c r="Z20" s="643">
        <f>SUM(Z17:Z19)</f>
        <v>657459.94999999972</v>
      </c>
      <c r="AA20" s="644">
        <f>Z20/units/12</f>
        <v>207.53154987373728</v>
      </c>
      <c r="AB20" s="668"/>
      <c r="AC20" s="194"/>
      <c r="AD20" s="195"/>
      <c r="AE20" s="643">
        <f>SUM(AE17:AE19)</f>
        <v>694493.82000000007</v>
      </c>
      <c r="AF20" s="644">
        <f>AE20/units/12</f>
        <v>219.2215340909091</v>
      </c>
      <c r="AG20" s="643">
        <f>SUM(AG17:AG19)</f>
        <v>709829.52</v>
      </c>
      <c r="AH20" s="644">
        <f>AG20/units/12</f>
        <v>224.06234848484848</v>
      </c>
      <c r="AI20" s="194"/>
      <c r="AJ20" s="194"/>
      <c r="AK20" s="194"/>
      <c r="AL20" s="194"/>
      <c r="AM20" s="194"/>
      <c r="AN20" s="194"/>
      <c r="AO20" s="194"/>
      <c r="AP20" s="196"/>
      <c r="AQ20" s="643">
        <f>SUM(AQ17:AQ19)</f>
        <v>657459.94999999972</v>
      </c>
      <c r="AR20" s="644">
        <f>AQ20/units/12</f>
        <v>207.53154987373728</v>
      </c>
      <c r="AS20" s="196"/>
      <c r="AT20" s="196"/>
      <c r="AU20" s="196"/>
      <c r="AV20" s="196"/>
    </row>
    <row r="21" spans="1:51" s="6" customFormat="1" ht="19">
      <c r="A21" s="645" t="s">
        <v>609</v>
      </c>
      <c r="B21" s="635">
        <f>B20+B14</f>
        <v>3594597.4799999995</v>
      </c>
      <c r="C21" s="646">
        <f>B21/units/12</f>
        <v>1134.6582954545454</v>
      </c>
      <c r="D21" s="635">
        <f>D20+D14</f>
        <v>4078298.0200000005</v>
      </c>
      <c r="E21" s="646">
        <f>D21/units/12</f>
        <v>1287.3415467171719</v>
      </c>
      <c r="F21" s="635">
        <f>F20+F14</f>
        <v>4408713.76</v>
      </c>
      <c r="G21" s="646">
        <f>F21/units/12</f>
        <v>1391.6394444444443</v>
      </c>
      <c r="H21" s="635">
        <f>H20+H14</f>
        <v>4483503.5999999996</v>
      </c>
      <c r="I21" s="646">
        <f>H21/units/12</f>
        <v>1415.2473484848485</v>
      </c>
      <c r="J21" s="635">
        <f>J20+J14</f>
        <v>4831043.1862631636</v>
      </c>
      <c r="K21" s="646">
        <f>J21/units/12</f>
        <v>1524.9505007143825</v>
      </c>
      <c r="L21" s="635">
        <f>L20+L14</f>
        <v>4131815.0799999996</v>
      </c>
      <c r="M21" s="646">
        <f>L21/units/12</f>
        <v>1304.234558080808</v>
      </c>
      <c r="N21" s="635">
        <f>N20+N14</f>
        <v>4131815.0799999996</v>
      </c>
      <c r="O21" s="646">
        <f>N21/units/12</f>
        <v>1304.234558080808</v>
      </c>
      <c r="P21" s="635">
        <f>P20+P14</f>
        <v>4131815.0799999996</v>
      </c>
      <c r="Q21" s="646">
        <f>P21/units/12</f>
        <v>1304.234558080808</v>
      </c>
      <c r="R21" s="635">
        <f>R20+R14</f>
        <v>4131815.0799999996</v>
      </c>
      <c r="S21" s="646">
        <f>R21/units/12</f>
        <v>1304.234558080808</v>
      </c>
      <c r="T21" s="635">
        <f>T20+T14</f>
        <v>4131815.0799999996</v>
      </c>
      <c r="U21" s="646">
        <f>T21/units/12</f>
        <v>1304.234558080808</v>
      </c>
      <c r="V21" s="635">
        <f>V20+V14</f>
        <v>3965817.1099999994</v>
      </c>
      <c r="W21" s="646">
        <f>V21/units/12</f>
        <v>1251.8362089646464</v>
      </c>
      <c r="X21" s="672"/>
      <c r="Y21" s="1504"/>
      <c r="Z21" s="635">
        <f>Z20+Z14</f>
        <v>4048827.3499999992</v>
      </c>
      <c r="AA21" s="646">
        <f>Z21/units/12</f>
        <v>1278.0389362373735</v>
      </c>
      <c r="AB21" s="1504"/>
      <c r="AC21" s="223"/>
      <c r="AD21" s="195"/>
      <c r="AE21" s="635">
        <f>AE20+AE14</f>
        <v>4426456.62</v>
      </c>
      <c r="AF21" s="646">
        <f>AE21/units/12</f>
        <v>1397.2400946969699</v>
      </c>
      <c r="AG21" s="635">
        <f>AG20+AG14</f>
        <v>4475958.959999999</v>
      </c>
      <c r="AH21" s="646">
        <f>AG21/units/12</f>
        <v>1412.8658333333331</v>
      </c>
      <c r="AI21" s="225"/>
      <c r="AJ21" s="201"/>
      <c r="AK21" s="201"/>
      <c r="AL21" s="201"/>
      <c r="AM21" s="201"/>
      <c r="AN21" s="201"/>
      <c r="AO21" s="201"/>
      <c r="AP21" s="202"/>
      <c r="AQ21" s="635">
        <f>AQ20+AQ14</f>
        <v>4131815.0799999996</v>
      </c>
      <c r="AR21" s="646">
        <f>AQ21/units/12</f>
        <v>1304.234558080808</v>
      </c>
      <c r="AS21" s="202"/>
      <c r="AT21" s="202"/>
      <c r="AU21" s="202"/>
      <c r="AV21" s="202"/>
      <c r="AY21" s="224" t="s">
        <v>640</v>
      </c>
    </row>
    <row r="22" spans="1:51" s="5" customFormat="1" ht="19">
      <c r="A22" s="647"/>
      <c r="B22" s="638">
        <f>B21/12</f>
        <v>299549.78999999998</v>
      </c>
      <c r="C22" s="649"/>
      <c r="D22" s="638">
        <f>D21/12</f>
        <v>339858.16833333339</v>
      </c>
      <c r="E22" s="649"/>
      <c r="F22" s="638">
        <f>F21/12</f>
        <v>367392.8133333333</v>
      </c>
      <c r="G22" s="649"/>
      <c r="H22" s="638">
        <f>H21/12</f>
        <v>373625.3</v>
      </c>
      <c r="I22" s="649"/>
      <c r="J22" s="638">
        <f>J21/12</f>
        <v>402586.93218859698</v>
      </c>
      <c r="K22" s="228"/>
      <c r="L22" s="638">
        <f>L21/12</f>
        <v>344317.92333333328</v>
      </c>
      <c r="M22" s="649"/>
      <c r="N22" s="638">
        <f>N21/12</f>
        <v>344317.92333333328</v>
      </c>
      <c r="O22" s="649"/>
      <c r="P22" s="638">
        <f>P21/12</f>
        <v>344317.92333333328</v>
      </c>
      <c r="Q22" s="649"/>
      <c r="R22" s="638">
        <f>R21/12</f>
        <v>344317.92333333328</v>
      </c>
      <c r="S22" s="649"/>
      <c r="T22" s="638">
        <f>T21/12</f>
        <v>344317.92333333328</v>
      </c>
      <c r="U22" s="649"/>
      <c r="V22" s="638">
        <f>V21/12</f>
        <v>330484.7591666666</v>
      </c>
      <c r="W22" s="649"/>
      <c r="X22" s="667"/>
      <c r="Y22" s="667"/>
      <c r="Z22" s="638">
        <f>Z21/12</f>
        <v>337402.27916666662</v>
      </c>
      <c r="AA22" s="649"/>
      <c r="AB22" s="667"/>
      <c r="AC22" s="194"/>
      <c r="AD22" s="195"/>
      <c r="AE22" s="638">
        <f>AE21/12</f>
        <v>368871.38500000001</v>
      </c>
      <c r="AF22" s="649"/>
      <c r="AG22" s="638">
        <f>AG21/12</f>
        <v>372996.5799999999</v>
      </c>
      <c r="AH22" s="649"/>
      <c r="AI22" s="225"/>
      <c r="AJ22" s="194"/>
      <c r="AK22" s="194"/>
      <c r="AL22" s="194"/>
      <c r="AM22" s="194"/>
      <c r="AN22" s="194"/>
      <c r="AO22" s="194"/>
      <c r="AP22" s="196"/>
      <c r="AQ22" s="638">
        <f>AQ21/12</f>
        <v>344317.92333333328</v>
      </c>
      <c r="AR22" s="649"/>
      <c r="AS22" s="196"/>
      <c r="AT22" s="196"/>
      <c r="AU22" s="196"/>
      <c r="AV22" s="196"/>
      <c r="AY22" s="224" t="s">
        <v>621</v>
      </c>
    </row>
    <row r="23" spans="1:51" s="6" customFormat="1" ht="19">
      <c r="A23" s="625" t="s">
        <v>610</v>
      </c>
      <c r="B23" s="1214"/>
      <c r="C23" s="1215" t="s">
        <v>79</v>
      </c>
      <c r="D23" s="1214"/>
      <c r="E23" s="1215" t="s">
        <v>79</v>
      </c>
      <c r="F23" s="1214"/>
      <c r="G23" s="1215" t="s">
        <v>79</v>
      </c>
      <c r="H23" s="1214"/>
      <c r="I23" s="1215" t="s">
        <v>79</v>
      </c>
      <c r="J23" s="1216"/>
      <c r="K23" s="1215" t="s">
        <v>79</v>
      </c>
      <c r="L23" s="1214"/>
      <c r="M23" s="1215" t="s">
        <v>79</v>
      </c>
      <c r="N23" s="1214"/>
      <c r="O23" s="1215" t="s">
        <v>79</v>
      </c>
      <c r="P23" s="1214"/>
      <c r="Q23" s="1215" t="s">
        <v>79</v>
      </c>
      <c r="R23" s="1214"/>
      <c r="S23" s="1215" t="s">
        <v>79</v>
      </c>
      <c r="T23" s="1214"/>
      <c r="U23" s="1215" t="s">
        <v>79</v>
      </c>
      <c r="V23" s="1214"/>
      <c r="W23" s="1215" t="s">
        <v>79</v>
      </c>
      <c r="X23" s="667"/>
      <c r="Y23" s="667"/>
      <c r="Z23" s="1214"/>
      <c r="AA23" s="1215" t="s">
        <v>79</v>
      </c>
      <c r="AB23" s="667"/>
      <c r="AC23" s="201"/>
      <c r="AD23" s="213"/>
      <c r="AE23" s="1214"/>
      <c r="AF23" s="1215" t="s">
        <v>79</v>
      </c>
      <c r="AG23" s="1214"/>
      <c r="AH23" s="1215" t="s">
        <v>79</v>
      </c>
      <c r="AI23" s="225"/>
      <c r="AJ23" s="194"/>
      <c r="AK23" s="194"/>
      <c r="AL23" s="201"/>
      <c r="AM23" s="201"/>
      <c r="AN23" s="201"/>
      <c r="AO23" s="201"/>
      <c r="AP23" s="202"/>
      <c r="AQ23" s="1214"/>
      <c r="AR23" s="1215" t="s">
        <v>79</v>
      </c>
      <c r="AS23" s="202"/>
      <c r="AT23" s="202"/>
      <c r="AU23" s="202"/>
      <c r="AV23" s="202"/>
      <c r="AY23" s="224" t="s">
        <v>622</v>
      </c>
    </row>
    <row r="24" spans="1:51" s="5" customFormat="1" ht="19">
      <c r="A24" s="628" t="s">
        <v>654</v>
      </c>
      <c r="B24" s="629">
        <f>'T12'!U25</f>
        <v>77136.06</v>
      </c>
      <c r="C24" s="630">
        <f t="shared" ref="C24:G33" si="12">B24/units</f>
        <v>292.18204545454546</v>
      </c>
      <c r="D24" s="629">
        <f>'T12'!W25</f>
        <v>89586.079999999987</v>
      </c>
      <c r="E24" s="630">
        <f t="shared" ref="E24:G31" si="13">D24/units</f>
        <v>339.3412121212121</v>
      </c>
      <c r="F24" s="629">
        <f>'T12'!Y25</f>
        <v>78097.760000000009</v>
      </c>
      <c r="G24" s="630">
        <f t="shared" ref="G24:G30" si="14">F24/units</f>
        <v>295.82484848484853</v>
      </c>
      <c r="H24" s="629">
        <f>'T12'!AC25</f>
        <v>64712.160000000003</v>
      </c>
      <c r="I24" s="630">
        <f t="shared" ref="I24:I31" si="15">H24/units</f>
        <v>245.12181818181818</v>
      </c>
      <c r="J24" s="206">
        <f>'Sponsor Pro Forma'!K23</f>
        <v>73920</v>
      </c>
      <c r="K24" s="630">
        <f t="shared" ref="K24:K31" si="16">J24/units</f>
        <v>280</v>
      </c>
      <c r="L24" s="629">
        <f t="array" ref="L24">INDEX('T12'!$U$9:$AE$38,MATCH('Debt Sizing'!$A24,'T12'!$T$9:$T$38,0),MATCH('Debt Sizing'!$X24,'T12'!$U$7:$AE$7,0))</f>
        <v>73920</v>
      </c>
      <c r="M24" s="630">
        <f t="shared" ref="M24:M31" si="17">L24/units</f>
        <v>280</v>
      </c>
      <c r="N24" s="629">
        <f t="array" ref="N24">INDEX('T12'!$U$9:$AE$38,MATCH('Debt Sizing'!$A24,'T12'!$T$9:$T$38,0),MATCH('Debt Sizing'!$X24,'T12'!$U$7:$AE$7,0))</f>
        <v>73920</v>
      </c>
      <c r="O24" s="630">
        <f t="shared" ref="O24:O31" si="18">N24/units</f>
        <v>280</v>
      </c>
      <c r="P24" s="629">
        <f t="array" ref="P24">INDEX('T12'!$U$9:$AE$38,MATCH('Debt Sizing'!$A24,'T12'!$T$9:$T$38,0),MATCH('Debt Sizing'!$X24,'T12'!$U$7:$AE$7,0))</f>
        <v>73920</v>
      </c>
      <c r="Q24" s="630">
        <f t="shared" ref="Q24:Q31" si="19">P24/units</f>
        <v>280</v>
      </c>
      <c r="R24" s="629">
        <f t="array" ref="R24">INDEX('T12'!$U$9:$AE$38,MATCH('Debt Sizing'!$A24,'T12'!$T$9:$T$38,0),MATCH('Debt Sizing'!$X24,'T12'!$U$7:$AE$7,0))</f>
        <v>73920</v>
      </c>
      <c r="S24" s="630">
        <f t="shared" ref="S24:S31" si="20">R24/units</f>
        <v>280</v>
      </c>
      <c r="T24" s="629">
        <f t="array" ref="T24">INDEX('T12'!$U$9:$AE$38,MATCH('Debt Sizing'!$A24,'T12'!$T$9:$T$38,0),MATCH('Debt Sizing'!$X24,'T12'!$U$7:$AE$7,0))</f>
        <v>73920</v>
      </c>
      <c r="U24" s="630">
        <f t="shared" ref="U24:U31" si="21">T24/units</f>
        <v>280</v>
      </c>
      <c r="V24" s="629">
        <f t="array" ref="V24">INDEX('T12'!$U$9:$AE$38,MATCH('Debt Sizing'!$A24,'T12'!$T$9:$T$38,0),MATCH('Debt Sizing'!$X24,'T12'!$U$7:$AE$7,0))</f>
        <v>73920</v>
      </c>
      <c r="W24" s="630">
        <f t="shared" ref="W24:W31" si="22">V24/units</f>
        <v>280</v>
      </c>
      <c r="X24" s="668" t="s">
        <v>655</v>
      </c>
      <c r="Y24" s="668"/>
      <c r="Z24" s="629">
        <f t="array" ref="Z24">INDEX('T12'!$U$9:$AE$38,MATCH('Debt Sizing'!$A24,'T12'!$T$9:$T$38,0),MATCH('Debt Sizing'!$X24,'T12'!$U$7:$AE$7,0))</f>
        <v>73920</v>
      </c>
      <c r="AA24" s="630">
        <f t="shared" ref="AA24:AA31" si="23">Z24/units</f>
        <v>280</v>
      </c>
      <c r="AB24" s="668"/>
      <c r="AC24" s="194"/>
      <c r="AD24" s="195"/>
      <c r="AE24" s="629">
        <f>'T12'!AA25</f>
        <v>72038.819999999978</v>
      </c>
      <c r="AF24" s="630">
        <f t="shared" ref="AF24:AF31" si="24">AE24/units</f>
        <v>272.87431818181813</v>
      </c>
      <c r="AG24" s="629">
        <f>'T12'!AC25</f>
        <v>64712.160000000003</v>
      </c>
      <c r="AH24" s="630">
        <f t="shared" ref="AH24:AH31" si="25">AG24/units</f>
        <v>245.12181818181818</v>
      </c>
      <c r="AI24" s="225"/>
      <c r="AJ24" s="194"/>
      <c r="AK24" s="194"/>
      <c r="AL24" s="194"/>
      <c r="AM24" s="194"/>
      <c r="AN24" s="194"/>
      <c r="AO24" s="194"/>
      <c r="AP24" s="196"/>
      <c r="AQ24" s="629">
        <f t="shared" ref="AQ24:AQ30" si="26">P24</f>
        <v>73920</v>
      </c>
      <c r="AR24" s="630">
        <f t="shared" ref="AR24:AR31" si="27">AQ24/units</f>
        <v>280</v>
      </c>
      <c r="AS24" s="196"/>
      <c r="AT24" s="196"/>
      <c r="AU24" s="196"/>
      <c r="AV24" s="196"/>
      <c r="AY24" s="224" t="s">
        <v>632</v>
      </c>
    </row>
    <row r="25" spans="1:51" s="5" customFormat="1" ht="19">
      <c r="A25" s="628" t="s">
        <v>656</v>
      </c>
      <c r="B25" s="629">
        <f>'T12'!U26</f>
        <v>45632.900000000009</v>
      </c>
      <c r="C25" s="630">
        <f t="shared" si="12"/>
        <v>172.85189393939396</v>
      </c>
      <c r="D25" s="629">
        <f>'T12'!W26</f>
        <v>46394.01999999999</v>
      </c>
      <c r="E25" s="630">
        <f t="shared" si="13"/>
        <v>175.7349242424242</v>
      </c>
      <c r="F25" s="629">
        <f>'T12'!Y26</f>
        <v>36036.560000000005</v>
      </c>
      <c r="G25" s="630">
        <f t="shared" si="14"/>
        <v>136.50212121212124</v>
      </c>
      <c r="H25" s="629">
        <f>'T12'!AC26</f>
        <v>37199.279999999999</v>
      </c>
      <c r="I25" s="630">
        <f t="shared" si="15"/>
        <v>140.90636363636364</v>
      </c>
      <c r="J25" s="206">
        <f>'Sponsor Pro Forma'!K24</f>
        <v>46728</v>
      </c>
      <c r="K25" s="630">
        <f t="shared" si="16"/>
        <v>177</v>
      </c>
      <c r="L25" s="629">
        <f t="array" ref="L25">INDEX('T12'!$U$9:$AE$38,MATCH('Debt Sizing'!$A25,'T12'!$T$9:$T$38,0),MATCH('Debt Sizing'!$X25,'T12'!$U$7:$AE$7,0))</f>
        <v>46728</v>
      </c>
      <c r="M25" s="630">
        <f t="shared" si="17"/>
        <v>177</v>
      </c>
      <c r="N25" s="629">
        <f t="array" ref="N25">INDEX('T12'!$U$9:$AE$38,MATCH('Debt Sizing'!$A25,'T12'!$T$9:$T$38,0),MATCH('Debt Sizing'!$X25,'T12'!$U$7:$AE$7,0))</f>
        <v>46728</v>
      </c>
      <c r="O25" s="630">
        <f t="shared" si="18"/>
        <v>177</v>
      </c>
      <c r="P25" s="629">
        <f t="array" ref="P25">INDEX('T12'!$U$9:$AE$38,MATCH('Debt Sizing'!$A25,'T12'!$T$9:$T$38,0),MATCH('Debt Sizing'!$X25,'T12'!$U$7:$AE$7,0))</f>
        <v>46728</v>
      </c>
      <c r="Q25" s="630">
        <f t="shared" si="19"/>
        <v>177</v>
      </c>
      <c r="R25" s="629">
        <f t="array" ref="R25">INDEX('T12'!$U$9:$AE$38,MATCH('Debt Sizing'!$A25,'T12'!$T$9:$T$38,0),MATCH('Debt Sizing'!$X25,'T12'!$U$7:$AE$7,0))</f>
        <v>46728</v>
      </c>
      <c r="S25" s="630">
        <f t="shared" si="20"/>
        <v>177</v>
      </c>
      <c r="T25" s="629">
        <f t="array" ref="T25">INDEX('T12'!$U$9:$AE$38,MATCH('Debt Sizing'!$A25,'T12'!$T$9:$T$38,0),MATCH('Debt Sizing'!$X25,'T12'!$U$7:$AE$7,0))</f>
        <v>46728</v>
      </c>
      <c r="U25" s="630">
        <f t="shared" si="21"/>
        <v>177</v>
      </c>
      <c r="V25" s="629">
        <f t="array" ref="V25">INDEX('T12'!$U$9:$AE$38,MATCH('Debt Sizing'!$A25,'T12'!$T$9:$T$38,0),MATCH('Debt Sizing'!$X25,'T12'!$U$7:$AE$7,0))</f>
        <v>46728</v>
      </c>
      <c r="W25" s="630">
        <f t="shared" si="22"/>
        <v>177</v>
      </c>
      <c r="X25" s="668" t="s">
        <v>655</v>
      </c>
      <c r="Y25" s="668"/>
      <c r="Z25" s="629">
        <f t="array" ref="Z25">INDEX('T12'!$U$9:$AE$38,MATCH('Debt Sizing'!$A25,'T12'!$T$9:$T$38,0),MATCH('Debt Sizing'!$X25,'T12'!$U$7:$AE$7,0))</f>
        <v>46728</v>
      </c>
      <c r="AA25" s="630">
        <f t="shared" si="23"/>
        <v>177</v>
      </c>
      <c r="AB25" s="668"/>
      <c r="AC25" s="194"/>
      <c r="AD25" s="195"/>
      <c r="AE25" s="629">
        <f>'T12'!AA26</f>
        <v>33191.279999999999</v>
      </c>
      <c r="AF25" s="630">
        <f t="shared" si="24"/>
        <v>125.72454545454545</v>
      </c>
      <c r="AG25" s="629">
        <f>'T12'!AC26</f>
        <v>37199.279999999999</v>
      </c>
      <c r="AH25" s="630">
        <f t="shared" si="25"/>
        <v>140.90636363636364</v>
      </c>
      <c r="AI25" s="225"/>
      <c r="AJ25" s="194"/>
      <c r="AK25" s="194"/>
      <c r="AL25" s="194"/>
      <c r="AM25" s="194"/>
      <c r="AN25" s="194"/>
      <c r="AO25" s="194"/>
      <c r="AP25" s="196"/>
      <c r="AQ25" s="629">
        <f t="shared" si="26"/>
        <v>46728</v>
      </c>
      <c r="AR25" s="630">
        <f t="shared" si="27"/>
        <v>177</v>
      </c>
      <c r="AS25" s="196"/>
      <c r="AT25" s="196"/>
      <c r="AU25" s="196"/>
      <c r="AV25" s="196"/>
      <c r="AY25" s="224" t="s">
        <v>623</v>
      </c>
    </row>
    <row r="26" spans="1:51" s="5" customFormat="1" ht="19" outlineLevel="1">
      <c r="A26" s="628" t="s">
        <v>657</v>
      </c>
      <c r="B26" s="629">
        <f>'T12'!U27</f>
        <v>69162.34</v>
      </c>
      <c r="C26" s="630">
        <f t="shared" si="12"/>
        <v>261.97856060606057</v>
      </c>
      <c r="D26" s="629">
        <f>'T12'!W27</f>
        <v>68653.160000000033</v>
      </c>
      <c r="E26" s="630">
        <f t="shared" si="13"/>
        <v>260.04984848484861</v>
      </c>
      <c r="F26" s="629">
        <f>'T12'!Y27</f>
        <v>37509.839999999997</v>
      </c>
      <c r="G26" s="630">
        <f t="shared" si="14"/>
        <v>142.08272727272725</v>
      </c>
      <c r="H26" s="629">
        <f>'T12'!AC27</f>
        <v>43039.68</v>
      </c>
      <c r="I26" s="630">
        <f t="shared" si="15"/>
        <v>163.02909090909091</v>
      </c>
      <c r="J26" s="206">
        <f>'Sponsor Pro Forma'!K25</f>
        <v>82896</v>
      </c>
      <c r="K26" s="630">
        <f t="shared" si="16"/>
        <v>314</v>
      </c>
      <c r="L26" s="629">
        <f t="array" ref="L26">INDEX('T12'!$U$9:$AE$38,MATCH('Debt Sizing'!$A26,'T12'!$T$9:$T$38,0),MATCH('Debt Sizing'!$X26,'T12'!$U$7:$AE$7,0))</f>
        <v>82896</v>
      </c>
      <c r="M26" s="630">
        <f t="shared" si="17"/>
        <v>314</v>
      </c>
      <c r="N26" s="629">
        <f t="array" ref="N26">INDEX('T12'!$U$9:$AE$38,MATCH('Debt Sizing'!$A26,'T12'!$T$9:$T$38,0),MATCH('Debt Sizing'!$X26,'T12'!$U$7:$AE$7,0))</f>
        <v>82896</v>
      </c>
      <c r="O26" s="630">
        <f t="shared" si="18"/>
        <v>314</v>
      </c>
      <c r="P26" s="629">
        <f t="array" ref="P26">INDEX('T12'!$U$9:$AE$38,MATCH('Debt Sizing'!$A26,'T12'!$T$9:$T$38,0),MATCH('Debt Sizing'!$X26,'T12'!$U$7:$AE$7,0))</f>
        <v>82896</v>
      </c>
      <c r="Q26" s="630">
        <f t="shared" si="19"/>
        <v>314</v>
      </c>
      <c r="R26" s="629">
        <f t="array" ref="R26">INDEX('T12'!$U$9:$AE$38,MATCH('Debt Sizing'!$A26,'T12'!$T$9:$T$38,0),MATCH('Debt Sizing'!$X26,'T12'!$U$7:$AE$7,0))</f>
        <v>82896</v>
      </c>
      <c r="S26" s="630">
        <f t="shared" si="20"/>
        <v>314</v>
      </c>
      <c r="T26" s="629">
        <f t="array" ref="T26">INDEX('T12'!$U$9:$AE$38,MATCH('Debt Sizing'!$A26,'T12'!$T$9:$T$38,0),MATCH('Debt Sizing'!$X26,'T12'!$U$7:$AE$7,0))</f>
        <v>82896</v>
      </c>
      <c r="U26" s="630">
        <f t="shared" si="21"/>
        <v>314</v>
      </c>
      <c r="V26" s="629">
        <f t="array" ref="V26">INDEX('T12'!$U$9:$AE$38,MATCH('Debt Sizing'!$A26,'T12'!$T$9:$T$38,0),MATCH('Debt Sizing'!$X26,'T12'!$U$7:$AE$7,0))</f>
        <v>82896</v>
      </c>
      <c r="W26" s="630">
        <f t="shared" si="22"/>
        <v>314</v>
      </c>
      <c r="X26" s="668" t="s">
        <v>655</v>
      </c>
      <c r="Y26" s="668"/>
      <c r="Z26" s="629">
        <f t="array" ref="Z26">INDEX('T12'!$U$9:$AE$38,MATCH('Debt Sizing'!$A26,'T12'!$T$9:$T$38,0),MATCH('Debt Sizing'!$X26,'T12'!$U$7:$AE$7,0))</f>
        <v>82896</v>
      </c>
      <c r="AA26" s="630">
        <f t="shared" si="23"/>
        <v>314</v>
      </c>
      <c r="AB26" s="668"/>
      <c r="AC26" s="194"/>
      <c r="AD26" s="195"/>
      <c r="AE26" s="629">
        <f>'T12'!AA27</f>
        <v>36473.339999999997</v>
      </c>
      <c r="AF26" s="630">
        <f t="shared" si="24"/>
        <v>138.15659090909091</v>
      </c>
      <c r="AG26" s="629">
        <f>'T12'!AC27</f>
        <v>43039.68</v>
      </c>
      <c r="AH26" s="630">
        <f t="shared" si="25"/>
        <v>163.02909090909091</v>
      </c>
      <c r="AI26" s="225"/>
      <c r="AJ26" s="194"/>
      <c r="AK26" s="194"/>
      <c r="AL26" s="194"/>
      <c r="AM26" s="194"/>
      <c r="AN26" s="194"/>
      <c r="AO26" s="194"/>
      <c r="AP26" s="196"/>
      <c r="AQ26" s="629">
        <f t="shared" si="26"/>
        <v>82896</v>
      </c>
      <c r="AR26" s="630">
        <f t="shared" si="27"/>
        <v>314</v>
      </c>
      <c r="AS26" s="196"/>
      <c r="AT26" s="196"/>
      <c r="AU26" s="196"/>
      <c r="AV26" s="196"/>
      <c r="AY26" s="224" t="s">
        <v>655</v>
      </c>
    </row>
    <row r="27" spans="1:51" s="6" customFormat="1" ht="19">
      <c r="A27" s="628" t="s">
        <v>658</v>
      </c>
      <c r="B27" s="629">
        <f>'T12'!U28</f>
        <v>493485.87000000029</v>
      </c>
      <c r="C27" s="630">
        <f t="shared" si="12"/>
        <v>1869.2646590909101</v>
      </c>
      <c r="D27" s="629">
        <f>'T12'!W28</f>
        <v>513711.10000000015</v>
      </c>
      <c r="E27" s="630">
        <f t="shared" si="13"/>
        <v>1945.8753787878793</v>
      </c>
      <c r="F27" s="629">
        <f>'T12'!Y28</f>
        <v>514473.6399999999</v>
      </c>
      <c r="G27" s="630">
        <f t="shared" si="14"/>
        <v>1948.7637878787875</v>
      </c>
      <c r="H27" s="629">
        <f>'T12'!AC28</f>
        <v>507207.3600000001</v>
      </c>
      <c r="I27" s="630">
        <f t="shared" si="15"/>
        <v>1921.2400000000005</v>
      </c>
      <c r="J27" s="206">
        <f>'Sponsor Pro Forma'!K26</f>
        <v>537240</v>
      </c>
      <c r="K27" s="630">
        <f t="shared" si="16"/>
        <v>2035</v>
      </c>
      <c r="L27" s="629">
        <f t="array" ref="L27">INDEX('T12'!$U$9:$AE$38,MATCH('Debt Sizing'!$A27,'T12'!$T$9:$T$38,0),MATCH('Debt Sizing'!$X27,'T12'!$U$7:$AE$7,0))</f>
        <v>537240</v>
      </c>
      <c r="M27" s="630">
        <f t="shared" si="17"/>
        <v>2035</v>
      </c>
      <c r="N27" s="629">
        <f t="array" ref="N27">INDEX('T12'!$U$9:$AE$38,MATCH('Debt Sizing'!$A27,'T12'!$T$9:$T$38,0),MATCH('Debt Sizing'!$X27,'T12'!$U$7:$AE$7,0))</f>
        <v>537240</v>
      </c>
      <c r="O27" s="630">
        <f t="shared" si="18"/>
        <v>2035</v>
      </c>
      <c r="P27" s="629">
        <f t="array" ref="P27">INDEX('T12'!$U$9:$AE$38,MATCH('Debt Sizing'!$A27,'T12'!$T$9:$T$38,0),MATCH('Debt Sizing'!$X27,'T12'!$U$7:$AE$7,0))</f>
        <v>537240</v>
      </c>
      <c r="Q27" s="630">
        <f t="shared" si="19"/>
        <v>2035</v>
      </c>
      <c r="R27" s="629">
        <f t="array" ref="R27">INDEX('T12'!$U$9:$AE$38,MATCH('Debt Sizing'!$A27,'T12'!$T$9:$T$38,0),MATCH('Debt Sizing'!$X27,'T12'!$U$7:$AE$7,0))</f>
        <v>537240</v>
      </c>
      <c r="S27" s="630">
        <f t="shared" si="20"/>
        <v>2035</v>
      </c>
      <c r="T27" s="629">
        <f t="array" ref="T27">INDEX('T12'!$U$9:$AE$38,MATCH('Debt Sizing'!$A27,'T12'!$T$9:$T$38,0),MATCH('Debt Sizing'!$X27,'T12'!$U$7:$AE$7,0))</f>
        <v>537240</v>
      </c>
      <c r="U27" s="630">
        <f t="shared" si="21"/>
        <v>2035</v>
      </c>
      <c r="V27" s="629">
        <f t="array" ref="V27">INDEX('T12'!$U$9:$AE$38,MATCH('Debt Sizing'!$A27,'T12'!$T$9:$T$38,0),MATCH('Debt Sizing'!$X27,'T12'!$U$7:$AE$7,0))</f>
        <v>537240</v>
      </c>
      <c r="W27" s="630">
        <f t="shared" si="22"/>
        <v>2035</v>
      </c>
      <c r="X27" s="668" t="s">
        <v>655</v>
      </c>
      <c r="Y27" s="668"/>
      <c r="Z27" s="629">
        <f t="array" ref="Z27">INDEX('T12'!$U$9:$AE$38,MATCH('Debt Sizing'!$A27,'T12'!$T$9:$T$38,0),MATCH('Debt Sizing'!$X27,'T12'!$U$7:$AE$7,0))</f>
        <v>537240</v>
      </c>
      <c r="AA27" s="630">
        <f t="shared" si="23"/>
        <v>2035</v>
      </c>
      <c r="AB27" s="668"/>
      <c r="AC27" s="231"/>
      <c r="AD27" s="232"/>
      <c r="AE27" s="629">
        <f>'T12'!AA28</f>
        <v>522569.33999999997</v>
      </c>
      <c r="AF27" s="630">
        <f t="shared" si="24"/>
        <v>1979.429318181818</v>
      </c>
      <c r="AG27" s="629">
        <f>'T12'!AC28</f>
        <v>507207.3600000001</v>
      </c>
      <c r="AH27" s="630">
        <f t="shared" si="25"/>
        <v>1921.2400000000005</v>
      </c>
      <c r="AI27" s="225"/>
      <c r="AJ27" s="194"/>
      <c r="AK27" s="194"/>
      <c r="AL27" s="201"/>
      <c r="AM27" s="201"/>
      <c r="AN27" s="201"/>
      <c r="AO27" s="201"/>
      <c r="AP27" s="202"/>
      <c r="AQ27" s="629">
        <f t="shared" si="26"/>
        <v>537240</v>
      </c>
      <c r="AR27" s="630">
        <f t="shared" si="27"/>
        <v>2035</v>
      </c>
      <c r="AS27" s="202"/>
      <c r="AT27" s="202"/>
      <c r="AU27" s="202"/>
      <c r="AV27" s="202"/>
      <c r="AY27" s="233" t="s">
        <v>659</v>
      </c>
    </row>
    <row r="28" spans="1:51" s="5" customFormat="1" ht="19">
      <c r="A28" s="628" t="s">
        <v>660</v>
      </c>
      <c r="B28" s="629">
        <f>'T12'!U29</f>
        <v>144095.60999999996</v>
      </c>
      <c r="C28" s="630">
        <f t="shared" si="12"/>
        <v>545.8167045454544</v>
      </c>
      <c r="D28" s="629">
        <f>'T12'!W29</f>
        <v>138012.01999999996</v>
      </c>
      <c r="E28" s="630">
        <f t="shared" si="13"/>
        <v>522.77280303030284</v>
      </c>
      <c r="F28" s="629">
        <f>'T12'!Y29</f>
        <v>130984.59999999996</v>
      </c>
      <c r="G28" s="630">
        <f t="shared" si="14"/>
        <v>496.15378787878774</v>
      </c>
      <c r="H28" s="629">
        <f>'T12'!AC29</f>
        <v>118597.56000000001</v>
      </c>
      <c r="I28" s="630">
        <f t="shared" si="15"/>
        <v>449.23318181818189</v>
      </c>
      <c r="J28" s="206">
        <f>'Sponsor Pro Forma'!K27</f>
        <v>155496</v>
      </c>
      <c r="K28" s="630">
        <f t="shared" si="16"/>
        <v>589</v>
      </c>
      <c r="L28" s="629">
        <f t="array" ref="L28">INDEX('T12'!$U$9:$AE$38,MATCH('Debt Sizing'!$A28,'T12'!$T$9:$T$38,0),MATCH('Debt Sizing'!$X28,'T12'!$U$7:$AE$7,0))</f>
        <v>155496</v>
      </c>
      <c r="M28" s="630">
        <f t="shared" si="17"/>
        <v>589</v>
      </c>
      <c r="N28" s="629">
        <f t="array" ref="N28">INDEX('T12'!$U$9:$AE$38,MATCH('Debt Sizing'!$A28,'T12'!$T$9:$T$38,0),MATCH('Debt Sizing'!$X28,'T12'!$U$7:$AE$7,0))</f>
        <v>155496</v>
      </c>
      <c r="O28" s="630">
        <f t="shared" si="18"/>
        <v>589</v>
      </c>
      <c r="P28" s="629">
        <f t="array" ref="P28">INDEX('T12'!$U$9:$AE$38,MATCH('Debt Sizing'!$A28,'T12'!$T$9:$T$38,0),MATCH('Debt Sizing'!$X28,'T12'!$U$7:$AE$7,0))</f>
        <v>155496</v>
      </c>
      <c r="Q28" s="630">
        <f t="shared" si="19"/>
        <v>589</v>
      </c>
      <c r="R28" s="629">
        <f t="array" ref="R28">INDEX('T12'!$U$9:$AE$38,MATCH('Debt Sizing'!$A28,'T12'!$T$9:$T$38,0),MATCH('Debt Sizing'!$X28,'T12'!$U$7:$AE$7,0))</f>
        <v>155496</v>
      </c>
      <c r="S28" s="630">
        <f t="shared" si="20"/>
        <v>589</v>
      </c>
      <c r="T28" s="629">
        <f t="array" ref="T28">INDEX('T12'!$U$9:$AE$38,MATCH('Debt Sizing'!$A28,'T12'!$T$9:$T$38,0),MATCH('Debt Sizing'!$X28,'T12'!$U$7:$AE$7,0))</f>
        <v>155496</v>
      </c>
      <c r="U28" s="630">
        <f t="shared" si="21"/>
        <v>589</v>
      </c>
      <c r="V28" s="629">
        <f t="array" ref="V28">INDEX('T12'!$U$9:$AE$38,MATCH('Debt Sizing'!$A28,'T12'!$T$9:$T$38,0),MATCH('Debt Sizing'!$X28,'T12'!$U$7:$AE$7,0))</f>
        <v>155496</v>
      </c>
      <c r="W28" s="630">
        <f t="shared" si="22"/>
        <v>589</v>
      </c>
      <c r="X28" s="668" t="s">
        <v>655</v>
      </c>
      <c r="Y28" s="668"/>
      <c r="Z28" s="629">
        <f t="array" ref="Z28">INDEX('T12'!$U$9:$AE$38,MATCH('Debt Sizing'!$A28,'T12'!$T$9:$T$38,0),MATCH('Debt Sizing'!$X28,'T12'!$U$7:$AE$7,0))</f>
        <v>155496</v>
      </c>
      <c r="AA28" s="630">
        <f t="shared" si="23"/>
        <v>589</v>
      </c>
      <c r="AB28" s="668"/>
      <c r="AC28" s="194"/>
      <c r="AD28" s="195"/>
      <c r="AE28" s="629">
        <f>'T12'!AA29</f>
        <v>121117.85999999996</v>
      </c>
      <c r="AF28" s="630">
        <f t="shared" si="24"/>
        <v>458.77977272727259</v>
      </c>
      <c r="AG28" s="629">
        <f>'T12'!AC29</f>
        <v>118597.56000000001</v>
      </c>
      <c r="AH28" s="630">
        <f t="shared" si="25"/>
        <v>449.23318181818189</v>
      </c>
      <c r="AI28" s="225"/>
      <c r="AJ28" s="194"/>
      <c r="AK28" s="194"/>
      <c r="AL28" s="194"/>
      <c r="AM28" s="194"/>
      <c r="AN28" s="194"/>
      <c r="AO28" s="194"/>
      <c r="AP28" s="196"/>
      <c r="AQ28" s="629">
        <f t="shared" si="26"/>
        <v>155496</v>
      </c>
      <c r="AR28" s="630">
        <f t="shared" si="27"/>
        <v>589</v>
      </c>
      <c r="AS28" s="196"/>
      <c r="AT28" s="196"/>
      <c r="AU28" s="196"/>
      <c r="AV28" s="196"/>
    </row>
    <row r="29" spans="1:51" s="5" customFormat="1" ht="19">
      <c r="A29" s="628" t="s">
        <v>661</v>
      </c>
      <c r="B29" s="629">
        <f>'T12'!U30</f>
        <v>153695.04999999999</v>
      </c>
      <c r="C29" s="630">
        <f t="shared" si="12"/>
        <v>582.17821969696968</v>
      </c>
      <c r="D29" s="629">
        <f>'T12'!W30</f>
        <v>152906.96000000002</v>
      </c>
      <c r="E29" s="630">
        <f t="shared" si="13"/>
        <v>579.19303030303035</v>
      </c>
      <c r="F29" s="629">
        <f>'T12'!Y30</f>
        <v>165003.76</v>
      </c>
      <c r="G29" s="630">
        <f t="shared" si="14"/>
        <v>625.01424242424241</v>
      </c>
      <c r="H29" s="629">
        <f>'T12'!AC30</f>
        <v>160336.19999999998</v>
      </c>
      <c r="I29" s="630">
        <f t="shared" si="15"/>
        <v>607.33409090909083</v>
      </c>
      <c r="J29" s="206">
        <f>'Sponsor Pro Forma'!K28</f>
        <v>149952</v>
      </c>
      <c r="K29" s="630">
        <f t="shared" si="16"/>
        <v>568</v>
      </c>
      <c r="L29" s="629">
        <f t="array" ref="L29">INDEX('T12'!$U$9:$AE$38,MATCH('Debt Sizing'!$A29,'T12'!$T$9:$T$38,0),MATCH('Debt Sizing'!$X29,'T12'!$U$7:$AE$7,0))</f>
        <v>149952</v>
      </c>
      <c r="M29" s="630">
        <f t="shared" si="17"/>
        <v>568</v>
      </c>
      <c r="N29" s="629">
        <f t="array" ref="N29">INDEX('T12'!$U$9:$AE$38,MATCH('Debt Sizing'!$A29,'T12'!$T$9:$T$38,0),MATCH('Debt Sizing'!$X29,'T12'!$U$7:$AE$7,0))</f>
        <v>149952</v>
      </c>
      <c r="O29" s="630">
        <f t="shared" si="18"/>
        <v>568</v>
      </c>
      <c r="P29" s="629">
        <f t="array" ref="P29">INDEX('T12'!$U$9:$AE$38,MATCH('Debt Sizing'!$A29,'T12'!$T$9:$T$38,0),MATCH('Debt Sizing'!$X29,'T12'!$U$7:$AE$7,0))</f>
        <v>149952</v>
      </c>
      <c r="Q29" s="630">
        <f t="shared" si="19"/>
        <v>568</v>
      </c>
      <c r="R29" s="629">
        <f t="array" ref="R29">INDEX('T12'!$U$9:$AE$38,MATCH('Debt Sizing'!$A29,'T12'!$T$9:$T$38,0),MATCH('Debt Sizing'!$X29,'T12'!$U$7:$AE$7,0))</f>
        <v>149952</v>
      </c>
      <c r="S29" s="630">
        <f t="shared" si="20"/>
        <v>568</v>
      </c>
      <c r="T29" s="629">
        <f t="array" ref="T29">INDEX('T12'!$U$9:$AE$38,MATCH('Debt Sizing'!$A29,'T12'!$T$9:$T$38,0),MATCH('Debt Sizing'!$X29,'T12'!$U$7:$AE$7,0))</f>
        <v>149952</v>
      </c>
      <c r="U29" s="630">
        <f t="shared" si="21"/>
        <v>568</v>
      </c>
      <c r="V29" s="629">
        <f t="array" ref="V29">INDEX('T12'!$U$9:$AE$38,MATCH('Debt Sizing'!$A29,'T12'!$T$9:$T$38,0),MATCH('Debt Sizing'!$X29,'T12'!$U$7:$AE$7,0))</f>
        <v>149952</v>
      </c>
      <c r="W29" s="630">
        <f t="shared" si="22"/>
        <v>568</v>
      </c>
      <c r="X29" s="668" t="s">
        <v>655</v>
      </c>
      <c r="Y29" s="668"/>
      <c r="Z29" s="629">
        <f t="array" ref="Z29">INDEX('T12'!$U$9:$AE$38,MATCH('Debt Sizing'!$A29,'T12'!$T$9:$T$38,0),MATCH('Debt Sizing'!$X29,'T12'!$U$7:$AE$7,0))</f>
        <v>149952</v>
      </c>
      <c r="AA29" s="630">
        <f t="shared" si="23"/>
        <v>568</v>
      </c>
      <c r="AB29" s="668"/>
      <c r="AC29" s="209"/>
      <c r="AD29" s="195"/>
      <c r="AE29" s="629">
        <f>'T12'!AA30</f>
        <v>161196.05999999997</v>
      </c>
      <c r="AF29" s="630">
        <f t="shared" si="24"/>
        <v>610.59113636363622</v>
      </c>
      <c r="AG29" s="629">
        <f>'T12'!AC30</f>
        <v>160336.19999999998</v>
      </c>
      <c r="AH29" s="630">
        <f t="shared" si="25"/>
        <v>607.33409090909083</v>
      </c>
      <c r="AI29" s="225"/>
      <c r="AJ29" s="194"/>
      <c r="AK29" s="194"/>
      <c r="AL29" s="194"/>
      <c r="AM29" s="194"/>
      <c r="AN29" s="194"/>
      <c r="AO29" s="194"/>
      <c r="AP29" s="196"/>
      <c r="AQ29" s="629">
        <f t="shared" si="26"/>
        <v>149952</v>
      </c>
      <c r="AR29" s="630">
        <f t="shared" si="27"/>
        <v>568</v>
      </c>
      <c r="AS29" s="196"/>
      <c r="AT29" s="196"/>
      <c r="AU29" s="196"/>
      <c r="AV29" s="196"/>
    </row>
    <row r="30" spans="1:51" s="5" customFormat="1" ht="19">
      <c r="A30" s="628" t="s">
        <v>662</v>
      </c>
      <c r="B30" s="629">
        <f>'T12'!U31</f>
        <v>411474.28999999969</v>
      </c>
      <c r="C30" s="630">
        <f t="shared" si="12"/>
        <v>1558.6147348484837</v>
      </c>
      <c r="D30" s="629">
        <f>'T12'!W31</f>
        <v>432987.22000000003</v>
      </c>
      <c r="E30" s="630">
        <f t="shared" si="13"/>
        <v>1640.1031060606063</v>
      </c>
      <c r="F30" s="629">
        <f>'T12'!Y31</f>
        <v>455721.67999999993</v>
      </c>
      <c r="G30" s="630">
        <f t="shared" si="14"/>
        <v>1726.2184848484846</v>
      </c>
      <c r="H30" s="629">
        <f>'T12'!AC31</f>
        <v>446231.88</v>
      </c>
      <c r="I30" s="630">
        <f t="shared" si="15"/>
        <v>1690.2722727272728</v>
      </c>
      <c r="J30" s="206">
        <f>'Sponsor Pro Forma'!K29</f>
        <v>404448</v>
      </c>
      <c r="K30" s="630">
        <f t="shared" si="16"/>
        <v>1532</v>
      </c>
      <c r="L30" s="629">
        <f t="array" ref="L30">INDEX('T12'!$U$9:$AE$38,MATCH('Debt Sizing'!$A30,'T12'!$T$9:$T$38,0),MATCH('Debt Sizing'!$X30,'T12'!$U$7:$AE$7,0))</f>
        <v>404448</v>
      </c>
      <c r="M30" s="630">
        <f t="shared" si="17"/>
        <v>1532</v>
      </c>
      <c r="N30" s="629">
        <f t="array" ref="N30">INDEX('T12'!$U$9:$AE$38,MATCH('Debt Sizing'!$A30,'T12'!$T$9:$T$38,0),MATCH('Debt Sizing'!$X30,'T12'!$U$7:$AE$7,0))</f>
        <v>404448</v>
      </c>
      <c r="O30" s="630">
        <f t="shared" si="18"/>
        <v>1532</v>
      </c>
      <c r="P30" s="629">
        <f t="array" ref="P30">INDEX('T12'!$U$9:$AE$38,MATCH('Debt Sizing'!$A30,'T12'!$T$9:$T$38,0),MATCH('Debt Sizing'!$X30,'T12'!$U$7:$AE$7,0))</f>
        <v>404448</v>
      </c>
      <c r="Q30" s="630">
        <f t="shared" si="19"/>
        <v>1532</v>
      </c>
      <c r="R30" s="629">
        <f t="array" ref="R30">INDEX('T12'!$U$9:$AE$38,MATCH('Debt Sizing'!$A30,'T12'!$T$9:$T$38,0),MATCH('Debt Sizing'!$X30,'T12'!$U$7:$AE$7,0))</f>
        <v>404448</v>
      </c>
      <c r="S30" s="630">
        <f t="shared" si="20"/>
        <v>1532</v>
      </c>
      <c r="T30" s="629">
        <f t="array" ref="T30">INDEX('T12'!$U$9:$AE$38,MATCH('Debt Sizing'!$A30,'T12'!$T$9:$T$38,0),MATCH('Debt Sizing'!$X30,'T12'!$U$7:$AE$7,0))</f>
        <v>404448</v>
      </c>
      <c r="U30" s="630">
        <f t="shared" si="21"/>
        <v>1532</v>
      </c>
      <c r="V30" s="629">
        <f t="array" ref="V30">INDEX('T12'!$U$9:$AE$38,MATCH('Debt Sizing'!$A30,'T12'!$T$9:$T$38,0),MATCH('Debt Sizing'!$X30,'T12'!$U$7:$AE$7,0))</f>
        <v>404448</v>
      </c>
      <c r="W30" s="630">
        <f t="shared" si="22"/>
        <v>1532</v>
      </c>
      <c r="X30" s="668" t="s">
        <v>655</v>
      </c>
      <c r="Y30" s="668"/>
      <c r="Z30" s="629">
        <f t="array" ref="Z30">INDEX('T12'!$U$9:$AE$38,MATCH('Debt Sizing'!$A30,'T12'!$T$9:$T$38,0),MATCH('Debt Sizing'!$X30,'T12'!$U$7:$AE$7,0))</f>
        <v>404448</v>
      </c>
      <c r="AA30" s="630">
        <f t="shared" si="23"/>
        <v>1532</v>
      </c>
      <c r="AB30" s="668"/>
      <c r="AC30" s="194"/>
      <c r="AD30" s="195"/>
      <c r="AE30" s="629">
        <f>'T12'!AA31</f>
        <v>427007.22000000009</v>
      </c>
      <c r="AF30" s="630">
        <f t="shared" si="24"/>
        <v>1617.4515909090912</v>
      </c>
      <c r="AG30" s="629">
        <f>'T12'!AC31</f>
        <v>446231.88</v>
      </c>
      <c r="AH30" s="630">
        <f t="shared" si="25"/>
        <v>1690.2722727272728</v>
      </c>
      <c r="AI30" s="225"/>
      <c r="AJ30" s="194"/>
      <c r="AK30" s="194"/>
      <c r="AL30" s="194"/>
      <c r="AM30" s="194"/>
      <c r="AN30" s="194"/>
      <c r="AO30" s="194"/>
      <c r="AP30" s="196"/>
      <c r="AQ30" s="629">
        <f t="shared" si="26"/>
        <v>404448</v>
      </c>
      <c r="AR30" s="630">
        <f t="shared" si="27"/>
        <v>1532</v>
      </c>
      <c r="AS30" s="196"/>
      <c r="AT30" s="196"/>
      <c r="AU30" s="196"/>
      <c r="AV30" s="196"/>
    </row>
    <row r="31" spans="1:51" s="5" customFormat="1" ht="19">
      <c r="A31" s="652" t="s">
        <v>611</v>
      </c>
      <c r="B31" s="653">
        <f>SUM(B24:B30)</f>
        <v>1394682.12</v>
      </c>
      <c r="C31" s="654">
        <f t="shared" si="12"/>
        <v>5282.8868181818189</v>
      </c>
      <c r="D31" s="653">
        <f>SUM(D24:D30)</f>
        <v>1442250.56</v>
      </c>
      <c r="E31" s="654">
        <f t="shared" si="13"/>
        <v>5463.070303030303</v>
      </c>
      <c r="F31" s="653">
        <f>SUM(F24:F30)</f>
        <v>1417827.8399999999</v>
      </c>
      <c r="G31" s="654">
        <f t="shared" si="13"/>
        <v>5370.5599999999995</v>
      </c>
      <c r="H31" s="653">
        <f>SUM(H24:H30)</f>
        <v>1377324.12</v>
      </c>
      <c r="I31" s="654">
        <f t="shared" si="15"/>
        <v>5217.1368181818189</v>
      </c>
      <c r="J31" s="653">
        <f>SUM(J24:J30)</f>
        <v>1450680</v>
      </c>
      <c r="K31" s="654">
        <f t="shared" si="16"/>
        <v>5495</v>
      </c>
      <c r="L31" s="653">
        <f>SUM(L24:L30)</f>
        <v>1450680</v>
      </c>
      <c r="M31" s="654">
        <f t="shared" si="17"/>
        <v>5495</v>
      </c>
      <c r="N31" s="653">
        <f>SUM(N24:N30)</f>
        <v>1450680</v>
      </c>
      <c r="O31" s="654">
        <f t="shared" si="18"/>
        <v>5495</v>
      </c>
      <c r="P31" s="653">
        <f>SUM(P24:P30)</f>
        <v>1450680</v>
      </c>
      <c r="Q31" s="654">
        <f t="shared" si="19"/>
        <v>5495</v>
      </c>
      <c r="R31" s="653">
        <f>SUM(R24:R30)</f>
        <v>1450680</v>
      </c>
      <c r="S31" s="654">
        <f t="shared" si="20"/>
        <v>5495</v>
      </c>
      <c r="T31" s="653">
        <f>SUM(T24:T30)</f>
        <v>1450680</v>
      </c>
      <c r="U31" s="654">
        <f t="shared" si="21"/>
        <v>5495</v>
      </c>
      <c r="V31" s="653">
        <f>SUM(V24:V30)</f>
        <v>1450680</v>
      </c>
      <c r="W31" s="654">
        <f t="shared" si="22"/>
        <v>5495</v>
      </c>
      <c r="X31" s="668"/>
      <c r="Y31" s="668"/>
      <c r="Z31" s="653">
        <f>SUM(Z24:Z30)</f>
        <v>1450680</v>
      </c>
      <c r="AA31" s="654">
        <f t="shared" si="23"/>
        <v>5495</v>
      </c>
      <c r="AB31" s="668"/>
      <c r="AC31" s="194"/>
      <c r="AD31" s="195"/>
      <c r="AE31" s="653">
        <f>SUM(AE24:AE30)</f>
        <v>1373593.92</v>
      </c>
      <c r="AF31" s="654">
        <f t="shared" si="24"/>
        <v>5203.0072727272727</v>
      </c>
      <c r="AG31" s="653">
        <f>SUM(AG24:AG30)</f>
        <v>1377324.12</v>
      </c>
      <c r="AH31" s="654">
        <f t="shared" si="25"/>
        <v>5217.1368181818189</v>
      </c>
      <c r="AI31" s="225"/>
      <c r="AJ31" s="194"/>
      <c r="AK31" s="194"/>
      <c r="AL31" s="194"/>
      <c r="AM31" s="194"/>
      <c r="AN31" s="194"/>
      <c r="AO31" s="194"/>
      <c r="AP31" s="196"/>
      <c r="AQ31" s="653">
        <f>SUM(AQ24:AQ30)</f>
        <v>1450680</v>
      </c>
      <c r="AR31" s="654">
        <f t="shared" si="27"/>
        <v>5495</v>
      </c>
      <c r="AS31" s="196"/>
      <c r="AT31" s="196"/>
      <c r="AU31" s="196"/>
      <c r="AV31" s="196"/>
    </row>
    <row r="32" spans="1:51" s="5" customFormat="1" ht="19">
      <c r="A32" s="628"/>
      <c r="B32" s="629"/>
      <c r="C32" s="630"/>
      <c r="D32" s="629"/>
      <c r="E32" s="630"/>
      <c r="F32" s="629"/>
      <c r="G32" s="630"/>
      <c r="H32" s="629"/>
      <c r="I32" s="630"/>
      <c r="J32" s="204"/>
      <c r="K32" s="630"/>
      <c r="L32" s="629"/>
      <c r="M32" s="630"/>
      <c r="N32" s="629"/>
      <c r="O32" s="630"/>
      <c r="P32" s="629"/>
      <c r="Q32" s="630"/>
      <c r="R32" s="629"/>
      <c r="S32" s="630"/>
      <c r="T32" s="629"/>
      <c r="U32" s="630"/>
      <c r="V32" s="629"/>
      <c r="W32" s="630"/>
      <c r="X32" s="668"/>
      <c r="Y32" s="668"/>
      <c r="Z32" s="629"/>
      <c r="AA32" s="630"/>
      <c r="AB32" s="668"/>
      <c r="AC32" s="194"/>
      <c r="AD32" s="195"/>
      <c r="AE32" s="629"/>
      <c r="AF32" s="630"/>
      <c r="AG32" s="629"/>
      <c r="AH32" s="630"/>
      <c r="AI32" s="225"/>
      <c r="AJ32" s="194"/>
      <c r="AK32" s="194"/>
      <c r="AL32" s="194"/>
      <c r="AM32" s="194"/>
      <c r="AN32" s="194"/>
      <c r="AO32" s="194"/>
      <c r="AP32" s="196"/>
      <c r="AQ32" s="629"/>
      <c r="AR32" s="630"/>
      <c r="AS32" s="196"/>
      <c r="AT32" s="196"/>
      <c r="AU32" s="196"/>
      <c r="AV32" s="196"/>
    </row>
    <row r="33" spans="1:48" s="5" customFormat="1" ht="19">
      <c r="A33" s="628" t="s">
        <v>663</v>
      </c>
      <c r="B33" s="629">
        <f>'T12'!U34</f>
        <v>133981.79</v>
      </c>
      <c r="C33" s="630">
        <f t="shared" si="12"/>
        <v>507.50678030303033</v>
      </c>
      <c r="D33" s="629">
        <f>'T12'!W34</f>
        <v>145990.34000000003</v>
      </c>
      <c r="E33" s="630">
        <f t="shared" si="12"/>
        <v>552.99371212121218</v>
      </c>
      <c r="F33" s="629">
        <f>'T12'!Y34</f>
        <v>88865.64</v>
      </c>
      <c r="G33" s="630">
        <f t="shared" si="12"/>
        <v>336.61227272727274</v>
      </c>
      <c r="H33" s="629">
        <f>'T12'!AC34</f>
        <v>31740.840000000004</v>
      </c>
      <c r="I33" s="630">
        <f t="shared" ref="I33" si="28">H33/units</f>
        <v>120.23045454545456</v>
      </c>
      <c r="J33" s="206">
        <f>'Sponsor Pro Forma'!K32</f>
        <v>117480</v>
      </c>
      <c r="K33" s="630">
        <f>J33/units</f>
        <v>445</v>
      </c>
      <c r="L33" s="629">
        <f t="array" ref="L33">INDEX('T12'!$U$9:$AE$38,MATCH('Debt Sizing'!$A33,'T12'!$T$9:$T$38,0),MATCH('Debt Sizing'!$X33,'T12'!$U$7:$AE$7,0))</f>
        <v>117480</v>
      </c>
      <c r="M33" s="630">
        <f t="shared" ref="M33" si="29">L33/units</f>
        <v>445</v>
      </c>
      <c r="N33" s="629">
        <f t="array" ref="N33">INDEX('T12'!$U$9:$AE$38,MATCH('Debt Sizing'!$A33,'T12'!$T$9:$T$38,0),MATCH('Debt Sizing'!$X33,'T12'!$U$7:$AE$7,0))</f>
        <v>117480</v>
      </c>
      <c r="O33" s="630">
        <f t="shared" ref="O33" si="30">N33/units</f>
        <v>445</v>
      </c>
      <c r="P33" s="629">
        <f t="array" ref="P33">INDEX('T12'!$U$9:$AE$38,MATCH('Debt Sizing'!$A33,'T12'!$T$9:$T$38,0),MATCH('Debt Sizing'!$X33,'T12'!$U$7:$AE$7,0))</f>
        <v>117480</v>
      </c>
      <c r="Q33" s="630">
        <f>P33/units</f>
        <v>445</v>
      </c>
      <c r="R33" s="629">
        <f t="array" ref="R33">INDEX('T12'!$U$9:$AE$38,MATCH('Debt Sizing'!$A33,'T12'!$T$9:$T$38,0),MATCH('Debt Sizing'!$X33,'T12'!$U$7:$AE$7,0))</f>
        <v>117480</v>
      </c>
      <c r="S33" s="630">
        <f>R33/units</f>
        <v>445</v>
      </c>
      <c r="T33" s="629">
        <f t="array" ref="T33">INDEX('T12'!$U$9:$AE$38,MATCH('Debt Sizing'!$A33,'T12'!$T$9:$T$38,0),MATCH('Debt Sizing'!$X33,'T12'!$U$7:$AE$7,0))</f>
        <v>117480</v>
      </c>
      <c r="U33" s="630">
        <f>T33/units</f>
        <v>445</v>
      </c>
      <c r="V33" s="629">
        <f t="array" ref="V33">INDEX('T12'!$U$9:$AE$38,MATCH('Debt Sizing'!$A33,'T12'!$T$9:$T$38,0),MATCH('Debt Sizing'!$X33,'T12'!$U$7:$AE$7,0))</f>
        <v>117480</v>
      </c>
      <c r="W33" s="630">
        <f t="shared" ref="W33" si="31">V33/units</f>
        <v>445</v>
      </c>
      <c r="X33" s="668" t="s">
        <v>655</v>
      </c>
      <c r="Y33" s="668"/>
      <c r="Z33" s="629">
        <f t="array" ref="Z33">INDEX('T12'!$U$9:$AE$38,MATCH('Debt Sizing'!$A33,'T12'!$T$9:$T$38,0),MATCH('Debt Sizing'!$X33,'T12'!$U$7:$AE$7,0))</f>
        <v>117480</v>
      </c>
      <c r="AA33" s="630">
        <f>Z33/units</f>
        <v>445</v>
      </c>
      <c r="AB33" s="668"/>
      <c r="AC33" s="194"/>
      <c r="AD33" s="236"/>
      <c r="AE33" s="629">
        <f>'T12'!AA34</f>
        <v>74584.44</v>
      </c>
      <c r="AF33" s="630">
        <f t="shared" ref="AF33" si="32">AE33/units</f>
        <v>282.51681818181817</v>
      </c>
      <c r="AG33" s="629">
        <f>'T12'!AC34</f>
        <v>31740.840000000004</v>
      </c>
      <c r="AH33" s="630">
        <f t="shared" ref="AH33" si="33">AG33/units</f>
        <v>120.23045454545456</v>
      </c>
      <c r="AI33" s="225"/>
      <c r="AJ33" s="194"/>
      <c r="AK33" s="194"/>
      <c r="AL33" s="194"/>
      <c r="AM33" s="194"/>
      <c r="AN33" s="194"/>
      <c r="AO33" s="194"/>
      <c r="AP33" s="196"/>
      <c r="AQ33" s="629">
        <f>P33</f>
        <v>117480</v>
      </c>
      <c r="AR33" s="630">
        <f>AQ33/units</f>
        <v>445</v>
      </c>
      <c r="AS33" s="196"/>
      <c r="AT33" s="196"/>
      <c r="AU33" s="196"/>
      <c r="AV33" s="196"/>
    </row>
    <row r="34" spans="1:48" s="5" customFormat="1" ht="19">
      <c r="A34" s="628" t="s">
        <v>664</v>
      </c>
      <c r="B34" s="629">
        <f>'T12'!U35</f>
        <v>114091.56000000001</v>
      </c>
      <c r="C34" s="666">
        <f>B34/B21</f>
        <v>3.1739731815535584E-2</v>
      </c>
      <c r="D34" s="629">
        <f>'T12'!W35</f>
        <v>125716.99999999999</v>
      </c>
      <c r="E34" s="666">
        <f>D34/D21</f>
        <v>3.0825849259539882E-2</v>
      </c>
      <c r="F34" s="629">
        <f>'T12'!Y35</f>
        <v>137749.07999999999</v>
      </c>
      <c r="G34" s="666">
        <f>F34/F21</f>
        <v>3.1244732023609532E-2</v>
      </c>
      <c r="H34" s="629">
        <f>'T12'!AC35</f>
        <v>139772.88</v>
      </c>
      <c r="I34" s="666">
        <f>H34/H21</f>
        <v>3.117492311147024E-2</v>
      </c>
      <c r="J34" s="206">
        <f>'Sponsor Pro Forma'!K33</f>
        <v>144931.29558789491</v>
      </c>
      <c r="K34" s="666">
        <f>J34/J21</f>
        <v>3.0000000000000002E-2</v>
      </c>
      <c r="L34" s="629">
        <f>N34</f>
        <v>123954.45239999998</v>
      </c>
      <c r="M34" s="1472">
        <f>'Sponsor Pro Forma'!J33</f>
        <v>0.03</v>
      </c>
      <c r="N34" s="629">
        <f>O34*N21</f>
        <v>123954.45239999998</v>
      </c>
      <c r="O34" s="1472">
        <f>'Sponsor Pro Forma'!L33</f>
        <v>0.03</v>
      </c>
      <c r="P34" s="629">
        <f>Q34*P21</f>
        <v>123954.45239999998</v>
      </c>
      <c r="Q34" s="237">
        <f>O34</f>
        <v>0.03</v>
      </c>
      <c r="R34" s="629">
        <f>S34*R21</f>
        <v>123954.45239999998</v>
      </c>
      <c r="S34" s="237">
        <f>Q34</f>
        <v>0.03</v>
      </c>
      <c r="T34" s="629">
        <f>U34*T21</f>
        <v>123954.45239999998</v>
      </c>
      <c r="U34" s="237">
        <f>S34</f>
        <v>0.03</v>
      </c>
      <c r="V34" s="629">
        <f>W34*V21</f>
        <v>118974.51329999998</v>
      </c>
      <c r="W34" s="1472">
        <f>O34</f>
        <v>0.03</v>
      </c>
      <c r="X34" s="673">
        <f>O34</f>
        <v>0.03</v>
      </c>
      <c r="Y34" s="673"/>
      <c r="Z34" s="629">
        <f>AA34*Z21</f>
        <v>0</v>
      </c>
      <c r="AA34" s="237">
        <f>Y34</f>
        <v>0</v>
      </c>
      <c r="AB34" s="673"/>
      <c r="AC34" s="194"/>
      <c r="AD34" s="195"/>
      <c r="AE34" s="629">
        <f>'T12'!AA35</f>
        <v>138455.82</v>
      </c>
      <c r="AF34" s="666">
        <f>AE34/AE21</f>
        <v>3.1279154386019942E-2</v>
      </c>
      <c r="AG34" s="629">
        <f>'T12'!AC35</f>
        <v>139772.88</v>
      </c>
      <c r="AH34" s="666">
        <f>AG34/AG21</f>
        <v>3.1227471308181976E-2</v>
      </c>
      <c r="AI34" s="225"/>
      <c r="AJ34" s="194"/>
      <c r="AK34" s="194"/>
      <c r="AL34" s="194"/>
      <c r="AM34" s="194"/>
      <c r="AN34" s="194"/>
      <c r="AO34" s="194"/>
      <c r="AP34" s="196"/>
      <c r="AQ34" s="629">
        <f>P34</f>
        <v>123954.45239999998</v>
      </c>
      <c r="AR34" s="666">
        <f>AQ34/AQ21</f>
        <v>0.03</v>
      </c>
      <c r="AS34" s="196"/>
      <c r="AT34" s="196"/>
      <c r="AU34" s="196"/>
      <c r="AV34" s="196"/>
    </row>
    <row r="35" spans="1:48" s="5" customFormat="1" ht="19">
      <c r="A35" s="628" t="s">
        <v>665</v>
      </c>
      <c r="B35" s="629">
        <f>'T12'!U36</f>
        <v>623314.08999999985</v>
      </c>
      <c r="C35" s="630">
        <f>B35/units</f>
        <v>2361.038219696969</v>
      </c>
      <c r="D35" s="629">
        <f>'T12'!W36</f>
        <v>706028.17999999993</v>
      </c>
      <c r="E35" s="630">
        <f t="shared" ref="E35:E41" si="34">D35/units</f>
        <v>2674.3491666666664</v>
      </c>
      <c r="F35" s="629">
        <f>'T12'!Y36</f>
        <v>588286.24</v>
      </c>
      <c r="G35" s="630">
        <f>F35/units</f>
        <v>2228.3569696969698</v>
      </c>
      <c r="H35" s="629">
        <f>'T12'!AC36</f>
        <v>588286.19999999995</v>
      </c>
      <c r="I35" s="630">
        <f>H35/units</f>
        <v>2228.3568181818182</v>
      </c>
      <c r="J35" s="206">
        <f>'Sponsor Pro Forma'!K34</f>
        <v>478792.32</v>
      </c>
      <c r="K35" s="630">
        <f>J35/units</f>
        <v>1813.6072727272729</v>
      </c>
      <c r="L35" s="629">
        <f>Taxes!$H$13</f>
        <v>478792.32</v>
      </c>
      <c r="M35" s="1473">
        <f>L35/units</f>
        <v>1813.6072727272729</v>
      </c>
      <c r="N35" s="629">
        <f>Taxes!$H$13</f>
        <v>478792.32</v>
      </c>
      <c r="O35" s="1473">
        <f>N35/units</f>
        <v>1813.6072727272729</v>
      </c>
      <c r="P35" s="206">
        <f>+Taxes!H13</f>
        <v>478792.32</v>
      </c>
      <c r="Q35" s="630">
        <f>P35/units</f>
        <v>1813.6072727272729</v>
      </c>
      <c r="R35" s="206">
        <f>Taxes!$H$13</f>
        <v>478792.32</v>
      </c>
      <c r="S35" s="630">
        <f>R35/units</f>
        <v>1813.6072727272729</v>
      </c>
      <c r="T35" s="206">
        <f>Taxes!$H$13</f>
        <v>478792.32</v>
      </c>
      <c r="U35" s="630">
        <f>T35/units</f>
        <v>1813.6072727272729</v>
      </c>
      <c r="V35" s="629">
        <f>Taxes!$H$13</f>
        <v>478792.32</v>
      </c>
      <c r="W35" s="1473">
        <f>V35/units</f>
        <v>1813.6072727272729</v>
      </c>
      <c r="X35" s="674" t="s">
        <v>666</v>
      </c>
      <c r="Y35" s="674"/>
      <c r="Z35" s="206">
        <f>Taxes!$H$13</f>
        <v>478792.32</v>
      </c>
      <c r="AA35" s="630">
        <f>Z35/units</f>
        <v>1813.6072727272729</v>
      </c>
      <c r="AB35" s="674"/>
      <c r="AC35" s="194"/>
      <c r="AD35" s="195"/>
      <c r="AE35" s="629">
        <f>'T12'!AA36</f>
        <v>588286.19999999995</v>
      </c>
      <c r="AF35" s="630">
        <f>AE35/units</f>
        <v>2228.3568181818182</v>
      </c>
      <c r="AG35" s="629">
        <f>'T12'!AC36</f>
        <v>588286.19999999995</v>
      </c>
      <c r="AH35" s="630">
        <f>AG35/units</f>
        <v>2228.3568181818182</v>
      </c>
      <c r="AI35" s="194"/>
      <c r="AJ35" s="194"/>
      <c r="AK35" s="194"/>
      <c r="AL35" s="194"/>
      <c r="AM35" s="194"/>
      <c r="AN35" s="194"/>
      <c r="AO35" s="194"/>
      <c r="AP35" s="196"/>
      <c r="AQ35" s="629">
        <f>P35</f>
        <v>478792.32</v>
      </c>
      <c r="AR35" s="630">
        <f>AQ35/units</f>
        <v>1813.6072727272729</v>
      </c>
      <c r="AS35" s="196"/>
      <c r="AT35" s="196"/>
      <c r="AU35" s="196"/>
      <c r="AV35" s="196"/>
    </row>
    <row r="36" spans="1:48" s="5" customFormat="1" ht="19" outlineLevel="1">
      <c r="A36" s="628" t="s">
        <v>667</v>
      </c>
      <c r="B36" s="629">
        <f>'T12'!U37</f>
        <v>0</v>
      </c>
      <c r="C36" s="665">
        <f>B36/B21</f>
        <v>0</v>
      </c>
      <c r="D36" s="629">
        <f>'T12'!W37</f>
        <v>0</v>
      </c>
      <c r="E36" s="665">
        <f>D36/D21</f>
        <v>0</v>
      </c>
      <c r="F36" s="629">
        <f>'T12'!Y37</f>
        <v>0</v>
      </c>
      <c r="G36" s="665">
        <f>F36/F21</f>
        <v>0</v>
      </c>
      <c r="H36" s="629">
        <f>'T12'!AC37</f>
        <v>0</v>
      </c>
      <c r="I36" s="665">
        <f>H36/H21</f>
        <v>0</v>
      </c>
      <c r="J36" s="206">
        <f>'Sponsor Pro Forma'!K35</f>
        <v>0</v>
      </c>
      <c r="K36" s="665">
        <f>J36/J21</f>
        <v>0</v>
      </c>
      <c r="L36" s="629">
        <f>L21*M36</f>
        <v>0</v>
      </c>
      <c r="M36" s="1474">
        <f>'Sponsor Pro Forma'!J35</f>
        <v>0</v>
      </c>
      <c r="N36" s="629">
        <f>N21*O36</f>
        <v>0</v>
      </c>
      <c r="O36" s="1474">
        <f>'Sponsor Pro Forma'!L35</f>
        <v>0</v>
      </c>
      <c r="P36" s="629">
        <f>Q36*P21</f>
        <v>0</v>
      </c>
      <c r="Q36" s="239">
        <f>O36</f>
        <v>0</v>
      </c>
      <c r="R36" s="629">
        <f>S36*R21</f>
        <v>0</v>
      </c>
      <c r="S36" s="239">
        <f>Q36</f>
        <v>0</v>
      </c>
      <c r="T36" s="629">
        <f>U36*T21</f>
        <v>0</v>
      </c>
      <c r="U36" s="239">
        <f>S36</f>
        <v>0</v>
      </c>
      <c r="V36" s="629">
        <f>V21*W36</f>
        <v>0</v>
      </c>
      <c r="W36" s="1474">
        <f>O36</f>
        <v>0</v>
      </c>
      <c r="X36" s="668" t="s">
        <v>668</v>
      </c>
      <c r="Y36" s="668"/>
      <c r="Z36" s="629">
        <f>AA36*Z21</f>
        <v>0</v>
      </c>
      <c r="AA36" s="239">
        <f>Y36</f>
        <v>0</v>
      </c>
      <c r="AB36" s="668"/>
      <c r="AC36" s="194"/>
      <c r="AD36" s="195"/>
      <c r="AE36" s="629">
        <f>'T12'!AA37</f>
        <v>0</v>
      </c>
      <c r="AF36" s="665">
        <f>AE36/AE21</f>
        <v>0</v>
      </c>
      <c r="AG36" s="629">
        <f>'T12'!AC37</f>
        <v>0</v>
      </c>
      <c r="AH36" s="665">
        <f>AG36/AG21</f>
        <v>0</v>
      </c>
      <c r="AI36" s="194"/>
      <c r="AJ36" s="194"/>
      <c r="AK36" s="194"/>
      <c r="AL36" s="194"/>
      <c r="AM36" s="194"/>
      <c r="AN36" s="194"/>
      <c r="AO36" s="194"/>
      <c r="AP36" s="196"/>
      <c r="AQ36" s="629">
        <f>P36</f>
        <v>0</v>
      </c>
      <c r="AR36" s="665">
        <f>AQ36/AQ21</f>
        <v>0</v>
      </c>
      <c r="AS36" s="196"/>
      <c r="AT36" s="196"/>
      <c r="AU36" s="196"/>
      <c r="AV36" s="196"/>
    </row>
    <row r="37" spans="1:48" s="5" customFormat="1" ht="19">
      <c r="A37" s="628" t="s">
        <v>669</v>
      </c>
      <c r="B37" s="629">
        <f>'T12'!U38</f>
        <v>0</v>
      </c>
      <c r="C37" s="630">
        <f>B37/units</f>
        <v>0</v>
      </c>
      <c r="D37" s="629">
        <f>'T12'!W38</f>
        <v>0</v>
      </c>
      <c r="E37" s="630">
        <f>D37/units</f>
        <v>0</v>
      </c>
      <c r="F37" s="629">
        <f>'T12'!Y38</f>
        <v>0</v>
      </c>
      <c r="G37" s="630">
        <f>F37/units</f>
        <v>0</v>
      </c>
      <c r="H37" s="629">
        <f>'T12'!AC38</f>
        <v>0</v>
      </c>
      <c r="I37" s="630">
        <f>H37/units</f>
        <v>0</v>
      </c>
      <c r="J37" s="206">
        <f>'Sponsor Pro Forma'!K36</f>
        <v>66000</v>
      </c>
      <c r="K37" s="630">
        <f>J37/units</f>
        <v>250</v>
      </c>
      <c r="L37" s="629">
        <f>M37*units</f>
        <v>66000</v>
      </c>
      <c r="M37" s="1473">
        <v>250</v>
      </c>
      <c r="N37" s="629">
        <f>O37*units</f>
        <v>66000</v>
      </c>
      <c r="O37" s="1473">
        <f>'Sponsor Pro Forma'!L36</f>
        <v>250</v>
      </c>
      <c r="P37" s="629">
        <f>Q37*units</f>
        <v>66000</v>
      </c>
      <c r="Q37" s="630">
        <v>250</v>
      </c>
      <c r="R37" s="629">
        <f>S37*units</f>
        <v>66000</v>
      </c>
      <c r="S37" s="630">
        <f>+Q37</f>
        <v>250</v>
      </c>
      <c r="T37" s="629">
        <f>U37*units</f>
        <v>66000</v>
      </c>
      <c r="U37" s="630">
        <f>+S37</f>
        <v>250</v>
      </c>
      <c r="V37" s="629">
        <f>W37*units</f>
        <v>66000</v>
      </c>
      <c r="W37" s="1473">
        <f>O37</f>
        <v>250</v>
      </c>
      <c r="X37" s="675">
        <f>O37</f>
        <v>250</v>
      </c>
      <c r="Y37" s="1498"/>
      <c r="Z37" s="629" t="e">
        <f ca="1">AA37*units</f>
        <v>#DIV/0!</v>
      </c>
      <c r="AA37" s="630" t="e">
        <f ca="1">Z37/units</f>
        <v>#DIV/0!</v>
      </c>
      <c r="AB37" s="1498"/>
      <c r="AC37" s="194"/>
      <c r="AD37" s="195"/>
      <c r="AE37" s="629">
        <f>'T12'!AA38</f>
        <v>0</v>
      </c>
      <c r="AF37" s="630">
        <f>AE37/units</f>
        <v>0</v>
      </c>
      <c r="AG37" s="629">
        <f>'T12'!AC38</f>
        <v>0</v>
      </c>
      <c r="AH37" s="630">
        <f>AG37/units</f>
        <v>0</v>
      </c>
      <c r="AI37" s="194"/>
      <c r="AJ37" s="194"/>
      <c r="AK37" s="194"/>
      <c r="AL37" s="194"/>
      <c r="AM37" s="194"/>
      <c r="AN37" s="194"/>
      <c r="AO37" s="194"/>
      <c r="AP37" s="196"/>
      <c r="AQ37" s="629">
        <f>P37</f>
        <v>66000</v>
      </c>
      <c r="AR37" s="630">
        <f>AQ37/units</f>
        <v>250</v>
      </c>
      <c r="AS37" s="196"/>
      <c r="AT37" s="196"/>
      <c r="AU37" s="196"/>
      <c r="AV37" s="196"/>
    </row>
    <row r="38" spans="1:48" s="5" customFormat="1" ht="19">
      <c r="A38" s="655" t="s">
        <v>612</v>
      </c>
      <c r="B38" s="643">
        <f>SUM(B33:B37)</f>
        <v>871387.44</v>
      </c>
      <c r="C38" s="644">
        <f>B38/units</f>
        <v>3300.7099999999996</v>
      </c>
      <c r="D38" s="643">
        <f>SUM(D33:D37)</f>
        <v>977735.52</v>
      </c>
      <c r="E38" s="644">
        <f>D38/units</f>
        <v>3703.5436363636363</v>
      </c>
      <c r="F38" s="643">
        <f>SUM(F33:F37)</f>
        <v>814900.96</v>
      </c>
      <c r="G38" s="644">
        <f>F38/units</f>
        <v>3086.7460606060604</v>
      </c>
      <c r="H38" s="643">
        <f>SUM(H33:H37)</f>
        <v>759799.91999999993</v>
      </c>
      <c r="I38" s="644">
        <f>H38/units</f>
        <v>2878.0299999999997</v>
      </c>
      <c r="J38" s="643">
        <f>SUM(J33:J37)</f>
        <v>807203.61558789492</v>
      </c>
      <c r="K38" s="644">
        <f>J38/units</f>
        <v>3057.5894529844504</v>
      </c>
      <c r="L38" s="643">
        <f>SUM(L33:L37)</f>
        <v>786226.77240000002</v>
      </c>
      <c r="M38" s="644">
        <f>L38/units</f>
        <v>2978.1317136363637</v>
      </c>
      <c r="N38" s="643">
        <f>SUM(N33:N37)</f>
        <v>786226.77240000002</v>
      </c>
      <c r="O38" s="644">
        <f>N38/units</f>
        <v>2978.1317136363637</v>
      </c>
      <c r="P38" s="643">
        <f>SUM(P33:P37)</f>
        <v>786226.77240000002</v>
      </c>
      <c r="Q38" s="644">
        <f>P38/units</f>
        <v>2978.1317136363637</v>
      </c>
      <c r="R38" s="643">
        <f>SUM(R33:R37)</f>
        <v>786226.77240000002</v>
      </c>
      <c r="S38" s="644">
        <f>R38/units</f>
        <v>2978.1317136363637</v>
      </c>
      <c r="T38" s="643">
        <f>SUM(T33:T37)</f>
        <v>786226.77240000002</v>
      </c>
      <c r="U38" s="644">
        <f>T38/units</f>
        <v>2978.1317136363637</v>
      </c>
      <c r="V38" s="643">
        <f>SUM(V33:V37)</f>
        <v>781246.83330000006</v>
      </c>
      <c r="W38" s="644">
        <f>V38/units</f>
        <v>2959.2683079545459</v>
      </c>
      <c r="X38" s="240"/>
      <c r="Y38" s="200"/>
      <c r="Z38" s="643" t="e">
        <f ca="1">SUM(Z33:Z37)</f>
        <v>#DIV/0!</v>
      </c>
      <c r="AA38" s="644" t="e">
        <f ca="1">Z38/units</f>
        <v>#DIV/0!</v>
      </c>
      <c r="AB38" s="200"/>
      <c r="AC38" s="194"/>
      <c r="AD38" s="195"/>
      <c r="AE38" s="643">
        <f>SUM(AE33:AE37)</f>
        <v>801326.46</v>
      </c>
      <c r="AF38" s="644">
        <f>AE38/units</f>
        <v>3035.3274999999999</v>
      </c>
      <c r="AG38" s="643">
        <f>SUM(AG33:AG37)</f>
        <v>759799.91999999993</v>
      </c>
      <c r="AH38" s="644">
        <f>AG38/units</f>
        <v>2878.0299999999997</v>
      </c>
      <c r="AI38" s="194"/>
      <c r="AJ38" s="194"/>
      <c r="AK38" s="194"/>
      <c r="AL38" s="194"/>
      <c r="AM38" s="194"/>
      <c r="AN38" s="194"/>
      <c r="AO38" s="194"/>
      <c r="AP38" s="196"/>
      <c r="AQ38" s="643">
        <f>SUM(AQ33:AQ37)</f>
        <v>786226.77240000002</v>
      </c>
      <c r="AR38" s="644">
        <f>AQ38/units</f>
        <v>2978.1317136363637</v>
      </c>
      <c r="AS38" s="196"/>
      <c r="AT38" s="196"/>
      <c r="AU38" s="196"/>
      <c r="AV38" s="196"/>
    </row>
    <row r="39" spans="1:48" s="6" customFormat="1" ht="19">
      <c r="A39" s="656" t="s">
        <v>40</v>
      </c>
      <c r="B39" s="657">
        <f>B31+B38</f>
        <v>2266069.56</v>
      </c>
      <c r="C39" s="646">
        <f>B39/units</f>
        <v>8583.5968181818189</v>
      </c>
      <c r="D39" s="657">
        <f>D31+D38</f>
        <v>2419986.08</v>
      </c>
      <c r="E39" s="646">
        <f>D39/units</f>
        <v>9166.6139393939393</v>
      </c>
      <c r="F39" s="657">
        <f>F31+F38</f>
        <v>2232728.7999999998</v>
      </c>
      <c r="G39" s="646">
        <f>F39/units</f>
        <v>8457.3060606060608</v>
      </c>
      <c r="H39" s="657">
        <f>H31+H38</f>
        <v>2137124.04</v>
      </c>
      <c r="I39" s="646">
        <f>H39/units</f>
        <v>8095.1668181818186</v>
      </c>
      <c r="J39" s="657">
        <f>J31+J38</f>
        <v>2257883.6155878948</v>
      </c>
      <c r="K39" s="646">
        <f>J39/units</f>
        <v>8552.58945298445</v>
      </c>
      <c r="L39" s="657">
        <f>L31+L38</f>
        <v>2236906.7724000001</v>
      </c>
      <c r="M39" s="646">
        <f>L39/units</f>
        <v>8473.131713636365</v>
      </c>
      <c r="N39" s="657">
        <f>N31+N38</f>
        <v>2236906.7724000001</v>
      </c>
      <c r="O39" s="646">
        <f>N39/units</f>
        <v>8473.131713636365</v>
      </c>
      <c r="P39" s="657">
        <f>P31+P38</f>
        <v>2236906.7724000001</v>
      </c>
      <c r="Q39" s="646">
        <f>P39/units</f>
        <v>8473.131713636365</v>
      </c>
      <c r="R39" s="657">
        <f>R31+R38</f>
        <v>2236906.7724000001</v>
      </c>
      <c r="S39" s="646">
        <f>R39/units</f>
        <v>8473.131713636365</v>
      </c>
      <c r="T39" s="657">
        <f>T31+T38</f>
        <v>2236906.7724000001</v>
      </c>
      <c r="U39" s="646">
        <f>T39/units</f>
        <v>8473.131713636365</v>
      </c>
      <c r="V39" s="657">
        <f>V31+V38</f>
        <v>2231926.8333000001</v>
      </c>
      <c r="W39" s="646">
        <f>V39/units</f>
        <v>8454.2683079545459</v>
      </c>
      <c r="X39" s="242"/>
      <c r="Y39" s="1504"/>
      <c r="Z39" s="657" t="e">
        <f ca="1">Z31+Z38</f>
        <v>#DIV/0!</v>
      </c>
      <c r="AA39" s="646" t="e">
        <f ca="1">Z39/units</f>
        <v>#DIV/0!</v>
      </c>
      <c r="AB39" s="1504"/>
      <c r="AC39" s="201"/>
      <c r="AD39" s="213"/>
      <c r="AE39" s="657">
        <f>AE31+AE38</f>
        <v>2174920.38</v>
      </c>
      <c r="AF39" s="646">
        <f>AE39/units</f>
        <v>8238.3347727272721</v>
      </c>
      <c r="AG39" s="657">
        <f>AG31+AG38</f>
        <v>2137124.04</v>
      </c>
      <c r="AH39" s="646">
        <f>AG39/units</f>
        <v>8095.1668181818186</v>
      </c>
      <c r="AI39" s="201"/>
      <c r="AJ39" s="201"/>
      <c r="AK39" s="201"/>
      <c r="AL39" s="201"/>
      <c r="AM39" s="201"/>
      <c r="AN39" s="201"/>
      <c r="AO39" s="201"/>
      <c r="AP39" s="202"/>
      <c r="AQ39" s="657">
        <f>AQ31+AQ38</f>
        <v>2236906.7724000001</v>
      </c>
      <c r="AR39" s="646">
        <f>AQ39/units</f>
        <v>8473.131713636365</v>
      </c>
      <c r="AS39" s="202"/>
      <c r="AT39" s="202"/>
      <c r="AU39" s="202"/>
      <c r="AV39" s="202"/>
    </row>
    <row r="40" spans="1:48" s="5" customFormat="1" ht="19">
      <c r="A40" s="637" t="s">
        <v>42</v>
      </c>
      <c r="B40" s="658"/>
      <c r="C40" s="659">
        <f>B39/B21</f>
        <v>0.63040982268757406</v>
      </c>
      <c r="D40" s="658"/>
      <c r="E40" s="659">
        <f>D39/D21</f>
        <v>0.59338137334063679</v>
      </c>
      <c r="F40" s="658"/>
      <c r="G40" s="659">
        <f>F39/F21</f>
        <v>0.50643541893270927</v>
      </c>
      <c r="H40" s="658"/>
      <c r="I40" s="659">
        <f>H39/H21</f>
        <v>0.47666383941344448</v>
      </c>
      <c r="J40" s="658"/>
      <c r="K40" s="659">
        <f>J39/J21</f>
        <v>0.46736978506175997</v>
      </c>
      <c r="L40" s="658"/>
      <c r="M40" s="659">
        <f>L39/L21</f>
        <v>0.54138598390516557</v>
      </c>
      <c r="N40" s="658"/>
      <c r="O40" s="659">
        <f>N39/N21</f>
        <v>0.54138598390516557</v>
      </c>
      <c r="P40" s="658"/>
      <c r="Q40" s="659">
        <f>P39/P21</f>
        <v>0.54138598390516557</v>
      </c>
      <c r="R40" s="658"/>
      <c r="S40" s="659">
        <f>R39/R21</f>
        <v>0.54138598390516557</v>
      </c>
      <c r="T40" s="658"/>
      <c r="U40" s="659">
        <f>T39/T21</f>
        <v>0.54138598390516557</v>
      </c>
      <c r="V40" s="658"/>
      <c r="W40" s="659">
        <f>V39/V21</f>
        <v>0.56279116545039076</v>
      </c>
      <c r="X40" s="245"/>
      <c r="Y40" s="1504"/>
      <c r="Z40" s="658"/>
      <c r="AA40" s="659" t="e">
        <f ca="1">Z39/Z21</f>
        <v>#DIV/0!</v>
      </c>
      <c r="AB40" s="1504"/>
      <c r="AC40" s="194"/>
      <c r="AD40" s="195"/>
      <c r="AE40" s="658"/>
      <c r="AF40" s="659">
        <f>AE39/AE21</f>
        <v>0.49134568950096247</v>
      </c>
      <c r="AG40" s="658"/>
      <c r="AH40" s="659">
        <f>AG39/AG21</f>
        <v>0.47746730010232274</v>
      </c>
      <c r="AI40" s="194"/>
      <c r="AJ40" s="194"/>
      <c r="AK40" s="194"/>
      <c r="AL40" s="194"/>
      <c r="AM40" s="194"/>
      <c r="AN40" s="194"/>
      <c r="AO40" s="194"/>
      <c r="AP40" s="196"/>
      <c r="AQ40" s="658"/>
      <c r="AR40" s="659">
        <f>AQ39/AQ21</f>
        <v>0.54138598390516557</v>
      </c>
      <c r="AS40" s="196"/>
      <c r="AT40" s="196"/>
      <c r="AU40" s="196"/>
      <c r="AV40" s="196"/>
    </row>
    <row r="41" spans="1:48" s="6" customFormat="1" ht="19">
      <c r="A41" s="656" t="s">
        <v>613</v>
      </c>
      <c r="B41" s="657">
        <f>+B21-B39</f>
        <v>1328527.9199999995</v>
      </c>
      <c r="C41" s="646">
        <f>B41/units</f>
        <v>5032.302727272725</v>
      </c>
      <c r="D41" s="657">
        <f>+D21-D39</f>
        <v>1658311.9400000004</v>
      </c>
      <c r="E41" s="646">
        <f t="shared" si="34"/>
        <v>6281.4846212121229</v>
      </c>
      <c r="F41" s="657">
        <f>+F21-F39</f>
        <v>2175984.96</v>
      </c>
      <c r="G41" s="646">
        <f>F41/units</f>
        <v>8242.3672727272733</v>
      </c>
      <c r="H41" s="657">
        <f>+H21-H39</f>
        <v>2346379.5599999996</v>
      </c>
      <c r="I41" s="646">
        <f>H41/units</f>
        <v>8887.8013636363612</v>
      </c>
      <c r="J41" s="657">
        <f>+J21-J39</f>
        <v>2573159.5706752688</v>
      </c>
      <c r="K41" s="646">
        <f>J41/units</f>
        <v>9746.8165555881387</v>
      </c>
      <c r="L41" s="657">
        <f>+L21-L39</f>
        <v>1894908.3075999995</v>
      </c>
      <c r="M41" s="646">
        <f>L41/units</f>
        <v>7177.6829833333313</v>
      </c>
      <c r="N41" s="657">
        <f>+N21-N39</f>
        <v>1894908.3075999995</v>
      </c>
      <c r="O41" s="646">
        <f>N41/units</f>
        <v>7177.6829833333313</v>
      </c>
      <c r="P41" s="657">
        <f>+P21-P39</f>
        <v>1894908.3075999995</v>
      </c>
      <c r="Q41" s="646">
        <f>P41/units</f>
        <v>7177.6829833333313</v>
      </c>
      <c r="R41" s="657">
        <f>+R21-R39</f>
        <v>1894908.3075999995</v>
      </c>
      <c r="S41" s="646">
        <f>R41/units</f>
        <v>7177.6829833333313</v>
      </c>
      <c r="T41" s="657">
        <f>+T21-T39</f>
        <v>1894908.3075999995</v>
      </c>
      <c r="U41" s="646">
        <f>T41/units</f>
        <v>7177.6829833333313</v>
      </c>
      <c r="V41" s="657">
        <f>+V21-V39</f>
        <v>1733890.2766999993</v>
      </c>
      <c r="W41" s="646">
        <f>V41/units</f>
        <v>6567.76619962121</v>
      </c>
      <c r="X41" s="246"/>
      <c r="Y41" s="1504"/>
      <c r="Z41" s="657" t="e">
        <f ca="1">+Z21-Z39</f>
        <v>#DIV/0!</v>
      </c>
      <c r="AA41" s="646" t="e">
        <f ca="1">Z41/units</f>
        <v>#DIV/0!</v>
      </c>
      <c r="AB41" s="1504"/>
      <c r="AC41" s="231"/>
      <c r="AD41" s="213"/>
      <c r="AE41" s="657">
        <f>+AE21-AE39</f>
        <v>2251536.2400000002</v>
      </c>
      <c r="AF41" s="646">
        <f>AE41/units</f>
        <v>8528.5463636363638</v>
      </c>
      <c r="AG41" s="657">
        <f>+AG21-AG39</f>
        <v>2338834.919999999</v>
      </c>
      <c r="AH41" s="646">
        <f>AG41/units</f>
        <v>8859.2231818181772</v>
      </c>
      <c r="AI41" s="201"/>
      <c r="AJ41" s="201"/>
      <c r="AK41" s="201"/>
      <c r="AL41" s="201"/>
      <c r="AM41" s="201"/>
      <c r="AN41" s="201"/>
      <c r="AO41" s="201"/>
      <c r="AP41" s="202"/>
      <c r="AQ41" s="657">
        <f>+AQ21-AQ39</f>
        <v>1894908.3075999995</v>
      </c>
      <c r="AR41" s="646">
        <f>AQ41/units</f>
        <v>7177.6829833333313</v>
      </c>
      <c r="AS41" s="202"/>
      <c r="AT41" s="202"/>
      <c r="AU41" s="202"/>
      <c r="AV41" s="202"/>
    </row>
    <row r="42" spans="1:48" s="5" customFormat="1" ht="19">
      <c r="A42" s="660" t="s">
        <v>670</v>
      </c>
      <c r="B42" s="661"/>
      <c r="C42" s="662"/>
      <c r="D42" s="661"/>
      <c r="E42" s="662"/>
      <c r="F42" s="661"/>
      <c r="G42" s="662"/>
      <c r="H42" s="1032"/>
      <c r="I42" s="1032"/>
      <c r="J42" s="661"/>
      <c r="K42" s="662"/>
      <c r="L42" s="664">
        <f>L71</f>
        <v>5.4140237359999982E-2</v>
      </c>
      <c r="M42" s="662"/>
      <c r="N42" s="664">
        <f>N71</f>
        <v>6.0380569185300825E-2</v>
      </c>
      <c r="O42" s="662"/>
      <c r="P42" s="663">
        <f>P71</f>
        <v>5.4140237359999982E-2</v>
      </c>
      <c r="Q42" s="662"/>
      <c r="R42" s="663" t="e">
        <f>R71</f>
        <v>#DIV/0!</v>
      </c>
      <c r="S42" s="662"/>
      <c r="T42" s="663" t="e">
        <f>T71</f>
        <v>#DIV/0!</v>
      </c>
      <c r="U42" s="662"/>
      <c r="V42" s="664">
        <f>W71</f>
        <v>7.8801016056609399E-2</v>
      </c>
      <c r="W42" s="662"/>
      <c r="X42" s="200"/>
      <c r="Y42" s="200"/>
      <c r="Z42" s="663" t="e">
        <f ca="1">Z71</f>
        <v>#DIV/0!</v>
      </c>
      <c r="AA42" s="662"/>
      <c r="AB42" s="200"/>
      <c r="AC42" s="194"/>
      <c r="AD42" s="195"/>
      <c r="AE42" s="194"/>
      <c r="AF42" s="194"/>
      <c r="AG42" s="194"/>
      <c r="AH42" s="194"/>
      <c r="AI42" s="194"/>
      <c r="AJ42" s="194"/>
      <c r="AK42" s="194"/>
      <c r="AL42" s="194"/>
      <c r="AM42" s="194"/>
      <c r="AN42" s="194"/>
      <c r="AO42" s="194"/>
      <c r="AP42" s="196"/>
      <c r="AQ42" s="663">
        <f>AQ71</f>
        <v>1.8949083075999995</v>
      </c>
      <c r="AR42" s="662"/>
      <c r="AS42" s="196"/>
      <c r="AT42" s="196"/>
      <c r="AU42" s="196"/>
      <c r="AV42" s="196"/>
    </row>
    <row r="43" spans="1:48" s="5" customFormat="1" ht="19">
      <c r="A43" s="309" t="s">
        <v>671</v>
      </c>
      <c r="B43" s="310"/>
      <c r="C43" s="311"/>
      <c r="D43" s="310"/>
      <c r="E43" s="311"/>
      <c r="F43" s="310"/>
      <c r="G43" s="311"/>
      <c r="H43" s="1492"/>
      <c r="I43" s="1492"/>
      <c r="J43" s="310"/>
      <c r="K43" s="311"/>
      <c r="L43" s="310"/>
      <c r="M43" s="311"/>
      <c r="N43" s="310"/>
      <c r="O43" s="311"/>
      <c r="P43" s="310"/>
      <c r="Q43" s="1492"/>
      <c r="R43" s="310"/>
      <c r="S43" s="1492"/>
      <c r="T43" s="310"/>
      <c r="U43" s="1492"/>
      <c r="V43" s="310"/>
      <c r="W43" s="311"/>
      <c r="X43" s="1499"/>
      <c r="Y43" s="312"/>
      <c r="Z43" s="310"/>
      <c r="AA43" s="1492"/>
      <c r="AB43" s="312"/>
      <c r="AC43" s="194"/>
      <c r="AD43" s="195"/>
      <c r="AE43" s="194"/>
      <c r="AF43" s="194"/>
      <c r="AG43" s="194"/>
      <c r="AH43" s="194"/>
      <c r="AI43" s="194"/>
      <c r="AJ43" s="194"/>
      <c r="AK43" s="194"/>
      <c r="AL43" s="194"/>
      <c r="AM43" s="194"/>
      <c r="AN43" s="194"/>
      <c r="AO43" s="194"/>
      <c r="AP43" s="196"/>
      <c r="AQ43" s="310"/>
      <c r="AR43" s="311"/>
      <c r="AS43" s="196"/>
      <c r="AT43" s="196"/>
      <c r="AU43" s="196"/>
      <c r="AV43" s="196"/>
    </row>
    <row r="44" spans="1:48" s="1027" customFormat="1" ht="19">
      <c r="A44" s="1020" t="s">
        <v>613</v>
      </c>
      <c r="B44" s="1022">
        <f>+B41</f>
        <v>1328527.9199999995</v>
      </c>
      <c r="C44" s="1023">
        <f>C41</f>
        <v>5032.302727272725</v>
      </c>
      <c r="D44" s="1022">
        <f>+D41</f>
        <v>1658311.9400000004</v>
      </c>
      <c r="E44" s="1023">
        <f>E41</f>
        <v>6281.4846212121229</v>
      </c>
      <c r="F44" s="1022">
        <f>+F41</f>
        <v>2175984.96</v>
      </c>
      <c r="G44" s="1023">
        <f>G41</f>
        <v>8242.3672727272733</v>
      </c>
      <c r="H44" s="1022">
        <f>+H41</f>
        <v>2346379.5599999996</v>
      </c>
      <c r="I44" s="1023">
        <f>I41</f>
        <v>8887.8013636363612</v>
      </c>
      <c r="J44" s="1022">
        <f>+J41</f>
        <v>2573159.5706752688</v>
      </c>
      <c r="K44" s="1023">
        <f>K41</f>
        <v>9746.8165555881387</v>
      </c>
      <c r="L44" s="1022">
        <f>+L41</f>
        <v>1894908.3075999995</v>
      </c>
      <c r="M44" s="1023">
        <f t="shared" ref="M44" si="35">M41</f>
        <v>7177.6829833333313</v>
      </c>
      <c r="N44" s="1022">
        <f>+N41</f>
        <v>1894908.3075999995</v>
      </c>
      <c r="O44" s="1023">
        <f t="shared" ref="O44:W44" si="36">O41</f>
        <v>7177.6829833333313</v>
      </c>
      <c r="P44" s="1022">
        <f t="shared" si="36"/>
        <v>1894908.3075999995</v>
      </c>
      <c r="Q44" s="1493">
        <f t="shared" si="36"/>
        <v>7177.6829833333313</v>
      </c>
      <c r="R44" s="1022">
        <f t="shared" si="36"/>
        <v>1894908.3075999995</v>
      </c>
      <c r="S44" s="1493">
        <f t="shared" si="36"/>
        <v>7177.6829833333313</v>
      </c>
      <c r="T44" s="1022">
        <f t="shared" si="36"/>
        <v>1894908.3075999995</v>
      </c>
      <c r="U44" s="1493">
        <f t="shared" si="36"/>
        <v>7177.6829833333313</v>
      </c>
      <c r="V44" s="1022">
        <f t="shared" si="36"/>
        <v>1733890.2766999993</v>
      </c>
      <c r="W44" s="1023">
        <f t="shared" si="36"/>
        <v>6567.76619962121</v>
      </c>
      <c r="X44" s="1500"/>
      <c r="Y44" s="1024"/>
      <c r="Z44" s="1022" t="e">
        <f ca="1">Z41</f>
        <v>#DIV/0!</v>
      </c>
      <c r="AA44" s="1493" t="e">
        <f ca="1">AA41</f>
        <v>#DIV/0!</v>
      </c>
      <c r="AB44" s="1500"/>
      <c r="AE44" s="1911" t="s">
        <v>672</v>
      </c>
      <c r="AF44" s="1912"/>
      <c r="AG44" s="1912"/>
      <c r="AH44" s="1912"/>
      <c r="AI44" s="1912"/>
      <c r="AJ44" s="1912"/>
      <c r="AK44" s="1913"/>
      <c r="AL44" s="1025"/>
      <c r="AM44" s="1025"/>
      <c r="AN44" s="1025"/>
      <c r="AO44" s="1025"/>
      <c r="AP44" s="1026"/>
      <c r="AQ44" s="1022">
        <f>+AQ41</f>
        <v>1894908.3075999995</v>
      </c>
      <c r="AR44" s="1023">
        <f>AR41</f>
        <v>7177.6829833333313</v>
      </c>
      <c r="AS44" s="1026"/>
      <c r="AT44" s="1026"/>
      <c r="AU44" s="1026"/>
      <c r="AV44" s="1026"/>
    </row>
    <row r="45" spans="1:48" s="5" customFormat="1" ht="19.5" thickBot="1">
      <c r="A45" s="1021" t="s">
        <v>673</v>
      </c>
      <c r="B45" s="1028">
        <f>B41/$B$47</f>
        <v>2.4602368888888879E-2</v>
      </c>
      <c r="C45" s="1029"/>
      <c r="D45" s="1028">
        <f>D41/$B$47</f>
        <v>3.0709480370370378E-2</v>
      </c>
      <c r="E45" s="1030"/>
      <c r="F45" s="1028">
        <f>F41/$B$47</f>
        <v>4.0296017777777776E-2</v>
      </c>
      <c r="G45" s="1030"/>
      <c r="H45" s="1864">
        <f>H41/$B$47</f>
        <v>4.3451473333333324E-2</v>
      </c>
      <c r="I45" s="1030"/>
      <c r="J45" s="1028">
        <f>J41/$B$47</f>
        <v>4.7651103160653123E-2</v>
      </c>
      <c r="K45" s="1030"/>
      <c r="L45" s="1028">
        <f>L41/$B$47</f>
        <v>3.5090894585185176E-2</v>
      </c>
      <c r="M45" s="1029"/>
      <c r="N45" s="1028">
        <f>N41/$B$47</f>
        <v>3.5090894585185176E-2</v>
      </c>
      <c r="O45" s="1029"/>
      <c r="P45" s="1028">
        <f>P41/$B$47</f>
        <v>3.5090894585185176E-2</v>
      </c>
      <c r="Q45" s="1030"/>
      <c r="R45" s="1028">
        <f>R41/$B$47</f>
        <v>3.5090894585185176E-2</v>
      </c>
      <c r="S45" s="1030"/>
      <c r="T45" s="1028">
        <f>T41/$B$47</f>
        <v>3.5090894585185176E-2</v>
      </c>
      <c r="U45" s="1030"/>
      <c r="V45" s="1028">
        <f>V41/$B$47</f>
        <v>3.2109079198148135E-2</v>
      </c>
      <c r="W45" s="1029"/>
      <c r="X45" s="1501"/>
      <c r="Y45" s="247"/>
      <c r="Z45" s="1028" t="e">
        <f ca="1">Z41/$B$47</f>
        <v>#DIV/0!</v>
      </c>
      <c r="AA45" s="1030"/>
      <c r="AB45" s="1501"/>
      <c r="AE45" s="1412"/>
      <c r="AF45" s="1413"/>
      <c r="AG45" s="1909" t="s">
        <v>674</v>
      </c>
      <c r="AH45" s="1909"/>
      <c r="AI45" s="1909"/>
      <c r="AJ45" s="1909"/>
      <c r="AK45" s="1910"/>
      <c r="AL45" s="194"/>
      <c r="AM45" s="1448" t="s">
        <v>675</v>
      </c>
      <c r="AN45" s="1416">
        <v>5000000</v>
      </c>
      <c r="AO45" s="194"/>
      <c r="AP45" s="196"/>
      <c r="AQ45" s="1028">
        <f>AQ41/$B$47</f>
        <v>3.5090894585185176E-2</v>
      </c>
      <c r="AR45" s="1030"/>
      <c r="AS45" s="196"/>
      <c r="AT45" s="196"/>
      <c r="AU45" s="196"/>
      <c r="AV45" s="196"/>
    </row>
    <row r="46" spans="1:48" s="5" customFormat="1" ht="19.5" thickBot="1">
      <c r="A46" s="652" t="s">
        <v>676</v>
      </c>
      <c r="B46" s="1031"/>
      <c r="C46" s="662"/>
      <c r="D46" s="1031"/>
      <c r="E46" s="1032"/>
      <c r="F46" s="1031"/>
      <c r="G46" s="1032"/>
      <c r="H46" s="1051"/>
      <c r="I46" s="1032"/>
      <c r="J46" s="1031"/>
      <c r="K46" s="1032"/>
      <c r="L46" s="1031"/>
      <c r="M46" s="662"/>
      <c r="N46" s="1031"/>
      <c r="O46" s="662"/>
      <c r="P46" s="1031"/>
      <c r="Q46" s="1032"/>
      <c r="R46" s="1031"/>
      <c r="S46" s="1032"/>
      <c r="T46" s="1031"/>
      <c r="U46" s="1032"/>
      <c r="V46" s="1031"/>
      <c r="W46" s="662"/>
      <c r="X46" s="198"/>
      <c r="Y46" s="251"/>
      <c r="Z46" s="1031"/>
      <c r="AA46" s="1032"/>
      <c r="AB46" s="198"/>
      <c r="AE46" s="1908" t="s">
        <v>677</v>
      </c>
      <c r="AF46" s="1436"/>
      <c r="AG46" s="1437">
        <f>IFERROR(P15,"")</f>
        <v>289529.59416666668</v>
      </c>
      <c r="AH46" s="1438">
        <f t="shared" ref="AH46:AI46" si="37">IFERROR(AG46+$AN$47,"")</f>
        <v>294529.59416666668</v>
      </c>
      <c r="AI46" s="1438">
        <f t="shared" si="37"/>
        <v>299529.59416666668</v>
      </c>
      <c r="AJ46" s="1438">
        <f>IFERROR(AI46+$AN$47,"")</f>
        <v>304529.59416666668</v>
      </c>
      <c r="AK46" s="1439">
        <f>IFERROR(AJ46+$AN$47,"")</f>
        <v>309529.59416666668</v>
      </c>
      <c r="AL46" s="194"/>
      <c r="AM46" s="1449" t="s">
        <v>678</v>
      </c>
      <c r="AN46" s="1415">
        <v>1E-3</v>
      </c>
      <c r="AO46" s="194"/>
      <c r="AP46" s="196"/>
      <c r="AQ46" s="1031"/>
      <c r="AR46" s="1032"/>
      <c r="AS46" s="196"/>
      <c r="AT46" s="196"/>
      <c r="AU46" s="196"/>
      <c r="AV46" s="196"/>
    </row>
    <row r="47" spans="1:48" s="6" customFormat="1" ht="18.75" customHeight="1">
      <c r="A47" s="667" t="s">
        <v>24</v>
      </c>
      <c r="B47" s="1033">
        <f>N47</f>
        <v>54000000</v>
      </c>
      <c r="C47" s="1034"/>
      <c r="D47" s="1033"/>
      <c r="E47" s="1035"/>
      <c r="F47" s="1033"/>
      <c r="G47" s="1035"/>
      <c r="H47" s="650"/>
      <c r="I47" s="1035"/>
      <c r="J47" s="1033">
        <f>N47</f>
        <v>54000000</v>
      </c>
      <c r="K47" s="1035"/>
      <c r="L47" s="250">
        <f>N47</f>
        <v>54000000</v>
      </c>
      <c r="M47" s="1034">
        <f>L47/units</f>
        <v>204545.45454545456</v>
      </c>
      <c r="N47" s="250">
        <f>'Inputs and Assumptions'!D11</f>
        <v>54000000</v>
      </c>
      <c r="O47" s="1034">
        <f>N47/units</f>
        <v>204545.45454545456</v>
      </c>
      <c r="P47" s="1033">
        <f>N47</f>
        <v>54000000</v>
      </c>
      <c r="Q47" s="1035">
        <f>P47/units</f>
        <v>204545.45454545456</v>
      </c>
      <c r="R47" s="1033">
        <f>P47</f>
        <v>54000000</v>
      </c>
      <c r="S47" s="1035">
        <f>R47/units</f>
        <v>204545.45454545456</v>
      </c>
      <c r="T47" s="1033">
        <f>R47</f>
        <v>54000000</v>
      </c>
      <c r="U47" s="1035">
        <f>T47/units</f>
        <v>204545.45454545456</v>
      </c>
      <c r="V47" s="250">
        <f>N47</f>
        <v>54000000</v>
      </c>
      <c r="W47" s="1034">
        <f>V47/units</f>
        <v>204545.45454545456</v>
      </c>
      <c r="X47" s="1497"/>
      <c r="Z47" s="1033">
        <f>P47</f>
        <v>54000000</v>
      </c>
      <c r="AA47" s="1035">
        <f>Z47/units</f>
        <v>204545.45454545456</v>
      </c>
      <c r="AB47" s="1497"/>
      <c r="AE47" s="1908"/>
      <c r="AF47" s="1440">
        <f>AF48-$AN$46</f>
        <v>3.9300000000000002E-2</v>
      </c>
      <c r="AG47" s="1441">
        <f t="shared" ref="AG47:AK54" si="38">IFERROR(ROUND(-PV(PMT($AF47/12,$P$62,-1)*12,360,((AG$46*12+$P$20)-($P$39-$P$34)-($Q$34*(AG$46*12+$P$20)))/1.25),-3),0)</f>
        <v>26686000</v>
      </c>
      <c r="AH47" s="1442">
        <f t="shared" si="38"/>
        <v>27505000</v>
      </c>
      <c r="AI47" s="1442">
        <f t="shared" si="38"/>
        <v>28325000</v>
      </c>
      <c r="AJ47" s="1442">
        <f t="shared" si="38"/>
        <v>29145000</v>
      </c>
      <c r="AK47" s="1442">
        <f t="shared" si="38"/>
        <v>29964000</v>
      </c>
      <c r="AL47" s="201"/>
      <c r="AM47" s="1449" t="s">
        <v>679</v>
      </c>
      <c r="AN47" s="1416">
        <v>5000</v>
      </c>
      <c r="AO47" s="201"/>
      <c r="AP47" s="202"/>
      <c r="AQ47" s="1033">
        <f>P47</f>
        <v>54000000</v>
      </c>
      <c r="AR47" s="1035">
        <f>AQ47/units</f>
        <v>204545.45454545456</v>
      </c>
      <c r="AS47" s="202"/>
      <c r="AT47" s="202"/>
      <c r="AU47" s="202"/>
      <c r="AV47" s="202"/>
    </row>
    <row r="48" spans="1:48" s="6" customFormat="1" ht="19">
      <c r="A48" s="667" t="s">
        <v>26</v>
      </c>
      <c r="B48" s="1033"/>
      <c r="C48" s="651"/>
      <c r="D48" s="1033"/>
      <c r="E48" s="1036"/>
      <c r="F48" s="1033"/>
      <c r="G48" s="1036"/>
      <c r="H48" s="1588"/>
      <c r="I48" s="1036"/>
      <c r="J48" s="1033"/>
      <c r="K48" s="1036"/>
      <c r="L48" s="250">
        <f>N48</f>
        <v>0</v>
      </c>
      <c r="M48" s="751">
        <f>L48/units</f>
        <v>0</v>
      </c>
      <c r="N48" s="250">
        <f>'Inputs and Assumptions'!D40</f>
        <v>0</v>
      </c>
      <c r="O48" s="751">
        <f>N48/units</f>
        <v>0</v>
      </c>
      <c r="P48" s="1033">
        <f>N48</f>
        <v>0</v>
      </c>
      <c r="Q48" s="1035">
        <f>O48</f>
        <v>0</v>
      </c>
      <c r="R48" s="1033">
        <f>P48</f>
        <v>0</v>
      </c>
      <c r="S48" s="1035">
        <f>Q48</f>
        <v>0</v>
      </c>
      <c r="T48" s="1033">
        <f>R48</f>
        <v>0</v>
      </c>
      <c r="U48" s="1035">
        <f>S48</f>
        <v>0</v>
      </c>
      <c r="V48" s="250">
        <f>N48</f>
        <v>0</v>
      </c>
      <c r="W48" s="751">
        <f>V48/units</f>
        <v>0</v>
      </c>
      <c r="X48" s="198"/>
      <c r="Y48" s="251"/>
      <c r="Z48" s="1033">
        <f>P48</f>
        <v>0</v>
      </c>
      <c r="AA48" s="1035">
        <f>Y48</f>
        <v>0</v>
      </c>
      <c r="AB48" s="198"/>
      <c r="AE48" s="1908"/>
      <c r="AF48" s="1443">
        <f>AF49-$AN$46</f>
        <v>4.0300000000000002E-2</v>
      </c>
      <c r="AG48" s="1444">
        <f t="shared" si="38"/>
        <v>26365000</v>
      </c>
      <c r="AH48" s="1445">
        <f t="shared" si="38"/>
        <v>27175000</v>
      </c>
      <c r="AI48" s="1445">
        <f t="shared" si="38"/>
        <v>27985000</v>
      </c>
      <c r="AJ48" s="1445">
        <f t="shared" si="38"/>
        <v>28794000</v>
      </c>
      <c r="AK48" s="1445">
        <f t="shared" si="38"/>
        <v>29604000</v>
      </c>
      <c r="AL48" s="201"/>
      <c r="AM48" s="201"/>
      <c r="AN48" s="201"/>
      <c r="AO48" s="201"/>
      <c r="AP48" s="202"/>
      <c r="AQ48" s="1033">
        <f>P48</f>
        <v>0</v>
      </c>
      <c r="AR48" s="1035">
        <f>Q48</f>
        <v>0</v>
      </c>
      <c r="AS48" s="202"/>
      <c r="AT48" s="202"/>
      <c r="AU48" s="202"/>
      <c r="AV48" s="202"/>
    </row>
    <row r="49" spans="1:48" s="6" customFormat="1" ht="19">
      <c r="A49" s="667" t="s">
        <v>680</v>
      </c>
      <c r="B49" s="1033"/>
      <c r="C49" s="651"/>
      <c r="D49" s="1033"/>
      <c r="E49" s="1036"/>
      <c r="F49" s="1033"/>
      <c r="G49" s="1036"/>
      <c r="H49" s="1588"/>
      <c r="I49" s="1036"/>
      <c r="J49" s="1033"/>
      <c r="K49" s="1036"/>
      <c r="L49" s="250">
        <f ca="1">N49</f>
        <v>1296000</v>
      </c>
      <c r="M49" s="1042">
        <f ca="1">L49/L50</f>
        <v>2.34375E-2</v>
      </c>
      <c r="N49" s="250">
        <f ca="1">'Inputs and Assumptions'!G34</f>
        <v>1296000</v>
      </c>
      <c r="O49" s="1042">
        <f ca="1">N49/N50</f>
        <v>2.34375E-2</v>
      </c>
      <c r="P49" s="1033">
        <f ca="1">N49</f>
        <v>1296000</v>
      </c>
      <c r="Q49" s="1037">
        <f ca="1">O49</f>
        <v>2.34375E-2</v>
      </c>
      <c r="R49" s="1033">
        <f ca="1">P49</f>
        <v>1296000</v>
      </c>
      <c r="S49" s="1037">
        <f ca="1">Q49</f>
        <v>2.34375E-2</v>
      </c>
      <c r="T49" s="1033">
        <f ca="1">R49</f>
        <v>1296000</v>
      </c>
      <c r="U49" s="1037">
        <f ca="1">S49</f>
        <v>2.34375E-2</v>
      </c>
      <c r="V49" s="250">
        <f ca="1">N49</f>
        <v>1296000</v>
      </c>
      <c r="W49" s="1042">
        <f ca="1">V49/V50</f>
        <v>2.34375E-2</v>
      </c>
      <c r="X49" s="198"/>
      <c r="Y49" s="251"/>
      <c r="Z49" s="1033">
        <f ca="1">P49</f>
        <v>1296000</v>
      </c>
      <c r="AA49" s="1037">
        <f>Y49</f>
        <v>0</v>
      </c>
      <c r="AB49" s="198"/>
      <c r="AE49" s="1908"/>
      <c r="AF49" s="1443">
        <f>AF50-$AN$46</f>
        <v>4.1300000000000003E-2</v>
      </c>
      <c r="AG49" s="1444">
        <f t="shared" si="38"/>
        <v>26050000</v>
      </c>
      <c r="AH49" s="1445">
        <f t="shared" si="38"/>
        <v>26850000</v>
      </c>
      <c r="AI49" s="1445">
        <f t="shared" si="38"/>
        <v>27650000</v>
      </c>
      <c r="AJ49" s="1445">
        <f t="shared" si="38"/>
        <v>28450000</v>
      </c>
      <c r="AK49" s="1445">
        <f t="shared" si="38"/>
        <v>29250000</v>
      </c>
      <c r="AL49" s="201"/>
      <c r="AM49" s="201"/>
      <c r="AN49" s="201"/>
      <c r="AO49" s="201"/>
      <c r="AP49" s="202"/>
      <c r="AQ49" s="1033">
        <f ca="1">P49</f>
        <v>1296000</v>
      </c>
      <c r="AR49" s="1037">
        <f ca="1">Q49</f>
        <v>2.34375E-2</v>
      </c>
      <c r="AS49" s="202"/>
      <c r="AT49" s="202"/>
      <c r="AU49" s="202"/>
      <c r="AV49" s="202"/>
    </row>
    <row r="50" spans="1:48" s="6" customFormat="1" ht="19">
      <c r="A50" s="655" t="s">
        <v>31</v>
      </c>
      <c r="B50" s="1038"/>
      <c r="C50" s="1039"/>
      <c r="D50" s="1038"/>
      <c r="E50" s="1040"/>
      <c r="F50" s="1038"/>
      <c r="G50" s="1040"/>
      <c r="H50" s="1589"/>
      <c r="I50" s="1040"/>
      <c r="J50" s="1038"/>
      <c r="K50" s="1040"/>
      <c r="L50" s="1038">
        <f ca="1">SUM(L47:L49)</f>
        <v>55296000</v>
      </c>
      <c r="M50" s="1041">
        <f ca="1">L50/units</f>
        <v>209454.54545454544</v>
      </c>
      <c r="N50" s="1038">
        <f ca="1">SUM(N47:N49)</f>
        <v>55296000</v>
      </c>
      <c r="O50" s="1041">
        <f ca="1">N50/units</f>
        <v>209454.54545454544</v>
      </c>
      <c r="P50" s="1038">
        <f ca="1">SUM(P47:P49)</f>
        <v>55296000</v>
      </c>
      <c r="Q50" s="1495">
        <f ca="1">P50/units</f>
        <v>209454.54545454544</v>
      </c>
      <c r="R50" s="1038">
        <f ca="1">SUM(R47:R49)</f>
        <v>55296000</v>
      </c>
      <c r="S50" s="1495">
        <f ca="1">R50/units</f>
        <v>209454.54545454544</v>
      </c>
      <c r="T50" s="1038">
        <f ca="1">SUM(T47:T49)</f>
        <v>55296000</v>
      </c>
      <c r="U50" s="1495">
        <f ca="1">T50/units</f>
        <v>209454.54545454544</v>
      </c>
      <c r="V50" s="1038">
        <f ca="1">SUM(V47:V49)</f>
        <v>55296000</v>
      </c>
      <c r="W50" s="1041">
        <f ca="1">V50/units</f>
        <v>209454.54545454544</v>
      </c>
      <c r="X50" s="198"/>
      <c r="Y50" s="251"/>
      <c r="Z50" s="1038">
        <f ca="1">SUM(Z47:Z49)</f>
        <v>55296000</v>
      </c>
      <c r="AA50" s="1495">
        <f ca="1">Z50/units</f>
        <v>209454.54545454544</v>
      </c>
      <c r="AB50" s="198"/>
      <c r="AE50" s="1908"/>
      <c r="AF50" s="1446">
        <f>P65</f>
        <v>4.2300000000000004E-2</v>
      </c>
      <c r="AG50" s="1444">
        <f t="shared" si="38"/>
        <v>25741000</v>
      </c>
      <c r="AH50" s="1445">
        <f t="shared" si="38"/>
        <v>26531000</v>
      </c>
      <c r="AI50" s="1445">
        <f t="shared" si="38"/>
        <v>27322000</v>
      </c>
      <c r="AJ50" s="1445">
        <f t="shared" si="38"/>
        <v>28112000</v>
      </c>
      <c r="AK50" s="1445">
        <f t="shared" si="38"/>
        <v>28903000</v>
      </c>
      <c r="AL50" s="201"/>
      <c r="AM50" s="201"/>
      <c r="AN50" s="201"/>
      <c r="AO50" s="201"/>
      <c r="AP50" s="202"/>
      <c r="AQ50" s="1038">
        <f ca="1">SUM(AQ47:AQ49)</f>
        <v>55296000</v>
      </c>
      <c r="AR50" s="1041">
        <f ca="1">AQ50/units</f>
        <v>209454.54545454544</v>
      </c>
      <c r="AS50" s="202"/>
      <c r="AT50" s="202"/>
      <c r="AU50" s="202"/>
      <c r="AV50" s="202"/>
    </row>
    <row r="51" spans="1:48" s="6" customFormat="1" ht="19">
      <c r="A51" s="652" t="s">
        <v>681</v>
      </c>
      <c r="B51" s="248"/>
      <c r="C51" s="230"/>
      <c r="D51" s="248"/>
      <c r="E51" s="249"/>
      <c r="F51" s="248"/>
      <c r="G51" s="249"/>
      <c r="H51" s="229"/>
      <c r="I51" s="249"/>
      <c r="J51" s="248"/>
      <c r="K51" s="249"/>
      <c r="L51" s="248"/>
      <c r="M51" s="1034"/>
      <c r="N51" s="248"/>
      <c r="O51" s="1034"/>
      <c r="P51" s="248"/>
      <c r="Q51" s="249"/>
      <c r="R51" s="248"/>
      <c r="S51" s="249"/>
      <c r="T51" s="248"/>
      <c r="U51" s="249"/>
      <c r="V51" s="248"/>
      <c r="W51" s="1034"/>
      <c r="X51" s="198"/>
      <c r="Y51" s="251"/>
      <c r="Z51" s="248"/>
      <c r="AA51" s="249"/>
      <c r="AB51" s="198"/>
      <c r="AE51" s="1908"/>
      <c r="AF51" s="1446">
        <f>AF50+$AN$46</f>
        <v>4.3300000000000005E-2</v>
      </c>
      <c r="AG51" s="1444">
        <f t="shared" si="38"/>
        <v>25437000</v>
      </c>
      <c r="AH51" s="1445">
        <f t="shared" si="38"/>
        <v>26218000</v>
      </c>
      <c r="AI51" s="1445">
        <f t="shared" si="38"/>
        <v>26999000</v>
      </c>
      <c r="AJ51" s="1445">
        <f t="shared" si="38"/>
        <v>27780000</v>
      </c>
      <c r="AK51" s="1445">
        <f t="shared" si="38"/>
        <v>28562000</v>
      </c>
      <c r="AL51" s="201"/>
      <c r="AM51" s="201"/>
      <c r="AN51" s="201"/>
      <c r="AO51" s="201"/>
      <c r="AP51" s="202"/>
      <c r="AQ51" s="248"/>
      <c r="AR51" s="249"/>
      <c r="AS51" s="202"/>
      <c r="AT51" s="202"/>
      <c r="AU51" s="202"/>
      <c r="AV51" s="202"/>
    </row>
    <row r="52" spans="1:48" s="6" customFormat="1" ht="19">
      <c r="A52" s="667" t="s">
        <v>4</v>
      </c>
      <c r="B52" s="248"/>
      <c r="C52" s="230"/>
      <c r="D52" s="248"/>
      <c r="E52" s="249"/>
      <c r="F52" s="248"/>
      <c r="G52" s="249"/>
      <c r="H52" s="229"/>
      <c r="I52" s="249"/>
      <c r="J52" s="248"/>
      <c r="K52" s="249"/>
      <c r="L52" s="250">
        <f>L79</f>
        <v>35000000</v>
      </c>
      <c r="M52" s="1034">
        <f>L52/units</f>
        <v>132575.75757575757</v>
      </c>
      <c r="N52" s="250">
        <f>N79</f>
        <v>31382750</v>
      </c>
      <c r="O52" s="1034">
        <f>N52/units</f>
        <v>118874.05303030302</v>
      </c>
      <c r="P52" s="250">
        <f>P58</f>
        <v>35000000</v>
      </c>
      <c r="Q52" s="1035">
        <f>P52/units</f>
        <v>132575.75757575757</v>
      </c>
      <c r="R52" s="250">
        <f>R58</f>
        <v>0</v>
      </c>
      <c r="S52" s="1035">
        <f>R52/units</f>
        <v>0</v>
      </c>
      <c r="T52" s="250">
        <f>T58</f>
        <v>0</v>
      </c>
      <c r="U52" s="1035">
        <f>T52/units</f>
        <v>0</v>
      </c>
      <c r="V52" s="250">
        <f>N52</f>
        <v>31382750</v>
      </c>
      <c r="W52" s="1034">
        <f>V52/units</f>
        <v>118874.05303030302</v>
      </c>
      <c r="X52" s="198"/>
      <c r="Y52" s="251"/>
      <c r="Z52" s="250">
        <f>Z58</f>
        <v>23678000</v>
      </c>
      <c r="AA52" s="1035">
        <f>Z52/units</f>
        <v>89689.393939393936</v>
      </c>
      <c r="AB52" s="198"/>
      <c r="AE52" s="1908"/>
      <c r="AF52" s="1446">
        <f>AF51+$AN$46</f>
        <v>4.4300000000000006E-2</v>
      </c>
      <c r="AG52" s="1444">
        <f t="shared" si="38"/>
        <v>25138000</v>
      </c>
      <c r="AH52" s="1445">
        <f t="shared" si="38"/>
        <v>25910000</v>
      </c>
      <c r="AI52" s="1445">
        <f t="shared" si="38"/>
        <v>26682000</v>
      </c>
      <c r="AJ52" s="1445">
        <f t="shared" si="38"/>
        <v>27454000</v>
      </c>
      <c r="AK52" s="1445">
        <f t="shared" si="38"/>
        <v>28226000</v>
      </c>
      <c r="AL52" s="201"/>
      <c r="AM52" s="201"/>
      <c r="AN52" s="201"/>
      <c r="AO52" s="201"/>
      <c r="AP52" s="202"/>
      <c r="AQ52" s="250">
        <f>AQ58</f>
        <v>1000000</v>
      </c>
      <c r="AR52" s="1035">
        <f>AQ52/units</f>
        <v>3787.878787878788</v>
      </c>
      <c r="AS52" s="202"/>
      <c r="AT52" s="202"/>
      <c r="AU52" s="202"/>
      <c r="AV52" s="202"/>
    </row>
    <row r="53" spans="1:48" s="6" customFormat="1" ht="19">
      <c r="A53" s="667" t="s">
        <v>7</v>
      </c>
      <c r="B53" s="248"/>
      <c r="C53" s="230"/>
      <c r="D53" s="248"/>
      <c r="E53" s="249"/>
      <c r="F53" s="248"/>
      <c r="G53" s="249"/>
      <c r="H53" s="229"/>
      <c r="I53" s="249"/>
      <c r="J53" s="248"/>
      <c r="K53" s="249"/>
      <c r="L53" s="250">
        <f>'Inputs and Assumptions'!$G$27</f>
        <v>0</v>
      </c>
      <c r="M53" s="1034">
        <f>L53/units</f>
        <v>0</v>
      </c>
      <c r="N53" s="250">
        <f>'Inputs and Assumptions'!$G$27</f>
        <v>0</v>
      </c>
      <c r="O53" s="1034">
        <f>N53/units</f>
        <v>0</v>
      </c>
      <c r="P53" s="250">
        <f>'Inputs and Assumptions'!$G$27</f>
        <v>0</v>
      </c>
      <c r="Q53" s="1035">
        <f>P53/units</f>
        <v>0</v>
      </c>
      <c r="R53" s="250">
        <f>'Inputs and Assumptions'!$G$27</f>
        <v>0</v>
      </c>
      <c r="S53" s="1035">
        <f>R53/units</f>
        <v>0</v>
      </c>
      <c r="T53" s="250">
        <f>'Inputs and Assumptions'!$G$27</f>
        <v>0</v>
      </c>
      <c r="U53" s="1035">
        <f>T53/units</f>
        <v>0</v>
      </c>
      <c r="V53" s="250">
        <f>N53</f>
        <v>0</v>
      </c>
      <c r="W53" s="1034">
        <f>V53/units</f>
        <v>0</v>
      </c>
      <c r="X53" s="198"/>
      <c r="Y53" s="251"/>
      <c r="Z53" s="250">
        <f>'Inputs and Assumptions'!$G$27</f>
        <v>0</v>
      </c>
      <c r="AA53" s="1035">
        <f>Z53/units</f>
        <v>0</v>
      </c>
      <c r="AB53" s="198"/>
      <c r="AE53" s="1908"/>
      <c r="AF53" s="1446">
        <f>AF52+$AN$46</f>
        <v>4.5300000000000007E-2</v>
      </c>
      <c r="AG53" s="1444">
        <f t="shared" si="38"/>
        <v>24845000</v>
      </c>
      <c r="AH53" s="1445">
        <f t="shared" si="38"/>
        <v>25608000</v>
      </c>
      <c r="AI53" s="1445">
        <f t="shared" si="38"/>
        <v>26371000</v>
      </c>
      <c r="AJ53" s="1445">
        <f t="shared" si="38"/>
        <v>27134000</v>
      </c>
      <c r="AK53" s="1445">
        <f t="shared" si="38"/>
        <v>27897000</v>
      </c>
      <c r="AL53" s="201"/>
      <c r="AM53" s="201"/>
      <c r="AN53" s="201"/>
      <c r="AO53" s="201"/>
      <c r="AP53" s="202"/>
      <c r="AQ53" s="250">
        <f>'Inputs and Assumptions'!$G$27</f>
        <v>0</v>
      </c>
      <c r="AR53" s="1035">
        <f>AQ53/units</f>
        <v>0</v>
      </c>
      <c r="AS53" s="202"/>
      <c r="AT53" s="202"/>
      <c r="AU53" s="202"/>
      <c r="AV53" s="202"/>
    </row>
    <row r="54" spans="1:48" s="6" customFormat="1" ht="19.5" thickBot="1">
      <c r="A54" s="667" t="s">
        <v>10</v>
      </c>
      <c r="B54" s="248"/>
      <c r="C54" s="230"/>
      <c r="D54" s="248"/>
      <c r="E54" s="249"/>
      <c r="F54" s="248"/>
      <c r="G54" s="249"/>
      <c r="H54" s="229"/>
      <c r="I54" s="249"/>
      <c r="J54" s="248"/>
      <c r="K54" s="249"/>
      <c r="L54" s="1033">
        <f ca="1">L50-L52-L53</f>
        <v>20296000</v>
      </c>
      <c r="M54" s="751">
        <f ca="1">L54/units</f>
        <v>76878.787878787873</v>
      </c>
      <c r="N54" s="1033">
        <f ca="1">N50-N52-N53</f>
        <v>23913250</v>
      </c>
      <c r="O54" s="751">
        <f ca="1">N54/units</f>
        <v>90580.492424242431</v>
      </c>
      <c r="P54" s="1033">
        <f ca="1">P50-P52-P53</f>
        <v>20296000</v>
      </c>
      <c r="Q54" s="1035">
        <f ca="1">P54/units</f>
        <v>76878.787878787873</v>
      </c>
      <c r="R54" s="1033">
        <f ca="1">R50-R52-R53</f>
        <v>55296000</v>
      </c>
      <c r="S54" s="1035">
        <f ca="1">R54/units</f>
        <v>209454.54545454544</v>
      </c>
      <c r="T54" s="1033">
        <f ca="1">T50-T52-T53</f>
        <v>55296000</v>
      </c>
      <c r="U54" s="1035">
        <f ca="1">T54/units</f>
        <v>209454.54545454544</v>
      </c>
      <c r="V54" s="1033">
        <f ca="1">V50-V52-V53</f>
        <v>23913250</v>
      </c>
      <c r="W54" s="751">
        <f ca="1">V54/units</f>
        <v>90580.492424242431</v>
      </c>
      <c r="X54" s="198"/>
      <c r="Y54" s="251"/>
      <c r="Z54" s="1033">
        <f ca="1">Z50-Z52-Z53</f>
        <v>31618000</v>
      </c>
      <c r="AA54" s="1035">
        <f ca="1">Z54/units</f>
        <v>119765.15151515152</v>
      </c>
      <c r="AB54" s="198"/>
      <c r="AE54" s="1414"/>
      <c r="AF54" s="1447">
        <f>AF53+$AN$46</f>
        <v>4.6300000000000008E-2</v>
      </c>
      <c r="AG54" s="1444">
        <f t="shared" si="38"/>
        <v>24556000</v>
      </c>
      <c r="AH54" s="1445">
        <f t="shared" si="38"/>
        <v>25311000</v>
      </c>
      <c r="AI54" s="1445">
        <f t="shared" si="38"/>
        <v>26065000</v>
      </c>
      <c r="AJ54" s="1445">
        <f t="shared" si="38"/>
        <v>26819000</v>
      </c>
      <c r="AK54" s="1445">
        <f t="shared" si="38"/>
        <v>27573000</v>
      </c>
      <c r="AL54" s="201"/>
      <c r="AM54" s="201"/>
      <c r="AN54" s="201"/>
      <c r="AO54" s="201"/>
      <c r="AP54" s="202"/>
      <c r="AQ54" s="1033">
        <f ca="1">AQ50-AQ52-AQ53</f>
        <v>54296000</v>
      </c>
      <c r="AR54" s="1035">
        <f ca="1">AQ54/units</f>
        <v>205666.66666666666</v>
      </c>
      <c r="AS54" s="202"/>
      <c r="AT54" s="202"/>
      <c r="AU54" s="202"/>
      <c r="AV54" s="202"/>
    </row>
    <row r="55" spans="1:48" s="6" customFormat="1" ht="19">
      <c r="A55" s="655" t="s">
        <v>14</v>
      </c>
      <c r="B55" s="252"/>
      <c r="C55" s="253"/>
      <c r="D55" s="252"/>
      <c r="E55" s="254"/>
      <c r="F55" s="252"/>
      <c r="G55" s="254"/>
      <c r="H55" s="1590"/>
      <c r="I55" s="254"/>
      <c r="J55" s="252"/>
      <c r="K55" s="254"/>
      <c r="L55" s="1038">
        <f ca="1">SUM(L52:L54)</f>
        <v>55296000</v>
      </c>
      <c r="M55" s="1041">
        <f ca="1">L55/units</f>
        <v>209454.54545454544</v>
      </c>
      <c r="N55" s="1038">
        <f ca="1">SUM(N52:N54)</f>
        <v>55296000</v>
      </c>
      <c r="O55" s="1041">
        <f ca="1">N55/units</f>
        <v>209454.54545454544</v>
      </c>
      <c r="P55" s="1038">
        <f ca="1">SUM(P52:P54)</f>
        <v>55296000</v>
      </c>
      <c r="Q55" s="1040">
        <f ca="1">P55/units</f>
        <v>209454.54545454544</v>
      </c>
      <c r="R55" s="1038">
        <f ca="1">SUM(R52:R54)</f>
        <v>55296000</v>
      </c>
      <c r="S55" s="1040">
        <f ca="1">R55/units</f>
        <v>209454.54545454544</v>
      </c>
      <c r="T55" s="1038">
        <f ca="1">SUM(T52:T54)</f>
        <v>55296000</v>
      </c>
      <c r="U55" s="1040">
        <f ca="1">T55/units</f>
        <v>209454.54545454544</v>
      </c>
      <c r="V55" s="1038">
        <f ca="1">SUM(V52:V54)</f>
        <v>55296000</v>
      </c>
      <c r="W55" s="1041">
        <f ca="1">V55/units</f>
        <v>209454.54545454544</v>
      </c>
      <c r="X55" s="198"/>
      <c r="Y55" s="251"/>
      <c r="Z55" s="1038">
        <f ca="1">SUM(Z52:Z54)</f>
        <v>55296000</v>
      </c>
      <c r="AA55" s="1040">
        <f ca="1">Z55/units</f>
        <v>209454.54545454544</v>
      </c>
      <c r="AB55" s="198"/>
      <c r="AC55" s="1411"/>
      <c r="AD55" s="213"/>
      <c r="AE55" s="201"/>
      <c r="AF55" s="201"/>
      <c r="AG55" s="201"/>
      <c r="AH55" s="201"/>
      <c r="AI55" s="201"/>
      <c r="AJ55" s="201"/>
      <c r="AK55" s="201"/>
      <c r="AL55" s="201"/>
      <c r="AM55" s="201"/>
      <c r="AN55" s="201"/>
      <c r="AO55" s="201"/>
      <c r="AP55" s="202"/>
      <c r="AQ55" s="1038">
        <f ca="1">SUM(AQ52:AQ54)</f>
        <v>55296000</v>
      </c>
      <c r="AR55" s="1043">
        <f ca="1">AQ55/units</f>
        <v>209454.54545454544</v>
      </c>
      <c r="AS55" s="202"/>
      <c r="AT55" s="202"/>
      <c r="AU55" s="202"/>
      <c r="AV55" s="202"/>
    </row>
    <row r="56" spans="1:48" s="5" customFormat="1" ht="19">
      <c r="A56" s="309" t="s">
        <v>682</v>
      </c>
      <c r="B56" s="313"/>
      <c r="C56" s="314"/>
      <c r="D56" s="313"/>
      <c r="E56" s="314"/>
      <c r="F56" s="313"/>
      <c r="G56" s="1494"/>
      <c r="H56" s="313"/>
      <c r="I56" s="1494"/>
      <c r="J56" s="313"/>
      <c r="K56" s="314"/>
      <c r="L56" s="313"/>
      <c r="M56" s="314"/>
      <c r="N56" s="313"/>
      <c r="O56" s="314"/>
      <c r="P56" s="313"/>
      <c r="Q56" s="1494"/>
      <c r="R56" s="313"/>
      <c r="S56" s="1494"/>
      <c r="T56" s="313"/>
      <c r="U56" s="1494"/>
      <c r="V56" s="313"/>
      <c r="W56" s="314"/>
      <c r="X56" s="1508"/>
      <c r="Y56" s="316"/>
      <c r="Z56" s="313"/>
      <c r="AA56" s="1494"/>
      <c r="AB56" s="1508"/>
      <c r="AC56" s="316"/>
      <c r="AD56" s="256"/>
      <c r="AE56" s="194"/>
      <c r="AF56" s="194"/>
      <c r="AG56" s="194"/>
      <c r="AH56" s="194"/>
      <c r="AI56" s="194"/>
      <c r="AJ56" s="194"/>
      <c r="AK56" s="194"/>
      <c r="AL56" s="194"/>
      <c r="AM56" s="194"/>
      <c r="AN56" s="194"/>
      <c r="AO56" s="196"/>
      <c r="AP56" s="196"/>
      <c r="AQ56" s="313"/>
      <c r="AR56" s="314"/>
      <c r="AS56" s="196"/>
      <c r="AT56" s="196"/>
      <c r="AU56" s="196"/>
    </row>
    <row r="57" spans="1:48" s="5" customFormat="1" ht="5.15" customHeight="1">
      <c r="A57" s="257"/>
      <c r="B57" s="258"/>
      <c r="C57" s="259"/>
      <c r="D57" s="258"/>
      <c r="E57" s="259"/>
      <c r="F57" s="258"/>
      <c r="G57" s="247"/>
      <c r="H57" s="1501"/>
      <c r="I57" s="247"/>
      <c r="J57" s="258"/>
      <c r="K57" s="259"/>
      <c r="L57" s="258"/>
      <c r="M57" s="259"/>
      <c r="N57" s="258"/>
      <c r="O57" s="259"/>
      <c r="P57" s="258"/>
      <c r="Q57" s="247"/>
      <c r="R57" s="258"/>
      <c r="S57" s="247"/>
      <c r="T57" s="258"/>
      <c r="U57" s="247"/>
      <c r="V57" s="258"/>
      <c r="W57" s="259"/>
      <c r="X57" s="1502"/>
      <c r="Y57" s="260"/>
      <c r="Z57" s="258"/>
      <c r="AA57" s="247"/>
      <c r="AB57" s="1511"/>
      <c r="AC57" s="261"/>
      <c r="AD57" s="194"/>
      <c r="AE57" s="194"/>
      <c r="AF57" s="194"/>
      <c r="AG57" s="194"/>
      <c r="AH57" s="194"/>
      <c r="AI57" s="194"/>
      <c r="AJ57" s="194"/>
      <c r="AK57" s="194"/>
      <c r="AL57" s="194"/>
      <c r="AM57" s="194"/>
      <c r="AN57" s="194"/>
      <c r="AO57" s="196"/>
      <c r="AP57" s="196"/>
      <c r="AQ57" s="258"/>
      <c r="AR57" s="259"/>
      <c r="AS57" s="196"/>
      <c r="AT57" s="196"/>
      <c r="AU57" s="196"/>
    </row>
    <row r="58" spans="1:48" s="5" customFormat="1" ht="19">
      <c r="A58" s="1044" t="s">
        <v>683</v>
      </c>
      <c r="B58" s="262"/>
      <c r="C58" s="263"/>
      <c r="D58" s="262"/>
      <c r="E58" s="263"/>
      <c r="F58" s="262"/>
      <c r="G58" s="416"/>
      <c r="H58" s="227"/>
      <c r="I58" s="416"/>
      <c r="J58" s="262"/>
      <c r="K58" s="263"/>
      <c r="L58" s="264">
        <v>35000000</v>
      </c>
      <c r="M58" s="1053">
        <f>L58/units</f>
        <v>132575.75757575757</v>
      </c>
      <c r="N58" s="264">
        <v>31382750</v>
      </c>
      <c r="O58" s="1053">
        <f>N58/units</f>
        <v>118874.05303030302</v>
      </c>
      <c r="P58" s="264">
        <f>+L58</f>
        <v>35000000</v>
      </c>
      <c r="Q58" s="1496">
        <f>P58/units</f>
        <v>132575.75757575757</v>
      </c>
      <c r="R58" s="264">
        <v>0</v>
      </c>
      <c r="S58" s="1496">
        <f>R58/units</f>
        <v>0</v>
      </c>
      <c r="T58" s="264">
        <v>0</v>
      </c>
      <c r="U58" s="1496">
        <f>T58/units</f>
        <v>0</v>
      </c>
      <c r="V58" s="1509" t="s">
        <v>684</v>
      </c>
      <c r="W58" s="1483">
        <f>IF(W73="Yes",MIN(ROUND(SUM(W68/W66)-50,-2),V47*0.8),MIN(ROUND(SUM(W68/W66)-50,-2),V47*0.85))</f>
        <v>22003400</v>
      </c>
      <c r="X58" s="1503"/>
      <c r="Y58" s="265"/>
      <c r="Z58" s="264">
        <v>23678000</v>
      </c>
      <c r="AA58" s="1496">
        <f>Z58/units</f>
        <v>89689.393939393936</v>
      </c>
      <c r="AB58" s="382"/>
      <c r="AC58" s="196"/>
      <c r="AD58" s="1403"/>
      <c r="AE58" s="1403"/>
      <c r="AF58" s="1403"/>
      <c r="AG58" s="194"/>
      <c r="AH58" s="194"/>
      <c r="AI58" s="194"/>
      <c r="AJ58" s="194"/>
      <c r="AK58" s="194"/>
      <c r="AL58" s="194"/>
      <c r="AM58" s="194"/>
      <c r="AN58" s="194"/>
      <c r="AO58" s="196"/>
      <c r="AP58" s="196"/>
      <c r="AQ58" s="264">
        <v>1000000</v>
      </c>
      <c r="AR58" s="1053">
        <f>AQ58/units</f>
        <v>3787.878787878788</v>
      </c>
      <c r="AS58" s="196"/>
      <c r="AT58" s="196"/>
      <c r="AU58" s="196"/>
    </row>
    <row r="59" spans="1:48" s="5" customFormat="1" ht="19">
      <c r="A59" s="1044" t="s">
        <v>685</v>
      </c>
      <c r="B59" s="266"/>
      <c r="C59" s="263"/>
      <c r="D59" s="266"/>
      <c r="E59" s="263"/>
      <c r="F59" s="266"/>
      <c r="G59" s="416"/>
      <c r="H59" s="227"/>
      <c r="I59" s="416"/>
      <c r="J59" s="266"/>
      <c r="K59" s="263"/>
      <c r="L59" s="1057">
        <f>L58/L47</f>
        <v>0.64814814814814814</v>
      </c>
      <c r="M59" s="263"/>
      <c r="N59" s="1057">
        <f>N58/N47</f>
        <v>0.58116203703703706</v>
      </c>
      <c r="O59" s="263"/>
      <c r="P59" s="1057">
        <f>P58/P47</f>
        <v>0.64814814814814814</v>
      </c>
      <c r="Q59" s="263"/>
      <c r="R59" s="1057">
        <f>R58/R47</f>
        <v>0</v>
      </c>
      <c r="S59" s="263"/>
      <c r="T59" s="1057">
        <f>T58/T47</f>
        <v>0</v>
      </c>
      <c r="U59" s="263"/>
      <c r="V59" s="1044"/>
      <c r="W59" s="1475">
        <f>W58/V47</f>
        <v>0.40747037037037037</v>
      </c>
      <c r="X59" s="1503"/>
      <c r="Y59" s="265"/>
      <c r="Z59" s="1057">
        <f>Z58/Z47</f>
        <v>0.43848148148148147</v>
      </c>
      <c r="AA59" s="416"/>
      <c r="AB59" s="1511"/>
      <c r="AC59" s="261"/>
      <c r="AD59" s="1404"/>
      <c r="AE59" s="1405"/>
      <c r="AF59" s="1406"/>
      <c r="AG59" s="194"/>
      <c r="AH59" s="194"/>
      <c r="AI59" s="194"/>
      <c r="AJ59" s="194"/>
      <c r="AK59" s="194"/>
      <c r="AL59" s="194"/>
      <c r="AM59" s="194"/>
      <c r="AN59" s="194"/>
      <c r="AO59" s="196"/>
      <c r="AP59" s="196"/>
      <c r="AQ59" s="1057">
        <f>AQ58/AQ47</f>
        <v>1.8518518518518517E-2</v>
      </c>
      <c r="AR59" s="263"/>
      <c r="AS59" s="196"/>
      <c r="AT59" s="196"/>
      <c r="AU59" s="196"/>
    </row>
    <row r="60" spans="1:48" s="5" customFormat="1" ht="19">
      <c r="A60" s="1044" t="s">
        <v>686</v>
      </c>
      <c r="B60" s="267"/>
      <c r="C60" s="268"/>
      <c r="D60" s="267"/>
      <c r="E60" s="268"/>
      <c r="F60" s="267"/>
      <c r="G60" s="268"/>
      <c r="H60" s="1580"/>
      <c r="I60" s="1580"/>
      <c r="J60" s="267"/>
      <c r="K60" s="268"/>
      <c r="L60" s="269">
        <v>60</v>
      </c>
      <c r="M60" s="268"/>
      <c r="N60" s="269">
        <v>60</v>
      </c>
      <c r="O60" s="268"/>
      <c r="P60" s="269">
        <v>60</v>
      </c>
      <c r="Q60" s="268"/>
      <c r="R60" s="269">
        <v>120</v>
      </c>
      <c r="S60" s="268"/>
      <c r="T60" s="269">
        <v>120</v>
      </c>
      <c r="U60" s="268"/>
      <c r="V60" s="1044" t="s">
        <v>687</v>
      </c>
      <c r="W60" s="1476">
        <v>420</v>
      </c>
      <c r="X60" s="1502"/>
      <c r="Y60" s="260"/>
      <c r="Z60" s="269">
        <v>120</v>
      </c>
      <c r="AA60" s="268"/>
      <c r="AB60" s="261"/>
      <c r="AC60" s="261"/>
      <c r="AD60" s="1404"/>
      <c r="AE60" s="1405"/>
      <c r="AF60" s="1406"/>
      <c r="AG60" s="194"/>
      <c r="AH60" s="194"/>
      <c r="AI60" s="194"/>
      <c r="AJ60" s="194"/>
      <c r="AK60" s="194"/>
      <c r="AL60" s="194"/>
      <c r="AM60" s="194"/>
      <c r="AN60" s="194"/>
      <c r="AO60" s="196"/>
      <c r="AP60" s="196"/>
      <c r="AQ60" s="269">
        <v>120</v>
      </c>
      <c r="AR60" s="268"/>
      <c r="AS60" s="196"/>
      <c r="AT60" s="196"/>
      <c r="AU60" s="196"/>
    </row>
    <row r="61" spans="1:48" s="5" customFormat="1" ht="19">
      <c r="A61" s="1044" t="s">
        <v>688</v>
      </c>
      <c r="B61" s="267"/>
      <c r="C61" s="268"/>
      <c r="D61" s="267"/>
      <c r="E61" s="268"/>
      <c r="F61" s="267"/>
      <c r="G61" s="268"/>
      <c r="H61" s="1580"/>
      <c r="I61" s="1691">
        <v>0.67400000000000004</v>
      </c>
      <c r="J61" s="267"/>
      <c r="K61" s="268"/>
      <c r="L61" s="269">
        <v>60</v>
      </c>
      <c r="M61" s="268"/>
      <c r="N61" s="269">
        <v>24</v>
      </c>
      <c r="O61" s="268"/>
      <c r="P61" s="269">
        <f>+L61</f>
        <v>60</v>
      </c>
      <c r="Q61" s="268"/>
      <c r="R61" s="269">
        <v>60</v>
      </c>
      <c r="S61" s="268"/>
      <c r="T61" s="269">
        <v>60</v>
      </c>
      <c r="U61" s="268"/>
      <c r="V61" s="1044" t="s">
        <v>689</v>
      </c>
      <c r="W61" s="1476">
        <v>420</v>
      </c>
      <c r="X61" s="1502"/>
      <c r="Y61" s="260"/>
      <c r="Z61" s="269">
        <v>60</v>
      </c>
      <c r="AA61" s="268"/>
      <c r="AB61" s="261"/>
      <c r="AC61" s="261"/>
      <c r="AD61" s="1404"/>
      <c r="AE61" s="1405"/>
      <c r="AF61" s="1407"/>
      <c r="AG61" s="194"/>
      <c r="AH61" s="194"/>
      <c r="AI61" s="194"/>
      <c r="AJ61" s="194"/>
      <c r="AK61" s="194"/>
      <c r="AL61" s="194"/>
      <c r="AM61" s="194"/>
      <c r="AN61" s="194"/>
      <c r="AO61" s="196"/>
      <c r="AP61" s="196"/>
      <c r="AQ61" s="269">
        <v>60</v>
      </c>
      <c r="AR61" s="268"/>
      <c r="AS61" s="196"/>
      <c r="AT61" s="196"/>
      <c r="AU61" s="196"/>
    </row>
    <row r="62" spans="1:48" s="5" customFormat="1" ht="19">
      <c r="A62" s="1044" t="s">
        <v>51</v>
      </c>
      <c r="B62" s="267"/>
      <c r="C62" s="270"/>
      <c r="D62" s="267"/>
      <c r="E62" s="270"/>
      <c r="F62" s="267"/>
      <c r="G62" s="270"/>
      <c r="H62" s="1581"/>
      <c r="I62" s="1581"/>
      <c r="J62" s="1690">
        <v>0.7</v>
      </c>
      <c r="K62" s="270"/>
      <c r="L62" s="269">
        <v>360</v>
      </c>
      <c r="M62" s="270"/>
      <c r="N62" s="269">
        <v>420</v>
      </c>
      <c r="O62" s="270"/>
      <c r="P62" s="269">
        <v>360</v>
      </c>
      <c r="Q62" s="270"/>
      <c r="R62" s="269">
        <v>360</v>
      </c>
      <c r="S62" s="270"/>
      <c r="T62" s="269">
        <v>360</v>
      </c>
      <c r="U62" s="270"/>
      <c r="W62" s="1482"/>
      <c r="X62" s="257"/>
      <c r="Y62" s="257"/>
      <c r="Z62" s="269">
        <v>360</v>
      </c>
      <c r="AA62" s="270"/>
      <c r="AB62" s="261"/>
      <c r="AC62" s="261"/>
      <c r="AD62" s="1404"/>
      <c r="AE62" s="1405"/>
      <c r="AF62" s="1408"/>
      <c r="AG62" s="194"/>
      <c r="AH62" s="194"/>
      <c r="AI62" s="194"/>
      <c r="AJ62" s="194"/>
      <c r="AK62" s="194"/>
      <c r="AL62" s="194"/>
      <c r="AM62" s="194"/>
      <c r="AN62" s="194"/>
      <c r="AO62" s="196"/>
      <c r="AP62" s="196"/>
      <c r="AQ62" s="269">
        <v>360</v>
      </c>
      <c r="AR62" s="270"/>
      <c r="AS62" s="196"/>
      <c r="AT62" s="196"/>
      <c r="AU62" s="196"/>
    </row>
    <row r="63" spans="1:48" s="5" customFormat="1" ht="19">
      <c r="A63" s="1044" t="s">
        <v>690</v>
      </c>
      <c r="B63" s="271"/>
      <c r="C63" s="270"/>
      <c r="D63" s="271"/>
      <c r="E63" s="270"/>
      <c r="F63" s="271"/>
      <c r="G63" s="270"/>
      <c r="H63" s="1581"/>
      <c r="I63" s="1581"/>
      <c r="J63" s="271" t="s">
        <v>691</v>
      </c>
      <c r="K63" s="270">
        <f>1.44-0.07</f>
        <v>1.3699999999999999</v>
      </c>
      <c r="L63" s="272">
        <v>6.6E-3</v>
      </c>
      <c r="M63" s="273">
        <f ca="1">TODAY()</f>
        <v>46085</v>
      </c>
      <c r="N63" s="272">
        <v>1.2E-2</v>
      </c>
      <c r="O63" s="273">
        <f ca="1">TODAY()</f>
        <v>46085</v>
      </c>
      <c r="P63" s="272">
        <f>+L63</f>
        <v>6.6E-3</v>
      </c>
      <c r="Q63" s="273">
        <f ca="1">TODAY()</f>
        <v>46085</v>
      </c>
      <c r="R63" s="272">
        <v>1.7000000000000001E-2</v>
      </c>
      <c r="S63" s="273">
        <f ca="1">TODAY()</f>
        <v>46085</v>
      </c>
      <c r="T63" s="272">
        <v>1.7000000000000001E-2</v>
      </c>
      <c r="U63" s="273">
        <f ca="1">TODAY()</f>
        <v>46085</v>
      </c>
      <c r="V63" s="1044" t="s">
        <v>692</v>
      </c>
      <c r="W63" s="1477">
        <v>5.7000000000000002E-2</v>
      </c>
      <c r="X63" s="257"/>
      <c r="Y63" s="257"/>
      <c r="Z63" s="272">
        <v>1.7000000000000001E-2</v>
      </c>
      <c r="AA63" s="273">
        <f ca="1">TODAY()</f>
        <v>46085</v>
      </c>
      <c r="AB63" s="261"/>
      <c r="AC63" s="261"/>
      <c r="AD63" s="1404"/>
      <c r="AE63" s="1405"/>
      <c r="AF63" s="1407"/>
      <c r="AG63" s="194"/>
      <c r="AH63" s="194"/>
      <c r="AI63" s="194"/>
      <c r="AJ63" s="194"/>
      <c r="AK63" s="194"/>
      <c r="AL63" s="194"/>
      <c r="AM63" s="194"/>
      <c r="AN63" s="194"/>
      <c r="AO63" s="196"/>
      <c r="AP63" s="196"/>
      <c r="AQ63" s="272">
        <v>1.6E-2</v>
      </c>
      <c r="AR63" s="273">
        <f ca="1">TODAY()</f>
        <v>46085</v>
      </c>
      <c r="AS63" s="196"/>
      <c r="AT63" s="196"/>
      <c r="AU63" s="196"/>
    </row>
    <row r="64" spans="1:48" s="5" customFormat="1" ht="19">
      <c r="A64" s="1044" t="s">
        <v>693</v>
      </c>
      <c r="B64" s="271"/>
      <c r="C64" s="270"/>
      <c r="D64" s="271"/>
      <c r="E64" s="270"/>
      <c r="F64" s="271"/>
      <c r="G64" s="270"/>
      <c r="H64" s="1581"/>
      <c r="I64" s="1581"/>
      <c r="J64" s="271" t="s">
        <v>694</v>
      </c>
      <c r="K64" s="270">
        <f>1.59</f>
        <v>1.59</v>
      </c>
      <c r="L64" s="272">
        <v>3.5700000000000003E-2</v>
      </c>
      <c r="M64" s="1059" t="s">
        <v>695</v>
      </c>
      <c r="N64" s="274">
        <v>3.6499999999999998E-2</v>
      </c>
      <c r="O64" s="1059" t="s">
        <v>696</v>
      </c>
      <c r="P64" s="272">
        <f>+L64</f>
        <v>3.5700000000000003E-2</v>
      </c>
      <c r="Q64" s="1059" t="s">
        <v>695</v>
      </c>
      <c r="R64" s="274">
        <v>3.7999999999999999E-2</v>
      </c>
      <c r="S64" s="1059" t="s">
        <v>697</v>
      </c>
      <c r="T64" s="274">
        <v>3.7999999999999999E-2</v>
      </c>
      <c r="U64" s="1059" t="s">
        <v>697</v>
      </c>
      <c r="V64" s="1044" t="s">
        <v>698</v>
      </c>
      <c r="W64" s="1478">
        <v>2.5000000000000001E-3</v>
      </c>
      <c r="X64" s="257"/>
      <c r="Y64" s="257"/>
      <c r="Z64" s="274">
        <v>3.7999999999999999E-2</v>
      </c>
      <c r="AA64" s="1059" t="s">
        <v>697</v>
      </c>
      <c r="AB64" s="261"/>
      <c r="AC64" s="261"/>
      <c r="AD64" s="1404"/>
      <c r="AE64" s="1405"/>
      <c r="AF64" s="1408"/>
      <c r="AG64" s="194"/>
      <c r="AH64" s="194"/>
      <c r="AI64" s="194"/>
      <c r="AJ64" s="194"/>
      <c r="AK64" s="194"/>
      <c r="AL64" s="194"/>
      <c r="AM64" s="194"/>
      <c r="AN64" s="194"/>
      <c r="AO64" s="196"/>
      <c r="AP64" s="196"/>
      <c r="AQ64" s="274">
        <v>3.7999999999999999E-2</v>
      </c>
      <c r="AR64" s="1059" t="s">
        <v>697</v>
      </c>
      <c r="AS64" s="196"/>
      <c r="AT64" s="196"/>
      <c r="AU64" s="196"/>
    </row>
    <row r="65" spans="1:47" s="5" customFormat="1" ht="19">
      <c r="A65" s="1044" t="s">
        <v>48</v>
      </c>
      <c r="B65" s="275"/>
      <c r="C65" s="276"/>
      <c r="D65" s="275"/>
      <c r="E65" s="276"/>
      <c r="F65" s="275"/>
      <c r="G65" s="276"/>
      <c r="H65" s="1582"/>
      <c r="I65" s="1582"/>
      <c r="J65" s="271" t="s">
        <v>699</v>
      </c>
      <c r="K65" s="270">
        <f>AVERAGE(K63:K64)</f>
        <v>1.48</v>
      </c>
      <c r="L65" s="1058">
        <f>SUM(L63:L64)</f>
        <v>4.2300000000000004E-2</v>
      </c>
      <c r="M65" s="1059" t="s">
        <v>700</v>
      </c>
      <c r="N65" s="1058">
        <f>SUM(N63:N64)</f>
        <v>4.8500000000000001E-2</v>
      </c>
      <c r="O65" s="1059" t="s">
        <v>700</v>
      </c>
      <c r="P65" s="1058">
        <f>SUM(P63:P64)</f>
        <v>4.2300000000000004E-2</v>
      </c>
      <c r="Q65" s="276"/>
      <c r="R65" s="1058">
        <f>SUM(R63:R64)</f>
        <v>5.5E-2</v>
      </c>
      <c r="S65" s="276"/>
      <c r="T65" s="1058">
        <f>SUM(T63:T64)</f>
        <v>5.5E-2</v>
      </c>
      <c r="U65" s="276"/>
      <c r="V65" s="1044" t="s">
        <v>701</v>
      </c>
      <c r="W65" s="1486">
        <f>PMT(W63/12,W61,-1)*12-W63</f>
        <v>9.0224718843427906E-3</v>
      </c>
      <c r="X65" s="277"/>
      <c r="Y65" s="277">
        <v>170812</v>
      </c>
      <c r="Z65" s="1058">
        <f>SUM(Z63:Z64)</f>
        <v>5.5E-2</v>
      </c>
      <c r="AA65" s="276"/>
      <c r="AB65" s="278"/>
      <c r="AC65" s="278"/>
      <c r="AD65" s="1404"/>
      <c r="AE65" s="1405"/>
      <c r="AF65" s="1407"/>
      <c r="AG65" s="194"/>
      <c r="AH65" s="194"/>
      <c r="AI65" s="194"/>
      <c r="AJ65" s="194"/>
      <c r="AK65" s="194"/>
      <c r="AL65" s="194"/>
      <c r="AM65" s="194"/>
      <c r="AN65" s="194"/>
      <c r="AO65" s="196"/>
      <c r="AP65" s="196"/>
      <c r="AQ65" s="1058">
        <f>SUM(AQ63:AQ64)</f>
        <v>5.3999999999999999E-2</v>
      </c>
      <c r="AR65" s="276"/>
      <c r="AS65" s="196"/>
      <c r="AT65" s="196"/>
      <c r="AU65" s="196"/>
    </row>
    <row r="66" spans="1:47" s="5" customFormat="1" ht="19">
      <c r="A66" s="1044" t="s">
        <v>702</v>
      </c>
      <c r="B66" s="275"/>
      <c r="C66" s="279"/>
      <c r="D66" s="275"/>
      <c r="E66" s="279"/>
      <c r="F66" s="275"/>
      <c r="G66" s="279"/>
      <c r="H66" s="1583"/>
      <c r="I66" s="1583"/>
      <c r="J66" s="271"/>
      <c r="K66" s="270">
        <f>K65-0.3</f>
        <v>1.18</v>
      </c>
      <c r="L66" s="1058">
        <f>L67/L58</f>
        <v>5.8892369072398497E-2</v>
      </c>
      <c r="M66" s="826">
        <v>0.04</v>
      </c>
      <c r="N66" s="1058">
        <f>N67/N58</f>
        <v>5.9419412016029183E-2</v>
      </c>
      <c r="O66" s="826">
        <v>0.04</v>
      </c>
      <c r="P66" s="1058">
        <f>P67/P58</f>
        <v>5.8892369072398497E-2</v>
      </c>
      <c r="Q66" s="279"/>
      <c r="R66" s="1058" t="e">
        <f>R67/R58</f>
        <v>#DIV/0!</v>
      </c>
      <c r="S66" s="279"/>
      <c r="T66" s="1058" t="e">
        <f>T67/T58</f>
        <v>#DIV/0!</v>
      </c>
      <c r="U66" s="279"/>
      <c r="V66" s="1044" t="s">
        <v>703</v>
      </c>
      <c r="W66" s="1479">
        <f>SUM(W63:W65)</f>
        <v>6.8522471884342795E-2</v>
      </c>
      <c r="X66" s="257"/>
      <c r="Y66" s="257">
        <v>186487</v>
      </c>
      <c r="Z66" s="1058">
        <f>Z67/Z58</f>
        <v>6.8134680161640343E-2</v>
      </c>
      <c r="AA66" s="279"/>
      <c r="AB66" s="261"/>
      <c r="AC66" s="1693">
        <f>+Y66-Y65</f>
        <v>15675</v>
      </c>
      <c r="AD66" s="1404"/>
      <c r="AE66" s="1405"/>
      <c r="AF66" s="1408"/>
      <c r="AG66" s="194"/>
      <c r="AH66" s="194"/>
      <c r="AI66" s="194"/>
      <c r="AJ66" s="194"/>
      <c r="AK66" s="194"/>
      <c r="AL66" s="194"/>
      <c r="AM66" s="194"/>
      <c r="AN66" s="194"/>
      <c r="AO66" s="196"/>
      <c r="AP66" s="196"/>
      <c r="AQ66" s="1058">
        <f>AQ67/AQ58</f>
        <v>6.7383695024353721E-2</v>
      </c>
      <c r="AR66" s="279"/>
      <c r="AS66" s="196"/>
      <c r="AT66" s="196"/>
      <c r="AU66" s="196"/>
    </row>
    <row r="67" spans="1:47" s="5" customFormat="1" ht="19">
      <c r="A67" s="1044" t="s">
        <v>704</v>
      </c>
      <c r="B67" s="267"/>
      <c r="C67" s="280"/>
      <c r="D67" s="267"/>
      <c r="E67" s="280"/>
      <c r="F67" s="267"/>
      <c r="G67" s="280"/>
      <c r="H67" s="1584"/>
      <c r="I67" s="1584"/>
      <c r="J67" s="271"/>
      <c r="K67" s="270"/>
      <c r="L67" s="1060">
        <f>IF($L$62="IO",$L$65*L58,-PMT($L$65/12,$L$62,L58)*12)</f>
        <v>2061232.9175339474</v>
      </c>
      <c r="M67" s="280"/>
      <c r="N67" s="1060">
        <f>IF($N$62="IO",$N$65*N58,-PMT($N$65/12,$N$62,N58)*12)</f>
        <v>1864744.5524460399</v>
      </c>
      <c r="O67" s="280"/>
      <c r="P67" s="1060">
        <f>IF(P62="IO",P65*P58,-PMT(P65/12,P62,P58)*12)</f>
        <v>2061232.9175339474</v>
      </c>
      <c r="Q67" s="280"/>
      <c r="R67" s="1060">
        <f>IF(R62="IO",R65*R58,-PMT(R65/12,R62,R58)*12)</f>
        <v>0</v>
      </c>
      <c r="S67" s="280"/>
      <c r="T67" s="1060">
        <f>IF(T62="IO",T65*T58,-PMT(T65/12,T62,T58)*12)</f>
        <v>0</v>
      </c>
      <c r="U67" s="280"/>
      <c r="W67" s="1482"/>
      <c r="X67" s="1485"/>
      <c r="Y67" s="1485"/>
      <c r="Z67" s="1060">
        <f>IF(Z62="IO",Z65*Z58,-PMT(Z65/12,Z62,Z58)*12)</f>
        <v>1613292.95686732</v>
      </c>
      <c r="AA67" s="280"/>
      <c r="AB67" s="194"/>
      <c r="AC67" s="1694">
        <f>+AC66/Y65</f>
        <v>9.1767557314474391E-2</v>
      </c>
      <c r="AD67" s="1404"/>
      <c r="AE67" s="1405"/>
      <c r="AF67" s="1407"/>
      <c r="AG67" s="194"/>
      <c r="AH67" s="194"/>
      <c r="AI67" s="194"/>
      <c r="AJ67" s="194"/>
      <c r="AK67" s="194"/>
      <c r="AL67" s="194"/>
      <c r="AM67" s="194"/>
      <c r="AN67" s="194"/>
      <c r="AO67" s="196"/>
      <c r="AP67" s="196"/>
      <c r="AQ67" s="1060">
        <f>IF(AQ62="IO",AQ65*AQ58,-PMT(AQ65/12,AQ62,AQ58)*12)</f>
        <v>67383.695024353714</v>
      </c>
      <c r="AR67" s="280"/>
      <c r="AS67" s="196"/>
      <c r="AT67" s="196"/>
      <c r="AU67" s="196"/>
    </row>
    <row r="68" spans="1:47" s="5" customFormat="1" ht="19">
      <c r="A68" s="1044" t="s">
        <v>705</v>
      </c>
      <c r="B68" s="267"/>
      <c r="C68" s="281"/>
      <c r="D68" s="267"/>
      <c r="E68" s="281"/>
      <c r="F68" s="267"/>
      <c r="G68" s="281"/>
      <c r="H68" s="203"/>
      <c r="I68" s="203"/>
      <c r="J68" s="267"/>
      <c r="K68" s="281"/>
      <c r="L68" s="629">
        <f>L44-L67</f>
        <v>-166324.60993394791</v>
      </c>
      <c r="M68" s="281"/>
      <c r="N68" s="1061">
        <f>N44-N67</f>
        <v>30163.755153959617</v>
      </c>
      <c r="O68" s="281"/>
      <c r="P68" s="629">
        <f>P44-P67</f>
        <v>-166324.60993394791</v>
      </c>
      <c r="Q68" s="282"/>
      <c r="R68" s="629">
        <f>R44-R67</f>
        <v>1894908.3075999995</v>
      </c>
      <c r="S68" s="282"/>
      <c r="T68" s="629">
        <f>T44-T67</f>
        <v>1894908.3075999995</v>
      </c>
      <c r="U68" s="282"/>
      <c r="V68" s="1044" t="s">
        <v>704</v>
      </c>
      <c r="W68" s="630">
        <f>V44/W70</f>
        <v>1507730.6753913038</v>
      </c>
      <c r="X68" s="1484"/>
      <c r="Y68" s="1484">
        <v>174709</v>
      </c>
      <c r="Z68" s="629" t="e">
        <f ca="1">Z44-Z67</f>
        <v>#DIV/0!</v>
      </c>
      <c r="AA68" s="282"/>
      <c r="AB68" s="194"/>
      <c r="AC68" s="194"/>
      <c r="AD68" s="1404"/>
      <c r="AE68" s="1405"/>
      <c r="AF68" s="1407"/>
      <c r="AG68" s="194"/>
      <c r="AH68" s="194"/>
      <c r="AI68" s="194"/>
      <c r="AJ68" s="194"/>
      <c r="AK68" s="194"/>
      <c r="AL68" s="194"/>
      <c r="AM68" s="194"/>
      <c r="AN68" s="194"/>
      <c r="AO68" s="196"/>
      <c r="AP68" s="196"/>
      <c r="AQ68" s="1061">
        <f>AQ44-AQ67</f>
        <v>1827524.6125756458</v>
      </c>
      <c r="AR68" s="282"/>
      <c r="AS68" s="196"/>
      <c r="AT68" s="196"/>
      <c r="AU68" s="196"/>
    </row>
    <row r="69" spans="1:47" s="5" customFormat="1" ht="19">
      <c r="A69" s="1044" t="s">
        <v>706</v>
      </c>
      <c r="B69" s="283"/>
      <c r="C69" s="281"/>
      <c r="D69" s="283"/>
      <c r="E69" s="281"/>
      <c r="F69" s="283"/>
      <c r="G69" s="281"/>
      <c r="H69" s="203"/>
      <c r="I69" s="203"/>
      <c r="J69" s="283"/>
      <c r="K69" s="281"/>
      <c r="L69" s="1062">
        <f>L44/L67</f>
        <v>0.91930819243225648</v>
      </c>
      <c r="M69" s="281"/>
      <c r="N69" s="1062">
        <f>N44/N67</f>
        <v>1.0161758108446506</v>
      </c>
      <c r="O69" s="281"/>
      <c r="P69" s="1062">
        <f>P44/P67</f>
        <v>0.91930819243225648</v>
      </c>
      <c r="Q69" s="282"/>
      <c r="R69" s="1062" t="e">
        <f>R44/R67</f>
        <v>#DIV/0!</v>
      </c>
      <c r="S69" s="282"/>
      <c r="T69" s="1062" t="e">
        <f>T44/T67</f>
        <v>#DIV/0!</v>
      </c>
      <c r="U69" s="282"/>
      <c r="V69" s="1044" t="s">
        <v>705</v>
      </c>
      <c r="W69" s="630">
        <f>V44-W68</f>
        <v>226159.60130869551</v>
      </c>
      <c r="X69" s="260"/>
      <c r="Y69" s="260">
        <v>186487</v>
      </c>
      <c r="Z69" s="1062" t="e">
        <f ca="1">Z44/Z67</f>
        <v>#DIV/0!</v>
      </c>
      <c r="AA69" s="282"/>
      <c r="AB69" s="194"/>
      <c r="AC69" s="194"/>
      <c r="AD69" s="1404"/>
      <c r="AE69" s="1405"/>
      <c r="AF69" s="1407"/>
      <c r="AG69" s="194"/>
      <c r="AH69" s="194"/>
      <c r="AI69" s="194"/>
      <c r="AJ69" s="194"/>
      <c r="AK69" s="194"/>
      <c r="AL69" s="194"/>
      <c r="AM69" s="194"/>
      <c r="AN69" s="194"/>
      <c r="AO69" s="196"/>
      <c r="AP69" s="196"/>
      <c r="AQ69" s="1062">
        <f>AQ44/AQ67</f>
        <v>28.121169474531555</v>
      </c>
      <c r="AR69" s="282"/>
      <c r="AS69" s="196"/>
      <c r="AT69" s="196"/>
      <c r="AU69" s="196"/>
    </row>
    <row r="70" spans="1:47" s="5" customFormat="1" ht="19">
      <c r="A70" s="1044" t="s">
        <v>707</v>
      </c>
      <c r="B70" s="283"/>
      <c r="C70" s="281"/>
      <c r="D70" s="283"/>
      <c r="E70" s="281"/>
      <c r="F70" s="283"/>
      <c r="G70" s="281"/>
      <c r="H70" s="203"/>
      <c r="I70" s="203"/>
      <c r="J70" s="283"/>
      <c r="K70" s="281"/>
      <c r="L70" s="1062">
        <f>L44/(L58*L65)</f>
        <v>1.2799110486997631</v>
      </c>
      <c r="N70" s="1062">
        <f>N44/(N58*N65)</f>
        <v>1.2449601893876459</v>
      </c>
      <c r="P70" s="1062">
        <f>P44/(P58*P65)</f>
        <v>1.2799110486997631</v>
      </c>
      <c r="Q70" s="281"/>
      <c r="R70" s="1062" t="e">
        <f>R44/(R58*R65)</f>
        <v>#DIV/0!</v>
      </c>
      <c r="S70" s="281"/>
      <c r="T70" s="1062" t="e">
        <f>T44/(T58*T65)</f>
        <v>#DIV/0!</v>
      </c>
      <c r="U70" s="281"/>
      <c r="V70" s="1044" t="s">
        <v>706</v>
      </c>
      <c r="W70" s="1480">
        <v>1.1499999999999999</v>
      </c>
      <c r="X70" s="260"/>
      <c r="Y70" s="1695">
        <f>+Y69-Y68</f>
        <v>11778</v>
      </c>
      <c r="Z70" s="1062" t="e">
        <f ca="1">Z44/(Z58*Z65)</f>
        <v>#DIV/0!</v>
      </c>
      <c r="AA70" s="281"/>
      <c r="AB70" s="194"/>
      <c r="AC70" s="194"/>
      <c r="AD70" s="194"/>
      <c r="AE70" s="194"/>
      <c r="AF70" s="194"/>
      <c r="AG70" s="194"/>
      <c r="AH70" s="194"/>
      <c r="AI70" s="194"/>
      <c r="AJ70" s="194"/>
      <c r="AK70" s="194"/>
      <c r="AL70" s="194"/>
      <c r="AM70" s="194"/>
      <c r="AN70" s="194"/>
      <c r="AO70" s="196"/>
      <c r="AP70" s="196"/>
      <c r="AQ70" s="1062">
        <f>AQ44/(AQ58*AQ65)</f>
        <v>35.090894585185175</v>
      </c>
      <c r="AR70" s="281"/>
      <c r="AS70" s="196"/>
      <c r="AT70" s="196"/>
      <c r="AU70" s="196"/>
    </row>
    <row r="71" spans="1:47" s="5" customFormat="1" ht="19">
      <c r="A71" s="1044" t="s">
        <v>670</v>
      </c>
      <c r="B71" s="255"/>
      <c r="C71" s="281"/>
      <c r="D71" s="255"/>
      <c r="E71" s="281"/>
      <c r="F71" s="255"/>
      <c r="G71" s="281"/>
      <c r="H71" s="203"/>
      <c r="I71" s="203"/>
      <c r="J71" s="255"/>
      <c r="K71" s="281"/>
      <c r="L71" s="1056">
        <f>L44/L58</f>
        <v>5.4140237359999982E-2</v>
      </c>
      <c r="M71" s="281"/>
      <c r="N71" s="1056">
        <f>N44/N58</f>
        <v>6.0380569185300825E-2</v>
      </c>
      <c r="O71" s="281"/>
      <c r="P71" s="1056">
        <f>P44/P58</f>
        <v>5.4140237359999982E-2</v>
      </c>
      <c r="Q71" s="281"/>
      <c r="R71" s="1056" t="e">
        <f>R44/R58</f>
        <v>#DIV/0!</v>
      </c>
      <c r="S71" s="281"/>
      <c r="T71" s="1056" t="e">
        <f>T44/T58</f>
        <v>#DIV/0!</v>
      </c>
      <c r="U71" s="281"/>
      <c r="V71" s="1044" t="s">
        <v>670</v>
      </c>
      <c r="W71" s="1481">
        <f>V44/W58</f>
        <v>7.8801016056609399E-2</v>
      </c>
      <c r="X71" s="284"/>
      <c r="Y71" s="284">
        <f>+Y68-Y69</f>
        <v>-11778</v>
      </c>
      <c r="Z71" s="1056" t="e">
        <f ca="1">Z44/Z58</f>
        <v>#DIV/0!</v>
      </c>
      <c r="AA71" s="281"/>
      <c r="AB71" s="194"/>
      <c r="AC71" s="194"/>
      <c r="AD71" s="194"/>
      <c r="AE71" s="194"/>
      <c r="AF71" s="194"/>
      <c r="AG71" s="194"/>
      <c r="AH71" s="194"/>
      <c r="AI71" s="194"/>
      <c r="AJ71" s="194"/>
      <c r="AK71" s="194"/>
      <c r="AL71" s="194"/>
      <c r="AM71" s="194"/>
      <c r="AN71" s="194"/>
      <c r="AO71" s="196"/>
      <c r="AP71" s="196"/>
      <c r="AQ71" s="1056">
        <f>AQ44/AQ58</f>
        <v>1.8949083075999995</v>
      </c>
      <c r="AR71" s="281"/>
      <c r="AS71" s="196"/>
      <c r="AT71" s="196"/>
      <c r="AU71" s="196"/>
    </row>
    <row r="72" spans="1:47" s="5" customFormat="1" ht="19">
      <c r="A72" s="1044"/>
      <c r="B72" s="255"/>
      <c r="C72" s="281"/>
      <c r="D72" s="255"/>
      <c r="E72" s="281"/>
      <c r="F72" s="255"/>
      <c r="G72" s="281"/>
      <c r="H72" s="203"/>
      <c r="I72" s="203"/>
      <c r="J72" s="255"/>
      <c r="K72" s="281"/>
      <c r="L72" s="1056"/>
      <c r="M72" s="281"/>
      <c r="N72" s="1056"/>
      <c r="O72" s="281"/>
      <c r="P72" s="1056"/>
      <c r="Q72" s="281"/>
      <c r="R72" s="1056"/>
      <c r="S72" s="281"/>
      <c r="T72" s="1056"/>
      <c r="U72" s="281"/>
      <c r="V72" s="1044"/>
      <c r="W72" s="1481"/>
      <c r="X72" s="284"/>
      <c r="Y72" s="1696">
        <f>+Y71/Y69</f>
        <v>-6.3157217393169499E-2</v>
      </c>
      <c r="Z72" s="1056"/>
      <c r="AA72" s="281"/>
      <c r="AB72" s="194"/>
      <c r="AC72" s="194"/>
      <c r="AD72" s="194"/>
      <c r="AE72" s="194"/>
      <c r="AF72" s="194"/>
      <c r="AG72" s="194"/>
      <c r="AH72" s="194"/>
      <c r="AI72" s="194"/>
      <c r="AJ72" s="194"/>
      <c r="AK72" s="194"/>
      <c r="AL72" s="194"/>
      <c r="AM72" s="194"/>
      <c r="AN72" s="194"/>
      <c r="AO72" s="196"/>
      <c r="AP72" s="196"/>
      <c r="AQ72" s="1056"/>
      <c r="AR72" s="281"/>
      <c r="AS72" s="196"/>
      <c r="AT72" s="196"/>
      <c r="AU72" s="196"/>
    </row>
    <row r="73" spans="1:47" s="5" customFormat="1" ht="19">
      <c r="A73" s="1044"/>
      <c r="B73" s="255"/>
      <c r="C73" s="281"/>
      <c r="D73" s="255"/>
      <c r="E73" s="281"/>
      <c r="F73" s="255"/>
      <c r="G73" s="281"/>
      <c r="H73" s="203"/>
      <c r="I73" s="203"/>
      <c r="J73" s="255"/>
      <c r="K73" s="281"/>
      <c r="L73" s="1056"/>
      <c r="M73" s="281"/>
      <c r="N73" s="1056"/>
      <c r="O73" s="281"/>
      <c r="P73" s="1056"/>
      <c r="Q73" s="281"/>
      <c r="R73" s="1056"/>
      <c r="S73" s="281"/>
      <c r="T73" s="1056"/>
      <c r="U73" s="281"/>
      <c r="V73" s="1044" t="s">
        <v>708</v>
      </c>
      <c r="W73" s="1481" t="s">
        <v>709</v>
      </c>
      <c r="X73" s="284"/>
      <c r="Y73" s="284"/>
      <c r="Z73" s="1056"/>
      <c r="AA73" s="281"/>
      <c r="AB73" s="194"/>
      <c r="AC73" s="194"/>
      <c r="AD73" s="194"/>
      <c r="AE73" s="194"/>
      <c r="AF73" s="194"/>
      <c r="AG73" s="194"/>
      <c r="AH73" s="194"/>
      <c r="AI73" s="194"/>
      <c r="AJ73" s="194"/>
      <c r="AK73" s="194"/>
      <c r="AL73" s="194"/>
      <c r="AM73" s="194"/>
      <c r="AN73" s="194"/>
      <c r="AO73" s="196"/>
      <c r="AP73" s="196"/>
      <c r="AQ73" s="1056"/>
      <c r="AR73" s="281"/>
      <c r="AS73" s="196"/>
      <c r="AT73" s="196"/>
      <c r="AU73" s="196"/>
    </row>
    <row r="74" spans="1:47" s="5" customFormat="1" ht="19">
      <c r="A74" s="1044"/>
      <c r="B74" s="255"/>
      <c r="C74" s="281"/>
      <c r="D74" s="255"/>
      <c r="E74" s="281"/>
      <c r="F74" s="255"/>
      <c r="G74" s="281"/>
      <c r="H74" s="203"/>
      <c r="I74" s="203"/>
      <c r="J74" s="255"/>
      <c r="K74" s="281"/>
      <c r="L74" s="1056"/>
      <c r="M74" s="281"/>
      <c r="N74" s="1056"/>
      <c r="O74" s="281"/>
      <c r="P74" s="1056"/>
      <c r="Q74" s="281"/>
      <c r="R74" s="1056"/>
      <c r="S74" s="281"/>
      <c r="T74" s="1056"/>
      <c r="U74" s="281"/>
      <c r="V74" s="1044"/>
      <c r="W74" s="1481"/>
      <c r="X74" s="284"/>
      <c r="Y74" s="284"/>
      <c r="Z74" s="1056"/>
      <c r="AA74" s="281"/>
      <c r="AB74" s="194"/>
      <c r="AC74" s="194"/>
      <c r="AD74" s="194"/>
      <c r="AE74" s="194"/>
      <c r="AF74" s="194"/>
      <c r="AG74" s="194"/>
      <c r="AH74" s="194"/>
      <c r="AI74" s="194"/>
      <c r="AJ74" s="194"/>
      <c r="AK74" s="194"/>
      <c r="AL74" s="194"/>
      <c r="AM74" s="194"/>
      <c r="AN74" s="194"/>
      <c r="AO74" s="196"/>
      <c r="AP74" s="196"/>
      <c r="AQ74" s="1056"/>
      <c r="AR74" s="281"/>
      <c r="AS74" s="196"/>
      <c r="AT74" s="196"/>
      <c r="AU74" s="196"/>
    </row>
    <row r="75" spans="1:47" s="5" customFormat="1" ht="19">
      <c r="A75" s="257"/>
      <c r="B75" s="255"/>
      <c r="C75" s="281"/>
      <c r="D75" s="255"/>
      <c r="E75" s="281"/>
      <c r="F75" s="255"/>
      <c r="G75" s="281"/>
      <c r="H75" s="203"/>
      <c r="I75" s="203"/>
      <c r="J75" s="255"/>
      <c r="K75" s="281"/>
      <c r="L75" s="255"/>
      <c r="M75" s="281"/>
      <c r="N75" s="255"/>
      <c r="O75" s="281"/>
      <c r="P75" s="255"/>
      <c r="R75" s="255"/>
      <c r="S75" s="281"/>
      <c r="T75" s="255"/>
      <c r="U75" s="281"/>
      <c r="V75" s="255"/>
      <c r="W75" s="281"/>
      <c r="X75" s="1586"/>
      <c r="Y75" s="284"/>
      <c r="Z75" s="255"/>
      <c r="AA75" s="281"/>
      <c r="AB75" s="194"/>
      <c r="AC75" s="194"/>
      <c r="AD75" s="194"/>
      <c r="AE75" s="194"/>
      <c r="AF75" s="812" t="s">
        <v>697</v>
      </c>
      <c r="AG75" s="194"/>
      <c r="AH75" s="194"/>
      <c r="AI75" s="194"/>
      <c r="AJ75" s="194"/>
      <c r="AK75" s="194"/>
      <c r="AL75" s="194"/>
      <c r="AM75" s="194"/>
      <c r="AN75" s="194"/>
      <c r="AO75" s="196"/>
      <c r="AP75" s="196"/>
      <c r="AQ75" s="255"/>
      <c r="AR75" s="281"/>
      <c r="AS75" s="196"/>
      <c r="AT75" s="196"/>
      <c r="AU75" s="196"/>
    </row>
    <row r="76" spans="1:47" s="5" customFormat="1" ht="19">
      <c r="A76" s="309" t="s">
        <v>710</v>
      </c>
      <c r="B76" s="313"/>
      <c r="C76" s="314"/>
      <c r="D76" s="313"/>
      <c r="E76" s="314"/>
      <c r="F76" s="313"/>
      <c r="G76" s="314"/>
      <c r="H76" s="1494"/>
      <c r="I76" s="1494"/>
      <c r="J76" s="313"/>
      <c r="K76" s="314"/>
      <c r="L76" s="313"/>
      <c r="M76" s="314"/>
      <c r="N76" s="313"/>
      <c r="O76" s="314"/>
      <c r="P76" s="313"/>
      <c r="Q76" s="314"/>
      <c r="R76" s="313"/>
      <c r="S76" s="314"/>
      <c r="T76" s="313"/>
      <c r="U76" s="314"/>
      <c r="V76" s="313"/>
      <c r="W76" s="314"/>
      <c r="X76" s="315"/>
      <c r="Y76" s="315"/>
      <c r="Z76" s="313"/>
      <c r="AA76" s="314"/>
      <c r="AB76" s="194"/>
      <c r="AC76" s="194"/>
      <c r="AD76" s="194"/>
      <c r="AE76" s="194"/>
      <c r="AF76" s="812" t="s">
        <v>711</v>
      </c>
      <c r="AG76" s="194"/>
      <c r="AH76" s="194"/>
      <c r="AI76" s="194"/>
      <c r="AJ76" s="194"/>
      <c r="AK76" s="194"/>
      <c r="AL76" s="194"/>
      <c r="AM76" s="194"/>
      <c r="AN76" s="194"/>
      <c r="AO76" s="196"/>
      <c r="AP76" s="196"/>
      <c r="AQ76" s="313"/>
      <c r="AR76" s="314"/>
      <c r="AS76" s="196"/>
      <c r="AT76" s="196"/>
      <c r="AU76" s="196"/>
    </row>
    <row r="77" spans="1:47" s="5" customFormat="1" ht="19">
      <c r="A77" s="257"/>
      <c r="B77" s="255"/>
      <c r="C77" s="281"/>
      <c r="D77" s="255"/>
      <c r="E77" s="281"/>
      <c r="F77" s="255"/>
      <c r="G77" s="281"/>
      <c r="H77" s="203"/>
      <c r="I77" s="203"/>
      <c r="J77" s="255"/>
      <c r="K77" s="281"/>
      <c r="L77" s="255"/>
      <c r="M77" s="281"/>
      <c r="N77" s="255"/>
      <c r="O77" s="281"/>
      <c r="P77" s="255"/>
      <c r="Q77" s="281"/>
      <c r="R77" s="255"/>
      <c r="S77" s="281"/>
      <c r="T77" s="255"/>
      <c r="U77" s="281"/>
      <c r="V77" s="255"/>
      <c r="W77" s="281"/>
      <c r="X77" s="284"/>
      <c r="Y77" s="284"/>
      <c r="Z77" s="255"/>
      <c r="AA77" s="281"/>
      <c r="AB77" s="194"/>
      <c r="AC77" s="194"/>
      <c r="AD77" s="256"/>
      <c r="AE77" s="194"/>
      <c r="AF77" s="812" t="s">
        <v>695</v>
      </c>
      <c r="AG77" s="194"/>
      <c r="AH77" s="194"/>
      <c r="AI77" s="194"/>
      <c r="AJ77" s="194"/>
      <c r="AK77" s="194"/>
      <c r="AL77" s="194"/>
      <c r="AM77" s="194"/>
      <c r="AN77" s="194"/>
      <c r="AO77" s="196"/>
      <c r="AP77" s="196"/>
      <c r="AQ77" s="255"/>
      <c r="AR77" s="281"/>
      <c r="AS77" s="196"/>
      <c r="AT77" s="196"/>
      <c r="AU77" s="196"/>
    </row>
    <row r="78" spans="1:47" s="5" customFormat="1" ht="19">
      <c r="A78" s="1044" t="s">
        <v>197</v>
      </c>
      <c r="B78" s="255"/>
      <c r="C78" s="281"/>
      <c r="D78" s="255"/>
      <c r="E78" s="281"/>
      <c r="F78" s="255"/>
      <c r="G78" s="281"/>
      <c r="H78" s="203"/>
      <c r="I78" s="203"/>
      <c r="J78" s="255"/>
      <c r="K78" s="281"/>
      <c r="L78" s="1823">
        <v>0</v>
      </c>
      <c r="M78" s="281"/>
      <c r="N78" s="285">
        <f>N48</f>
        <v>0</v>
      </c>
      <c r="O78" s="281"/>
      <c r="P78" s="1052" t="s">
        <v>712</v>
      </c>
      <c r="Q78" s="1510"/>
      <c r="R78" s="1052" t="s">
        <v>712</v>
      </c>
      <c r="S78" s="1510"/>
      <c r="T78" s="1052" t="s">
        <v>712</v>
      </c>
      <c r="U78" s="1510"/>
      <c r="V78" s="285"/>
      <c r="W78" s="281"/>
      <c r="X78" s="284"/>
      <c r="Y78" s="284"/>
      <c r="Z78" s="1052" t="s">
        <v>712</v>
      </c>
      <c r="AA78" s="1510"/>
      <c r="AB78" s="194"/>
      <c r="AC78" s="194"/>
      <c r="AD78" s="194"/>
      <c r="AE78" s="194"/>
      <c r="AF78" s="812" t="s">
        <v>713</v>
      </c>
      <c r="AG78" s="194"/>
      <c r="AH78" s="194"/>
      <c r="AI78" s="194"/>
      <c r="AJ78" s="194"/>
      <c r="AK78" s="194"/>
      <c r="AL78" s="194"/>
      <c r="AM78" s="194"/>
      <c r="AN78" s="194"/>
      <c r="AO78" s="196"/>
      <c r="AP78" s="196"/>
      <c r="AQ78" s="1052" t="s">
        <v>712</v>
      </c>
      <c r="AR78" s="1053" t="e">
        <f>AQ78/units</f>
        <v>#VALUE!</v>
      </c>
      <c r="AS78" s="196"/>
      <c r="AT78" s="196"/>
      <c r="AU78" s="196"/>
    </row>
    <row r="79" spans="1:47" s="5" customFormat="1" ht="19">
      <c r="A79" s="1044" t="s">
        <v>714</v>
      </c>
      <c r="B79" s="255"/>
      <c r="C79" s="281"/>
      <c r="D79" s="255"/>
      <c r="E79" s="281"/>
      <c r="F79" s="255"/>
      <c r="G79" s="281"/>
      <c r="H79" s="203"/>
      <c r="I79" s="203"/>
      <c r="J79" s="255"/>
      <c r="K79" s="281"/>
      <c r="L79" s="1054">
        <f>L58+L78</f>
        <v>35000000</v>
      </c>
      <c r="M79" s="281"/>
      <c r="N79" s="1054">
        <f>N58+N78</f>
        <v>31382750</v>
      </c>
      <c r="O79" s="281"/>
      <c r="P79" s="1054">
        <f>P58</f>
        <v>35000000</v>
      </c>
      <c r="Q79" s="1053">
        <f>P79/units</f>
        <v>132575.75757575757</v>
      </c>
      <c r="R79" s="1054">
        <f>R58</f>
        <v>0</v>
      </c>
      <c r="S79" s="1053">
        <f>R79/units</f>
        <v>0</v>
      </c>
      <c r="T79" s="1054">
        <f>T58</f>
        <v>0</v>
      </c>
      <c r="U79" s="1053">
        <f>T79/units</f>
        <v>0</v>
      </c>
      <c r="V79" s="1054"/>
      <c r="W79" s="281"/>
      <c r="X79" s="284"/>
      <c r="Y79" s="284"/>
      <c r="Z79" s="1054">
        <f>Z58</f>
        <v>23678000</v>
      </c>
      <c r="AA79" s="1053">
        <f>Z79/units</f>
        <v>89689.393939393936</v>
      </c>
      <c r="AB79" s="194"/>
      <c r="AC79" s="194"/>
      <c r="AD79" s="194"/>
      <c r="AE79" s="194"/>
      <c r="AF79" s="812" t="s">
        <v>715</v>
      </c>
      <c r="AG79" s="194"/>
      <c r="AH79" s="194"/>
      <c r="AI79" s="194"/>
      <c r="AJ79" s="194"/>
      <c r="AK79" s="194"/>
      <c r="AL79" s="194"/>
      <c r="AM79" s="194"/>
      <c r="AN79" s="194"/>
      <c r="AO79" s="196"/>
      <c r="AP79" s="196"/>
      <c r="AQ79" s="1054">
        <f>AQ58</f>
        <v>1000000</v>
      </c>
      <c r="AR79" s="1053">
        <f>AQ79/units</f>
        <v>3787.878787878788</v>
      </c>
      <c r="AS79" s="196"/>
      <c r="AT79" s="196"/>
      <c r="AU79" s="196"/>
    </row>
    <row r="80" spans="1:47" s="5" customFormat="1" ht="19">
      <c r="A80" s="1045" t="s">
        <v>716</v>
      </c>
      <c r="B80" s="255"/>
      <c r="C80" s="281"/>
      <c r="D80" s="255"/>
      <c r="E80" s="281"/>
      <c r="F80" s="255"/>
      <c r="G80" s="281"/>
      <c r="H80" s="203"/>
      <c r="I80" s="203"/>
      <c r="J80" s="255"/>
      <c r="K80" s="281"/>
      <c r="L80" s="1055">
        <f ca="1">L79/L50</f>
        <v>0.63295717592592593</v>
      </c>
      <c r="M80" s="281"/>
      <c r="N80" s="1055">
        <f ca="1">N79/N50</f>
        <v>0.56754105179398151</v>
      </c>
      <c r="O80" s="281"/>
      <c r="P80" s="1055">
        <f ca="1">P79/P50</f>
        <v>0.63295717592592593</v>
      </c>
      <c r="Q80" s="688"/>
      <c r="R80" s="1055">
        <f ca="1">R79/R50</f>
        <v>0</v>
      </c>
      <c r="S80" s="688"/>
      <c r="T80" s="1055">
        <f ca="1">T79/T50</f>
        <v>0</v>
      </c>
      <c r="U80" s="688"/>
      <c r="V80" s="1055"/>
      <c r="W80" s="281"/>
      <c r="X80" s="284"/>
      <c r="Y80" s="284"/>
      <c r="Z80" s="1055">
        <f ca="1">Z79/Z50</f>
        <v>0.42820457175925924</v>
      </c>
      <c r="AA80" s="688"/>
      <c r="AB80" s="194"/>
      <c r="AC80" s="194"/>
      <c r="AD80" s="194"/>
      <c r="AE80" s="194"/>
      <c r="AF80" s="812" t="s">
        <v>696</v>
      </c>
      <c r="AG80" s="194"/>
      <c r="AH80" s="194"/>
      <c r="AI80" s="194"/>
      <c r="AJ80" s="194"/>
      <c r="AK80" s="194"/>
      <c r="AL80" s="194"/>
      <c r="AM80" s="194"/>
      <c r="AN80" s="194"/>
      <c r="AO80" s="196"/>
      <c r="AP80" s="196"/>
      <c r="AQ80" s="1055">
        <f ca="1">AQ79/AQ50</f>
        <v>1.8084490740740741E-2</v>
      </c>
      <c r="AR80" s="688"/>
      <c r="AS80" s="196"/>
      <c r="AT80" s="196"/>
      <c r="AU80" s="196"/>
    </row>
    <row r="81" spans="1:47" s="5" customFormat="1" ht="19">
      <c r="A81" s="1045" t="s">
        <v>717</v>
      </c>
      <c r="B81" s="255"/>
      <c r="C81" s="281"/>
      <c r="D81" s="255"/>
      <c r="E81" s="281"/>
      <c r="F81" s="255"/>
      <c r="G81" s="281"/>
      <c r="H81" s="203"/>
      <c r="I81" s="203"/>
      <c r="J81" s="255"/>
      <c r="K81" s="281"/>
      <c r="L81" s="1055">
        <f ca="1">L58/L50</f>
        <v>0.63295717592592593</v>
      </c>
      <c r="M81" s="281"/>
      <c r="N81" s="1055">
        <f ca="1">N58/N50</f>
        <v>0.56754105179398151</v>
      </c>
      <c r="O81" s="281"/>
      <c r="P81" s="1055">
        <f ca="1">P58/P50</f>
        <v>0.63295717592592593</v>
      </c>
      <c r="Q81" s="688"/>
      <c r="R81" s="1055">
        <f ca="1">R58/R50</f>
        <v>0</v>
      </c>
      <c r="S81" s="688"/>
      <c r="T81" s="1055">
        <f ca="1">T58/T50</f>
        <v>0</v>
      </c>
      <c r="U81" s="688"/>
      <c r="V81" s="1055"/>
      <c r="W81" s="281"/>
      <c r="X81" s="284"/>
      <c r="Y81" s="284"/>
      <c r="Z81" s="1055">
        <f ca="1">Z58/Z50</f>
        <v>0.42820457175925924</v>
      </c>
      <c r="AA81" s="688"/>
      <c r="AB81" s="194"/>
      <c r="AC81" s="194"/>
      <c r="AD81" s="194"/>
      <c r="AE81" s="194"/>
      <c r="AF81" s="812"/>
      <c r="AG81" s="194"/>
      <c r="AH81" s="194"/>
      <c r="AI81" s="194"/>
      <c r="AJ81" s="194"/>
      <c r="AK81" s="194"/>
      <c r="AL81" s="194"/>
      <c r="AM81" s="194"/>
      <c r="AN81" s="194"/>
      <c r="AO81" s="196"/>
      <c r="AP81" s="196"/>
      <c r="AQ81" s="1055">
        <f ca="1">AQ58/AQ50</f>
        <v>1.8084490740740741E-2</v>
      </c>
      <c r="AR81" s="688"/>
      <c r="AS81" s="196"/>
      <c r="AT81" s="196"/>
      <c r="AU81" s="196"/>
    </row>
    <row r="82" spans="1:47" s="5" customFormat="1" ht="19">
      <c r="A82" s="1044" t="s">
        <v>704</v>
      </c>
      <c r="B82" s="255"/>
      <c r="C82" s="281"/>
      <c r="D82" s="255"/>
      <c r="E82" s="281"/>
      <c r="F82" s="255"/>
      <c r="G82" s="281"/>
      <c r="H82" s="203"/>
      <c r="I82" s="203"/>
      <c r="J82" s="255"/>
      <c r="K82" s="281"/>
      <c r="L82" s="690">
        <f>IF($N$62="IO",$N$65*L79,-PMT($N$65/12,$N$62,L79)*12)</f>
        <v>2079679.4205610217</v>
      </c>
      <c r="M82" s="281"/>
      <c r="N82" s="690">
        <f>IF($N$62="IO",$N$65*N79,-PMT($N$65/12,$N$62,N79)*12)</f>
        <v>1864744.5524460399</v>
      </c>
      <c r="O82" s="281"/>
      <c r="P82" s="690">
        <f>IF($P$62="IO",$P$65*P79,-PMT($P$65/12,$P$62,P79)*12)</f>
        <v>2061232.9175339474</v>
      </c>
      <c r="Q82" s="688"/>
      <c r="R82" s="690">
        <f>IF($P$62="IO",$P$65*R79,-PMT($P$65/12,$P$62,R79)*12)</f>
        <v>0</v>
      </c>
      <c r="S82" s="688"/>
      <c r="T82" s="690">
        <f>IF($P$62="IO",$P$65*T79,-PMT($P$65/12,$P$62,T79)*12)</f>
        <v>0</v>
      </c>
      <c r="U82" s="688"/>
      <c r="V82" s="690"/>
      <c r="W82" s="281"/>
      <c r="X82" s="284"/>
      <c r="Y82" s="284"/>
      <c r="Z82" s="690">
        <f>IF($P$62="IO",$P$65*Z79,-PMT($P$65/12,$P$62,Z79)*12)</f>
        <v>1394453.5148962517</v>
      </c>
      <c r="AA82" s="688"/>
      <c r="AB82" s="194"/>
      <c r="AC82" s="194"/>
      <c r="AD82" s="194"/>
      <c r="AE82" s="194"/>
      <c r="AF82" s="194"/>
      <c r="AG82" s="194"/>
      <c r="AH82" s="194"/>
      <c r="AI82" s="194"/>
      <c r="AJ82" s="194"/>
      <c r="AK82" s="194"/>
      <c r="AL82" s="194"/>
      <c r="AM82" s="194"/>
      <c r="AN82" s="194"/>
      <c r="AO82" s="196"/>
      <c r="AP82" s="196"/>
      <c r="AQ82" s="690">
        <f>IF($P$62="IO",$P$65*AQ79,-PMT($P$65/12,$P$62,AQ79)*12)</f>
        <v>58892.369072398491</v>
      </c>
      <c r="AR82" s="688"/>
      <c r="AS82" s="196"/>
      <c r="AT82" s="196"/>
      <c r="AU82" s="196"/>
    </row>
    <row r="83" spans="1:47" s="5" customFormat="1" ht="19">
      <c r="A83" s="1044" t="s">
        <v>705</v>
      </c>
      <c r="B83" s="255"/>
      <c r="C83" s="281"/>
      <c r="D83" s="255"/>
      <c r="E83" s="281"/>
      <c r="F83" s="255"/>
      <c r="G83" s="281"/>
      <c r="H83" s="203"/>
      <c r="I83" s="203"/>
      <c r="J83" s="255"/>
      <c r="K83" s="281"/>
      <c r="L83" s="1054">
        <f>L44-L82</f>
        <v>-184771.11296102218</v>
      </c>
      <c r="M83" s="281"/>
      <c r="N83" s="1054">
        <f>N44-N82</f>
        <v>30163.755153959617</v>
      </c>
      <c r="O83" s="281"/>
      <c r="P83" s="1054">
        <f>P44-P82</f>
        <v>-166324.60993394791</v>
      </c>
      <c r="Q83" s="688"/>
      <c r="R83" s="1054">
        <f>R44-R82</f>
        <v>1894908.3075999995</v>
      </c>
      <c r="S83" s="688"/>
      <c r="T83" s="1054">
        <f>T44-T82</f>
        <v>1894908.3075999995</v>
      </c>
      <c r="U83" s="688"/>
      <c r="V83" s="1054"/>
      <c r="W83" s="281"/>
      <c r="X83" s="284"/>
      <c r="Y83" s="284"/>
      <c r="Z83" s="1054" t="e">
        <f ca="1">Z44-Z82</f>
        <v>#DIV/0!</v>
      </c>
      <c r="AA83" s="688"/>
      <c r="AB83" s="194"/>
      <c r="AC83" s="194"/>
      <c r="AD83" s="194"/>
      <c r="AE83" s="194"/>
      <c r="AF83" s="194"/>
      <c r="AG83" s="194"/>
      <c r="AH83" s="194"/>
      <c r="AI83" s="194"/>
      <c r="AJ83" s="194"/>
      <c r="AK83" s="194"/>
      <c r="AL83" s="194"/>
      <c r="AM83" s="194"/>
      <c r="AN83" s="194"/>
      <c r="AO83" s="196"/>
      <c r="AP83" s="196"/>
      <c r="AQ83" s="1054">
        <f>AQ44-AQ82</f>
        <v>1836015.9385276011</v>
      </c>
      <c r="AR83" s="688"/>
      <c r="AS83" s="196"/>
      <c r="AT83" s="196"/>
      <c r="AU83" s="196"/>
    </row>
    <row r="84" spans="1:47" s="5" customFormat="1" ht="19">
      <c r="A84" s="1044" t="s">
        <v>706</v>
      </c>
      <c r="B84" s="255"/>
      <c r="C84" s="281"/>
      <c r="D84" s="255"/>
      <c r="E84" s="281"/>
      <c r="F84" s="255"/>
      <c r="G84" s="281"/>
      <c r="H84" s="203"/>
      <c r="I84" s="203"/>
      <c r="J84" s="255"/>
      <c r="K84" s="281"/>
      <c r="L84" s="1050">
        <f>L44/L82</f>
        <v>0.91115404079385576</v>
      </c>
      <c r="M84" s="281"/>
      <c r="N84" s="1050">
        <f>N44/N82</f>
        <v>1.0161758108446506</v>
      </c>
      <c r="O84" s="281"/>
      <c r="P84" s="1050">
        <f>P44/P82</f>
        <v>0.91930819243225648</v>
      </c>
      <c r="Q84" s="688"/>
      <c r="R84" s="1050" t="e">
        <f>R44/R82</f>
        <v>#DIV/0!</v>
      </c>
      <c r="S84" s="688"/>
      <c r="T84" s="1050" t="e">
        <f>T44/T82</f>
        <v>#DIV/0!</v>
      </c>
      <c r="U84" s="688"/>
      <c r="V84" s="1050"/>
      <c r="W84" s="281"/>
      <c r="X84" s="284"/>
      <c r="Y84" s="284"/>
      <c r="Z84" s="1050" t="e">
        <f ca="1">Z44/Z82</f>
        <v>#DIV/0!</v>
      </c>
      <c r="AA84" s="688"/>
      <c r="AB84" s="194"/>
      <c r="AC84" s="194"/>
      <c r="AD84" s="194"/>
      <c r="AE84" s="194"/>
      <c r="AF84" s="194"/>
      <c r="AG84" s="194"/>
      <c r="AH84" s="194"/>
      <c r="AI84" s="194"/>
      <c r="AJ84" s="194"/>
      <c r="AK84" s="194"/>
      <c r="AL84" s="194"/>
      <c r="AM84" s="194"/>
      <c r="AN84" s="194"/>
      <c r="AO84" s="196"/>
      <c r="AP84" s="196"/>
      <c r="AQ84" s="1050">
        <f>AQ44/AQ82</f>
        <v>32.17578673512898</v>
      </c>
      <c r="AR84" s="688"/>
      <c r="AS84" s="196"/>
      <c r="AT84" s="196"/>
      <c r="AU84" s="196"/>
    </row>
    <row r="85" spans="1:47" s="5" customFormat="1" ht="19">
      <c r="A85" s="1044" t="s">
        <v>707</v>
      </c>
      <c r="B85" s="255"/>
      <c r="C85" s="281"/>
      <c r="D85" s="255"/>
      <c r="E85" s="281"/>
      <c r="F85" s="255"/>
      <c r="G85" s="281"/>
      <c r="H85" s="203"/>
      <c r="I85" s="203"/>
      <c r="J85" s="255"/>
      <c r="K85" s="281"/>
      <c r="L85" s="1050">
        <f>L44/(L79*L65)</f>
        <v>1.2799110486997631</v>
      </c>
      <c r="M85" s="281"/>
      <c r="N85" s="1050">
        <f>N44/(N79*N65)</f>
        <v>1.2449601893876459</v>
      </c>
      <c r="O85" s="281"/>
      <c r="P85" s="1050">
        <f>P44/(P79*P65)</f>
        <v>1.2799110486997631</v>
      </c>
      <c r="Q85" s="688"/>
      <c r="R85" s="1050" t="e">
        <f>R44/(R79*R65)</f>
        <v>#DIV/0!</v>
      </c>
      <c r="S85" s="688"/>
      <c r="T85" s="1050" t="e">
        <f>T44/(T79*T65)</f>
        <v>#DIV/0!</v>
      </c>
      <c r="U85" s="688"/>
      <c r="V85" s="1050"/>
      <c r="W85" s="281"/>
      <c r="X85" s="284"/>
      <c r="Y85" s="284"/>
      <c r="Z85" s="1050" t="e">
        <f ca="1">Z44/(Z79*Z65)</f>
        <v>#DIV/0!</v>
      </c>
      <c r="AA85" s="688"/>
      <c r="AB85" s="196"/>
      <c r="AC85" s="196"/>
      <c r="AD85" s="194"/>
      <c r="AE85" s="194"/>
      <c r="AF85" s="194"/>
      <c r="AG85" s="194"/>
      <c r="AH85" s="194"/>
      <c r="AI85" s="194"/>
      <c r="AJ85" s="194"/>
      <c r="AK85" s="194"/>
      <c r="AL85" s="194"/>
      <c r="AM85" s="194"/>
      <c r="AN85" s="194"/>
      <c r="AO85" s="196"/>
      <c r="AP85" s="196"/>
      <c r="AQ85" s="1050">
        <f>AQ44/(AQ79*AQ65)</f>
        <v>35.090894585185175</v>
      </c>
      <c r="AR85" s="688"/>
      <c r="AS85" s="196"/>
      <c r="AT85" s="196"/>
      <c r="AU85" s="196"/>
    </row>
    <row r="86" spans="1:47" s="5" customFormat="1" ht="19">
      <c r="A86" s="1044" t="s">
        <v>670</v>
      </c>
      <c r="B86" s="255"/>
      <c r="C86" s="281"/>
      <c r="D86" s="255"/>
      <c r="E86" s="281"/>
      <c r="F86" s="255"/>
      <c r="G86" s="281"/>
      <c r="H86" s="203"/>
      <c r="I86" s="203"/>
      <c r="J86" s="255"/>
      <c r="K86" s="281"/>
      <c r="L86" s="1056">
        <f>L44/L79</f>
        <v>5.4140237359999982E-2</v>
      </c>
      <c r="M86" s="281"/>
      <c r="N86" s="1056">
        <f>N44/N79</f>
        <v>6.0380569185300825E-2</v>
      </c>
      <c r="O86" s="281"/>
      <c r="P86" s="1056">
        <f>P44/P79</f>
        <v>5.4140237359999982E-2</v>
      </c>
      <c r="Q86" s="688"/>
      <c r="R86" s="1056" t="e">
        <f>R44/R79</f>
        <v>#DIV/0!</v>
      </c>
      <c r="S86" s="688"/>
      <c r="T86" s="1056" t="e">
        <f>T44/T79</f>
        <v>#DIV/0!</v>
      </c>
      <c r="U86" s="688"/>
      <c r="V86" s="1056"/>
      <c r="W86" s="281"/>
      <c r="X86" s="284"/>
      <c r="Y86" s="284"/>
      <c r="Z86" s="1056" t="e">
        <f ca="1">Z44/Z79</f>
        <v>#DIV/0!</v>
      </c>
      <c r="AA86" s="688"/>
      <c r="AB86" s="196"/>
      <c r="AC86" s="196"/>
      <c r="AD86" s="194"/>
      <c r="AE86" s="194"/>
      <c r="AF86" s="194"/>
      <c r="AG86" s="194"/>
      <c r="AH86" s="194"/>
      <c r="AI86" s="194"/>
      <c r="AJ86" s="194"/>
      <c r="AK86" s="194"/>
      <c r="AL86" s="194"/>
      <c r="AM86" s="194"/>
      <c r="AN86" s="194"/>
      <c r="AO86" s="196"/>
      <c r="AP86" s="196"/>
      <c r="AQ86" s="1056">
        <f>AQ44/AQ79</f>
        <v>1.8949083075999995</v>
      </c>
      <c r="AR86" s="688"/>
      <c r="AS86" s="196"/>
      <c r="AT86" s="196"/>
      <c r="AU86" s="196"/>
    </row>
    <row r="87" spans="1:47" s="5" customFormat="1" ht="19">
      <c r="A87" s="257"/>
      <c r="B87" s="255"/>
      <c r="C87" s="281"/>
      <c r="D87" s="255"/>
      <c r="E87" s="281"/>
      <c r="F87" s="255"/>
      <c r="G87" s="281"/>
      <c r="H87" s="203"/>
      <c r="I87" s="203"/>
      <c r="J87" s="255"/>
      <c r="K87" s="281"/>
      <c r="L87" s="255"/>
      <c r="M87" s="281"/>
      <c r="N87" s="255"/>
      <c r="O87" s="281"/>
      <c r="P87" s="255"/>
      <c r="Q87" s="281"/>
      <c r="R87" s="255"/>
      <c r="S87" s="281"/>
      <c r="T87" s="255"/>
      <c r="U87" s="281"/>
      <c r="V87" s="255"/>
      <c r="W87" s="281"/>
      <c r="X87" s="284"/>
      <c r="Y87" s="284"/>
      <c r="Z87" s="255"/>
      <c r="AA87" s="281"/>
      <c r="AB87" s="382"/>
      <c r="AC87" s="196"/>
      <c r="AD87" s="194"/>
      <c r="AE87" s="194"/>
      <c r="AF87" s="194"/>
      <c r="AG87" s="194"/>
      <c r="AH87" s="194"/>
      <c r="AI87" s="194"/>
      <c r="AJ87" s="194"/>
      <c r="AK87" s="194"/>
      <c r="AL87" s="194"/>
      <c r="AM87" s="194"/>
      <c r="AN87" s="194"/>
      <c r="AO87" s="196"/>
      <c r="AP87" s="196"/>
      <c r="AQ87" s="255"/>
      <c r="AR87" s="281"/>
      <c r="AS87" s="196"/>
      <c r="AT87" s="196"/>
      <c r="AU87" s="196"/>
    </row>
    <row r="88" spans="1:47" s="5" customFormat="1" ht="19">
      <c r="A88" s="309" t="s">
        <v>718</v>
      </c>
      <c r="B88" s="317"/>
      <c r="C88" s="318"/>
      <c r="D88" s="317"/>
      <c r="E88" s="318"/>
      <c r="F88" s="317"/>
      <c r="G88" s="318"/>
      <c r="H88" s="319"/>
      <c r="I88" s="319"/>
      <c r="J88" s="317"/>
      <c r="K88" s="318"/>
      <c r="L88" s="317"/>
      <c r="M88" s="318"/>
      <c r="N88" s="317"/>
      <c r="O88" s="318"/>
      <c r="P88" s="317"/>
      <c r="Q88" s="318"/>
      <c r="R88" s="317"/>
      <c r="S88" s="318"/>
      <c r="T88" s="317"/>
      <c r="U88" s="318"/>
      <c r="V88" s="317"/>
      <c r="W88" s="318"/>
      <c r="X88" s="316"/>
      <c r="Y88" s="316"/>
      <c r="Z88" s="317"/>
      <c r="AA88" s="318"/>
      <c r="AB88" s="1512"/>
      <c r="AC88" s="1513"/>
      <c r="AD88" s="194"/>
      <c r="AE88" s="194"/>
      <c r="AF88" s="194"/>
      <c r="AG88" s="194"/>
      <c r="AH88" s="194"/>
      <c r="AI88" s="194"/>
      <c r="AJ88" s="194"/>
      <c r="AK88" s="194"/>
      <c r="AL88" s="194"/>
      <c r="AM88" s="194"/>
      <c r="AN88" s="194"/>
      <c r="AO88" s="196"/>
      <c r="AP88" s="196"/>
      <c r="AQ88" s="317"/>
      <c r="AR88" s="318"/>
      <c r="AS88" s="196"/>
      <c r="AT88" s="196"/>
      <c r="AU88" s="196"/>
    </row>
    <row r="89" spans="1:47" s="5" customFormat="1" ht="19">
      <c r="A89" s="287"/>
      <c r="B89" s="288"/>
      <c r="C89" s="289"/>
      <c r="D89" s="288"/>
      <c r="E89" s="289"/>
      <c r="F89" s="288"/>
      <c r="G89" s="289"/>
      <c r="H89" s="287"/>
      <c r="I89" s="287"/>
      <c r="J89" s="288"/>
      <c r="K89" s="289"/>
      <c r="L89" s="288"/>
      <c r="M89" s="289"/>
      <c r="N89" s="288"/>
      <c r="O89" s="289"/>
      <c r="P89" s="288"/>
      <c r="Q89" s="289"/>
      <c r="R89" s="288"/>
      <c r="S89" s="289"/>
      <c r="T89" s="288"/>
      <c r="U89" s="289"/>
      <c r="V89" s="288"/>
      <c r="W89" s="289"/>
      <c r="X89" s="287"/>
      <c r="Y89" s="287"/>
      <c r="Z89" s="288"/>
      <c r="AA89" s="289"/>
      <c r="AB89" s="382"/>
      <c r="AC89" s="196"/>
      <c r="AD89" s="194"/>
      <c r="AE89" s="194"/>
      <c r="AF89" s="194"/>
      <c r="AG89" s="194"/>
      <c r="AH89" s="194"/>
      <c r="AI89" s="194"/>
      <c r="AJ89" s="194"/>
      <c r="AK89" s="194"/>
      <c r="AL89" s="194"/>
      <c r="AM89" s="194"/>
      <c r="AN89" s="194"/>
      <c r="AO89" s="196"/>
      <c r="AP89" s="196"/>
      <c r="AQ89" s="288"/>
      <c r="AR89" s="289"/>
      <c r="AS89" s="196"/>
      <c r="AT89" s="196"/>
      <c r="AU89" s="196"/>
    </row>
    <row r="90" spans="1:47" s="5" customFormat="1" ht="19">
      <c r="A90" s="1044" t="s">
        <v>719</v>
      </c>
      <c r="B90" s="290"/>
      <c r="C90" s="291"/>
      <c r="D90" s="290"/>
      <c r="E90" s="291"/>
      <c r="F90" s="290"/>
      <c r="G90" s="291"/>
      <c r="H90" s="293"/>
      <c r="I90" s="293"/>
      <c r="J90" s="290"/>
      <c r="K90" s="291"/>
      <c r="L90" s="292">
        <v>0</v>
      </c>
      <c r="M90" s="291"/>
      <c r="N90" s="292">
        <v>0</v>
      </c>
      <c r="O90" s="291"/>
      <c r="P90" s="292">
        <v>0</v>
      </c>
      <c r="Q90" s="291"/>
      <c r="R90" s="292">
        <v>0</v>
      </c>
      <c r="S90" s="291"/>
      <c r="T90" s="292">
        <v>0</v>
      </c>
      <c r="U90" s="291"/>
      <c r="V90" s="292"/>
      <c r="W90" s="291"/>
      <c r="X90" s="293"/>
      <c r="Y90" s="293"/>
      <c r="Z90" s="292">
        <v>0</v>
      </c>
      <c r="AA90" s="291"/>
      <c r="AB90" s="382"/>
      <c r="AC90" s="196"/>
      <c r="AD90" s="194"/>
      <c r="AE90" s="194"/>
      <c r="AF90" s="194"/>
      <c r="AG90" s="194"/>
      <c r="AH90" s="194"/>
      <c r="AI90" s="194"/>
      <c r="AJ90" s="194"/>
      <c r="AK90" s="194"/>
      <c r="AL90" s="194"/>
      <c r="AM90" s="194"/>
      <c r="AN90" s="194"/>
      <c r="AO90" s="196"/>
      <c r="AP90" s="196"/>
      <c r="AQ90" s="292">
        <v>3621000</v>
      </c>
      <c r="AR90" s="291"/>
      <c r="AS90" s="196"/>
      <c r="AT90" s="196"/>
      <c r="AU90" s="196"/>
    </row>
    <row r="91" spans="1:47" s="5" customFormat="1" ht="19">
      <c r="A91" s="1044" t="s">
        <v>685</v>
      </c>
      <c r="B91" s="290"/>
      <c r="C91" s="291"/>
      <c r="D91" s="290"/>
      <c r="E91" s="291"/>
      <c r="F91" s="290"/>
      <c r="G91" s="291"/>
      <c r="H91" s="293"/>
      <c r="I91" s="293"/>
      <c r="J91" s="290"/>
      <c r="K91" s="291"/>
      <c r="L91" s="1048">
        <f>(L90+L58)/L47</f>
        <v>0.64814814814814814</v>
      </c>
      <c r="M91" s="291"/>
      <c r="N91" s="1048">
        <f>(N90+N58)/N47</f>
        <v>0.58116203703703706</v>
      </c>
      <c r="O91" s="291"/>
      <c r="P91" s="1048">
        <f>(P90+P58)/P47</f>
        <v>0.64814814814814814</v>
      </c>
      <c r="Q91" s="291"/>
      <c r="R91" s="1048">
        <f>(R90+R58)/R47</f>
        <v>0</v>
      </c>
      <c r="S91" s="291"/>
      <c r="T91" s="1048">
        <f>(T90+T58)/T47</f>
        <v>0</v>
      </c>
      <c r="U91" s="291"/>
      <c r="V91" s="1517"/>
      <c r="W91" s="291"/>
      <c r="X91" s="293"/>
      <c r="Y91" s="293"/>
      <c r="Z91" s="1048">
        <f>(Z90+Z58)/Z47</f>
        <v>0.43848148148148147</v>
      </c>
      <c r="AA91" s="291"/>
      <c r="AB91" s="382"/>
      <c r="AC91" s="196"/>
      <c r="AD91" s="194"/>
      <c r="AE91" s="194"/>
      <c r="AF91" s="194"/>
      <c r="AG91" s="194"/>
      <c r="AH91" s="194"/>
      <c r="AI91" s="194"/>
      <c r="AJ91" s="194"/>
      <c r="AK91" s="194"/>
      <c r="AL91" s="194"/>
      <c r="AM91" s="194"/>
      <c r="AN91" s="194"/>
      <c r="AO91" s="196"/>
      <c r="AP91" s="196"/>
      <c r="AQ91" s="1048">
        <f>(AQ90+AQ58)/AQ47</f>
        <v>8.557407407407408E-2</v>
      </c>
      <c r="AR91" s="291"/>
      <c r="AS91" s="196"/>
      <c r="AT91" s="196"/>
      <c r="AU91" s="196"/>
    </row>
    <row r="92" spans="1:47" s="5" customFormat="1" ht="19">
      <c r="A92" s="1044" t="s">
        <v>46</v>
      </c>
      <c r="B92" s="290"/>
      <c r="C92" s="291"/>
      <c r="D92" s="290"/>
      <c r="E92" s="291"/>
      <c r="F92" s="290"/>
      <c r="G92" s="291"/>
      <c r="H92" s="293"/>
      <c r="I92" s="293"/>
      <c r="J92" s="290"/>
      <c r="K92" s="291"/>
      <c r="L92" s="1048">
        <f ca="1">(L90+L58)/L50</f>
        <v>0.63295717592592593</v>
      </c>
      <c r="M92" s="291"/>
      <c r="N92" s="1048">
        <f ca="1">(N90+N58)/N50</f>
        <v>0.56754105179398151</v>
      </c>
      <c r="O92" s="291"/>
      <c r="P92" s="1048">
        <f ca="1">(P90+P58)/P50</f>
        <v>0.63295717592592593</v>
      </c>
      <c r="Q92" s="291"/>
      <c r="R92" s="1048">
        <f ca="1">(R90+R58)/R50</f>
        <v>0</v>
      </c>
      <c r="S92" s="291"/>
      <c r="T92" s="1048">
        <f ca="1">(T90+T58)/T50</f>
        <v>0</v>
      </c>
      <c r="U92" s="291"/>
      <c r="V92" s="1517"/>
      <c r="W92" s="291"/>
      <c r="X92" s="293"/>
      <c r="Y92" s="293"/>
      <c r="Z92" s="1048">
        <f ca="1">(Z90+Z58)/Z50</f>
        <v>0.42820457175925924</v>
      </c>
      <c r="AA92" s="291"/>
      <c r="AB92" s="381"/>
      <c r="AC92" s="194"/>
      <c r="AD92" s="194"/>
      <c r="AE92" s="194"/>
      <c r="AF92" s="194"/>
      <c r="AG92" s="194"/>
      <c r="AH92" s="194"/>
      <c r="AI92" s="194"/>
      <c r="AJ92" s="194"/>
      <c r="AK92" s="194"/>
      <c r="AL92" s="194"/>
      <c r="AM92" s="194"/>
      <c r="AN92" s="194"/>
      <c r="AO92" s="196"/>
      <c r="AP92" s="196"/>
      <c r="AQ92" s="1048">
        <f ca="1">(AQ90+AQ58)/AQ50</f>
        <v>8.3568431712962965E-2</v>
      </c>
      <c r="AR92" s="291"/>
      <c r="AS92" s="196"/>
      <c r="AT92" s="196"/>
      <c r="AU92" s="196"/>
    </row>
    <row r="93" spans="1:47" ht="19">
      <c r="A93" s="1044" t="s">
        <v>687</v>
      </c>
      <c r="B93" s="290"/>
      <c r="C93" s="291"/>
      <c r="D93" s="290"/>
      <c r="E93" s="291"/>
      <c r="F93" s="290"/>
      <c r="G93" s="291"/>
      <c r="H93" s="293"/>
      <c r="I93" s="293"/>
      <c r="J93" s="290"/>
      <c r="K93" s="291"/>
      <c r="L93" s="1051" t="s">
        <v>720</v>
      </c>
      <c r="M93" s="291"/>
      <c r="N93" s="1051" t="s">
        <v>720</v>
      </c>
      <c r="O93" s="291"/>
      <c r="P93" s="1051" t="s">
        <v>720</v>
      </c>
      <c r="Q93" s="291"/>
      <c r="R93" s="1051" t="s">
        <v>720</v>
      </c>
      <c r="S93" s="291"/>
      <c r="T93" s="1051" t="s">
        <v>720</v>
      </c>
      <c r="U93" s="291"/>
      <c r="V93" s="1051"/>
      <c r="W93" s="291"/>
      <c r="X93" s="293"/>
      <c r="Y93" s="293"/>
      <c r="Z93" s="1051" t="s">
        <v>720</v>
      </c>
      <c r="AA93" s="291"/>
      <c r="AB93" s="486"/>
      <c r="AC93" s="294"/>
      <c r="AD93" s="294"/>
      <c r="AE93" s="194"/>
      <c r="AF93" s="194"/>
      <c r="AG93" s="194"/>
      <c r="AH93" s="294"/>
      <c r="AI93" s="294"/>
      <c r="AJ93" s="294"/>
      <c r="AK93" s="294"/>
      <c r="AL93" s="294"/>
      <c r="AM93" s="294"/>
      <c r="AN93" s="294"/>
      <c r="AO93" s="294"/>
      <c r="AP93" s="294"/>
      <c r="AQ93" s="1051" t="s">
        <v>720</v>
      </c>
      <c r="AR93" s="291"/>
      <c r="AS93" s="294"/>
      <c r="AT93" s="294"/>
      <c r="AU93" s="294"/>
    </row>
    <row r="94" spans="1:47" ht="19">
      <c r="A94" s="1044" t="s">
        <v>689</v>
      </c>
      <c r="B94" s="290"/>
      <c r="C94" s="291"/>
      <c r="D94" s="290"/>
      <c r="E94" s="291"/>
      <c r="F94" s="290"/>
      <c r="G94" s="291"/>
      <c r="H94" s="293"/>
      <c r="I94" s="293"/>
      <c r="J94" s="290"/>
      <c r="K94" s="291"/>
      <c r="L94" s="295" t="s">
        <v>721</v>
      </c>
      <c r="M94" s="291"/>
      <c r="N94" s="295" t="s">
        <v>721</v>
      </c>
      <c r="O94" s="291"/>
      <c r="P94" s="295" t="s">
        <v>721</v>
      </c>
      <c r="Q94" s="291"/>
      <c r="R94" s="295" t="s">
        <v>721</v>
      </c>
      <c r="S94" s="291"/>
      <c r="T94" s="295" t="s">
        <v>721</v>
      </c>
      <c r="U94" s="291"/>
      <c r="V94" s="295"/>
      <c r="W94" s="291"/>
      <c r="X94" s="293"/>
      <c r="Y94" s="293"/>
      <c r="Z94" s="295">
        <v>360</v>
      </c>
      <c r="AA94" s="291"/>
      <c r="AB94" s="294"/>
      <c r="AC94" s="294"/>
      <c r="AD94" s="294"/>
      <c r="AE94" s="294"/>
      <c r="AF94" s="294"/>
      <c r="AG94" s="294"/>
      <c r="AH94" s="294"/>
      <c r="AI94" s="294"/>
      <c r="AJ94" s="294"/>
      <c r="AK94" s="294"/>
      <c r="AL94" s="294"/>
      <c r="AM94" s="294"/>
      <c r="AN94" s="294"/>
      <c r="AO94" s="294"/>
      <c r="AP94" s="294"/>
      <c r="AQ94" s="295">
        <v>360</v>
      </c>
      <c r="AR94" s="291"/>
      <c r="AS94" s="294"/>
      <c r="AT94" s="294"/>
      <c r="AU94" s="294"/>
    </row>
    <row r="95" spans="1:47" ht="19">
      <c r="A95" s="1044" t="s">
        <v>48</v>
      </c>
      <c r="B95" s="290"/>
      <c r="C95" s="291"/>
      <c r="D95" s="290"/>
      <c r="E95" s="291"/>
      <c r="F95" s="290"/>
      <c r="G95" s="291"/>
      <c r="H95" s="293"/>
      <c r="I95" s="293"/>
      <c r="J95" s="290"/>
      <c r="K95" s="291"/>
      <c r="L95" s="297">
        <v>0.08</v>
      </c>
      <c r="M95" s="291"/>
      <c r="N95" s="297">
        <v>0.08</v>
      </c>
      <c r="O95" s="291"/>
      <c r="P95" s="297">
        <v>0.08</v>
      </c>
      <c r="Q95" s="291"/>
      <c r="R95" s="297">
        <v>0.08</v>
      </c>
      <c r="S95" s="291"/>
      <c r="T95" s="297">
        <v>0.08</v>
      </c>
      <c r="U95" s="291"/>
      <c r="V95" s="297"/>
      <c r="W95" s="291"/>
      <c r="X95" s="293"/>
      <c r="Y95" s="293"/>
      <c r="Z95" s="297">
        <v>0.14000000000000001</v>
      </c>
      <c r="AA95" s="291"/>
      <c r="AB95" s="294"/>
      <c r="AC95" s="294"/>
      <c r="AD95" s="294"/>
      <c r="AE95" s="294"/>
      <c r="AF95" s="294"/>
      <c r="AG95" s="294"/>
      <c r="AH95" s="294"/>
      <c r="AI95" s="294"/>
      <c r="AJ95" s="294"/>
      <c r="AK95" s="294"/>
      <c r="AL95" s="294"/>
      <c r="AM95" s="294"/>
      <c r="AN95" s="294"/>
      <c r="AO95" s="294"/>
      <c r="AP95" s="294"/>
      <c r="AQ95" s="297">
        <v>0.14000000000000001</v>
      </c>
      <c r="AR95" s="291"/>
      <c r="AS95" s="294"/>
      <c r="AT95" s="294"/>
      <c r="AU95" s="294"/>
    </row>
    <row r="96" spans="1:47" ht="19">
      <c r="A96" s="1044" t="s">
        <v>702</v>
      </c>
      <c r="B96" s="290"/>
      <c r="C96" s="291"/>
      <c r="D96" s="290"/>
      <c r="E96" s="291"/>
      <c r="F96" s="290"/>
      <c r="G96" s="291"/>
      <c r="H96" s="293"/>
      <c r="I96" s="293"/>
      <c r="J96" s="290"/>
      <c r="K96" s="291"/>
      <c r="L96" s="664">
        <f>IFERROR(L97/L90,0)</f>
        <v>0</v>
      </c>
      <c r="M96" s="291"/>
      <c r="N96" s="664">
        <f>IFERROR(N97/N90,0)</f>
        <v>0</v>
      </c>
      <c r="O96" s="291"/>
      <c r="P96" s="664">
        <f>IFERROR(P97/P90,0)</f>
        <v>0</v>
      </c>
      <c r="Q96" s="291"/>
      <c r="R96" s="664">
        <f>IFERROR(R97/R90,0)</f>
        <v>0</v>
      </c>
      <c r="S96" s="291"/>
      <c r="T96" s="664">
        <f>IFERROR(T97/T90,0)</f>
        <v>0</v>
      </c>
      <c r="U96" s="291"/>
      <c r="V96" s="664"/>
      <c r="W96" s="291"/>
      <c r="X96" s="293"/>
      <c r="Y96" s="293"/>
      <c r="Z96" s="664" t="e">
        <f>Z97/Z90</f>
        <v>#DIV/0!</v>
      </c>
      <c r="AA96" s="291"/>
      <c r="AB96" s="294"/>
      <c r="AC96" s="294"/>
      <c r="AD96" s="294"/>
      <c r="AE96" s="294"/>
      <c r="AF96" s="294"/>
      <c r="AG96" s="294"/>
      <c r="AH96" s="294"/>
      <c r="AI96" s="294"/>
      <c r="AJ96" s="294"/>
      <c r="AK96" s="294"/>
      <c r="AL96" s="294"/>
      <c r="AM96" s="294"/>
      <c r="AN96" s="294"/>
      <c r="AO96" s="294"/>
      <c r="AP96" s="294"/>
      <c r="AQ96" s="664">
        <f>AQ97/AQ90</f>
        <v>0.14218461012678416</v>
      </c>
      <c r="AR96" s="291"/>
      <c r="AS96" s="294"/>
      <c r="AT96" s="294"/>
      <c r="AU96" s="294"/>
    </row>
    <row r="97" spans="1:47" ht="19">
      <c r="A97" s="1044" t="s">
        <v>704</v>
      </c>
      <c r="B97" s="290"/>
      <c r="C97" s="291"/>
      <c r="D97" s="290"/>
      <c r="E97" s="291"/>
      <c r="F97" s="290"/>
      <c r="G97" s="291"/>
      <c r="H97" s="293"/>
      <c r="I97" s="293"/>
      <c r="J97" s="290"/>
      <c r="K97" s="291"/>
      <c r="L97" s="739">
        <f>IF(L94="IO",L95*L90,-PMT(L95/12,L94,L90)*12)</f>
        <v>0</v>
      </c>
      <c r="M97" s="291"/>
      <c r="N97" s="739">
        <f>IF(N94="IO",N95*N90,-PMT(N95/12,N94,N90)*12)</f>
        <v>0</v>
      </c>
      <c r="O97" s="291"/>
      <c r="P97" s="739">
        <f>IF(P94="IO",P95*P90,-PMT(P95/12,P94,P90)*12)</f>
        <v>0</v>
      </c>
      <c r="Q97" s="291"/>
      <c r="R97" s="739">
        <f>IF(R94="IO",R95*R90,-PMT(R95/12,R94,R90)*12)</f>
        <v>0</v>
      </c>
      <c r="S97" s="291"/>
      <c r="T97" s="739">
        <f>IF(T94="IO",T95*T90,-PMT(T95/12,T94,T90)*12)</f>
        <v>0</v>
      </c>
      <c r="U97" s="291"/>
      <c r="V97" s="739"/>
      <c r="W97" s="291"/>
      <c r="X97" s="293"/>
      <c r="Y97" s="293"/>
      <c r="Z97" s="739">
        <f>IF(Z94="IO",Z95*Z90,-PMT(Z95/12,Z94,Z90)*12)</f>
        <v>0</v>
      </c>
      <c r="AA97" s="291"/>
      <c r="AB97" s="294"/>
      <c r="AC97" s="294"/>
      <c r="AD97" s="294"/>
      <c r="AE97" s="294"/>
      <c r="AF97" s="294"/>
      <c r="AG97" s="294"/>
      <c r="AH97" s="294"/>
      <c r="AI97" s="294"/>
      <c r="AJ97" s="294"/>
      <c r="AK97" s="294"/>
      <c r="AL97" s="294"/>
      <c r="AM97" s="294"/>
      <c r="AN97" s="294"/>
      <c r="AO97" s="294"/>
      <c r="AP97" s="294"/>
      <c r="AQ97" s="739">
        <f>IF(AQ94="IO",AQ95*AQ90,-PMT(AQ95/12,AQ94,AQ90)*12)</f>
        <v>514850.4732690854</v>
      </c>
      <c r="AR97" s="291"/>
      <c r="AS97" s="294"/>
      <c r="AT97" s="294"/>
      <c r="AU97" s="294"/>
    </row>
    <row r="98" spans="1:47" ht="19">
      <c r="A98" s="1044" t="s">
        <v>705</v>
      </c>
      <c r="B98" s="290"/>
      <c r="C98" s="291"/>
      <c r="D98" s="290"/>
      <c r="E98" s="291"/>
      <c r="F98" s="290"/>
      <c r="G98" s="291"/>
      <c r="H98" s="293"/>
      <c r="I98" s="293"/>
      <c r="J98" s="290"/>
      <c r="K98" s="291"/>
      <c r="L98" s="1515">
        <f>L68-L97</f>
        <v>-166324.60993394791</v>
      </c>
      <c r="M98" s="291"/>
      <c r="N98" s="1515">
        <f>N68-N97</f>
        <v>30163.755153959617</v>
      </c>
      <c r="O98" s="291"/>
      <c r="P98" s="739">
        <f>AgencyCashFlow-P97</f>
        <v>-166324.60993394791</v>
      </c>
      <c r="Q98" s="291"/>
      <c r="R98" s="739">
        <f>AgencyCashFlow-R97</f>
        <v>-166324.60993394791</v>
      </c>
      <c r="S98" s="291"/>
      <c r="T98" s="739">
        <f>AgencyCashFlow-T97</f>
        <v>-166324.60993394791</v>
      </c>
      <c r="U98" s="291"/>
      <c r="V98" s="739"/>
      <c r="W98" s="1514"/>
      <c r="X98" s="293"/>
      <c r="Y98" s="293"/>
      <c r="Z98" s="739">
        <f>Z67-Z97</f>
        <v>1613292.95686732</v>
      </c>
      <c r="AA98" s="291"/>
      <c r="AB98" s="294"/>
      <c r="AC98" s="294"/>
      <c r="AD98" s="294"/>
      <c r="AE98" s="294"/>
      <c r="AF98" s="294"/>
      <c r="AG98" s="294"/>
      <c r="AH98" s="294"/>
      <c r="AI98" s="294"/>
      <c r="AJ98" s="294"/>
      <c r="AK98" s="294"/>
      <c r="AL98" s="294"/>
      <c r="AM98" s="294"/>
      <c r="AN98" s="294"/>
      <c r="AO98" s="294"/>
      <c r="AP98" s="294"/>
      <c r="AQ98" s="739">
        <f>AQ67-AQ97</f>
        <v>-447466.77824473171</v>
      </c>
      <c r="AR98" s="291"/>
      <c r="AS98" s="294"/>
      <c r="AT98" s="294"/>
      <c r="AU98" s="294"/>
    </row>
    <row r="99" spans="1:47" ht="19">
      <c r="A99" s="1044" t="s">
        <v>706</v>
      </c>
      <c r="B99" s="298"/>
      <c r="C99" s="299"/>
      <c r="D99" s="298"/>
      <c r="E99" s="299"/>
      <c r="F99" s="298"/>
      <c r="G99" s="299"/>
      <c r="H99" s="1585"/>
      <c r="I99" s="1585"/>
      <c r="J99" s="298"/>
      <c r="K99" s="299"/>
      <c r="L99" s="1050">
        <f>L44/(L97+L67)</f>
        <v>0.91930819243225648</v>
      </c>
      <c r="M99" s="299"/>
      <c r="N99" s="1050">
        <f>N44/(N97+N67)</f>
        <v>1.0161758108446506</v>
      </c>
      <c r="O99" s="299"/>
      <c r="P99" s="1516">
        <f>P44/(P97+P67)</f>
        <v>0.91930819243225648</v>
      </c>
      <c r="Q99" s="299"/>
      <c r="R99" s="1516" t="e">
        <f>R44/(R97+R67)</f>
        <v>#DIV/0!</v>
      </c>
      <c r="S99" s="299"/>
      <c r="T99" s="1516" t="e">
        <f>T44/(T97+T67)</f>
        <v>#DIV/0!</v>
      </c>
      <c r="U99" s="299"/>
      <c r="V99" s="1050"/>
      <c r="W99" s="299"/>
      <c r="X99" s="293"/>
      <c r="Y99" s="293"/>
      <c r="Z99" s="1050" t="e">
        <f ca="1">Z44/(Z97+Z67)</f>
        <v>#DIV/0!</v>
      </c>
      <c r="AA99" s="299"/>
      <c r="AB99" s="294"/>
      <c r="AC99" s="294"/>
      <c r="AD99" s="294"/>
      <c r="AE99" s="294"/>
      <c r="AF99" s="294"/>
      <c r="AG99" s="294"/>
      <c r="AH99" s="294"/>
      <c r="AI99" s="294"/>
      <c r="AJ99" s="294"/>
      <c r="AK99" s="294"/>
      <c r="AL99" s="294"/>
      <c r="AM99" s="294"/>
      <c r="AN99" s="294"/>
      <c r="AO99" s="294"/>
      <c r="AP99" s="294"/>
      <c r="AQ99" s="1050">
        <f>AQ44/(AQ97+AQ67)</f>
        <v>3.2545467284307303</v>
      </c>
      <c r="AR99" s="299"/>
      <c r="AS99" s="294"/>
      <c r="AT99" s="294"/>
      <c r="AU99" s="294"/>
    </row>
    <row r="100" spans="1:47" ht="19">
      <c r="A100" s="1044" t="s">
        <v>707</v>
      </c>
      <c r="B100" s="290"/>
      <c r="C100" s="291"/>
      <c r="D100" s="290"/>
      <c r="E100" s="291"/>
      <c r="F100" s="290"/>
      <c r="G100" s="291"/>
      <c r="H100" s="293"/>
      <c r="I100" s="293"/>
      <c r="J100" s="290"/>
      <c r="K100" s="291"/>
      <c r="L100" s="1050">
        <f>L44/((L65*L58)+(L90*L95))</f>
        <v>1.2799110486997631</v>
      </c>
      <c r="M100" s="291"/>
      <c r="N100" s="1050">
        <f>N44/((N65*N58)+(N90*N95))</f>
        <v>1.2449601893876459</v>
      </c>
      <c r="O100" s="291"/>
      <c r="P100" s="1050">
        <f>P44/((P65*P58)+(P90*P95))</f>
        <v>1.2799110486997631</v>
      </c>
      <c r="Q100" s="291"/>
      <c r="R100" s="1050" t="e">
        <f>R44/((R65*R58)+(R90*R95))</f>
        <v>#DIV/0!</v>
      </c>
      <c r="S100" s="291"/>
      <c r="T100" s="1050" t="e">
        <f>T44/((T65*T58)+(T90*T95))</f>
        <v>#DIV/0!</v>
      </c>
      <c r="U100" s="291"/>
      <c r="V100" s="1050"/>
      <c r="W100" s="291"/>
      <c r="X100" s="293"/>
      <c r="Y100" s="293"/>
      <c r="Z100" s="1050" t="e">
        <f ca="1">Z44/((Z65*Z58)+(Z90*Z95))</f>
        <v>#DIV/0!</v>
      </c>
      <c r="AA100" s="291"/>
      <c r="AB100" s="294"/>
      <c r="AC100" s="294"/>
      <c r="AD100" s="294"/>
      <c r="AE100" s="294"/>
      <c r="AF100" s="294"/>
      <c r="AG100" s="294"/>
      <c r="AH100" s="294"/>
      <c r="AI100" s="294"/>
      <c r="AJ100" s="294"/>
      <c r="AK100" s="294"/>
      <c r="AL100" s="294"/>
      <c r="AM100" s="294"/>
      <c r="AN100" s="294"/>
      <c r="AO100" s="294"/>
      <c r="AP100" s="294"/>
      <c r="AQ100" s="1050">
        <f>AQ44/((AQ65*AQ58)+(AQ90*AQ95))</f>
        <v>3.3780944621528142</v>
      </c>
      <c r="AR100" s="291"/>
      <c r="AS100" s="294"/>
      <c r="AT100" s="294"/>
      <c r="AU100" s="294"/>
    </row>
    <row r="101" spans="1:47" ht="19">
      <c r="A101" s="287"/>
      <c r="B101" s="290"/>
      <c r="C101" s="291"/>
      <c r="D101" s="290"/>
      <c r="E101" s="291"/>
      <c r="F101" s="290"/>
      <c r="G101" s="291"/>
      <c r="H101" s="293"/>
      <c r="I101" s="293"/>
      <c r="J101" s="290"/>
      <c r="K101" s="291"/>
      <c r="L101" s="290"/>
      <c r="M101" s="291"/>
      <c r="N101" s="290"/>
      <c r="O101" s="291"/>
      <c r="P101" s="290"/>
      <c r="Q101" s="291"/>
      <c r="R101" s="290"/>
      <c r="S101" s="291"/>
      <c r="T101" s="290"/>
      <c r="U101" s="291"/>
      <c r="V101" s="290"/>
      <c r="W101" s="291"/>
      <c r="X101" s="293"/>
      <c r="Y101" s="293"/>
      <c r="Z101" s="290"/>
      <c r="AA101" s="291"/>
      <c r="AB101" s="294"/>
      <c r="AC101" s="294"/>
      <c r="AD101" s="294"/>
      <c r="AE101" s="294"/>
      <c r="AF101" s="294"/>
      <c r="AG101" s="294"/>
      <c r="AH101" s="294"/>
      <c r="AI101" s="294"/>
      <c r="AJ101" s="294"/>
      <c r="AK101" s="294"/>
      <c r="AL101" s="294"/>
      <c r="AM101" s="294"/>
      <c r="AN101" s="294"/>
      <c r="AO101" s="294"/>
      <c r="AP101" s="294"/>
      <c r="AQ101" s="290"/>
      <c r="AR101" s="291"/>
      <c r="AS101" s="294"/>
      <c r="AT101" s="294"/>
      <c r="AU101" s="294"/>
    </row>
    <row r="102" spans="1:47" ht="19">
      <c r="A102" s="309" t="s">
        <v>722</v>
      </c>
      <c r="B102" s="317"/>
      <c r="C102" s="318"/>
      <c r="D102" s="317"/>
      <c r="E102" s="318"/>
      <c r="F102" s="317"/>
      <c r="G102" s="318"/>
      <c r="H102" s="319"/>
      <c r="I102" s="319"/>
      <c r="J102" s="317"/>
      <c r="K102" s="318"/>
      <c r="L102" s="317"/>
      <c r="M102" s="318"/>
      <c r="N102" s="317"/>
      <c r="O102" s="318"/>
      <c r="P102" s="317"/>
      <c r="Q102" s="318"/>
      <c r="R102" s="317"/>
      <c r="S102" s="318"/>
      <c r="T102" s="317"/>
      <c r="U102" s="318"/>
      <c r="V102" s="317"/>
      <c r="W102" s="318"/>
      <c r="X102" s="319"/>
      <c r="Y102" s="319"/>
      <c r="Z102" s="317"/>
      <c r="AA102" s="318"/>
      <c r="AB102" s="294"/>
      <c r="AC102" s="294"/>
      <c r="AD102" s="294"/>
      <c r="AE102" s="294"/>
      <c r="AF102" s="294"/>
      <c r="AG102" s="294"/>
      <c r="AH102" s="294"/>
      <c r="AI102" s="294"/>
      <c r="AJ102" s="294"/>
      <c r="AK102" s="294"/>
      <c r="AL102" s="294"/>
      <c r="AM102" s="294"/>
      <c r="AN102" s="294"/>
      <c r="AO102" s="294"/>
      <c r="AP102" s="294"/>
      <c r="AQ102" s="317"/>
      <c r="AR102" s="318"/>
      <c r="AS102" s="294"/>
      <c r="AT102" s="294"/>
      <c r="AU102" s="294"/>
    </row>
    <row r="103" spans="1:47" ht="19">
      <c r="A103" s="1044" t="s">
        <v>714</v>
      </c>
      <c r="B103" s="300"/>
      <c r="C103" s="301"/>
      <c r="D103" s="300"/>
      <c r="E103" s="301"/>
      <c r="F103" s="300"/>
      <c r="G103" s="301"/>
      <c r="H103" s="302"/>
      <c r="I103" s="302"/>
      <c r="J103" s="300"/>
      <c r="K103" s="301"/>
      <c r="L103" s="1046">
        <f>L58+L90</f>
        <v>35000000</v>
      </c>
      <c r="M103" s="301"/>
      <c r="N103" s="1046">
        <f>N58+N90</f>
        <v>31382750</v>
      </c>
      <c r="O103" s="301"/>
      <c r="P103" s="1046">
        <f>P58+P90</f>
        <v>35000000</v>
      </c>
      <c r="Q103" s="1047"/>
      <c r="R103" s="1046">
        <f>R58+R90</f>
        <v>0</v>
      </c>
      <c r="S103" s="1047"/>
      <c r="T103" s="1046">
        <f>T58+T90</f>
        <v>0</v>
      </c>
      <c r="U103" s="1047"/>
      <c r="V103" s="1046"/>
      <c r="W103" s="301"/>
      <c r="X103" s="302"/>
      <c r="Y103" s="302"/>
      <c r="Z103" s="1046">
        <f>Z58+Z90</f>
        <v>23678000</v>
      </c>
      <c r="AA103" s="1047"/>
      <c r="AB103" s="294"/>
      <c r="AC103" s="294"/>
      <c r="AD103" s="294"/>
      <c r="AE103" s="294"/>
      <c r="AF103" s="294"/>
      <c r="AG103" s="294"/>
      <c r="AH103" s="294"/>
      <c r="AI103" s="294"/>
      <c r="AJ103" s="294"/>
      <c r="AK103" s="294"/>
      <c r="AL103" s="294"/>
      <c r="AM103" s="294"/>
      <c r="AN103" s="294"/>
      <c r="AO103" s="294"/>
      <c r="AP103" s="294"/>
      <c r="AQ103" s="1046">
        <f>AQ58+AQ90</f>
        <v>4621000</v>
      </c>
      <c r="AR103" s="1047"/>
      <c r="AS103" s="294"/>
      <c r="AT103" s="294"/>
      <c r="AU103" s="294"/>
    </row>
    <row r="104" spans="1:47" ht="19">
      <c r="A104" s="1044" t="s">
        <v>723</v>
      </c>
      <c r="B104" s="300"/>
      <c r="C104" s="301"/>
      <c r="D104" s="300"/>
      <c r="E104" s="301"/>
      <c r="F104" s="300"/>
      <c r="G104" s="301"/>
      <c r="H104" s="302"/>
      <c r="I104" s="302"/>
      <c r="J104" s="300"/>
      <c r="K104" s="301"/>
      <c r="L104" s="1048">
        <f>(L58+L90)/L47</f>
        <v>0.64814814814814814</v>
      </c>
      <c r="M104" s="301"/>
      <c r="N104" s="1048">
        <f>(N58+N90)/N47</f>
        <v>0.58116203703703706</v>
      </c>
      <c r="O104" s="301"/>
      <c r="P104" s="1048">
        <f>(P58+P90)/P47</f>
        <v>0.64814814814814814</v>
      </c>
      <c r="Q104" s="1047"/>
      <c r="R104" s="1048">
        <f>(R58+R90)/R47</f>
        <v>0</v>
      </c>
      <c r="S104" s="1047"/>
      <c r="T104" s="1048">
        <f>(T58+T90)/T47</f>
        <v>0</v>
      </c>
      <c r="U104" s="1047"/>
      <c r="V104" s="1048"/>
      <c r="W104" s="301"/>
      <c r="X104" s="302"/>
      <c r="Y104" s="302"/>
      <c r="Z104" s="1048">
        <f>(Z58+Z90)/Z47</f>
        <v>0.43848148148148147</v>
      </c>
      <c r="AA104" s="1047"/>
      <c r="AB104" s="294"/>
      <c r="AC104" s="294"/>
      <c r="AD104" s="294"/>
      <c r="AE104" s="294"/>
      <c r="AF104" s="294"/>
      <c r="AG104" s="294"/>
      <c r="AH104" s="294"/>
      <c r="AI104" s="294"/>
      <c r="AJ104" s="294"/>
      <c r="AK104" s="294"/>
      <c r="AL104" s="294"/>
      <c r="AM104" s="294"/>
      <c r="AN104" s="294"/>
      <c r="AO104" s="294"/>
      <c r="AP104" s="294"/>
      <c r="AQ104" s="1048">
        <f>(AQ58+AQ90)/AQ47</f>
        <v>8.557407407407408E-2</v>
      </c>
      <c r="AR104" s="1047"/>
      <c r="AS104" s="294"/>
      <c r="AT104" s="294"/>
      <c r="AU104" s="294"/>
    </row>
    <row r="105" spans="1:47" ht="19">
      <c r="A105" s="1044" t="s">
        <v>724</v>
      </c>
      <c r="B105" s="303"/>
      <c r="C105" s="304"/>
      <c r="D105" s="303"/>
      <c r="E105" s="304"/>
      <c r="F105" s="303"/>
      <c r="G105" s="304"/>
      <c r="H105" s="180"/>
      <c r="I105" s="180"/>
      <c r="J105" s="303"/>
      <c r="K105" s="304"/>
      <c r="L105" s="664">
        <f>((L58/L103)*L65)+((L90/L103)*L95)</f>
        <v>4.2300000000000004E-2</v>
      </c>
      <c r="M105" s="304"/>
      <c r="N105" s="664">
        <f>((N58/N103)*N65)+((N90/N103)*N95)</f>
        <v>4.8500000000000001E-2</v>
      </c>
      <c r="O105" s="304"/>
      <c r="P105" s="664">
        <f>((P58/P103)*P65)+((P90/P103)*P95)</f>
        <v>4.2300000000000004E-2</v>
      </c>
      <c r="Q105" s="1049"/>
      <c r="R105" s="664" t="e">
        <f>((R58/R103)*R65)+((R90/R103)*R95)</f>
        <v>#DIV/0!</v>
      </c>
      <c r="S105" s="1049"/>
      <c r="T105" s="664" t="e">
        <f>((T58/T103)*T65)+((T90/T103)*T95)</f>
        <v>#DIV/0!</v>
      </c>
      <c r="U105" s="1049"/>
      <c r="V105" s="664"/>
      <c r="W105" s="304"/>
      <c r="X105" s="180"/>
      <c r="Y105" s="180"/>
      <c r="Z105" s="664">
        <f>((Z58/Z103)*Z65)+((Z90/Z103)*Z95)</f>
        <v>5.5E-2</v>
      </c>
      <c r="AA105" s="1049"/>
      <c r="AB105" s="294"/>
      <c r="AC105" s="294"/>
      <c r="AD105" s="294"/>
      <c r="AE105" s="294"/>
      <c r="AF105" s="294"/>
      <c r="AG105" s="294"/>
      <c r="AH105" s="294"/>
      <c r="AI105" s="294"/>
      <c r="AJ105" s="294"/>
      <c r="AK105" s="294"/>
      <c r="AL105" s="294"/>
      <c r="AM105" s="294"/>
      <c r="AN105" s="294"/>
      <c r="AO105" s="294"/>
      <c r="AP105" s="294"/>
      <c r="AQ105" s="664">
        <f>((AQ58/AQ103)*AQ65)+((AQ90/AQ103)*AQ95)</f>
        <v>0.12138930967323092</v>
      </c>
      <c r="AR105" s="1049"/>
      <c r="AS105" s="294"/>
      <c r="AT105" s="294"/>
      <c r="AU105" s="294"/>
    </row>
    <row r="106" spans="1:47" ht="19">
      <c r="A106" s="305"/>
      <c r="B106" s="306"/>
      <c r="C106" s="307"/>
      <c r="D106" s="306"/>
      <c r="E106" s="307"/>
      <c r="F106" s="306"/>
      <c r="G106" s="307"/>
      <c r="H106" s="305"/>
      <c r="I106" s="305"/>
      <c r="J106" s="306"/>
      <c r="K106" s="307"/>
      <c r="L106" s="306"/>
      <c r="M106" s="307"/>
      <c r="N106" s="306"/>
      <c r="O106" s="307"/>
      <c r="P106" s="306"/>
      <c r="Q106" s="307"/>
      <c r="R106" s="306"/>
      <c r="S106" s="307"/>
      <c r="T106" s="306"/>
      <c r="U106" s="307"/>
      <c r="V106" s="305"/>
      <c r="W106" s="305"/>
      <c r="X106" s="305"/>
      <c r="Y106" s="305"/>
      <c r="Z106" s="306"/>
      <c r="AA106" s="307"/>
      <c r="AB106" s="294"/>
      <c r="AC106" s="294"/>
      <c r="AD106" s="294"/>
      <c r="AE106" s="294"/>
      <c r="AF106" s="294"/>
      <c r="AG106" s="294"/>
      <c r="AH106" s="294"/>
      <c r="AI106" s="294"/>
      <c r="AJ106" s="294"/>
      <c r="AK106" s="294"/>
      <c r="AL106" s="294"/>
      <c r="AM106" s="294"/>
      <c r="AN106" s="294"/>
      <c r="AO106" s="294"/>
      <c r="AP106" s="294"/>
      <c r="AQ106" s="306"/>
      <c r="AR106" s="307"/>
      <c r="AS106" s="294"/>
      <c r="AT106" s="294"/>
      <c r="AU106" s="294"/>
    </row>
    <row r="107" spans="1:47">
      <c r="A107" s="8"/>
      <c r="B107" s="9"/>
      <c r="C107" s="9"/>
    </row>
    <row r="108" spans="1:47">
      <c r="B108" s="9"/>
      <c r="C108" s="9"/>
    </row>
    <row r="109" spans="1:47">
      <c r="B109" s="9"/>
      <c r="C109" s="9"/>
    </row>
    <row r="110" spans="1:47">
      <c r="B110" s="9"/>
      <c r="C110" s="9"/>
    </row>
  </sheetData>
  <mergeCells count="25">
    <mergeCell ref="L4:M4"/>
    <mergeCell ref="L5:M5"/>
    <mergeCell ref="AE46:AE53"/>
    <mergeCell ref="AG45:AK45"/>
    <mergeCell ref="AE44:AK44"/>
    <mergeCell ref="P5:Q5"/>
    <mergeCell ref="Z5:AA5"/>
    <mergeCell ref="P4:Q4"/>
    <mergeCell ref="B5:C5"/>
    <mergeCell ref="N5:O5"/>
    <mergeCell ref="D5:E5"/>
    <mergeCell ref="F5:G5"/>
    <mergeCell ref="J5:K5"/>
    <mergeCell ref="H5:I5"/>
    <mergeCell ref="AQ4:AR4"/>
    <mergeCell ref="AQ5:AR5"/>
    <mergeCell ref="N4:O4"/>
    <mergeCell ref="AE5:AF5"/>
    <mergeCell ref="AG5:AH5"/>
    <mergeCell ref="V4:W4"/>
    <mergeCell ref="V5:W5"/>
    <mergeCell ref="R4:S4"/>
    <mergeCell ref="R5:S5"/>
    <mergeCell ref="T4:U4"/>
    <mergeCell ref="T5:U5"/>
  </mergeCells>
  <conditionalFormatting sqref="AG47:AK54">
    <cfRule type="cellIs" dxfId="7" priority="1" operator="greaterThan">
      <formula>$AN$45</formula>
    </cfRule>
  </conditionalFormatting>
  <dataValidations count="5">
    <dataValidation type="list" allowBlank="1" showInputMessage="1" showErrorMessage="1" sqref="AR64 U64 S64 Q64 O64 AA64 M64" xr:uid="{5211D1BA-6B74-46B7-A9B4-529793B6592C}">
      <formula1>$AF$75:$AF$80</formula1>
    </dataValidation>
    <dataValidation type="list" allowBlank="1" showInputMessage="1" showErrorMessage="1" sqref="O65 M65" xr:uid="{7BA57B26-328D-4B9C-A090-C8DCC2210382}">
      <formula1>"Curve On, Curve Off"</formula1>
    </dataValidation>
    <dataValidation type="list" allowBlank="1" showInputMessage="1" showErrorMessage="1" sqref="X24:X30 X11:X13 X17:X19 X9 X33" xr:uid="{863FD720-BCB4-4F4B-9FC8-7515F32979CE}">
      <formula1>$AY$21:$AY$27</formula1>
    </dataValidation>
    <dataValidation type="list" allowBlank="1" showInputMessage="1" showErrorMessage="1" sqref="AK22:AK34" xr:uid="{00000000-0002-0000-0A00-000001000000}">
      <formula1>$A$27:$A$37</formula1>
    </dataValidation>
    <dataValidation type="list" allowBlank="1" showInputMessage="1" showErrorMessage="1" sqref="W73" xr:uid="{71F0F2D5-6BFF-4691-9C99-C4A966C45DB1}">
      <formula1>"Yes, No"</formula1>
    </dataValidation>
  </dataValidations>
  <pageMargins left="0.25" right="0.25" top="0.75" bottom="0.75" header="0.3" footer="0.3"/>
  <pageSetup paperSize="3" scale="39" orientation="landscape" r:id="rId1"/>
  <headerFooter>
    <oddHeader>&amp;R&amp;G</oddHeader>
  </headerFooter>
  <ignoredErrors>
    <ignoredError sqref="C8 P108:Q108 C10:C13 Q8 E8:G8 K8 J108:K108 W68:W69 X10 C108:G108 W71" evalError="1"/>
    <ignoredError sqref="D10:G13 P55:Q55 P15:Q16 P20:Q21 D17 D18:G19 Q18:Q19 P31:Q32 D24:G30 P38:Q40 Q33 D34:G37 Q35 F17 C34:C49 J59:K60 C58:G58 D14 F14 J14 P14 Q24:Q30 K62 P89:Q89 Q88 P42:Q43 Q41 P91:Q93 Q90 P83:Q87 Q82 Q98 Q97 P76:Q77 Q67 Q96 Q54 Q68 P46:Q52 E45 G45 K45 Q44:Q45 P65:Q66 Q57 P23:Q23 E22 Q22 G22 K22 Q94:Q95 Q99 J23:K23 J51:K52 J75:K107 J67:K71 J46:K46 K34:K37 J38:K44 K24:K30 J31:K32 K18:K19 J20:K21 K10:K13 J15:K16 J54:K55 C50:G50 K50 J49:K49 D47:G48 K47:K48 P100:Q107 K33 C18:C33 D33:G33 P70:Q71 Q69 P79:Q81 P78 P56:Q56 J56:K57 P75 C56:G57 D49:G49 C54:G55 C15:G16 D20:G21 D31:G32 D38:G44 D46:G46 C64:G71 C75:G107 C51:G52 D23:G23 C63:G63 C62:G62 C59:G60 J66" evalError="1" formula="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083" r:id="rId5" name="Button 11">
              <controlPr defaultSize="0" print="0" autoFill="0" autoPict="0" macro="[0]!Agency_80">
                <anchor moveWithCells="1" sizeWithCells="1">
                  <from>
                    <xdr:col>15</xdr:col>
                    <xdr:colOff>88900</xdr:colOff>
                    <xdr:row>71</xdr:row>
                    <xdr:rowOff>88900</xdr:rowOff>
                  </from>
                  <to>
                    <xdr:col>15</xdr:col>
                    <xdr:colOff>742950</xdr:colOff>
                    <xdr:row>72</xdr:row>
                    <xdr:rowOff>95250</xdr:rowOff>
                  </to>
                </anchor>
              </controlPr>
            </control>
          </mc:Choice>
        </mc:AlternateContent>
        <mc:AlternateContent xmlns:mc="http://schemas.openxmlformats.org/markup-compatibility/2006">
          <mc:Choice Requires="x14">
            <control shapeId="3084" r:id="rId6" name="Button 12">
              <controlPr defaultSize="0" print="0" autoFill="0" autoPict="0" macro="[0]!Agency_75">
                <anchor moveWithCells="1" sizeWithCells="1">
                  <from>
                    <xdr:col>15</xdr:col>
                    <xdr:colOff>831850</xdr:colOff>
                    <xdr:row>71</xdr:row>
                    <xdr:rowOff>69850</xdr:rowOff>
                  </from>
                  <to>
                    <xdr:col>15</xdr:col>
                    <xdr:colOff>1498600</xdr:colOff>
                    <xdr:row>72</xdr:row>
                    <xdr:rowOff>95250</xdr:rowOff>
                  </to>
                </anchor>
              </controlPr>
            </control>
          </mc:Choice>
        </mc:AlternateContent>
        <mc:AlternateContent xmlns:mc="http://schemas.openxmlformats.org/markup-compatibility/2006">
          <mc:Choice Requires="x14">
            <control shapeId="3085" r:id="rId7" name="Button 13">
              <controlPr defaultSize="0" print="0" autoFill="0" autoPict="0" macro="[0]!Agency_70">
                <anchor moveWithCells="1" sizeWithCells="1">
                  <from>
                    <xdr:col>16</xdr:col>
                    <xdr:colOff>38100</xdr:colOff>
                    <xdr:row>71</xdr:row>
                    <xdr:rowOff>50800</xdr:rowOff>
                  </from>
                  <to>
                    <xdr:col>16</xdr:col>
                    <xdr:colOff>704850</xdr:colOff>
                    <xdr:row>72</xdr:row>
                    <xdr:rowOff>95250</xdr:rowOff>
                  </to>
                </anchor>
              </controlPr>
            </control>
          </mc:Choice>
        </mc:AlternateContent>
        <mc:AlternateContent xmlns:mc="http://schemas.openxmlformats.org/markup-compatibility/2006">
          <mc:Choice Requires="x14">
            <control shapeId="3086" r:id="rId8" name="Button 14">
              <controlPr defaultSize="0" print="0" autoFill="0" autoPict="0" macro="[0]!Agency_65">
                <anchor moveWithCells="1" sizeWithCells="1">
                  <from>
                    <xdr:col>16</xdr:col>
                    <xdr:colOff>793750</xdr:colOff>
                    <xdr:row>71</xdr:row>
                    <xdr:rowOff>57150</xdr:rowOff>
                  </from>
                  <to>
                    <xdr:col>16</xdr:col>
                    <xdr:colOff>1460500</xdr:colOff>
                    <xdr:row>72</xdr:row>
                    <xdr:rowOff>95250</xdr:rowOff>
                  </to>
                </anchor>
              </controlPr>
            </control>
          </mc:Choice>
        </mc:AlternateContent>
        <mc:AlternateContent xmlns:mc="http://schemas.openxmlformats.org/markup-compatibility/2006">
          <mc:Choice Requires="x14">
            <control shapeId="3088" r:id="rId9" name="Button 16">
              <controlPr defaultSize="0" print="0" autoFill="0" autoPict="0" macro="[0]!Agency_125">
                <anchor moveWithCells="1" sizeWithCells="1">
                  <from>
                    <xdr:col>16</xdr:col>
                    <xdr:colOff>57150</xdr:colOff>
                    <xdr:row>72</xdr:row>
                    <xdr:rowOff>209550</xdr:rowOff>
                  </from>
                  <to>
                    <xdr:col>16</xdr:col>
                    <xdr:colOff>723900</xdr:colOff>
                    <xdr:row>73</xdr:row>
                    <xdr:rowOff>222250</xdr:rowOff>
                  </to>
                </anchor>
              </controlPr>
            </control>
          </mc:Choice>
        </mc:AlternateContent>
        <mc:AlternateContent xmlns:mc="http://schemas.openxmlformats.org/markup-compatibility/2006">
          <mc:Choice Requires="x14">
            <control shapeId="3089" r:id="rId10" name="Button 17">
              <controlPr defaultSize="0" print="0" autoFill="0" autoPict="0" macro="[0]!Agency_130">
                <anchor moveWithCells="1" sizeWithCells="1">
                  <from>
                    <xdr:col>16</xdr:col>
                    <xdr:colOff>793750</xdr:colOff>
                    <xdr:row>72</xdr:row>
                    <xdr:rowOff>203200</xdr:rowOff>
                  </from>
                  <to>
                    <xdr:col>16</xdr:col>
                    <xdr:colOff>1460500</xdr:colOff>
                    <xdr:row>73</xdr:row>
                    <xdr:rowOff>222250</xdr:rowOff>
                  </to>
                </anchor>
              </controlPr>
            </control>
          </mc:Choice>
        </mc:AlternateContent>
        <mc:AlternateContent xmlns:mc="http://schemas.openxmlformats.org/markup-compatibility/2006">
          <mc:Choice Requires="x14">
            <control shapeId="3099" r:id="rId11" name="Button 27">
              <controlPr defaultSize="0" print="0" autoFill="0" autoPict="0" macro="[0]!Bridge_80">
                <anchor moveWithCells="1" sizeWithCells="1">
                  <from>
                    <xdr:col>13</xdr:col>
                    <xdr:colOff>38100</xdr:colOff>
                    <xdr:row>71</xdr:row>
                    <xdr:rowOff>95250</xdr:rowOff>
                  </from>
                  <to>
                    <xdr:col>13</xdr:col>
                    <xdr:colOff>704850</xdr:colOff>
                    <xdr:row>72</xdr:row>
                    <xdr:rowOff>146050</xdr:rowOff>
                  </to>
                </anchor>
              </controlPr>
            </control>
          </mc:Choice>
        </mc:AlternateContent>
        <mc:AlternateContent xmlns:mc="http://schemas.openxmlformats.org/markup-compatibility/2006">
          <mc:Choice Requires="x14">
            <control shapeId="3100" r:id="rId12" name="Button 28">
              <controlPr defaultSize="0" print="0" autoFill="0" autoPict="0" macro="[0]!Bridge_75">
                <anchor moveWithCells="1" sizeWithCells="1">
                  <from>
                    <xdr:col>13</xdr:col>
                    <xdr:colOff>781050</xdr:colOff>
                    <xdr:row>71</xdr:row>
                    <xdr:rowOff>95250</xdr:rowOff>
                  </from>
                  <to>
                    <xdr:col>13</xdr:col>
                    <xdr:colOff>1447800</xdr:colOff>
                    <xdr:row>72</xdr:row>
                    <xdr:rowOff>133350</xdr:rowOff>
                  </to>
                </anchor>
              </controlPr>
            </control>
          </mc:Choice>
        </mc:AlternateContent>
        <mc:AlternateContent xmlns:mc="http://schemas.openxmlformats.org/markup-compatibility/2006">
          <mc:Choice Requires="x14">
            <control shapeId="3101" r:id="rId13" name="Button 29">
              <controlPr defaultSize="0" print="0" autoFill="0" autoPict="0" macro="[0]!Bridge_70">
                <anchor moveWithCells="1" sizeWithCells="1">
                  <from>
                    <xdr:col>14</xdr:col>
                    <xdr:colOff>38100</xdr:colOff>
                    <xdr:row>71</xdr:row>
                    <xdr:rowOff>95250</xdr:rowOff>
                  </from>
                  <to>
                    <xdr:col>14</xdr:col>
                    <xdr:colOff>704850</xdr:colOff>
                    <xdr:row>72</xdr:row>
                    <xdr:rowOff>127000</xdr:rowOff>
                  </to>
                </anchor>
              </controlPr>
            </control>
          </mc:Choice>
        </mc:AlternateContent>
        <mc:AlternateContent xmlns:mc="http://schemas.openxmlformats.org/markup-compatibility/2006">
          <mc:Choice Requires="x14">
            <control shapeId="3102" r:id="rId14" name="Button 30">
              <controlPr defaultSize="0" print="0" autoFill="0" autoPict="0" macro="[0]!Bridge_1_DSCR">
                <anchor moveWithCells="1" sizeWithCells="1">
                  <from>
                    <xdr:col>13</xdr:col>
                    <xdr:colOff>781050</xdr:colOff>
                    <xdr:row>72</xdr:row>
                    <xdr:rowOff>222250</xdr:rowOff>
                  </from>
                  <to>
                    <xdr:col>13</xdr:col>
                    <xdr:colOff>1447800</xdr:colOff>
                    <xdr:row>73</xdr:row>
                    <xdr:rowOff>228600</xdr:rowOff>
                  </to>
                </anchor>
              </controlPr>
            </control>
          </mc:Choice>
        </mc:AlternateContent>
        <mc:AlternateContent xmlns:mc="http://schemas.openxmlformats.org/markup-compatibility/2006">
          <mc:Choice Requires="x14">
            <control shapeId="3103" r:id="rId15" name="Button 31">
              <controlPr defaultSize="0" print="0" autoFill="0" autoPict="0" macro="[0]!Bridge_1_IO_DSCR">
                <anchor moveWithCells="1" sizeWithCells="1">
                  <from>
                    <xdr:col>14</xdr:col>
                    <xdr:colOff>31750</xdr:colOff>
                    <xdr:row>72</xdr:row>
                    <xdr:rowOff>209550</xdr:rowOff>
                  </from>
                  <to>
                    <xdr:col>14</xdr:col>
                    <xdr:colOff>698500</xdr:colOff>
                    <xdr:row>73</xdr:row>
                    <xdr:rowOff>241300</xdr:rowOff>
                  </to>
                </anchor>
              </controlPr>
            </control>
          </mc:Choice>
        </mc:AlternateContent>
        <mc:AlternateContent xmlns:mc="http://schemas.openxmlformats.org/markup-compatibility/2006">
          <mc:Choice Requires="x14">
            <control shapeId="3104" r:id="rId16" name="Button 32">
              <controlPr defaultSize="0" print="0" autoFill="0" autoPict="0" macro="[0]!Agency_PrefEq">
                <anchor moveWithCells="1" sizeWithCells="1">
                  <from>
                    <xdr:col>16</xdr:col>
                    <xdr:colOff>527050</xdr:colOff>
                    <xdr:row>98</xdr:row>
                    <xdr:rowOff>38100</xdr:rowOff>
                  </from>
                  <to>
                    <xdr:col>16</xdr:col>
                    <xdr:colOff>1193800</xdr:colOff>
                    <xdr:row>99</xdr:row>
                    <xdr:rowOff>146050</xdr:rowOff>
                  </to>
                </anchor>
              </controlPr>
            </control>
          </mc:Choice>
        </mc:AlternateContent>
        <mc:AlternateContent xmlns:mc="http://schemas.openxmlformats.org/markup-compatibility/2006">
          <mc:Choice Requires="x14">
            <control shapeId="3105" r:id="rId17" name="Button 33">
              <controlPr defaultSize="0" print="0" autoFill="0" autoPict="0" macro="[0]!Bridge_PrefEq">
                <anchor moveWithCells="1" sizeWithCells="1">
                  <from>
                    <xdr:col>14</xdr:col>
                    <xdr:colOff>590550</xdr:colOff>
                    <xdr:row>98</xdr:row>
                    <xdr:rowOff>31750</xdr:rowOff>
                  </from>
                  <to>
                    <xdr:col>14</xdr:col>
                    <xdr:colOff>1257300</xdr:colOff>
                    <xdr:row>99</xdr:row>
                    <xdr:rowOff>146050</xdr:rowOff>
                  </to>
                </anchor>
              </controlPr>
            </control>
          </mc:Choice>
        </mc:AlternateContent>
        <mc:AlternateContent xmlns:mc="http://schemas.openxmlformats.org/markup-compatibility/2006">
          <mc:Choice Requires="x14">
            <control shapeId="3107" r:id="rId18" name="Button 35">
              <controlPr defaultSize="0" print="0" autoFill="0" autoPict="0" macro="[0]!Agency_120">
                <anchor moveWithCells="1" sizeWithCells="1">
                  <from>
                    <xdr:col>15</xdr:col>
                    <xdr:colOff>831850</xdr:colOff>
                    <xdr:row>72</xdr:row>
                    <xdr:rowOff>190500</xdr:rowOff>
                  </from>
                  <to>
                    <xdr:col>15</xdr:col>
                    <xdr:colOff>1498600</xdr:colOff>
                    <xdr:row>73</xdr:row>
                    <xdr:rowOff>222250</xdr:rowOff>
                  </to>
                </anchor>
              </controlPr>
            </control>
          </mc:Choice>
        </mc:AlternateContent>
        <mc:AlternateContent xmlns:mc="http://schemas.openxmlformats.org/markup-compatibility/2006">
          <mc:Choice Requires="x14">
            <control shapeId="3146" r:id="rId19" name="Button 74">
              <controlPr defaultSize="0" print="0" autoFill="0" autoPict="0" macro="[0]!Agency_115">
                <anchor moveWithCells="1" sizeWithCells="1">
                  <from>
                    <xdr:col>15</xdr:col>
                    <xdr:colOff>76200</xdr:colOff>
                    <xdr:row>72</xdr:row>
                    <xdr:rowOff>190500</xdr:rowOff>
                  </from>
                  <to>
                    <xdr:col>15</xdr:col>
                    <xdr:colOff>742950</xdr:colOff>
                    <xdr:row>73</xdr:row>
                    <xdr:rowOff>222250</xdr:rowOff>
                  </to>
                </anchor>
              </controlPr>
            </control>
          </mc:Choice>
        </mc:AlternateContent>
        <mc:AlternateContent xmlns:mc="http://schemas.openxmlformats.org/markup-compatibility/2006">
          <mc:Choice Requires="x14">
            <control shapeId="3147" r:id="rId20" name="Button 75">
              <controlPr defaultSize="0" print="0" autoFill="0" autoPict="0" macro="[0]!Bridge_65">
                <anchor moveWithCells="1" sizeWithCells="1">
                  <from>
                    <xdr:col>14</xdr:col>
                    <xdr:colOff>793750</xdr:colOff>
                    <xdr:row>71</xdr:row>
                    <xdr:rowOff>88900</xdr:rowOff>
                  </from>
                  <to>
                    <xdr:col>14</xdr:col>
                    <xdr:colOff>1460500</xdr:colOff>
                    <xdr:row>72</xdr:row>
                    <xdr:rowOff>114300</xdr:rowOff>
                  </to>
                </anchor>
              </controlPr>
            </control>
          </mc:Choice>
        </mc:AlternateContent>
        <mc:AlternateContent xmlns:mc="http://schemas.openxmlformats.org/markup-compatibility/2006">
          <mc:Choice Requires="x14">
            <control shapeId="3149" r:id="rId21" name="Button 77">
              <controlPr defaultSize="0" print="0" autoFill="0" autoPict="0" macro="[0]!Agency_Max_Note_Rate">
                <anchor moveWithCells="1" sizeWithCells="1">
                  <from>
                    <xdr:col>43</xdr:col>
                    <xdr:colOff>495300</xdr:colOff>
                    <xdr:row>74</xdr:row>
                    <xdr:rowOff>0</xdr:rowOff>
                  </from>
                  <to>
                    <xdr:col>43</xdr:col>
                    <xdr:colOff>1162050</xdr:colOff>
                    <xdr:row>74</xdr:row>
                    <xdr:rowOff>19050</xdr:rowOff>
                  </to>
                </anchor>
              </controlPr>
            </control>
          </mc:Choice>
        </mc:AlternateContent>
        <mc:AlternateContent xmlns:mc="http://schemas.openxmlformats.org/markup-compatibility/2006">
          <mc:Choice Requires="x14">
            <control shapeId="3163" r:id="rId22" name="Button 91">
              <controlPr defaultSize="0" print="0" autoFill="0" autoPict="0" macro="[0]!Bridge_80">
                <anchor moveWithCells="1" sizeWithCells="1">
                  <from>
                    <xdr:col>11</xdr:col>
                    <xdr:colOff>38100</xdr:colOff>
                    <xdr:row>71</xdr:row>
                    <xdr:rowOff>95250</xdr:rowOff>
                  </from>
                  <to>
                    <xdr:col>11</xdr:col>
                    <xdr:colOff>704850</xdr:colOff>
                    <xdr:row>72</xdr:row>
                    <xdr:rowOff>146050</xdr:rowOff>
                  </to>
                </anchor>
              </controlPr>
            </control>
          </mc:Choice>
        </mc:AlternateContent>
        <mc:AlternateContent xmlns:mc="http://schemas.openxmlformats.org/markup-compatibility/2006">
          <mc:Choice Requires="x14">
            <control shapeId="3164" r:id="rId23" name="Button 92">
              <controlPr defaultSize="0" print="0" autoFill="0" autoPict="0" macro="[0]!Bridge_75">
                <anchor moveWithCells="1" sizeWithCells="1">
                  <from>
                    <xdr:col>11</xdr:col>
                    <xdr:colOff>781050</xdr:colOff>
                    <xdr:row>71</xdr:row>
                    <xdr:rowOff>95250</xdr:rowOff>
                  </from>
                  <to>
                    <xdr:col>11</xdr:col>
                    <xdr:colOff>1447800</xdr:colOff>
                    <xdr:row>72</xdr:row>
                    <xdr:rowOff>133350</xdr:rowOff>
                  </to>
                </anchor>
              </controlPr>
            </control>
          </mc:Choice>
        </mc:AlternateContent>
        <mc:AlternateContent xmlns:mc="http://schemas.openxmlformats.org/markup-compatibility/2006">
          <mc:Choice Requires="x14">
            <control shapeId="3165" r:id="rId24" name="Button 93">
              <controlPr defaultSize="0" print="0" autoFill="0" autoPict="0" macro="[0]!Bridge_70">
                <anchor moveWithCells="1" sizeWithCells="1">
                  <from>
                    <xdr:col>12</xdr:col>
                    <xdr:colOff>38100</xdr:colOff>
                    <xdr:row>71</xdr:row>
                    <xdr:rowOff>95250</xdr:rowOff>
                  </from>
                  <to>
                    <xdr:col>12</xdr:col>
                    <xdr:colOff>704850</xdr:colOff>
                    <xdr:row>72</xdr:row>
                    <xdr:rowOff>127000</xdr:rowOff>
                  </to>
                </anchor>
              </controlPr>
            </control>
          </mc:Choice>
        </mc:AlternateContent>
        <mc:AlternateContent xmlns:mc="http://schemas.openxmlformats.org/markup-compatibility/2006">
          <mc:Choice Requires="x14">
            <control shapeId="3166" r:id="rId25" name="Button 94">
              <controlPr defaultSize="0" print="0" autoFill="0" autoPict="0" macro="[0]!Bridge_1_DSCR">
                <anchor moveWithCells="1" sizeWithCells="1">
                  <from>
                    <xdr:col>11</xdr:col>
                    <xdr:colOff>781050</xdr:colOff>
                    <xdr:row>72</xdr:row>
                    <xdr:rowOff>222250</xdr:rowOff>
                  </from>
                  <to>
                    <xdr:col>11</xdr:col>
                    <xdr:colOff>1447800</xdr:colOff>
                    <xdr:row>73</xdr:row>
                    <xdr:rowOff>228600</xdr:rowOff>
                  </to>
                </anchor>
              </controlPr>
            </control>
          </mc:Choice>
        </mc:AlternateContent>
        <mc:AlternateContent xmlns:mc="http://schemas.openxmlformats.org/markup-compatibility/2006">
          <mc:Choice Requires="x14">
            <control shapeId="3167" r:id="rId26" name="Button 95">
              <controlPr defaultSize="0" print="0" autoFill="0" autoPict="0" macro="[0]!Bridge_1_IO_DSCR">
                <anchor moveWithCells="1" sizeWithCells="1">
                  <from>
                    <xdr:col>12</xdr:col>
                    <xdr:colOff>31750</xdr:colOff>
                    <xdr:row>72</xdr:row>
                    <xdr:rowOff>209550</xdr:rowOff>
                  </from>
                  <to>
                    <xdr:col>12</xdr:col>
                    <xdr:colOff>698500</xdr:colOff>
                    <xdr:row>73</xdr:row>
                    <xdr:rowOff>241300</xdr:rowOff>
                  </to>
                </anchor>
              </controlPr>
            </control>
          </mc:Choice>
        </mc:AlternateContent>
        <mc:AlternateContent xmlns:mc="http://schemas.openxmlformats.org/markup-compatibility/2006">
          <mc:Choice Requires="x14">
            <control shapeId="3168" r:id="rId27" name="Button 96">
              <controlPr defaultSize="0" print="0" autoFill="0" autoPict="0" macro="[0]!Bridge_PrefEq">
                <anchor moveWithCells="1" sizeWithCells="1">
                  <from>
                    <xdr:col>12</xdr:col>
                    <xdr:colOff>590550</xdr:colOff>
                    <xdr:row>98</xdr:row>
                    <xdr:rowOff>31750</xdr:rowOff>
                  </from>
                  <to>
                    <xdr:col>12</xdr:col>
                    <xdr:colOff>1257300</xdr:colOff>
                    <xdr:row>99</xdr:row>
                    <xdr:rowOff>146050</xdr:rowOff>
                  </to>
                </anchor>
              </controlPr>
            </control>
          </mc:Choice>
        </mc:AlternateContent>
        <mc:AlternateContent xmlns:mc="http://schemas.openxmlformats.org/markup-compatibility/2006">
          <mc:Choice Requires="x14">
            <control shapeId="3169" r:id="rId28" name="Button 97">
              <controlPr defaultSize="0" print="0" autoFill="0" autoPict="0" macro="[0]!Bridge_65">
                <anchor moveWithCells="1" sizeWithCells="1">
                  <from>
                    <xdr:col>12</xdr:col>
                    <xdr:colOff>793750</xdr:colOff>
                    <xdr:row>71</xdr:row>
                    <xdr:rowOff>88900</xdr:rowOff>
                  </from>
                  <to>
                    <xdr:col>12</xdr:col>
                    <xdr:colOff>1460500</xdr:colOff>
                    <xdr:row>72</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4" tint="9.9978637043366805E-2"/>
  </sheetPr>
  <dimension ref="A1:BJ529"/>
  <sheetViews>
    <sheetView topLeftCell="A30" zoomScale="85" zoomScaleNormal="85" workbookViewId="0">
      <selection activeCell="K60" sqref="K60:M60"/>
    </sheetView>
  </sheetViews>
  <sheetFormatPr defaultColWidth="9.1796875" defaultRowHeight="17.5" outlineLevelCol="2"/>
  <cols>
    <col min="1" max="1" width="29.54296875" style="256" customWidth="1"/>
    <col min="2" max="2" width="10.453125" style="981" bestFit="1" customWidth="1"/>
    <col min="3" max="3" width="9.81640625" style="981" bestFit="1" customWidth="1"/>
    <col min="4" max="4" width="10.7265625" style="981" bestFit="1" customWidth="1"/>
    <col min="5" max="6" width="10.1796875" style="981" bestFit="1" customWidth="1"/>
    <col min="7" max="7" width="10.54296875" style="981" bestFit="1" customWidth="1"/>
    <col min="8" max="8" width="10.453125" style="981" bestFit="1" customWidth="1"/>
    <col min="9" max="9" width="10.54296875" style="981" bestFit="1" customWidth="1"/>
    <col min="10" max="10" width="12.26953125" style="981" bestFit="1" customWidth="1"/>
    <col min="11" max="11" width="10.26953125" style="981" bestFit="1" customWidth="1"/>
    <col min="12" max="12" width="10.54296875" style="981" bestFit="1" customWidth="1"/>
    <col min="13" max="13" width="10.26953125" style="981" bestFit="1" customWidth="1"/>
    <col min="14" max="14" width="32.7265625" style="937" customWidth="1" outlineLevel="1"/>
    <col min="15" max="15" width="2.54296875" style="937" customWidth="1"/>
    <col min="16" max="16" width="32.7265625" style="940" customWidth="1" outlineLevel="1"/>
    <col min="17" max="17" width="2.54296875" style="940" customWidth="1"/>
    <col min="18" max="18" width="40.81640625" style="937" customWidth="1" outlineLevel="1"/>
    <col min="19" max="19" width="2.54296875" style="937" customWidth="1"/>
    <col min="20" max="20" width="30.81640625" style="937" customWidth="1" outlineLevel="1"/>
    <col min="21" max="21" width="13.54296875" style="937" bestFit="1" customWidth="1" outlineLevel="1"/>
    <col min="22" max="22" width="11.1796875" style="937" hidden="1" customWidth="1" outlineLevel="2"/>
    <col min="23" max="23" width="13" style="937" bestFit="1" customWidth="1" outlineLevel="1" collapsed="1"/>
    <col min="24" max="24" width="12.54296875" style="937" hidden="1" customWidth="1" outlineLevel="2"/>
    <col min="25" max="25" width="13.1796875" style="937" customWidth="1" outlineLevel="1" collapsed="1"/>
    <col min="26" max="26" width="13.1796875" style="937" hidden="1" customWidth="1" outlineLevel="2"/>
    <col min="27" max="27" width="13.1796875" style="937" customWidth="1" outlineLevel="1" collapsed="1"/>
    <col min="28" max="28" width="13.1796875" style="937" hidden="1" customWidth="1" outlineLevel="2"/>
    <col min="29" max="29" width="13.1796875" style="937" customWidth="1" outlineLevel="1" collapsed="1"/>
    <col min="30" max="30" width="13.1796875" style="937" hidden="1" customWidth="1" outlineLevel="2"/>
    <col min="31" max="31" width="14.26953125" style="937" hidden="1" customWidth="1" outlineLevel="1" collapsed="1"/>
    <col min="32" max="32" width="15.54296875" style="937" customWidth="1"/>
    <col min="33" max="33" width="9.54296875" style="937" hidden="1" customWidth="1" outlineLevel="1"/>
    <col min="34" max="34" width="9.1796875" style="937" collapsed="1"/>
    <col min="35" max="35" width="38.1796875" style="937" customWidth="1" outlineLevel="1"/>
    <col min="36" max="39" width="13.7265625" style="937" customWidth="1" outlineLevel="1"/>
    <col min="40" max="40" width="9.1796875" style="937"/>
    <col min="41" max="43" width="9.1796875" style="937" customWidth="1" outlineLevel="1"/>
    <col min="44" max="44" width="32.26953125" style="937" customWidth="1" outlineLevel="1"/>
    <col min="45" max="45" width="25.1796875" style="937" customWidth="1" outlineLevel="1"/>
    <col min="46" max="46" width="30.26953125" style="937" customWidth="1" outlineLevel="1"/>
    <col min="47" max="47" width="27" style="937" customWidth="1" outlineLevel="1"/>
    <col min="48" max="49" width="9.1796875" style="937"/>
    <col min="50" max="50" width="32.453125" style="937" bestFit="1" customWidth="1" outlineLevel="1"/>
    <col min="51" max="62" width="15.7265625" style="937" customWidth="1" outlineLevel="1"/>
    <col min="63" max="16384" width="9.1796875" style="937"/>
  </cols>
  <sheetData>
    <row r="1" spans="1:62">
      <c r="A1" s="1914" t="s">
        <v>725</v>
      </c>
      <c r="B1" s="1914"/>
      <c r="C1" s="1914"/>
      <c r="D1" s="1914"/>
      <c r="E1" s="1914"/>
      <c r="F1" s="1914"/>
      <c r="G1" s="1914"/>
      <c r="H1" s="1914"/>
      <c r="I1" s="1914"/>
      <c r="J1" s="1914"/>
      <c r="K1" s="1914"/>
      <c r="L1" s="1914"/>
      <c r="M1" s="1914"/>
      <c r="P1" s="938"/>
      <c r="Q1" s="938"/>
      <c r="T1" s="939"/>
    </row>
    <row r="2" spans="1:62">
      <c r="A2" s="1914" t="s">
        <v>726</v>
      </c>
      <c r="B2" s="1914"/>
      <c r="C2" s="1914"/>
      <c r="D2" s="1914"/>
      <c r="E2" s="1914"/>
      <c r="F2" s="1914"/>
      <c r="G2" s="1914"/>
      <c r="H2" s="1914"/>
      <c r="I2" s="1914"/>
      <c r="J2" s="1914"/>
      <c r="K2" s="1914"/>
      <c r="L2" s="1914"/>
      <c r="M2" s="1914"/>
      <c r="T2" s="939" t="s">
        <v>560</v>
      </c>
      <c r="U2" s="941">
        <f>1+(U11/U9)</f>
        <v>0.80993351245351364</v>
      </c>
      <c r="V2" s="942"/>
      <c r="W2" s="941">
        <f>1+(W11/W9)</f>
        <v>0.94977880476732468</v>
      </c>
      <c r="X2" s="942"/>
      <c r="Y2" s="941">
        <f>1+(Y11/Y9)</f>
        <v>0.97463296449572068</v>
      </c>
      <c r="Z2" s="942"/>
      <c r="AA2" s="941">
        <f>1+(AA11/AA9)</f>
        <v>0.98467214213698862</v>
      </c>
      <c r="AB2" s="942"/>
      <c r="AC2" s="941">
        <f>1+(AC11/AC9)</f>
        <v>0.98955636955636961</v>
      </c>
      <c r="AD2" s="942"/>
      <c r="AE2" s="942"/>
      <c r="AF2" s="942"/>
      <c r="AG2" s="942"/>
      <c r="AH2" s="942"/>
      <c r="AI2" s="942"/>
      <c r="AJ2" s="942"/>
      <c r="AK2" s="942"/>
      <c r="AL2" s="942"/>
      <c r="AM2" s="942"/>
      <c r="AN2" s="942"/>
      <c r="AO2" s="942"/>
    </row>
    <row r="3" spans="1:62">
      <c r="A3" s="1915" t="s">
        <v>727</v>
      </c>
      <c r="B3" s="1914"/>
      <c r="C3" s="1914"/>
      <c r="D3" s="1914"/>
      <c r="E3" s="1914"/>
      <c r="F3" s="1914"/>
      <c r="G3" s="1914"/>
      <c r="H3" s="1914"/>
      <c r="I3" s="1914"/>
      <c r="J3" s="1914"/>
      <c r="K3" s="1914"/>
      <c r="L3" s="1914"/>
      <c r="M3" s="1914"/>
      <c r="T3" s="939" t="str">
        <f>T12</f>
        <v>Concessions</v>
      </c>
      <c r="U3" s="943">
        <f>-U12/U9</f>
        <v>9.1746816526428784E-2</v>
      </c>
      <c r="W3" s="943">
        <f>-W12/W9</f>
        <v>0.11045254822365384</v>
      </c>
      <c r="Y3" s="943">
        <f>-Y12/Y9</f>
        <v>4.9598230457644048E-2</v>
      </c>
      <c r="AA3" s="943">
        <f>-AA12/AA9</f>
        <v>4.7158895896346829E-2</v>
      </c>
      <c r="AC3" s="943">
        <f>-AC12/AC9</f>
        <v>4.0267602767602766E-2</v>
      </c>
    </row>
    <row r="4" spans="1:62">
      <c r="A4" s="937"/>
      <c r="B4" s="937"/>
      <c r="C4" s="937"/>
      <c r="D4" s="937"/>
      <c r="E4" s="937"/>
      <c r="F4" s="937"/>
      <c r="G4" s="937"/>
      <c r="H4" s="937"/>
      <c r="I4" s="937"/>
      <c r="J4" s="937"/>
      <c r="K4" s="937"/>
      <c r="L4" s="937"/>
      <c r="M4" s="937"/>
      <c r="T4" s="939" t="str">
        <f>T13</f>
        <v>Models/Non-Rev Units</v>
      </c>
      <c r="U4" s="943">
        <f>-U13/U9</f>
        <v>8.7606201001760274E-3</v>
      </c>
      <c r="W4" s="943">
        <f>-W13/W9</f>
        <v>8.7445730283950002E-3</v>
      </c>
      <c r="Y4" s="943">
        <f>-Y13/Y9</f>
        <v>8.6732182911255767E-3</v>
      </c>
      <c r="AA4" s="943">
        <f>-AA13/AA9</f>
        <v>8.6559087886393382E-3</v>
      </c>
      <c r="AC4" s="943">
        <f>-AC13/AC9</f>
        <v>8.662414583467214E-3</v>
      </c>
    </row>
    <row r="5" spans="1:62">
      <c r="A5" s="937"/>
      <c r="B5" s="937">
        <v>-12</v>
      </c>
      <c r="C5" s="937">
        <v>-11</v>
      </c>
      <c r="D5" s="937">
        <v>-10</v>
      </c>
      <c r="E5" s="937">
        <v>-9</v>
      </c>
      <c r="F5" s="937">
        <v>-8</v>
      </c>
      <c r="G5" s="937">
        <v>-7</v>
      </c>
      <c r="H5" s="937">
        <v>-6</v>
      </c>
      <c r="I5" s="937">
        <v>-5</v>
      </c>
      <c r="J5" s="937">
        <v>-4</v>
      </c>
      <c r="K5" s="937">
        <v>-3</v>
      </c>
      <c r="L5" s="937">
        <v>-2</v>
      </c>
      <c r="M5" s="937">
        <v>-1</v>
      </c>
      <c r="T5" s="939" t="str">
        <f>T14</f>
        <v>Bad Debt</v>
      </c>
      <c r="U5" s="943">
        <f>-U14/U9</f>
        <v>3.0674314232729715E-2</v>
      </c>
      <c r="W5" s="943">
        <f>-W14/W9</f>
        <v>3.1210137573613374E-2</v>
      </c>
      <c r="Y5" s="943">
        <f>-Y14/Y9</f>
        <v>3.9488201221408684E-2</v>
      </c>
      <c r="AA5" s="943">
        <f>-AA14/AA9</f>
        <v>4.1849781195701138E-2</v>
      </c>
      <c r="AC5" s="943">
        <f>-AC14/AC9</f>
        <v>4.5565543131332611E-2</v>
      </c>
      <c r="AI5" s="944" t="s">
        <v>728</v>
      </c>
      <c r="AJ5" s="945"/>
      <c r="AK5" s="945"/>
      <c r="AL5" s="945"/>
      <c r="AO5" s="1914" t="s">
        <v>729</v>
      </c>
      <c r="AP5" s="1914"/>
      <c r="AQ5" s="1914"/>
      <c r="AR5" s="937" t="s">
        <v>730</v>
      </c>
      <c r="AS5" s="937" t="s">
        <v>731</v>
      </c>
      <c r="AT5" s="937" t="s">
        <v>732</v>
      </c>
      <c r="AU5" s="937" t="s">
        <v>733</v>
      </c>
      <c r="AX5" s="946" t="s">
        <v>734</v>
      </c>
      <c r="AY5" s="942">
        <f t="array" ref="AY5:BJ5">TRANSPOSE(AQ6:AQ17)</f>
        <v>45688</v>
      </c>
      <c r="AZ5" s="942">
        <v>45716</v>
      </c>
      <c r="BA5" s="942">
        <v>45747</v>
      </c>
      <c r="BB5" s="942">
        <v>45777</v>
      </c>
      <c r="BC5" s="942">
        <v>45808</v>
      </c>
      <c r="BD5" s="942">
        <v>45838</v>
      </c>
      <c r="BE5" s="942">
        <v>45869</v>
      </c>
      <c r="BF5" s="942">
        <v>45900</v>
      </c>
      <c r="BG5" s="942">
        <v>45930</v>
      </c>
      <c r="BH5" s="942">
        <v>45961</v>
      </c>
      <c r="BI5" s="942">
        <v>45991</v>
      </c>
      <c r="BJ5" s="942">
        <v>45992</v>
      </c>
    </row>
    <row r="6" spans="1:62">
      <c r="A6" s="937"/>
      <c r="B6" s="942">
        <f t="shared" ref="B6:L6" si="0">EOMONTH(C6,-1)</f>
        <v>45688</v>
      </c>
      <c r="C6" s="942">
        <f t="shared" si="0"/>
        <v>45716</v>
      </c>
      <c r="D6" s="942">
        <f t="shared" si="0"/>
        <v>45747</v>
      </c>
      <c r="E6" s="942">
        <f t="shared" si="0"/>
        <v>45777</v>
      </c>
      <c r="F6" s="942">
        <f t="shared" si="0"/>
        <v>45808</v>
      </c>
      <c r="G6" s="942">
        <f t="shared" si="0"/>
        <v>45838</v>
      </c>
      <c r="H6" s="942">
        <f t="shared" si="0"/>
        <v>45869</v>
      </c>
      <c r="I6" s="942">
        <f t="shared" si="0"/>
        <v>45900</v>
      </c>
      <c r="J6" s="942">
        <f t="shared" si="0"/>
        <v>45930</v>
      </c>
      <c r="K6" s="942">
        <f t="shared" si="0"/>
        <v>45961</v>
      </c>
      <c r="L6" s="942">
        <f t="shared" si="0"/>
        <v>45991</v>
      </c>
      <c r="M6" s="947">
        <v>45992</v>
      </c>
      <c r="AI6" s="1916" t="s">
        <v>735</v>
      </c>
      <c r="AJ6" s="1916"/>
      <c r="AK6" s="1916"/>
      <c r="AP6" s="948"/>
      <c r="AQ6" s="942">
        <f>INDEX($B$6:$M$6,1,ROW(A1))</f>
        <v>45688</v>
      </c>
      <c r="AR6" s="949">
        <f t="shared" ref="AR6:AU17" si="1">SUMIF($P$8:$P$600,AR$5,INDEX($B$8:$M$600,,MATCH($AQ6,$B$6:$M$6,0)))</f>
        <v>0</v>
      </c>
      <c r="AS6" s="949">
        <f t="shared" si="1"/>
        <v>0</v>
      </c>
      <c r="AT6" s="949">
        <f t="shared" si="1"/>
        <v>0</v>
      </c>
      <c r="AU6" s="949">
        <f t="shared" si="1"/>
        <v>0</v>
      </c>
      <c r="AX6" s="937" t="str">
        <f t="array" ref="AX6:AX9">TRANSPOSE(AR5:AU5)</f>
        <v>Gross Potential Rent-Residential</v>
      </c>
      <c r="AY6" s="950">
        <f t="array" ref="AY6:BJ6">TRANSPOSE(AR6:AR17)</f>
        <v>0</v>
      </c>
      <c r="AZ6" s="950">
        <v>0</v>
      </c>
      <c r="BA6" s="950">
        <v>0</v>
      </c>
      <c r="BB6" s="950">
        <v>0</v>
      </c>
      <c r="BC6" s="950">
        <v>0</v>
      </c>
      <c r="BD6" s="950">
        <v>0</v>
      </c>
      <c r="BE6" s="950">
        <v>0</v>
      </c>
      <c r="BF6" s="950">
        <v>0</v>
      </c>
      <c r="BG6" s="950">
        <v>0</v>
      </c>
      <c r="BH6" s="950">
        <v>0</v>
      </c>
      <c r="BI6" s="950">
        <v>0</v>
      </c>
      <c r="BJ6" s="950">
        <v>0</v>
      </c>
    </row>
    <row r="7" spans="1:62" ht="18" thickBot="1">
      <c r="A7" s="951"/>
      <c r="B7" s="952"/>
      <c r="C7" s="952"/>
      <c r="D7" s="952"/>
      <c r="E7" s="952"/>
      <c r="F7" s="952"/>
      <c r="G7" s="952"/>
      <c r="H7" s="952"/>
      <c r="I7" s="952"/>
      <c r="J7" s="952"/>
      <c r="K7" s="952"/>
      <c r="L7" s="952"/>
      <c r="M7" s="952"/>
      <c r="N7" s="951" t="s">
        <v>736</v>
      </c>
      <c r="O7" s="951"/>
      <c r="P7" s="953" t="s">
        <v>737</v>
      </c>
      <c r="Q7" s="953"/>
      <c r="R7" s="953" t="s">
        <v>738</v>
      </c>
      <c r="U7" s="954" t="s">
        <v>640</v>
      </c>
      <c r="V7" s="954"/>
      <c r="W7" s="954" t="s">
        <v>621</v>
      </c>
      <c r="X7" s="954"/>
      <c r="Y7" s="954" t="s">
        <v>622</v>
      </c>
      <c r="Z7" s="954"/>
      <c r="AA7" s="954" t="s">
        <v>632</v>
      </c>
      <c r="AB7" s="954"/>
      <c r="AC7" s="954" t="s">
        <v>623</v>
      </c>
      <c r="AD7" s="954"/>
      <c r="AE7" s="954" t="s">
        <v>655</v>
      </c>
      <c r="AF7" s="954"/>
      <c r="AG7" s="954" t="s">
        <v>739</v>
      </c>
      <c r="AJ7" s="954" t="s">
        <v>640</v>
      </c>
      <c r="AK7" s="954" t="s">
        <v>621</v>
      </c>
      <c r="AL7" s="954" t="s">
        <v>622</v>
      </c>
      <c r="AM7" s="954" t="s">
        <v>623</v>
      </c>
      <c r="AP7" s="948"/>
      <c r="AQ7" s="942">
        <f>INDEX($B$6:$M$6,1,ROW(A2))</f>
        <v>45716</v>
      </c>
      <c r="AR7" s="949">
        <f t="shared" si="1"/>
        <v>0</v>
      </c>
      <c r="AS7" s="949">
        <f t="shared" si="1"/>
        <v>0</v>
      </c>
      <c r="AT7" s="949">
        <f t="shared" si="1"/>
        <v>0</v>
      </c>
      <c r="AU7" s="949">
        <f t="shared" si="1"/>
        <v>0</v>
      </c>
      <c r="AX7" s="937" t="str">
        <v>Less: Residential Vacancy</v>
      </c>
      <c r="AY7" s="950">
        <f t="array" ref="AY7:BJ7">TRANSPOSE(AS6:AS17)</f>
        <v>0</v>
      </c>
      <c r="AZ7" s="950">
        <v>0</v>
      </c>
      <c r="BA7" s="950">
        <v>0</v>
      </c>
      <c r="BB7" s="950">
        <v>0</v>
      </c>
      <c r="BC7" s="950">
        <v>0</v>
      </c>
      <c r="BD7" s="950">
        <v>0</v>
      </c>
      <c r="BE7" s="950">
        <v>0</v>
      </c>
      <c r="BF7" s="950">
        <v>0</v>
      </c>
      <c r="BG7" s="950">
        <v>0</v>
      </c>
      <c r="BH7" s="950">
        <v>0</v>
      </c>
      <c r="BI7" s="950">
        <v>0</v>
      </c>
      <c r="BJ7" s="950">
        <v>0</v>
      </c>
    </row>
    <row r="8" spans="1:62" ht="18" thickBot="1">
      <c r="B8" s="955"/>
      <c r="C8" s="955"/>
      <c r="D8" s="955"/>
      <c r="E8" s="955"/>
      <c r="F8" s="955"/>
      <c r="G8" s="955"/>
      <c r="H8" s="955"/>
      <c r="I8" s="955"/>
      <c r="J8" s="955"/>
      <c r="K8" s="955"/>
      <c r="L8" s="955"/>
      <c r="M8" s="955"/>
      <c r="T8" s="956" t="s">
        <v>601</v>
      </c>
      <c r="AI8" s="1879" t="s">
        <v>740</v>
      </c>
      <c r="AP8" s="948"/>
      <c r="AQ8" s="942">
        <f t="shared" ref="AQ8:AQ17" si="2">INDEX($B$6:$M$6,1,ROW(A3))</f>
        <v>45747</v>
      </c>
      <c r="AR8" s="949">
        <f t="shared" si="1"/>
        <v>0</v>
      </c>
      <c r="AS8" s="949">
        <f t="shared" si="1"/>
        <v>0</v>
      </c>
      <c r="AT8" s="949">
        <f t="shared" si="1"/>
        <v>0</v>
      </c>
      <c r="AU8" s="949">
        <f t="shared" si="1"/>
        <v>0</v>
      </c>
      <c r="AX8" s="937" t="str">
        <v>Less:  Residential Concessions</v>
      </c>
      <c r="AY8" s="950">
        <f t="array" ref="AY8:BJ8">TRANSPOSE(AT6:AT17)</f>
        <v>0</v>
      </c>
      <c r="AZ8" s="950">
        <v>0</v>
      </c>
      <c r="BA8" s="950">
        <v>0</v>
      </c>
      <c r="BB8" s="950">
        <v>0</v>
      </c>
      <c r="BC8" s="950">
        <v>0</v>
      </c>
      <c r="BD8" s="950">
        <v>0</v>
      </c>
      <c r="BE8" s="950">
        <v>0</v>
      </c>
      <c r="BF8" s="950">
        <v>0</v>
      </c>
      <c r="BG8" s="950">
        <v>0</v>
      </c>
      <c r="BH8" s="950">
        <v>0</v>
      </c>
      <c r="BI8" s="950">
        <v>0</v>
      </c>
      <c r="BJ8" s="950">
        <v>0</v>
      </c>
    </row>
    <row r="9" spans="1:62">
      <c r="A9" s="1244" t="s">
        <v>560</v>
      </c>
      <c r="B9" s="1246">
        <f t="shared" ref="B9:M9" si="3">1+(SUMIF($N$15:$N$1048576,$T$11,B15:B1048576)/SUMIF($N$15:$N$1048576,$T$9,B15:B1048576))</f>
        <v>0.6166980615207347</v>
      </c>
      <c r="C9" s="1246">
        <f t="shared" si="3"/>
        <v>0.61464815456544086</v>
      </c>
      <c r="D9" s="1246">
        <f t="shared" si="3"/>
        <v>0.62519525972132106</v>
      </c>
      <c r="E9" s="1246">
        <f t="shared" si="3"/>
        <v>0.65638478687355084</v>
      </c>
      <c r="F9" s="1246">
        <f t="shared" si="3"/>
        <v>0.70502395953500752</v>
      </c>
      <c r="G9" s="1246">
        <f t="shared" si="3"/>
        <v>0.77279344341411282</v>
      </c>
      <c r="H9" s="1246">
        <f t="shared" si="3"/>
        <v>0.90013835235457718</v>
      </c>
      <c r="I9" s="1246">
        <f t="shared" si="3"/>
        <v>0.92773108604096544</v>
      </c>
      <c r="J9" s="1246">
        <f t="shared" si="3"/>
        <v>0.9427839392597136</v>
      </c>
      <c r="K9" s="1246">
        <f t="shared" si="3"/>
        <v>0.95307202584568607</v>
      </c>
      <c r="L9" s="1246">
        <f t="shared" si="3"/>
        <v>0.97977406500397413</v>
      </c>
      <c r="M9" s="1246">
        <f t="shared" si="3"/>
        <v>0.98955636955636961</v>
      </c>
      <c r="Q9" s="957"/>
      <c r="T9" s="939" t="str">
        <f>'Debt Sizing'!A8</f>
        <v>Gross Potential Rent</v>
      </c>
      <c r="U9" s="958">
        <f t="array" ref="U9">SUM(IF($T9=$N$8:$N$600, $B$8:$M$600,0))</f>
        <v>4204998</v>
      </c>
      <c r="V9" s="958"/>
      <c r="W9" s="958">
        <f t="array" ref="W9">SUM(IF($T9=$N$8:$N$600, $H$8:$M$600,0))*2</f>
        <v>4280472</v>
      </c>
      <c r="X9" s="958"/>
      <c r="Y9" s="958">
        <f t="array" ref="Y9">SUM(IF($T9=$N$8:$N$600, $K$8:$M$600,0))*4</f>
        <v>4372656</v>
      </c>
      <c r="Z9" s="958"/>
      <c r="AA9" s="958">
        <f t="array" ref="AA9">SUM(IF($T9=$N$8:$N$600, $L$8:$M$600,0))*6</f>
        <v>4475232</v>
      </c>
      <c r="AB9" s="958"/>
      <c r="AC9" s="958">
        <f t="array" ref="AC9">SUM(IF($T9=$N$8:$N$600, $M$8:$M$600,0))*12</f>
        <v>4481568</v>
      </c>
      <c r="AD9" s="958"/>
      <c r="AE9" s="958">
        <f>'Sponsor Pro Forma'!K7</f>
        <v>4389327.4071683483</v>
      </c>
      <c r="AF9" s="958"/>
      <c r="AG9" s="941">
        <f>AC9/U9-1</f>
        <v>6.5771731639349129E-2</v>
      </c>
      <c r="AI9" s="959" t="s">
        <v>730</v>
      </c>
      <c r="AJ9" s="960">
        <f t="array" ref="AJ9">SUM(IF($AI9=$P$8:$P$600, $B$8:$M$600,0))</f>
        <v>0</v>
      </c>
      <c r="AK9" s="958">
        <f t="array" ref="AK9">SUM(IF($AI9=$P$8:$P$600, $H$8:$M$600,0))*2</f>
        <v>0</v>
      </c>
      <c r="AL9" s="958">
        <f t="array" ref="AL9">SUM(IF($AI9=$P$8:$P$600, $K$8:$M$600,0))*4</f>
        <v>0</v>
      </c>
      <c r="AM9" s="958">
        <f t="array" ref="AM9">SUM(IF($AI9=$P$8:$P$600, $M$8:$M$600,0))*12</f>
        <v>0</v>
      </c>
      <c r="AP9" s="948"/>
      <c r="AQ9" s="942">
        <f t="shared" si="2"/>
        <v>45777</v>
      </c>
      <c r="AR9" s="949">
        <f t="shared" si="1"/>
        <v>0</v>
      </c>
      <c r="AS9" s="949">
        <f t="shared" si="1"/>
        <v>0</v>
      </c>
      <c r="AT9" s="949">
        <f t="shared" si="1"/>
        <v>0</v>
      </c>
      <c r="AU9" s="949">
        <f t="shared" si="1"/>
        <v>0</v>
      </c>
      <c r="AX9" s="937" t="str">
        <v>Less:  Residential Bad Debt</v>
      </c>
      <c r="AY9" s="950">
        <f t="array" ref="AY9:BJ9">TRANSPOSE(AU6:AU17)</f>
        <v>0</v>
      </c>
      <c r="AZ9" s="950">
        <v>0</v>
      </c>
      <c r="BA9" s="950">
        <v>0</v>
      </c>
      <c r="BB9" s="950">
        <v>0</v>
      </c>
      <c r="BC9" s="950">
        <v>0</v>
      </c>
      <c r="BD9" s="950">
        <v>0</v>
      </c>
      <c r="BE9" s="950">
        <v>0</v>
      </c>
      <c r="BF9" s="950">
        <v>0</v>
      </c>
      <c r="BG9" s="950">
        <v>0</v>
      </c>
      <c r="BH9" s="950">
        <v>0</v>
      </c>
      <c r="BI9" s="950">
        <v>0</v>
      </c>
      <c r="BJ9" s="950">
        <v>0</v>
      </c>
    </row>
    <row r="10" spans="1:62">
      <c r="A10" s="1244" t="str">
        <f>T12</f>
        <v>Concessions</v>
      </c>
      <c r="B10" s="1245">
        <f t="shared" ref="B10:M10" si="4">-(SUMIF($N$15:$N$1048576,$T$12,B15:B1048576)/SUMIF($N$15:$N$1048576,$T$9,B15:B1048576))</f>
        <v>6.2466816533556249E-2</v>
      </c>
      <c r="C10" s="1245">
        <f t="shared" si="4"/>
        <v>5.3244067738838489E-2</v>
      </c>
      <c r="D10" s="1245">
        <f t="shared" si="4"/>
        <v>4.8413161356372053E-2</v>
      </c>
      <c r="E10" s="1245">
        <f t="shared" si="4"/>
        <v>6.681231793591344E-2</v>
      </c>
      <c r="F10" s="1245">
        <f t="shared" si="4"/>
        <v>7.2937557310616144E-2</v>
      </c>
      <c r="G10" s="1245">
        <f t="shared" si="4"/>
        <v>0.12965562411665346</v>
      </c>
      <c r="H10" s="1245">
        <f t="shared" si="4"/>
        <v>0.22605739888165671</v>
      </c>
      <c r="I10" s="1245">
        <f t="shared" si="4"/>
        <v>0.20374332606036005</v>
      </c>
      <c r="J10" s="1245">
        <f t="shared" si="4"/>
        <v>9.3721251149953999E-2</v>
      </c>
      <c r="K10" s="1245">
        <f t="shared" si="4"/>
        <v>5.483713992836E-2</v>
      </c>
      <c r="L10" s="1245">
        <f t="shared" si="4"/>
        <v>5.4069729973577368E-2</v>
      </c>
      <c r="M10" s="1245">
        <f t="shared" si="4"/>
        <v>4.0267602767602766E-2</v>
      </c>
      <c r="Q10" s="957"/>
      <c r="T10" s="939" t="str">
        <f>'Debt Sizing'!A9</f>
        <v>Loss to Lease</v>
      </c>
      <c r="U10" s="958">
        <f t="array" ref="U10">SUM(IF($T10=$N$8:$N$600, $B$8:$M$600,0))</f>
        <v>82987.729999999981</v>
      </c>
      <c r="V10" s="958"/>
      <c r="W10" s="958">
        <f t="array" ref="W10">SUM(IF($T10=$N$8:$N$600, $H$8:$M$600,0))*2</f>
        <v>-35628.639999999999</v>
      </c>
      <c r="X10" s="958"/>
      <c r="Y10" s="958">
        <f t="array" ref="Y10">SUM(IF($T10=$N$8:$N$600, $K$8:$M$600,0))*4</f>
        <v>-136518.24</v>
      </c>
      <c r="Z10" s="958"/>
      <c r="AA10" s="958">
        <f t="array" ref="AA10">SUM(IF($T10=$N$8:$N$600, $L$8:$M$600,0))*6</f>
        <v>-237601.80000000002</v>
      </c>
      <c r="AB10" s="958"/>
      <c r="AC10" s="958">
        <f t="array" ref="AC10">SUM(IF($T10=$N$8:$N$600, $M$8:$M$600,0))*12</f>
        <v>-245146.44</v>
      </c>
      <c r="AD10" s="958"/>
      <c r="AE10" s="958">
        <f>'Sponsor Pro Forma'!K8</f>
        <v>0</v>
      </c>
      <c r="AF10" s="958"/>
      <c r="AG10" s="941">
        <f t="shared" ref="AG10:AG12" si="5">AC10/U10-1</f>
        <v>-3.9540082612212681</v>
      </c>
      <c r="AI10" s="961" t="s">
        <v>732</v>
      </c>
      <c r="AJ10" s="960">
        <f t="array" ref="AJ10">-SUM(IF($AI10=$P$8:$P$600, $B$8:$M$600,0))</f>
        <v>0</v>
      </c>
      <c r="AK10" s="958">
        <f t="array" ref="AK10">-SUM(IF($AI10=$P$8:$P$600, $H$8:$M$600,0))*2</f>
        <v>0</v>
      </c>
      <c r="AL10" s="958">
        <f t="array" ref="AL10">-SUM(IF($AI10=$P$8:$P$600, $K$8:$M$600,0))*4</f>
        <v>0</v>
      </c>
      <c r="AM10" s="958">
        <f t="array" ref="AM10">-SUM(IF($AI10=$P$8:$P$600, $M$8:$M$600,0))*12</f>
        <v>0</v>
      </c>
      <c r="AP10" s="948"/>
      <c r="AQ10" s="942">
        <f t="shared" si="2"/>
        <v>45808</v>
      </c>
      <c r="AR10" s="949">
        <f t="shared" si="1"/>
        <v>0</v>
      </c>
      <c r="AS10" s="949">
        <f t="shared" si="1"/>
        <v>0</v>
      </c>
      <c r="AT10" s="949">
        <f t="shared" si="1"/>
        <v>0</v>
      </c>
      <c r="AU10" s="949">
        <f t="shared" si="1"/>
        <v>0</v>
      </c>
    </row>
    <row r="11" spans="1:62">
      <c r="A11" s="1244" t="str">
        <f>T13</f>
        <v>Models/Non-Rev Units</v>
      </c>
      <c r="B11" s="1245">
        <f t="shared" ref="B11:M11" si="6">-(SUMIF($N$15:$N$1048576,$T$13,B15:B1048576)/SUMIF($N$15:$N$1048576,$T$9,B15:B1048576))</f>
        <v>9.1911141737175649E-3</v>
      </c>
      <c r="C11" s="1245">
        <f t="shared" si="6"/>
        <v>7.9042941788000833E-3</v>
      </c>
      <c r="D11" s="1245">
        <f t="shared" si="6"/>
        <v>8.462950948472386E-3</v>
      </c>
      <c r="E11" s="1245">
        <f t="shared" si="6"/>
        <v>9.0660483918910892E-3</v>
      </c>
      <c r="F11" s="1245">
        <f t="shared" si="6"/>
        <v>9.0218002188895783E-3</v>
      </c>
      <c r="G11" s="1245">
        <f t="shared" si="6"/>
        <v>9.0259344801038761E-3</v>
      </c>
      <c r="H11" s="1245">
        <f t="shared" si="6"/>
        <v>8.948627942118972E-3</v>
      </c>
      <c r="I11" s="1245">
        <f t="shared" si="6"/>
        <v>8.5253341903038307E-3</v>
      </c>
      <c r="J11" s="1245">
        <f t="shared" si="6"/>
        <v>8.9898009017910889E-3</v>
      </c>
      <c r="K11" s="1245">
        <f t="shared" si="6"/>
        <v>8.7103935593103223E-3</v>
      </c>
      <c r="L11" s="1245">
        <f t="shared" si="6"/>
        <v>8.649384545981827E-3</v>
      </c>
      <c r="M11" s="1245">
        <f t="shared" si="6"/>
        <v>8.662414583467214E-3</v>
      </c>
      <c r="Q11" s="957"/>
      <c r="T11" s="939" t="str">
        <f>'Debt Sizing'!A10</f>
        <v>Vacancy</v>
      </c>
      <c r="U11" s="958">
        <f t="array" ref="U11">SUM(IF($T11=$N$8:$N$600, $B$8:$M$600,0))</f>
        <v>-799229.20000000019</v>
      </c>
      <c r="V11" s="958"/>
      <c r="W11" s="958">
        <f t="array" ref="W11">SUM(IF($T11=$N$8:$N$600, $H$8:$M$600,0))*2</f>
        <v>-214970.42</v>
      </c>
      <c r="X11" s="958"/>
      <c r="Y11" s="958">
        <f t="array" ref="Y11">SUM(IF($T11=$N$8:$N$600, $K$8:$M$600,0))*4</f>
        <v>-110921.31999999999</v>
      </c>
      <c r="Z11" s="958"/>
      <c r="AA11" s="958">
        <f t="array" ref="AA11">SUM(IF($T11=$N$8:$N$600, $L$8:$M$600,0))*6</f>
        <v>-68595.72</v>
      </c>
      <c r="AB11" s="958"/>
      <c r="AC11" s="958">
        <f t="array" ref="AC11">SUM(IF($T11=$N$8:$N$600, $M$8:$M$600,0))*12</f>
        <v>-46803.840000000004</v>
      </c>
      <c r="AD11" s="958"/>
      <c r="AE11" s="958">
        <f>'Sponsor Pro Forma'!K9</f>
        <v>-219466.37035841745</v>
      </c>
      <c r="AF11" s="958"/>
      <c r="AG11" s="941">
        <f t="shared" si="5"/>
        <v>-0.94143877626092742</v>
      </c>
      <c r="AI11" s="961" t="s">
        <v>731</v>
      </c>
      <c r="AJ11" s="960">
        <f t="array" ref="AJ11">-SUM(IF($AI11=$P$8:$P$600, $B$8:$M$600,0))</f>
        <v>0</v>
      </c>
      <c r="AK11" s="958">
        <f t="array" ref="AK11">-SUM(IF($AI11=$P$8:$P$600, $H$8:$M$600,0))*2</f>
        <v>0</v>
      </c>
      <c r="AL11" s="958">
        <f t="array" ref="AL11">-SUM(IF($AI11=$P$8:$P$600, $K$8:$M$600,0))*4</f>
        <v>0</v>
      </c>
      <c r="AM11" s="958">
        <f t="array" ref="AM11">-SUM(IF($AI11=$P$8:$P$600, $M$8:$M$600,0))*12</f>
        <v>0</v>
      </c>
      <c r="AP11" s="948"/>
      <c r="AQ11" s="942">
        <f t="shared" si="2"/>
        <v>45838</v>
      </c>
      <c r="AR11" s="949">
        <f t="shared" si="1"/>
        <v>0</v>
      </c>
      <c r="AS11" s="949">
        <f t="shared" si="1"/>
        <v>0</v>
      </c>
      <c r="AT11" s="949">
        <f t="shared" si="1"/>
        <v>0</v>
      </c>
      <c r="AU11" s="949">
        <f t="shared" si="1"/>
        <v>0</v>
      </c>
    </row>
    <row r="12" spans="1:62">
      <c r="A12" s="1244" t="str">
        <f>T14</f>
        <v>Bad Debt</v>
      </c>
      <c r="B12" s="1245">
        <f t="shared" ref="B12:M12" si="7">-(SUMIF($N$15:$N$1048576,$T$14,B15:B1048576)/SUMIF($N$15:$N$1048576,$T$9,B15:B1048576))</f>
        <v>3.5043350315737153E-2</v>
      </c>
      <c r="C12" s="1245">
        <f t="shared" si="7"/>
        <v>4.4660794528174334E-2</v>
      </c>
      <c r="D12" s="1245">
        <f t="shared" si="7"/>
        <v>8.1859595135916965E-2</v>
      </c>
      <c r="E12" s="1245">
        <f t="shared" si="7"/>
        <v>2.6276677962071221E-3</v>
      </c>
      <c r="F12" s="1245">
        <f t="shared" si="7"/>
        <v>1.2256544502617801E-2</v>
      </c>
      <c r="G12" s="1245">
        <f t="shared" si="7"/>
        <v>4.3752800854907114E-3</v>
      </c>
      <c r="H12" s="1245">
        <f t="shared" si="7"/>
        <v>2.9073603687828169E-2</v>
      </c>
      <c r="I12" s="1245">
        <f t="shared" si="7"/>
        <v>1.0382056616432409E-2</v>
      </c>
      <c r="J12" s="1245">
        <f t="shared" si="7"/>
        <v>2.8558042863470644E-2</v>
      </c>
      <c r="K12" s="1245">
        <f t="shared" si="7"/>
        <v>3.441628370362692E-2</v>
      </c>
      <c r="L12" s="1245">
        <f t="shared" si="7"/>
        <v>3.8123482846770203E-2</v>
      </c>
      <c r="M12" s="1245">
        <f t="shared" si="7"/>
        <v>4.5565543131332605E-2</v>
      </c>
      <c r="Q12" s="957"/>
      <c r="T12" s="939" t="str">
        <f>'Debt Sizing'!A11</f>
        <v>Concessions</v>
      </c>
      <c r="U12" s="958">
        <f t="array" ref="U12">SUM(IF($T12=$N$8:$N$600, $B$8:$M$600,0))</f>
        <v>-385795.18</v>
      </c>
      <c r="V12" s="958"/>
      <c r="W12" s="958">
        <f t="array" ref="W12">SUM(IF($T12=$N$8:$N$600, $H$8:$M$600,0))*2</f>
        <v>-472789.04000000004</v>
      </c>
      <c r="X12" s="958"/>
      <c r="Y12" s="958">
        <f t="array" ref="Y12">SUM(IF($T12=$N$8:$N$600, $K$8:$M$600,0))*4</f>
        <v>-216876</v>
      </c>
      <c r="Z12" s="958"/>
      <c r="AA12" s="958">
        <f t="array" ref="AA12">SUM(IF($T12=$N$8:$N$600, $L$8:$M$600,0))*6</f>
        <v>-211047</v>
      </c>
      <c r="AB12" s="958"/>
      <c r="AC12" s="958">
        <f t="array" ref="AC12">SUM(IF($T12=$N$8:$N$600, $M$8:$M$600,0))*12</f>
        <v>-180462</v>
      </c>
      <c r="AD12" s="958"/>
      <c r="AE12" s="958">
        <f>'Sponsor Pro Forma'!K10</f>
        <v>0</v>
      </c>
      <c r="AF12" s="958"/>
      <c r="AG12" s="941">
        <f t="shared" si="5"/>
        <v>-0.53223365828468872</v>
      </c>
      <c r="AI12" s="961" t="s">
        <v>733</v>
      </c>
      <c r="AJ12" s="960">
        <f t="array" ref="AJ12">-SUM(IF($AI12=$P$8:$P$600, $B$8:$M$600,0))</f>
        <v>0</v>
      </c>
      <c r="AK12" s="958">
        <f t="array" ref="AK12">-SUM(IF($AI12=$P$8:$P$600, $H$8:$M$600,0))*2</f>
        <v>0</v>
      </c>
      <c r="AL12" s="958">
        <f t="array" ref="AL12">-SUM(IF($AI12=$P$8:$P$600, $K$8:$M$600,0))*4</f>
        <v>0</v>
      </c>
      <c r="AM12" s="958">
        <f t="array" ref="AM12">-SUM(IF($AI12=$P$8:$P$600, $M$8:$M$600,0))*12</f>
        <v>0</v>
      </c>
      <c r="AP12" s="948"/>
      <c r="AQ12" s="942">
        <f t="shared" si="2"/>
        <v>45869</v>
      </c>
      <c r="AR12" s="949">
        <f t="shared" si="1"/>
        <v>0</v>
      </c>
      <c r="AS12" s="949">
        <f t="shared" si="1"/>
        <v>0</v>
      </c>
      <c r="AT12" s="949">
        <f t="shared" si="1"/>
        <v>0</v>
      </c>
      <c r="AU12" s="949">
        <f t="shared" si="1"/>
        <v>0</v>
      </c>
    </row>
    <row r="13" spans="1:62" ht="18" thickBot="1">
      <c r="A13" s="1244"/>
      <c r="B13" s="1250"/>
      <c r="C13" s="1250"/>
      <c r="D13" s="1250"/>
      <c r="E13" s="1250"/>
      <c r="F13" s="1251"/>
      <c r="G13" s="1250"/>
      <c r="H13" s="1250"/>
      <c r="I13" s="1250"/>
      <c r="J13" s="1250"/>
      <c r="K13" s="1250"/>
      <c r="L13" s="1250"/>
      <c r="M13" s="1250"/>
      <c r="Q13" s="957"/>
      <c r="T13" s="939" t="str">
        <f>'Debt Sizing'!A12</f>
        <v>Models/Non-Rev Units</v>
      </c>
      <c r="U13" s="958">
        <f t="array" ref="U13">SUM(IF($T13=$N$8:$N$600, $B$8:$M$600,0))</f>
        <v>-36838.389999999992</v>
      </c>
      <c r="V13" s="958"/>
      <c r="W13" s="958">
        <f t="array" ref="W13">SUM(IF($T13=$N$8:$N$600, $H$8:$M$600,0))*2</f>
        <v>-37430.9</v>
      </c>
      <c r="X13" s="958"/>
      <c r="Y13" s="958">
        <f t="array" ref="Y13">SUM(IF($T13=$N$8:$N$600, $K$8:$M$600,0))*4</f>
        <v>-37925</v>
      </c>
      <c r="Z13" s="958"/>
      <c r="AA13" s="958">
        <f t="array" ref="AA13">SUM(IF($T13=$N$8:$N$600, $L$8:$M$600,0))*6</f>
        <v>-38737.200000000004</v>
      </c>
      <c r="AB13" s="958"/>
      <c r="AC13" s="958">
        <f t="array" ref="AC13">SUM(IF($T13=$N$8:$N$600, $M$8:$M$600,0))*12</f>
        <v>-38821.199999999997</v>
      </c>
      <c r="AD13" s="958"/>
      <c r="AE13" s="958">
        <f>'Sponsor Pro Forma'!K11</f>
        <v>-16626.240178667987</v>
      </c>
      <c r="AF13" s="958"/>
      <c r="AG13" s="941">
        <f>AC13/U13-1</f>
        <v>5.3824556393479828E-2</v>
      </c>
      <c r="AI13" s="964" t="s">
        <v>741</v>
      </c>
      <c r="AJ13" s="960">
        <f t="array" ref="AJ13">SUM(IF($AI13=$P$8:$P$600, $B$8:$M$600,0))</f>
        <v>0</v>
      </c>
      <c r="AK13" s="958">
        <f t="array" ref="AK13">SUM(IF($AI13=$P$8:$P$600, $H$8:$M$600,0))*2</f>
        <v>0</v>
      </c>
      <c r="AL13" s="958">
        <f t="array" ref="AL13">SUM(IF($AI13=$P$8:$P$600, $K$8:$M$600,0))*4</f>
        <v>0</v>
      </c>
      <c r="AM13" s="958">
        <f t="array" ref="AM13">SUM(IF($AI13=$P$8:$P$600, $M$8:$M$600,0))*12</f>
        <v>0</v>
      </c>
      <c r="AP13" s="948"/>
      <c r="AQ13" s="942">
        <f t="shared" si="2"/>
        <v>45900</v>
      </c>
      <c r="AR13" s="949">
        <f t="shared" si="1"/>
        <v>0</v>
      </c>
      <c r="AS13" s="949">
        <f t="shared" si="1"/>
        <v>0</v>
      </c>
      <c r="AT13" s="949">
        <f t="shared" si="1"/>
        <v>0</v>
      </c>
      <c r="AU13" s="949">
        <f t="shared" si="1"/>
        <v>0</v>
      </c>
    </row>
    <row r="14" spans="1:62" ht="18" thickBot="1">
      <c r="A14" s="1247"/>
      <c r="B14" s="1248"/>
      <c r="C14" s="1248"/>
      <c r="D14" s="1248"/>
      <c r="E14" s="1248"/>
      <c r="F14" s="1249" t="s">
        <v>742</v>
      </c>
      <c r="G14" s="1248"/>
      <c r="H14" s="1248"/>
      <c r="I14" s="1248"/>
      <c r="J14" s="1248"/>
      <c r="K14" s="1248"/>
      <c r="L14" s="1248"/>
      <c r="M14" s="1248"/>
      <c r="Q14" s="957"/>
      <c r="T14" s="939" t="str">
        <f>'Debt Sizing'!A13</f>
        <v>Bad Debt</v>
      </c>
      <c r="U14" s="958">
        <f t="array" ref="U14">SUM(IF($T14=$N$8:$N$600, $B$8:$M$600,0))</f>
        <v>-128985.43</v>
      </c>
      <c r="V14" s="962"/>
      <c r="W14" s="962">
        <f t="array" ref="W14">SUM(IF($T14=$N$8:$N$600, $H$8:$M$600,0))*2</f>
        <v>-133594.12</v>
      </c>
      <c r="X14" s="962"/>
      <c r="Y14" s="962">
        <f t="array" ref="Y14">SUM(IF($T14=$N$8:$N$600, $K$8:$M$600,0))*4</f>
        <v>-172668.32</v>
      </c>
      <c r="Z14" s="962"/>
      <c r="AA14" s="962">
        <f t="array" ref="AA14">SUM(IF($T14=$N$8:$N$600, $L$8:$M$600,0))*6</f>
        <v>-187287.48</v>
      </c>
      <c r="AB14" s="962"/>
      <c r="AC14" s="962">
        <f t="array" ref="AC14">SUM(IF($T14=$N$8:$N$600, $M$8:$M$600,0))*12</f>
        <v>-204205.08000000002</v>
      </c>
      <c r="AD14" s="958"/>
      <c r="AE14" s="958">
        <f>'Sponsor Pro Forma'!K12</f>
        <v>-41698.610368099311</v>
      </c>
      <c r="AF14" s="958"/>
      <c r="AG14" s="963">
        <f>AC14/U14-1</f>
        <v>0.58316392789480198</v>
      </c>
      <c r="AI14" s="1880" t="s">
        <v>743</v>
      </c>
      <c r="AJ14" s="966">
        <f>AJ9-SUM(AJ10:AJ12)+AJ13</f>
        <v>0</v>
      </c>
      <c r="AK14" s="966">
        <f>AK9-SUM(AK10:AK12)+AK13</f>
        <v>0</v>
      </c>
      <c r="AL14" s="966">
        <f>AL9-SUM(AL10:AL12)+AL13</f>
        <v>0</v>
      </c>
      <c r="AM14" s="966">
        <f>AM9-SUM(AM10:AM12)+AM13</f>
        <v>0</v>
      </c>
      <c r="AP14" s="948"/>
      <c r="AQ14" s="942">
        <f t="shared" si="2"/>
        <v>45930</v>
      </c>
      <c r="AR14" s="949">
        <f t="shared" si="1"/>
        <v>0</v>
      </c>
      <c r="AS14" s="949">
        <f t="shared" si="1"/>
        <v>0</v>
      </c>
      <c r="AT14" s="949">
        <f t="shared" si="1"/>
        <v>0</v>
      </c>
      <c r="AU14" s="949">
        <f t="shared" si="1"/>
        <v>0</v>
      </c>
    </row>
    <row r="15" spans="1:62">
      <c r="B15" s="955"/>
      <c r="C15" s="955"/>
      <c r="D15" s="955"/>
      <c r="E15" s="955"/>
      <c r="F15" s="955"/>
      <c r="G15" s="955"/>
      <c r="H15" s="955"/>
      <c r="I15" s="955"/>
      <c r="J15" s="955"/>
      <c r="K15" s="955"/>
      <c r="L15" s="955"/>
      <c r="M15" s="955"/>
      <c r="Q15" s="957"/>
      <c r="T15" s="956" t="s">
        <v>605</v>
      </c>
      <c r="U15" s="965">
        <f>SUM(U9:U14)</f>
        <v>2937137.53</v>
      </c>
      <c r="V15" s="965"/>
      <c r="W15" s="965">
        <f>SUM(W9:W14)</f>
        <v>3386058.8800000004</v>
      </c>
      <c r="X15" s="965"/>
      <c r="Y15" s="965">
        <f>SUM(Y9:Y14)</f>
        <v>3697747.12</v>
      </c>
      <c r="Z15" s="965"/>
      <c r="AA15" s="965">
        <f>SUM(AA9:AA14)</f>
        <v>3731962.8</v>
      </c>
      <c r="AB15" s="965"/>
      <c r="AC15" s="965">
        <f>SUM(AC9:AC14)</f>
        <v>3766129.4399999995</v>
      </c>
      <c r="AD15" s="958"/>
      <c r="AE15" s="958"/>
      <c r="AF15" s="958"/>
      <c r="AG15" s="941">
        <f>AC15/U15-1</f>
        <v>0.28224483924659793</v>
      </c>
      <c r="AI15" s="971" t="s">
        <v>744</v>
      </c>
      <c r="AJ15" s="966">
        <f>AJ14/12</f>
        <v>0</v>
      </c>
      <c r="AK15" s="966">
        <f>AK14/12</f>
        <v>0</v>
      </c>
      <c r="AL15" s="966">
        <f>AL14/12</f>
        <v>0</v>
      </c>
      <c r="AM15" s="966">
        <f>AM14/12</f>
        <v>0</v>
      </c>
      <c r="AP15" s="948"/>
      <c r="AQ15" s="942">
        <f t="shared" si="2"/>
        <v>45961</v>
      </c>
      <c r="AR15" s="949">
        <f t="shared" si="1"/>
        <v>0</v>
      </c>
      <c r="AS15" s="949">
        <f t="shared" si="1"/>
        <v>0</v>
      </c>
      <c r="AT15" s="949">
        <f t="shared" si="1"/>
        <v>0</v>
      </c>
      <c r="AU15" s="949">
        <f t="shared" si="1"/>
        <v>0</v>
      </c>
    </row>
    <row r="16" spans="1:62">
      <c r="A16" s="1826" t="s">
        <v>745</v>
      </c>
      <c r="B16" s="1835"/>
      <c r="C16" s="1835"/>
      <c r="D16" s="1835"/>
      <c r="E16" s="1835"/>
      <c r="F16" s="1835"/>
      <c r="G16" s="1835"/>
      <c r="H16" s="1835"/>
      <c r="I16" s="1835"/>
      <c r="J16" s="1835"/>
      <c r="K16" s="1835"/>
      <c r="L16" s="1835"/>
      <c r="M16" s="1835"/>
      <c r="N16" s="1849"/>
      <c r="Q16" s="957"/>
      <c r="T16" s="967" t="s">
        <v>606</v>
      </c>
      <c r="U16" s="968">
        <f>U15/12</f>
        <v>244761.46083333332</v>
      </c>
      <c r="V16" s="968"/>
      <c r="W16" s="968">
        <f>W15/12</f>
        <v>282171.57333333336</v>
      </c>
      <c r="X16" s="968"/>
      <c r="Y16" s="968">
        <f>Y15/12</f>
        <v>308145.59333333332</v>
      </c>
      <c r="Z16" s="968"/>
      <c r="AA16" s="968">
        <f>AA15/12</f>
        <v>310996.89999999997</v>
      </c>
      <c r="AB16" s="968"/>
      <c r="AC16" s="968">
        <f>AC15/12</f>
        <v>313844.11999999994</v>
      </c>
      <c r="AD16" s="969"/>
      <c r="AE16" s="969"/>
      <c r="AF16" s="969"/>
      <c r="AG16" s="970">
        <f>AC16/U16-1</f>
        <v>0.28224483924659793</v>
      </c>
      <c r="AI16" s="972" t="s">
        <v>651</v>
      </c>
      <c r="AJ16" s="960">
        <f t="array" ref="AJ16">SUM(IF($AI16=$P$8:$P$600, $B$8:$M$600,0))</f>
        <v>0</v>
      </c>
      <c r="AK16" s="958">
        <f t="array" ref="AK16">SUM(IF($AI16=$P$8:$P$600, $H$8:$M$600,0))*2</f>
        <v>0</v>
      </c>
      <c r="AL16" s="958">
        <f t="array" ref="AL16">SUM(IF($AI16=$P$8:$P$600, $K$8:$M$600,0))*4</f>
        <v>0</v>
      </c>
      <c r="AM16" s="958">
        <f t="array" ref="AM16">SUM(IF($AI16=$P$8:$P$600, $M$8:$M$600,0))*12</f>
        <v>0</v>
      </c>
      <c r="AP16" s="948"/>
      <c r="AQ16" s="942">
        <f t="shared" si="2"/>
        <v>45991</v>
      </c>
      <c r="AR16" s="949">
        <f t="shared" si="1"/>
        <v>0</v>
      </c>
      <c r="AS16" s="949">
        <f t="shared" si="1"/>
        <v>0</v>
      </c>
      <c r="AT16" s="949">
        <f t="shared" si="1"/>
        <v>0</v>
      </c>
      <c r="AU16" s="949">
        <f t="shared" si="1"/>
        <v>0</v>
      </c>
    </row>
    <row r="17" spans="1:47" ht="18" thickBot="1">
      <c r="A17" s="1826"/>
      <c r="B17" s="1830"/>
      <c r="C17" s="1830"/>
      <c r="D17" s="1830"/>
      <c r="E17" s="1830"/>
      <c r="F17" s="1830"/>
      <c r="G17" s="1830"/>
      <c r="H17" s="1830"/>
      <c r="I17" s="1830"/>
      <c r="J17" s="1830"/>
      <c r="K17" s="1830"/>
      <c r="L17" s="1830"/>
      <c r="M17" s="1830"/>
      <c r="N17" s="1849"/>
      <c r="Q17" s="957"/>
      <c r="T17" s="967"/>
      <c r="U17" s="958"/>
      <c r="V17" s="958"/>
      <c r="W17" s="958"/>
      <c r="X17" s="958"/>
      <c r="Y17" s="958"/>
      <c r="Z17" s="958"/>
      <c r="AA17" s="958"/>
      <c r="AB17" s="958"/>
      <c r="AC17" s="958"/>
      <c r="AD17" s="958"/>
      <c r="AE17" s="958"/>
      <c r="AF17" s="958"/>
      <c r="AG17" s="941"/>
      <c r="AI17" s="973" t="s">
        <v>746</v>
      </c>
      <c r="AJ17" s="960">
        <f t="array" ref="AJ17">-SUM(IF($AI17=$P$8:$P$600, $B$8:$M$600,0))</f>
        <v>0</v>
      </c>
      <c r="AK17" s="958">
        <f t="array" ref="AK17">-SUM(IF($AI17=$P$8:$P$600, $H$8:$M$600,0))*2</f>
        <v>0</v>
      </c>
      <c r="AL17" s="958">
        <f t="array" ref="AL17">-SUM(IF($AI17=$P$8:$P$600, $K$8:$M$600,0))*4</f>
        <v>0</v>
      </c>
      <c r="AM17" s="958">
        <f t="array" ref="AM17">-SUM(IF($AI17=$P$8:$P$600, $M$8:$M$600,0))*12</f>
        <v>0</v>
      </c>
      <c r="AP17" s="948"/>
      <c r="AQ17" s="942">
        <f t="shared" si="2"/>
        <v>45992</v>
      </c>
      <c r="AR17" s="949">
        <f t="shared" si="1"/>
        <v>0</v>
      </c>
      <c r="AS17" s="949">
        <f t="shared" si="1"/>
        <v>0</v>
      </c>
      <c r="AT17" s="949">
        <f t="shared" si="1"/>
        <v>0</v>
      </c>
      <c r="AU17" s="949">
        <f t="shared" si="1"/>
        <v>0</v>
      </c>
    </row>
    <row r="18" spans="1:47" ht="18" thickBot="1">
      <c r="A18" s="1826" t="s">
        <v>747</v>
      </c>
      <c r="B18" s="1835"/>
      <c r="C18" s="1835"/>
      <c r="D18" s="1835"/>
      <c r="E18" s="1835"/>
      <c r="F18" s="1835"/>
      <c r="G18" s="1835"/>
      <c r="H18" s="1835"/>
      <c r="I18" s="1835"/>
      <c r="J18" s="1835"/>
      <c r="K18" s="1835"/>
      <c r="L18" s="1835"/>
      <c r="M18" s="1835"/>
      <c r="N18" s="1849"/>
      <c r="Q18" s="957"/>
      <c r="T18" s="939" t="str">
        <f>'Debt Sizing'!A17</f>
        <v>Commercial Income</v>
      </c>
      <c r="U18" s="958">
        <f t="array" ref="U18">SUM(IF($T18=$N$8:$N$600, $B$8:$M$600,0))</f>
        <v>0</v>
      </c>
      <c r="V18" s="958"/>
      <c r="W18" s="958">
        <f t="array" ref="W18">SUM(IF($T18=$N$8:$N$600, $H$8:$M$600,0))*2</f>
        <v>0</v>
      </c>
      <c r="X18" s="958"/>
      <c r="Y18" s="958">
        <f t="array" ref="Y18">SUM(IF($T18=$N$8:$N$600, $K$8:$M$600,0))*4</f>
        <v>0</v>
      </c>
      <c r="Z18" s="958"/>
      <c r="AA18" s="958">
        <f t="array" ref="AA18">SUM(IF($T18=$N$8:$N$600, $L$8:$M$600,0))*6</f>
        <v>0</v>
      </c>
      <c r="AB18" s="958"/>
      <c r="AC18" s="958">
        <f t="array" ref="AC18">SUM(IF($T18=$N$8:$N$600, $M$8:$M$600,0))*12</f>
        <v>0</v>
      </c>
      <c r="AD18" s="958"/>
      <c r="AE18" s="958">
        <f>'Sponsor Pro Forma'!K16</f>
        <v>0</v>
      </c>
      <c r="AF18" s="958"/>
      <c r="AG18" s="941"/>
      <c r="AI18" s="1880" t="s">
        <v>748</v>
      </c>
      <c r="AJ18" s="958">
        <f>AJ16-AJ17</f>
        <v>0</v>
      </c>
      <c r="AK18" s="958">
        <f>AK16-AK17</f>
        <v>0</v>
      </c>
      <c r="AL18" s="958">
        <f>AL16-AL17</f>
        <v>0</v>
      </c>
      <c r="AM18" s="958">
        <f>AM16-AM17</f>
        <v>0</v>
      </c>
    </row>
    <row r="19" spans="1:47">
      <c r="A19" s="1826" t="s">
        <v>749</v>
      </c>
      <c r="B19" s="1827">
        <v>354092</v>
      </c>
      <c r="C19" s="1827">
        <v>352058</v>
      </c>
      <c r="D19" s="1827">
        <v>336014</v>
      </c>
      <c r="E19" s="1827">
        <v>336420</v>
      </c>
      <c r="F19" s="1827">
        <v>338070</v>
      </c>
      <c r="G19" s="1827">
        <v>348108</v>
      </c>
      <c r="H19" s="1827">
        <v>340146</v>
      </c>
      <c r="I19" s="1827">
        <v>354738</v>
      </c>
      <c r="J19" s="1827">
        <v>352188</v>
      </c>
      <c r="K19" s="1827">
        <v>347292</v>
      </c>
      <c r="L19" s="1827">
        <v>372408</v>
      </c>
      <c r="M19" s="1827">
        <v>373464</v>
      </c>
      <c r="N19" s="1849" t="s">
        <v>635</v>
      </c>
      <c r="Q19" s="957"/>
      <c r="T19" s="939" t="str">
        <f>'Debt Sizing'!A18</f>
        <v>RUBS Income</v>
      </c>
      <c r="U19" s="958">
        <f t="array" ref="U19">SUM(IF($T19=$N$8:$N$600, $B$8:$M$600,0))</f>
        <v>393202.91999999993</v>
      </c>
      <c r="V19" s="958"/>
      <c r="W19" s="958">
        <f t="array" ref="W19">SUM(IF($T19=$N$8:$N$600, $H$8:$M$600,0))*2</f>
        <v>468875.18</v>
      </c>
      <c r="X19" s="958"/>
      <c r="Y19" s="958">
        <f t="array" ref="Y19">SUM(IF($T19=$N$8:$N$600, $K$8:$M$600,0))*4</f>
        <v>483928.20000000013</v>
      </c>
      <c r="Z19" s="958"/>
      <c r="AA19" s="958">
        <f t="array" ref="AA19">SUM(IF($T19=$N$8:$N$600, $L$8:$M$600,0))*6</f>
        <v>489065.82</v>
      </c>
      <c r="AB19" s="958"/>
      <c r="AC19" s="958">
        <f t="array" ref="AC19">SUM(IF($T19=$N$8:$N$600, $M$8:$M$600,0))*12</f>
        <v>492468.83999999997</v>
      </c>
      <c r="AD19" s="958"/>
      <c r="AE19" s="958">
        <f>'Sponsor Pro Forma'!K17</f>
        <v>492469</v>
      </c>
      <c r="AF19" s="958"/>
      <c r="AG19" s="941">
        <f t="shared" ref="AG19:AG20" si="8">AC19/U19-1</f>
        <v>0.25245468675563254</v>
      </c>
      <c r="AI19" s="971" t="s">
        <v>750</v>
      </c>
      <c r="AJ19" s="966">
        <f>AJ18/12</f>
        <v>0</v>
      </c>
      <c r="AK19" s="966">
        <f>AK18/12</f>
        <v>0</v>
      </c>
      <c r="AL19" s="966">
        <f>AL18/12</f>
        <v>0</v>
      </c>
      <c r="AM19" s="966">
        <f>AM18/12</f>
        <v>0</v>
      </c>
    </row>
    <row r="20" spans="1:47">
      <c r="A20" s="1826" t="s">
        <v>751</v>
      </c>
      <c r="B20" s="1827">
        <v>12380.67</v>
      </c>
      <c r="C20" s="1827">
        <v>13545.96</v>
      </c>
      <c r="D20" s="1827">
        <v>22727.040000000001</v>
      </c>
      <c r="E20" s="1827">
        <v>22118.51</v>
      </c>
      <c r="F20" s="1827">
        <v>19631.87</v>
      </c>
      <c r="G20" s="1827">
        <v>10398</v>
      </c>
      <c r="H20" s="1827">
        <v>15064.14</v>
      </c>
      <c r="I20" s="1827">
        <v>-498.74</v>
      </c>
      <c r="J20" s="1827">
        <v>1749.84</v>
      </c>
      <c r="K20" s="1827">
        <v>5470.74</v>
      </c>
      <c r="L20" s="1827">
        <v>-19171.43</v>
      </c>
      <c r="M20" s="1827">
        <v>-20428.87</v>
      </c>
      <c r="N20" s="1849" t="s">
        <v>639</v>
      </c>
      <c r="Q20" s="957"/>
      <c r="T20" s="939" t="str">
        <f>'Debt Sizing'!A19</f>
        <v>Other Income</v>
      </c>
      <c r="U20" s="962">
        <f t="array" ref="U20">SUM(IF($T20=$N$8:$N$600, $B$8:$M$600,0))</f>
        <v>264257.02999999985</v>
      </c>
      <c r="V20" s="962"/>
      <c r="W20" s="962">
        <f t="array" ref="W20">SUM(IF($T20=$N$8:$N$600, $H$8:$M$600,0))*2</f>
        <v>223363.96000000008</v>
      </c>
      <c r="X20" s="962"/>
      <c r="Y20" s="962">
        <f t="array" ref="Y20">SUM(IF($T20=$N$8:$N$600, $K$8:$M$600,0))*4</f>
        <v>227038.44000000003</v>
      </c>
      <c r="Z20" s="962"/>
      <c r="AA20" s="962">
        <f t="array" ref="AA20">SUM(IF($T20=$N$8:$N$600, $L$8:$M$600,0))*6</f>
        <v>205428</v>
      </c>
      <c r="AB20" s="962"/>
      <c r="AC20" s="962">
        <f t="array" ref="AC20">SUM(IF($T20=$N$8:$N$600, $M$8:$M$600,0))*12</f>
        <v>217360.68</v>
      </c>
      <c r="AD20" s="958"/>
      <c r="AE20" s="958">
        <f>'Sponsor Pro Forma'!K18</f>
        <v>227038</v>
      </c>
      <c r="AF20" s="958"/>
      <c r="AG20" s="963">
        <f t="shared" si="8"/>
        <v>-0.177464909826618</v>
      </c>
      <c r="AI20" s="964" t="s">
        <v>752</v>
      </c>
      <c r="AJ20" s="960">
        <f t="array" ref="AJ20">SUM(IF($AI20=$P$8:$P$600, $B$8:$M$600,0))</f>
        <v>0</v>
      </c>
      <c r="AK20" s="958">
        <f t="array" ref="AK20">SUM(IF($AI20=$P$8:$P$600, $H$8:$M$600,0))*2</f>
        <v>0</v>
      </c>
      <c r="AL20" s="958">
        <f t="array" ref="AL20">SUM(IF($AI20=$P$8:$P$600, $K$8:$M$600,0))*4</f>
        <v>0</v>
      </c>
      <c r="AM20" s="958">
        <f t="array" ref="AM20">SUM(IF($AI20=$P$8:$P$600, $M$8:$M$600,0))*12</f>
        <v>0</v>
      </c>
    </row>
    <row r="21" spans="1:47">
      <c r="A21" s="1826"/>
      <c r="B21" s="1831"/>
      <c r="C21" s="1831"/>
      <c r="D21" s="1831"/>
      <c r="E21" s="1831"/>
      <c r="F21" s="1831"/>
      <c r="G21" s="1831"/>
      <c r="H21" s="1831"/>
      <c r="I21" s="1831"/>
      <c r="J21" s="1831"/>
      <c r="K21" s="1831"/>
      <c r="L21" s="1831"/>
      <c r="M21" s="1831"/>
      <c r="N21" s="1849"/>
      <c r="Q21" s="957"/>
      <c r="T21" s="974" t="s">
        <v>608</v>
      </c>
      <c r="U21" s="975">
        <f>U18+U19+U20</f>
        <v>657459.94999999972</v>
      </c>
      <c r="V21" s="975"/>
      <c r="W21" s="975">
        <f>W19+W20</f>
        <v>692239.14000000013</v>
      </c>
      <c r="X21" s="975"/>
      <c r="Y21" s="975">
        <f>Y19+Y20</f>
        <v>710966.64000000013</v>
      </c>
      <c r="Z21" s="975"/>
      <c r="AA21" s="975">
        <f>AA19+AA20</f>
        <v>694493.82000000007</v>
      </c>
      <c r="AB21" s="975"/>
      <c r="AC21" s="975">
        <f>AC19+AC20</f>
        <v>709829.52</v>
      </c>
      <c r="AD21" s="958"/>
      <c r="AE21" s="958"/>
      <c r="AF21" s="958"/>
      <c r="AG21" s="976"/>
      <c r="AI21" s="964" t="s">
        <v>753</v>
      </c>
      <c r="AJ21" s="960">
        <f t="array" ref="AJ21">SUM(IF($AI21=$P$8:$P$600, $B$8:$M$600,0))</f>
        <v>0</v>
      </c>
      <c r="AK21" s="958">
        <f t="array" ref="AK21">SUM(IF($AI21=$P$8:$P$600, $H$8:$M$600,0))*2</f>
        <v>0</v>
      </c>
      <c r="AL21" s="958">
        <f t="array" ref="AL21">SUM(IF($AI21=$P$8:$P$600, $K$8:$M$600,0))*4</f>
        <v>0</v>
      </c>
      <c r="AM21" s="958">
        <f t="array" ref="AM21">SUM(IF($AI21=$P$8:$P$600, $M$8:$M$600,0))*12</f>
        <v>0</v>
      </c>
    </row>
    <row r="22" spans="1:47">
      <c r="A22" s="1826" t="s">
        <v>754</v>
      </c>
      <c r="B22" s="1836">
        <v>366472.67</v>
      </c>
      <c r="C22" s="1836">
        <v>365603.96</v>
      </c>
      <c r="D22" s="1836">
        <v>358741.04</v>
      </c>
      <c r="E22" s="1836">
        <v>358538.51</v>
      </c>
      <c r="F22" s="1836">
        <v>357701.87</v>
      </c>
      <c r="G22" s="1836">
        <v>358506</v>
      </c>
      <c r="H22" s="1836">
        <v>355210.14</v>
      </c>
      <c r="I22" s="1836">
        <v>354239.26</v>
      </c>
      <c r="J22" s="1836">
        <v>353937.84</v>
      </c>
      <c r="K22" s="1836">
        <v>352762.74</v>
      </c>
      <c r="L22" s="1836">
        <v>353236.57</v>
      </c>
      <c r="M22" s="1836">
        <v>353035.13</v>
      </c>
      <c r="N22" s="1849"/>
      <c r="Q22" s="957"/>
      <c r="T22" s="977" t="s">
        <v>609</v>
      </c>
      <c r="U22" s="958">
        <f>U15+U21</f>
        <v>3594597.4799999995</v>
      </c>
      <c r="V22" s="958"/>
      <c r="W22" s="958">
        <f>W15+W21</f>
        <v>4078298.0200000005</v>
      </c>
      <c r="X22" s="958"/>
      <c r="Y22" s="958">
        <f>Y15+Y21</f>
        <v>4408713.76</v>
      </c>
      <c r="Z22" s="958"/>
      <c r="AA22" s="958">
        <f>AA15+AA21</f>
        <v>4426456.62</v>
      </c>
      <c r="AB22" s="958"/>
      <c r="AC22" s="958">
        <f>AC15+AC21</f>
        <v>4475958.959999999</v>
      </c>
      <c r="AD22" s="958"/>
      <c r="AE22" s="958"/>
      <c r="AF22" s="958"/>
      <c r="AG22" s="941">
        <f t="shared" ref="AG22" si="9">AC22/U22-1</f>
        <v>0.2451905908530263</v>
      </c>
      <c r="AI22" s="964" t="s">
        <v>755</v>
      </c>
      <c r="AJ22" s="960">
        <f t="array" ref="AJ22">SUM(IF($AI22=$P$8:$P$600, $B$8:$M$600,0))</f>
        <v>0</v>
      </c>
      <c r="AK22" s="958">
        <f t="array" ref="AK22">SUM(IF($AI22=$P$8:$P$600, $H$8:$M$600,0))*2</f>
        <v>0</v>
      </c>
      <c r="AL22" s="958">
        <f t="array" ref="AL22">SUM(IF($AI22=$P$8:$P$600, $K$8:$M$600,0))*4</f>
        <v>0</v>
      </c>
      <c r="AM22" s="958">
        <f t="array" ref="AM22">SUM(IF($AI22=$P$8:$P$600, $M$8:$M$600,0))*12</f>
        <v>0</v>
      </c>
    </row>
    <row r="23" spans="1:47">
      <c r="A23" s="1826" t="s">
        <v>756</v>
      </c>
      <c r="B23" s="1835"/>
      <c r="C23" s="1835"/>
      <c r="D23" s="1835"/>
      <c r="E23" s="1835"/>
      <c r="F23" s="1835"/>
      <c r="G23" s="1835"/>
      <c r="H23" s="1835"/>
      <c r="I23" s="1835"/>
      <c r="J23" s="1835"/>
      <c r="K23" s="1835"/>
      <c r="L23" s="1835"/>
      <c r="M23" s="1835"/>
      <c r="N23" s="1849"/>
      <c r="Q23" s="957"/>
      <c r="T23" s="978"/>
      <c r="U23" s="968">
        <f>U22/12</f>
        <v>299549.78999999998</v>
      </c>
      <c r="V23" s="968"/>
      <c r="W23" s="968">
        <f>W22/12</f>
        <v>339858.16833333339</v>
      </c>
      <c r="X23" s="968"/>
      <c r="Y23" s="968">
        <f>Y22/12</f>
        <v>367392.8133333333</v>
      </c>
      <c r="Z23" s="968"/>
      <c r="AA23" s="968">
        <f>AA22/12</f>
        <v>368871.38500000001</v>
      </c>
      <c r="AB23" s="968"/>
      <c r="AC23" s="968">
        <f>AC22/12</f>
        <v>372996.5799999999</v>
      </c>
      <c r="AD23" s="958"/>
      <c r="AE23" s="958"/>
      <c r="AF23" s="958"/>
      <c r="AG23" s="941"/>
      <c r="AI23" s="964" t="s">
        <v>757</v>
      </c>
      <c r="AJ23" s="960">
        <f t="array" ref="AJ23">SUM(IF($AI23=$P$8:$P$600, $B$8:$M$600,0))</f>
        <v>0</v>
      </c>
      <c r="AK23" s="958">
        <f t="array" ref="AK23">SUM(IF($AI23=$P$8:$P$600, $H$8:$M$600,0))*2</f>
        <v>0</v>
      </c>
      <c r="AL23" s="958">
        <f t="array" ref="AL23">SUM(IF($AI23=$P$8:$P$600, $K$8:$M$600,0))*4</f>
        <v>0</v>
      </c>
      <c r="AM23" s="958">
        <f t="array" ref="AM23">SUM(IF($AI23=$P$8:$P$600, $M$8:$M$600,0))*12</f>
        <v>0</v>
      </c>
    </row>
    <row r="24" spans="1:47">
      <c r="A24" s="1826" t="s">
        <v>758</v>
      </c>
      <c r="B24" s="1827">
        <v>-22119</v>
      </c>
      <c r="C24" s="1827">
        <v>-18745</v>
      </c>
      <c r="D24" s="1827">
        <v>-16267.5</v>
      </c>
      <c r="E24" s="1827">
        <v>-22477</v>
      </c>
      <c r="F24" s="1827">
        <v>-24658</v>
      </c>
      <c r="G24" s="1827">
        <v>-45134.16</v>
      </c>
      <c r="H24" s="1827">
        <v>-76892.52</v>
      </c>
      <c r="I24" s="1827">
        <v>-72275.5</v>
      </c>
      <c r="J24" s="1827">
        <v>-33007.5</v>
      </c>
      <c r="K24" s="1827">
        <v>-19044.5</v>
      </c>
      <c r="L24" s="1827">
        <v>-20136</v>
      </c>
      <c r="M24" s="1827">
        <v>-15038.5</v>
      </c>
      <c r="N24" s="1849" t="s">
        <v>643</v>
      </c>
      <c r="Q24" s="957"/>
      <c r="T24" s="956" t="s">
        <v>610</v>
      </c>
      <c r="U24" s="958"/>
      <c r="V24" s="979" t="s">
        <v>79</v>
      </c>
      <c r="W24" s="958"/>
      <c r="X24" s="979" t="s">
        <v>79</v>
      </c>
      <c r="Y24" s="958"/>
      <c r="Z24" s="979" t="s">
        <v>79</v>
      </c>
      <c r="AA24" s="958"/>
      <c r="AB24" s="979" t="s">
        <v>79</v>
      </c>
      <c r="AC24" s="958"/>
      <c r="AD24" s="979" t="s">
        <v>79</v>
      </c>
      <c r="AE24" s="980"/>
      <c r="AF24" s="958"/>
      <c r="AG24" s="941"/>
      <c r="AI24" s="964" t="s">
        <v>759</v>
      </c>
      <c r="AJ24" s="960">
        <f t="array" ref="AJ24">SUM(IF($AI24=$P$8:$P$600, $B$8:$M$600,0))</f>
        <v>0</v>
      </c>
      <c r="AK24" s="958">
        <f t="array" ref="AK24">SUM(IF($AI24=$P$8:$P$600, $H$8:$M$600,0))*2</f>
        <v>0</v>
      </c>
      <c r="AL24" s="958">
        <f t="array" ref="AL24">SUM(IF($AI24=$P$8:$P$600, $K$8:$M$600,0))*4</f>
        <v>0</v>
      </c>
      <c r="AM24" s="958">
        <f t="array" ref="AM24">SUM(IF($AI24=$P$8:$P$600, $M$8:$M$600,0))*12</f>
        <v>0</v>
      </c>
    </row>
    <row r="25" spans="1:47" ht="18" thickBot="1">
      <c r="A25" s="1826" t="s">
        <v>760</v>
      </c>
      <c r="B25" s="1827">
        <v>-1505</v>
      </c>
      <c r="C25" s="1827">
        <v>-1492</v>
      </c>
      <c r="D25" s="1827">
        <v>-1466</v>
      </c>
      <c r="E25" s="1827">
        <v>-1440</v>
      </c>
      <c r="F25" s="1827">
        <v>-1440</v>
      </c>
      <c r="G25" s="1827">
        <v>-1532</v>
      </c>
      <c r="H25" s="1827">
        <v>-1504</v>
      </c>
      <c r="I25" s="1827">
        <v>-1542</v>
      </c>
      <c r="J25" s="1827">
        <v>-1542</v>
      </c>
      <c r="K25" s="1827">
        <v>-1528</v>
      </c>
      <c r="L25" s="1827">
        <v>-1597</v>
      </c>
      <c r="M25" s="1827">
        <v>-1611</v>
      </c>
      <c r="N25" s="1849" t="s">
        <v>645</v>
      </c>
      <c r="Q25" s="957"/>
      <c r="T25" s="939" t="str">
        <f>'Debt Sizing'!A24</f>
        <v>Repairs &amp; Maint</v>
      </c>
      <c r="U25" s="958">
        <f t="array" ref="U25">SUM(IF($T25=$N$8:$N$600, $B$8:$M$600,0))</f>
        <v>77136.06</v>
      </c>
      <c r="V25" s="982">
        <f t="shared" ref="V25:AB32" si="10">U25/units</f>
        <v>292.18204545454546</v>
      </c>
      <c r="W25" s="958">
        <f t="array" ref="W25">SUM(IF($T25=$N$8:$N$600, $H$8:$M$600,0))*2</f>
        <v>89586.079999999987</v>
      </c>
      <c r="X25" s="982">
        <f t="shared" si="10"/>
        <v>339.3412121212121</v>
      </c>
      <c r="Y25" s="958">
        <f t="array" ref="Y25">SUM(IF($T25=$N$8:$N$600, $K$8:$M$600,0))*4</f>
        <v>78097.760000000009</v>
      </c>
      <c r="Z25" s="982">
        <f t="shared" si="10"/>
        <v>295.82484848484853</v>
      </c>
      <c r="AA25" s="958">
        <f t="array" ref="AA25">SUM(IF($T25=$N$8:$N$600, $L$8:$M$600,0))*6</f>
        <v>72038.819999999978</v>
      </c>
      <c r="AB25" s="982">
        <f t="shared" si="10"/>
        <v>272.87431818181813</v>
      </c>
      <c r="AC25" s="958">
        <f t="array" ref="AC25">SUM(IF($T25=$N$8:$N$600, $M$8:$M$600,0))*12</f>
        <v>64712.160000000003</v>
      </c>
      <c r="AD25" s="982">
        <f t="shared" ref="AD25:AD32" si="11">AC25/units</f>
        <v>245.12181818181818</v>
      </c>
      <c r="AE25" s="983">
        <f>'Sponsor Pro Forma'!K23</f>
        <v>73920</v>
      </c>
      <c r="AF25" s="958"/>
      <c r="AG25" s="941"/>
      <c r="AI25" s="964" t="s">
        <v>761</v>
      </c>
      <c r="AJ25" s="960">
        <f t="array" ref="AJ25">SUM(IF($AI25=$P$8:$P$600, $B$8:$M$600,0))</f>
        <v>0</v>
      </c>
      <c r="AK25" s="958">
        <f t="array" ref="AK25">SUM(IF($AI25=$P$8:$P$600, $H$8:$M$600,0))*2</f>
        <v>0</v>
      </c>
      <c r="AL25" s="958">
        <f t="array" ref="AL25">SUM(IF($AI25=$P$8:$P$600, $K$8:$M$600,0))*4</f>
        <v>0</v>
      </c>
      <c r="AM25" s="958">
        <f t="array" ref="AM25">SUM(IF($AI25=$P$8:$P$600, $M$8:$M$600,0))*12</f>
        <v>0</v>
      </c>
    </row>
    <row r="26" spans="1:47" ht="18" thickBot="1">
      <c r="A26" s="1826" t="s">
        <v>762</v>
      </c>
      <c r="B26" s="1827">
        <v>-913</v>
      </c>
      <c r="C26" s="1827">
        <v>-913</v>
      </c>
      <c r="D26" s="1827">
        <v>-913</v>
      </c>
      <c r="E26" s="1827">
        <v>-913</v>
      </c>
      <c r="F26" s="1827">
        <v>-913</v>
      </c>
      <c r="G26" s="1827">
        <v>-913</v>
      </c>
      <c r="H26" s="1827">
        <v>-913</v>
      </c>
      <c r="I26" s="1827">
        <v>-788.76</v>
      </c>
      <c r="J26" s="1827">
        <v>-930.6</v>
      </c>
      <c r="K26" s="1827">
        <v>-803.55</v>
      </c>
      <c r="L26" s="1827">
        <v>-930.6</v>
      </c>
      <c r="M26" s="1827">
        <v>-930.6</v>
      </c>
      <c r="N26" s="1849" t="s">
        <v>645</v>
      </c>
      <c r="Q26" s="957"/>
      <c r="T26" s="939" t="str">
        <f>'Debt Sizing'!A25</f>
        <v>Contract Services</v>
      </c>
      <c r="U26" s="958">
        <f t="array" ref="U26">SUM(IF($T26=$N$8:$N$600, $B$8:$M$600,0))</f>
        <v>45632.900000000009</v>
      </c>
      <c r="V26" s="982">
        <f t="shared" si="10"/>
        <v>172.85189393939396</v>
      </c>
      <c r="W26" s="958">
        <f t="array" ref="W26">SUM(IF($T26=$N$8:$N$600, $H$8:$M$600,0))*2</f>
        <v>46394.01999999999</v>
      </c>
      <c r="X26" s="982">
        <f t="shared" si="10"/>
        <v>175.7349242424242</v>
      </c>
      <c r="Y26" s="958">
        <f t="array" ref="Y26">SUM(IF($T26=$N$8:$N$600, $K$8:$M$600,0))*4</f>
        <v>36036.560000000005</v>
      </c>
      <c r="Z26" s="982">
        <f t="shared" si="10"/>
        <v>136.50212121212124</v>
      </c>
      <c r="AA26" s="958">
        <f t="array" ref="AA26">SUM(IF($T26=$N$8:$N$600, $L$8:$M$600,0))*6</f>
        <v>33191.279999999999</v>
      </c>
      <c r="AB26" s="982">
        <f t="shared" si="10"/>
        <v>125.72454545454545</v>
      </c>
      <c r="AC26" s="958">
        <f t="array" ref="AC26">SUM(IF($T26=$N$8:$N$600, $M$8:$M$600,0))*12</f>
        <v>37199.279999999999</v>
      </c>
      <c r="AD26" s="982">
        <f t="shared" si="11"/>
        <v>140.90636363636364</v>
      </c>
      <c r="AE26" s="983">
        <f>'Sponsor Pro Forma'!K24</f>
        <v>46728</v>
      </c>
      <c r="AF26" s="958"/>
      <c r="AG26" s="941"/>
      <c r="AI26" s="1881" t="s">
        <v>763</v>
      </c>
      <c r="AJ26" s="966">
        <f>AJ14+AJ18+SUM(AJ20:AJ25)</f>
        <v>0</v>
      </c>
      <c r="AK26" s="966">
        <f>AK14+AK18+SUM(AK20:AK25)</f>
        <v>0</v>
      </c>
      <c r="AL26" s="966">
        <f>AL14+AL18+SUM(AL20:AL25)</f>
        <v>0</v>
      </c>
      <c r="AM26" s="966">
        <f>AM14+AM18+SUM(AM20:AM25)</f>
        <v>0</v>
      </c>
    </row>
    <row r="27" spans="1:47" ht="18" thickBot="1">
      <c r="A27" s="1826" t="s">
        <v>764</v>
      </c>
      <c r="B27" s="1827">
        <v>-836.5</v>
      </c>
      <c r="C27" s="1827">
        <v>-377.77</v>
      </c>
      <c r="D27" s="1827">
        <v>-464.67</v>
      </c>
      <c r="E27" s="1827">
        <v>-697</v>
      </c>
      <c r="F27" s="1827">
        <v>-697</v>
      </c>
      <c r="G27" s="1827">
        <v>-697</v>
      </c>
      <c r="H27" s="1827">
        <v>-626.84</v>
      </c>
      <c r="I27" s="1827">
        <v>-693.5</v>
      </c>
      <c r="J27" s="1827">
        <v>-693.5</v>
      </c>
      <c r="K27" s="1827">
        <v>-693.5</v>
      </c>
      <c r="L27" s="1827">
        <v>-693.5</v>
      </c>
      <c r="M27" s="1827">
        <v>-693.5</v>
      </c>
      <c r="N27" s="1849" t="s">
        <v>645</v>
      </c>
      <c r="Q27" s="957"/>
      <c r="T27" s="939" t="str">
        <f>'Debt Sizing'!A26</f>
        <v>Turnover</v>
      </c>
      <c r="U27" s="958">
        <f t="array" ref="U27">SUM(IF($T27=$N$8:$N$600, $B$8:$M$600,0))</f>
        <v>69162.34</v>
      </c>
      <c r="V27" s="982">
        <f t="shared" si="10"/>
        <v>261.97856060606057</v>
      </c>
      <c r="W27" s="958">
        <f t="array" ref="W27">SUM(IF($T27=$N$8:$N$600, $H$8:$M$600,0))*2</f>
        <v>68653.160000000033</v>
      </c>
      <c r="X27" s="982">
        <f t="shared" si="10"/>
        <v>260.04984848484861</v>
      </c>
      <c r="Y27" s="958">
        <f t="array" ref="Y27">SUM(IF($T27=$N$8:$N$600, $K$8:$M$600,0))*4</f>
        <v>37509.839999999997</v>
      </c>
      <c r="Z27" s="982">
        <f t="shared" si="10"/>
        <v>142.08272727272725</v>
      </c>
      <c r="AA27" s="958">
        <f t="array" ref="AA27">SUM(IF($T27=$N$8:$N$600, $L$8:$M$600,0))*6</f>
        <v>36473.339999999997</v>
      </c>
      <c r="AB27" s="982">
        <f t="shared" si="10"/>
        <v>138.15659090909091</v>
      </c>
      <c r="AC27" s="958">
        <f t="array" ref="AC27">SUM(IF($T27=$N$8:$N$600, $M$8:$M$600,0))*12</f>
        <v>43039.68</v>
      </c>
      <c r="AD27" s="982">
        <f t="shared" si="11"/>
        <v>163.02909090909091</v>
      </c>
      <c r="AE27" s="983">
        <f>'Sponsor Pro Forma'!K25</f>
        <v>82896</v>
      </c>
      <c r="AF27" s="958"/>
      <c r="AG27" s="941"/>
      <c r="AI27" s="984"/>
    </row>
    <row r="28" spans="1:47" ht="18" thickBot="1">
      <c r="A28" s="1826" t="s">
        <v>765</v>
      </c>
      <c r="B28" s="1827">
        <v>-135724.15</v>
      </c>
      <c r="C28" s="1827">
        <v>-135666.20000000001</v>
      </c>
      <c r="D28" s="1827">
        <v>-125939.64</v>
      </c>
      <c r="E28" s="1827">
        <v>-115599.03</v>
      </c>
      <c r="F28" s="1827">
        <v>-99722.55</v>
      </c>
      <c r="G28" s="1827">
        <v>-79092.42</v>
      </c>
      <c r="H28" s="1827">
        <v>-33967.54</v>
      </c>
      <c r="I28" s="1827">
        <v>-25636.53</v>
      </c>
      <c r="J28" s="1827">
        <v>-20150.810000000001</v>
      </c>
      <c r="K28" s="1827">
        <v>-16297.71</v>
      </c>
      <c r="L28" s="1827">
        <v>-7532.3</v>
      </c>
      <c r="M28" s="1827">
        <v>-3900.32</v>
      </c>
      <c r="N28" s="1849" t="s">
        <v>561</v>
      </c>
      <c r="Q28" s="957"/>
      <c r="T28" s="939" t="str">
        <f>'Debt Sizing'!A27</f>
        <v>Payroll</v>
      </c>
      <c r="U28" s="958">
        <f t="array" ref="U28">SUM(IF($T28=$N$8:$N$600, $B$8:$M$600,0))</f>
        <v>493485.87000000029</v>
      </c>
      <c r="V28" s="982">
        <f t="shared" si="10"/>
        <v>1869.2646590909101</v>
      </c>
      <c r="W28" s="958">
        <f t="array" ref="W28">SUM(IF($T28=$N$8:$N$600, $H$8:$M$600,0))*2</f>
        <v>513711.10000000015</v>
      </c>
      <c r="X28" s="982">
        <f t="shared" si="10"/>
        <v>1945.8753787878793</v>
      </c>
      <c r="Y28" s="958">
        <f t="array" ref="Y28">SUM(IF($T28=$N$8:$N$600, $K$8:$M$600,0))*4</f>
        <v>514473.6399999999</v>
      </c>
      <c r="Z28" s="982">
        <f t="shared" si="10"/>
        <v>1948.7637878787875</v>
      </c>
      <c r="AA28" s="958">
        <f t="array" ref="AA28">SUM(IF($T28=$N$8:$N$600, $L$8:$M$600,0))*6</f>
        <v>522569.33999999997</v>
      </c>
      <c r="AB28" s="982">
        <f t="shared" si="10"/>
        <v>1979.429318181818</v>
      </c>
      <c r="AC28" s="958">
        <f t="array" ref="AC28">SUM(IF($T28=$N$8:$N$600, $M$8:$M$600,0))*12</f>
        <v>507207.3600000001</v>
      </c>
      <c r="AD28" s="982">
        <f t="shared" si="11"/>
        <v>1921.2400000000005</v>
      </c>
      <c r="AE28" s="983">
        <f>'Sponsor Pro Forma'!K26</f>
        <v>537240</v>
      </c>
      <c r="AF28" s="958"/>
      <c r="AG28" s="941"/>
      <c r="AI28" s="1879" t="s">
        <v>766</v>
      </c>
    </row>
    <row r="29" spans="1:47">
      <c r="A29" s="1826" t="s">
        <v>767</v>
      </c>
      <c r="B29" s="1827">
        <v>-1630.83</v>
      </c>
      <c r="C29" s="1827">
        <v>-6376.05</v>
      </c>
      <c r="D29" s="1827">
        <v>-4239.84</v>
      </c>
      <c r="E29" s="1827">
        <v>-390.5</v>
      </c>
      <c r="F29" s="1827">
        <v>-7166.2</v>
      </c>
      <c r="G29" s="1827">
        <v>-3373.01</v>
      </c>
      <c r="H29" s="1827">
        <v>-7034.62</v>
      </c>
      <c r="I29" s="1827">
        <v>-4940.58</v>
      </c>
      <c r="J29" s="1827">
        <v>-6368.38</v>
      </c>
      <c r="K29" s="1827">
        <v>-4494.8</v>
      </c>
      <c r="L29" s="1827">
        <v>-6412.19</v>
      </c>
      <c r="M29" s="1827">
        <v>-8263.9</v>
      </c>
      <c r="N29" s="1849" t="s">
        <v>647</v>
      </c>
      <c r="Q29" s="957"/>
      <c r="T29" s="939" t="str">
        <f>'Debt Sizing'!A28</f>
        <v>Marketing</v>
      </c>
      <c r="U29" s="958">
        <f t="array" ref="U29">SUM(IF($T29=$N$8:$N$600, $B$8:$M$600,0))</f>
        <v>144095.60999999996</v>
      </c>
      <c r="V29" s="982">
        <f t="shared" si="10"/>
        <v>545.8167045454544</v>
      </c>
      <c r="W29" s="958">
        <f t="array" ref="W29">SUM(IF($T29=$N$8:$N$600, $H$8:$M$600,0))*2</f>
        <v>138012.01999999996</v>
      </c>
      <c r="X29" s="982">
        <f t="shared" si="10"/>
        <v>522.77280303030284</v>
      </c>
      <c r="Y29" s="958">
        <f t="array" ref="Y29">SUM(IF($T29=$N$8:$N$600, $K$8:$M$600,0))*4</f>
        <v>130984.59999999996</v>
      </c>
      <c r="Z29" s="982">
        <f t="shared" si="10"/>
        <v>496.15378787878774</v>
      </c>
      <c r="AA29" s="958">
        <f t="array" ref="AA29">SUM(IF($T29=$N$8:$N$600, $L$8:$M$600,0))*6</f>
        <v>121117.85999999996</v>
      </c>
      <c r="AB29" s="982">
        <f t="shared" si="10"/>
        <v>458.77977272727259</v>
      </c>
      <c r="AC29" s="958">
        <f t="array" ref="AC29">SUM(IF($T29=$N$8:$N$600, $M$8:$M$600,0))*12</f>
        <v>118597.56000000001</v>
      </c>
      <c r="AD29" s="982">
        <f t="shared" si="11"/>
        <v>449.23318181818189</v>
      </c>
      <c r="AE29" s="983">
        <f>'Sponsor Pro Forma'!K27</f>
        <v>155496</v>
      </c>
      <c r="AF29" s="958"/>
      <c r="AG29" s="941"/>
      <c r="AI29" s="985" t="s">
        <v>665</v>
      </c>
      <c r="AJ29" s="960">
        <f t="array" ref="AJ29">SUM(IF($AI29=$P$8:$P$600, $B$8:$M$600,0))</f>
        <v>0</v>
      </c>
      <c r="AK29" s="958">
        <f t="array" ref="AK29">SUM(IF($AI29=$P$8:$P$600, $H$8:$M$600,0))*2</f>
        <v>0</v>
      </c>
      <c r="AL29" s="958">
        <f t="array" ref="AL29">SUM(IF($AI29=$P$8:$P$600, $K$8:$M$600,0))*4</f>
        <v>0</v>
      </c>
      <c r="AM29" s="958">
        <f t="array" ref="AM29">SUM(IF($AI29=$P$8:$P$600, $M$8:$M$600,0))*12</f>
        <v>0</v>
      </c>
    </row>
    <row r="30" spans="1:47">
      <c r="A30" s="1826" t="s">
        <v>768</v>
      </c>
      <c r="B30" s="1827">
        <v>0</v>
      </c>
      <c r="C30" s="1827">
        <v>0</v>
      </c>
      <c r="D30" s="1827">
        <v>0</v>
      </c>
      <c r="E30" s="1827">
        <v>0</v>
      </c>
      <c r="F30" s="1827">
        <v>16282.08</v>
      </c>
      <c r="G30" s="1827">
        <v>9174</v>
      </c>
      <c r="H30" s="1827">
        <v>0</v>
      </c>
      <c r="I30" s="1827">
        <v>7200</v>
      </c>
      <c r="J30" s="1827">
        <v>2936.4</v>
      </c>
      <c r="K30" s="1827">
        <v>0</v>
      </c>
      <c r="L30" s="1827">
        <v>-3600</v>
      </c>
      <c r="M30" s="1827">
        <v>0</v>
      </c>
      <c r="N30" s="1849" t="s">
        <v>647</v>
      </c>
      <c r="Q30" s="957"/>
      <c r="T30" s="939" t="str">
        <f>'Debt Sizing'!A29</f>
        <v>General &amp; Admin</v>
      </c>
      <c r="U30" s="958">
        <f t="array" ref="U30">SUM(IF($T30=$N$8:$N$600, $B$8:$M$600,0))</f>
        <v>153695.04999999999</v>
      </c>
      <c r="V30" s="982">
        <f t="shared" si="10"/>
        <v>582.17821969696968</v>
      </c>
      <c r="W30" s="958">
        <f t="array" ref="W30">SUM(IF($T30=$N$8:$N$600, $H$8:$M$600,0))*2</f>
        <v>152906.96000000002</v>
      </c>
      <c r="X30" s="982">
        <f t="shared" si="10"/>
        <v>579.19303030303035</v>
      </c>
      <c r="Y30" s="958">
        <f t="array" ref="Y30">SUM(IF($T30=$N$8:$N$600, $K$8:$M$600,0))*4</f>
        <v>165003.76</v>
      </c>
      <c r="Z30" s="982">
        <f t="shared" si="10"/>
        <v>625.01424242424241</v>
      </c>
      <c r="AA30" s="958">
        <f t="array" ref="AA30">SUM(IF($T30=$N$8:$N$600, $L$8:$M$600,0))*6</f>
        <v>161196.05999999997</v>
      </c>
      <c r="AB30" s="982">
        <f t="shared" si="10"/>
        <v>610.59113636363622</v>
      </c>
      <c r="AC30" s="958">
        <f t="array" ref="AC30">SUM(IF($T30=$N$8:$N$600, $M$8:$M$600,0))*12</f>
        <v>160336.19999999998</v>
      </c>
      <c r="AD30" s="982">
        <f t="shared" si="11"/>
        <v>607.33409090909083</v>
      </c>
      <c r="AE30" s="983">
        <f>'Sponsor Pro Forma'!K28</f>
        <v>149952</v>
      </c>
      <c r="AF30" s="958"/>
      <c r="AG30" s="941"/>
      <c r="AI30" s="985" t="s">
        <v>769</v>
      </c>
      <c r="AJ30" s="960">
        <f t="array" ref="AJ30">SUM(IF($AI30=$P$8:$P$600, $B$8:$M$600,0))</f>
        <v>0</v>
      </c>
      <c r="AK30" s="958">
        <f t="array" ref="AK30">SUM(IF($AI30=$P$8:$P$600, $H$8:$M$600,0))*2</f>
        <v>0</v>
      </c>
      <c r="AL30" s="958">
        <f t="array" ref="AL30">SUM(IF($AI30=$P$8:$P$600, $K$8:$M$600,0))*4</f>
        <v>0</v>
      </c>
      <c r="AM30" s="958">
        <f t="array" ref="AM30">SUM(IF($AI30=$P$8:$P$600, $M$8:$M$600,0))*12</f>
        <v>0</v>
      </c>
    </row>
    <row r="31" spans="1:47">
      <c r="A31" s="1826"/>
      <c r="B31" s="1831"/>
      <c r="C31" s="1831"/>
      <c r="D31" s="1831"/>
      <c r="E31" s="1831"/>
      <c r="F31" s="1831"/>
      <c r="G31" s="1831"/>
      <c r="H31" s="1831"/>
      <c r="I31" s="1831"/>
      <c r="J31" s="1831"/>
      <c r="K31" s="1831"/>
      <c r="L31" s="1831"/>
      <c r="M31" s="1831"/>
      <c r="N31" s="1849"/>
      <c r="Q31" s="957"/>
      <c r="T31" s="939" t="str">
        <f>'Debt Sizing'!A30</f>
        <v>Utilities</v>
      </c>
      <c r="U31" s="962">
        <f t="array" ref="U31">SUM(IF($T31=$N$8:$N$600, $B$8:$M$600,0))</f>
        <v>411474.28999999969</v>
      </c>
      <c r="V31" s="986">
        <f t="shared" si="10"/>
        <v>1558.6147348484837</v>
      </c>
      <c r="W31" s="962">
        <f t="array" ref="W31">SUM(IF($T31=$N$8:$N$600, $H$8:$M$600,0))*2</f>
        <v>432987.22000000003</v>
      </c>
      <c r="X31" s="986">
        <f t="shared" si="10"/>
        <v>1640.1031060606063</v>
      </c>
      <c r="Y31" s="962">
        <f t="array" ref="Y31">SUM(IF($T31=$N$8:$N$600, $K$8:$M$600,0))*4</f>
        <v>455721.67999999993</v>
      </c>
      <c r="Z31" s="986">
        <f t="shared" si="10"/>
        <v>1726.2184848484846</v>
      </c>
      <c r="AA31" s="962">
        <f t="array" ref="AA31">SUM(IF($T31=$N$8:$N$600, $L$8:$M$600,0))*6</f>
        <v>427007.22000000009</v>
      </c>
      <c r="AB31" s="986">
        <f t="shared" si="10"/>
        <v>1617.4515909090912</v>
      </c>
      <c r="AC31" s="962">
        <f t="array" ref="AC31">SUM(IF($T31=$N$8:$N$600, $M$8:$M$600,0))*12</f>
        <v>446231.88</v>
      </c>
      <c r="AD31" s="986">
        <f t="shared" si="11"/>
        <v>1690.2722727272728</v>
      </c>
      <c r="AE31" s="983">
        <f>'Sponsor Pro Forma'!K29</f>
        <v>404448</v>
      </c>
      <c r="AF31" s="958"/>
      <c r="AG31" s="963"/>
      <c r="AI31" s="989" t="s">
        <v>770</v>
      </c>
      <c r="AJ31" s="960">
        <f t="array" ref="AJ31">SUM(IF($AI31=$P$8:$P$600, $B$8:$M$600,0))</f>
        <v>0</v>
      </c>
      <c r="AK31" s="958">
        <f t="array" ref="AK31">SUM(IF($AI31=$P$8:$P$600, $H$8:$M$600,0))*2</f>
        <v>0</v>
      </c>
      <c r="AL31" s="958">
        <f t="array" ref="AL31">SUM(IF($AI31=$P$8:$P$600, $K$8:$M$600,0))*4</f>
        <v>0</v>
      </c>
      <c r="AM31" s="958">
        <f t="array" ref="AM31">SUM(IF($AI31=$P$8:$P$600, $M$8:$M$600,0))*12</f>
        <v>0</v>
      </c>
    </row>
    <row r="32" spans="1:47">
      <c r="A32" s="1826" t="s">
        <v>771</v>
      </c>
      <c r="B32" s="1836">
        <v>-162728.48000000001</v>
      </c>
      <c r="C32" s="1836">
        <v>-163570.01999999999</v>
      </c>
      <c r="D32" s="1836">
        <v>-149290.65</v>
      </c>
      <c r="E32" s="1836">
        <v>-141516.53</v>
      </c>
      <c r="F32" s="1836">
        <v>-118314.67</v>
      </c>
      <c r="G32" s="1836">
        <v>-121567.59</v>
      </c>
      <c r="H32" s="1836">
        <v>-120938.52</v>
      </c>
      <c r="I32" s="1836">
        <v>-98676.87</v>
      </c>
      <c r="J32" s="1836">
        <v>-59756.39</v>
      </c>
      <c r="K32" s="1836">
        <v>-42862.06</v>
      </c>
      <c r="L32" s="1836">
        <v>-40901.589999999997</v>
      </c>
      <c r="M32" s="1836">
        <v>-30437.82</v>
      </c>
      <c r="N32" s="1849"/>
      <c r="Q32" s="957"/>
      <c r="T32" s="987" t="s">
        <v>611</v>
      </c>
      <c r="U32" s="958">
        <f>SUM(U25:U31)</f>
        <v>1394682.12</v>
      </c>
      <c r="V32" s="988">
        <f t="shared" si="10"/>
        <v>5282.8868181818189</v>
      </c>
      <c r="W32" s="958">
        <f>SUM(W25:W31)</f>
        <v>1442250.56</v>
      </c>
      <c r="X32" s="988">
        <f t="shared" si="10"/>
        <v>5463.070303030303</v>
      </c>
      <c r="Y32" s="958">
        <f>SUM(Y25:Y31)</f>
        <v>1417827.8399999999</v>
      </c>
      <c r="Z32" s="988">
        <f t="shared" si="10"/>
        <v>5370.5599999999995</v>
      </c>
      <c r="AA32" s="958">
        <f>SUM(AA25:AA31)</f>
        <v>1373593.92</v>
      </c>
      <c r="AB32" s="988">
        <f t="shared" si="10"/>
        <v>5203.0072727272727</v>
      </c>
      <c r="AC32" s="958">
        <f>SUM(AC25:AC31)</f>
        <v>1377324.12</v>
      </c>
      <c r="AD32" s="988">
        <f t="shared" si="11"/>
        <v>5217.1368181818189</v>
      </c>
      <c r="AE32" s="969"/>
      <c r="AF32" s="958"/>
      <c r="AG32" s="941">
        <f t="shared" ref="AG32" si="12">AC32/U32-1</f>
        <v>-1.2445846799842841E-2</v>
      </c>
      <c r="AI32" s="989" t="s">
        <v>772</v>
      </c>
      <c r="AJ32" s="960">
        <f t="array" ref="AJ32">SUM(IF($AI32=$P$8:$P$600, $B$8:$M$600,0))</f>
        <v>0</v>
      </c>
      <c r="AK32" s="958">
        <f t="array" ref="AK32">SUM(IF($AI32=$P$8:$P$600, $H$8:$M$600,0))*2</f>
        <v>0</v>
      </c>
      <c r="AL32" s="958">
        <f t="array" ref="AL32">SUM(IF($AI32=$P$8:$P$600, $K$8:$M$600,0))*4</f>
        <v>0</v>
      </c>
      <c r="AM32" s="958">
        <f t="array" ref="AM32">SUM(IF($AI32=$P$8:$P$600, $M$8:$M$600,0))*12</f>
        <v>0</v>
      </c>
    </row>
    <row r="33" spans="1:39">
      <c r="A33" s="1826"/>
      <c r="B33" s="1831"/>
      <c r="C33" s="1831"/>
      <c r="D33" s="1831"/>
      <c r="E33" s="1831"/>
      <c r="F33" s="1831"/>
      <c r="G33" s="1831"/>
      <c r="H33" s="1831"/>
      <c r="I33" s="1831"/>
      <c r="J33" s="1831"/>
      <c r="K33" s="1831"/>
      <c r="L33" s="1831"/>
      <c r="M33" s="1831"/>
      <c r="N33" s="1849"/>
      <c r="Q33" s="957"/>
      <c r="T33" s="939"/>
      <c r="V33" s="990"/>
      <c r="X33" s="990"/>
      <c r="Z33" s="990"/>
      <c r="AB33" s="990"/>
      <c r="AD33" s="990"/>
      <c r="AE33" s="991"/>
      <c r="AG33" s="941"/>
      <c r="AI33" s="989" t="s">
        <v>773</v>
      </c>
      <c r="AJ33" s="960">
        <f t="array" ref="AJ33">SUM(IF($AI33=$P$8:$P$600, $B$8:$M$600,0))</f>
        <v>0</v>
      </c>
      <c r="AK33" s="958">
        <f t="array" ref="AK33">SUM(IF($AI33=$P$8:$P$600, $H$8:$M$600,0))*2</f>
        <v>0</v>
      </c>
      <c r="AL33" s="958">
        <f t="array" ref="AL33">SUM(IF($AI33=$P$8:$P$600, $K$8:$M$600,0))*4</f>
        <v>0</v>
      </c>
      <c r="AM33" s="958">
        <f t="array" ref="AM33">SUM(IF($AI33=$P$8:$P$600, $M$8:$M$600,0))*12</f>
        <v>0</v>
      </c>
    </row>
    <row r="34" spans="1:39">
      <c r="A34" s="1826" t="s">
        <v>774</v>
      </c>
      <c r="B34" s="1836">
        <v>203744.19</v>
      </c>
      <c r="C34" s="1836">
        <v>202033.94</v>
      </c>
      <c r="D34" s="1836">
        <v>209450.39</v>
      </c>
      <c r="E34" s="1836">
        <v>217021.98</v>
      </c>
      <c r="F34" s="1836">
        <v>239387.2</v>
      </c>
      <c r="G34" s="1836">
        <v>236938.41</v>
      </c>
      <c r="H34" s="1836">
        <v>234271.62</v>
      </c>
      <c r="I34" s="1836">
        <v>255562.39</v>
      </c>
      <c r="J34" s="1836">
        <v>294181.45</v>
      </c>
      <c r="K34" s="1836">
        <v>309900.68</v>
      </c>
      <c r="L34" s="1836">
        <v>312334.98</v>
      </c>
      <c r="M34" s="1836">
        <v>322597.31</v>
      </c>
      <c r="N34" s="1849"/>
      <c r="Q34" s="957"/>
      <c r="T34" s="939" t="str">
        <f>'Debt Sizing'!A33</f>
        <v>Insurance</v>
      </c>
      <c r="U34" s="958">
        <f t="array" ref="U34">SUM(IF($T34=$N$8:$N$600, $B$8:$M$600,0))</f>
        <v>133981.79</v>
      </c>
      <c r="V34" s="982">
        <f>U34/units</f>
        <v>507.50678030303033</v>
      </c>
      <c r="W34" s="958">
        <f t="array" ref="W34">SUM(IF($T34=$N$8:$N$600, $H$8:$M$600,0))*2</f>
        <v>145990.34000000003</v>
      </c>
      <c r="X34" s="982">
        <f>W34/units</f>
        <v>552.99371212121218</v>
      </c>
      <c r="Y34" s="958">
        <f t="array" ref="Y34">SUM(IF($T34=$N$8:$N$600, $K$8:$M$600,0))*4</f>
        <v>88865.64</v>
      </c>
      <c r="Z34" s="982">
        <f>Y34/units</f>
        <v>336.61227272727274</v>
      </c>
      <c r="AA34" s="958">
        <f t="array" ref="AA34">SUM(IF($T34=$N$8:$N$600, $L$8:$M$600,0))*6</f>
        <v>74584.44</v>
      </c>
      <c r="AB34" s="982">
        <f>AA34/units</f>
        <v>282.51681818181817</v>
      </c>
      <c r="AC34" s="958">
        <f t="array" ref="AC34">SUM(IF($T34=$N$8:$N$600, $M$8:$M$600,0))*12</f>
        <v>31740.840000000004</v>
      </c>
      <c r="AD34" s="982">
        <f>AC34/units</f>
        <v>120.23045454545456</v>
      </c>
      <c r="AE34" s="983">
        <f>'Sponsor Pro Forma'!K32</f>
        <v>117480</v>
      </c>
      <c r="AF34" s="958"/>
      <c r="AG34" s="941"/>
      <c r="AI34" s="989" t="s">
        <v>775</v>
      </c>
      <c r="AJ34" s="960">
        <f t="array" ref="AJ34">SUM(IF($AI34=$P$8:$P$600, $B$8:$M$600,0))</f>
        <v>0</v>
      </c>
      <c r="AK34" s="958">
        <f t="array" ref="AK34">SUM(IF($AI34=$P$8:$P$600, $H$8:$M$600,0))*2</f>
        <v>0</v>
      </c>
      <c r="AL34" s="958">
        <f t="array" ref="AL34">SUM(IF($AI34=$P$8:$P$600, $K$8:$M$600,0))*4</f>
        <v>0</v>
      </c>
      <c r="AM34" s="958">
        <f t="array" ref="AM34">SUM(IF($AI34=$P$8:$P$600, $M$8:$M$600,0))*12</f>
        <v>0</v>
      </c>
    </row>
    <row r="35" spans="1:39">
      <c r="A35" s="1826" t="s">
        <v>776</v>
      </c>
      <c r="B35" s="1835"/>
      <c r="C35" s="1835"/>
      <c r="D35" s="1835"/>
      <c r="E35" s="1835"/>
      <c r="F35" s="1835"/>
      <c r="G35" s="1835"/>
      <c r="H35" s="1835"/>
      <c r="I35" s="1835"/>
      <c r="J35" s="1835"/>
      <c r="K35" s="1835"/>
      <c r="L35" s="1835"/>
      <c r="M35" s="1835"/>
      <c r="N35" s="1849"/>
      <c r="Q35" s="957"/>
      <c r="T35" s="939" t="str">
        <f>'Debt Sizing'!A34</f>
        <v xml:space="preserve">Property Management </v>
      </c>
      <c r="U35" s="958">
        <f t="array" ref="U35">SUM(IF($T35=$N$8:$N$600, $B$8:$M$600,0))</f>
        <v>114091.56000000001</v>
      </c>
      <c r="V35" s="992">
        <f>U35/U22</f>
        <v>3.1739731815535584E-2</v>
      </c>
      <c r="W35" s="958">
        <f t="array" ref="W35">SUM(IF($T35=$N$8:$N$600, $H$8:$M$600,0))*2</f>
        <v>125716.99999999999</v>
      </c>
      <c r="X35" s="992">
        <f>W35/W22</f>
        <v>3.0825849259539882E-2</v>
      </c>
      <c r="Y35" s="958">
        <f t="array" ref="Y35">SUM(IF($T35=$N$8:$N$600, $K$8:$M$600,0))*4</f>
        <v>137749.07999999999</v>
      </c>
      <c r="Z35" s="992">
        <f>Y35/Y22</f>
        <v>3.1244732023609532E-2</v>
      </c>
      <c r="AA35" s="958">
        <f t="array" ref="AA35">SUM(IF($T35=$N$8:$N$600, $L$8:$M$600,0))*6</f>
        <v>138455.82</v>
      </c>
      <c r="AB35" s="992">
        <f>AA35/AA22</f>
        <v>3.1279154386019942E-2</v>
      </c>
      <c r="AC35" s="958">
        <f t="array" ref="AC35">SUM(IF($T35=$N$8:$N$600, $M$8:$M$600,0))*12</f>
        <v>139772.88</v>
      </c>
      <c r="AD35" s="992">
        <f>AC35/AC22</f>
        <v>3.1227471308181976E-2</v>
      </c>
      <c r="AE35" s="983">
        <f>'Sponsor Pro Forma'!K33</f>
        <v>144931.29558789491</v>
      </c>
      <c r="AF35" s="958"/>
      <c r="AG35" s="941"/>
      <c r="AI35" s="985" t="s">
        <v>777</v>
      </c>
      <c r="AJ35" s="966">
        <f>SUM(AJ31:AJ34)</f>
        <v>0</v>
      </c>
      <c r="AK35" s="966">
        <f>SUM(AK31:AK34)</f>
        <v>0</v>
      </c>
      <c r="AL35" s="966">
        <f>SUM(AL31:AL34)</f>
        <v>0</v>
      </c>
      <c r="AM35" s="966">
        <f>SUM(AM31:AM34)</f>
        <v>0</v>
      </c>
    </row>
    <row r="36" spans="1:39" ht="18" thickBot="1">
      <c r="A36" s="1826" t="s">
        <v>778</v>
      </c>
      <c r="B36" s="1827">
        <v>50</v>
      </c>
      <c r="C36" s="1827">
        <v>50</v>
      </c>
      <c r="D36" s="1827">
        <v>50</v>
      </c>
      <c r="E36" s="1827">
        <v>0</v>
      </c>
      <c r="F36" s="1827">
        <v>50</v>
      </c>
      <c r="G36" s="1827">
        <v>0</v>
      </c>
      <c r="H36" s="1827">
        <v>60</v>
      </c>
      <c r="I36" s="1827">
        <v>75</v>
      </c>
      <c r="J36" s="1827">
        <v>50</v>
      </c>
      <c r="K36" s="1827">
        <v>75</v>
      </c>
      <c r="L36" s="1827">
        <v>85</v>
      </c>
      <c r="M36" s="1827">
        <v>0</v>
      </c>
      <c r="N36" s="1849" t="s">
        <v>653</v>
      </c>
      <c r="Q36" s="957"/>
      <c r="T36" s="939" t="str">
        <f>'Debt Sizing'!A35</f>
        <v>Real Estate Taxes</v>
      </c>
      <c r="U36" s="958">
        <f t="array" ref="U36">SUM(IF($T36=$N$8:$N$600, $B$8:$M$600,0))</f>
        <v>623314.08999999985</v>
      </c>
      <c r="V36" s="982">
        <f>U36/units</f>
        <v>2361.038219696969</v>
      </c>
      <c r="W36" s="958">
        <f t="array" ref="W36">SUM(IF($T36=$N$8:$N$600, $H$8:$M$600,0))*2</f>
        <v>706028.17999999993</v>
      </c>
      <c r="X36" s="982">
        <f>W36/units</f>
        <v>2674.3491666666664</v>
      </c>
      <c r="Y36" s="958">
        <f t="array" ref="Y36">SUM(IF($T36=$N$8:$N$600, $K$8:$M$600,0))*4</f>
        <v>588286.24</v>
      </c>
      <c r="Z36" s="982">
        <f>Y36/units</f>
        <v>2228.3569696969698</v>
      </c>
      <c r="AA36" s="958">
        <f t="array" ref="AA36">SUM(IF($T36=$N$8:$N$600, $L$8:$M$600,0))*6</f>
        <v>588286.19999999995</v>
      </c>
      <c r="AB36" s="982">
        <f>AA36/units</f>
        <v>2228.3568181818182</v>
      </c>
      <c r="AC36" s="958">
        <f t="array" ref="AC36">SUM(IF($T36=$N$8:$N$600, $M$8:$M$600,0))*12</f>
        <v>588286.19999999995</v>
      </c>
      <c r="AD36" s="982">
        <f>AC36/units</f>
        <v>2228.3568181818182</v>
      </c>
      <c r="AE36" s="983">
        <f>'Sponsor Pro Forma'!K34</f>
        <v>478792.32</v>
      </c>
      <c r="AF36" s="958"/>
      <c r="AG36" s="941"/>
      <c r="AI36" s="971" t="s">
        <v>779</v>
      </c>
      <c r="AJ36" s="966">
        <f>AJ29+AJ30+AJ35</f>
        <v>0</v>
      </c>
      <c r="AK36" s="966">
        <f>AK29+AK30+AK35</f>
        <v>0</v>
      </c>
      <c r="AL36" s="966">
        <f>AL29+AL30+AL35</f>
        <v>0</v>
      </c>
      <c r="AM36" s="966">
        <f>AM29+AM30+AM35</f>
        <v>0</v>
      </c>
    </row>
    <row r="37" spans="1:39" ht="18" thickBot="1">
      <c r="A37" s="1826" t="s">
        <v>780</v>
      </c>
      <c r="B37" s="1827">
        <v>1250</v>
      </c>
      <c r="C37" s="1827">
        <v>2250</v>
      </c>
      <c r="D37" s="1827">
        <v>2250</v>
      </c>
      <c r="E37" s="1827">
        <v>7000</v>
      </c>
      <c r="F37" s="1827">
        <v>7000</v>
      </c>
      <c r="G37" s="1827">
        <v>2750</v>
      </c>
      <c r="H37" s="1827">
        <v>2250</v>
      </c>
      <c r="I37" s="1827">
        <v>2500</v>
      </c>
      <c r="J37" s="1827">
        <v>500</v>
      </c>
      <c r="K37" s="1827">
        <v>1250</v>
      </c>
      <c r="L37" s="1827">
        <v>1250</v>
      </c>
      <c r="M37" s="1827">
        <v>1000</v>
      </c>
      <c r="N37" s="1849" t="s">
        <v>653</v>
      </c>
      <c r="Q37" s="957"/>
      <c r="T37" s="939" t="str">
        <f>'Debt Sizing'!A36</f>
        <v>Franchise Taxes</v>
      </c>
      <c r="U37" s="958">
        <f t="array" ref="U37">SUM(IF($T37=$N$8:$N$600, $B$8:$M$600,0))</f>
        <v>0</v>
      </c>
      <c r="V37" s="992">
        <f>U37/U22</f>
        <v>0</v>
      </c>
      <c r="W37" s="958">
        <f t="array" ref="W37">SUM(IF($T37=$N$8:$N$600, $H$8:$M$600,0))*2</f>
        <v>0</v>
      </c>
      <c r="X37" s="992">
        <f>W37/W22</f>
        <v>0</v>
      </c>
      <c r="Y37" s="958">
        <f t="array" ref="Y37">SUM(IF($T37=$N$8:$N$600, $K$8:$M$600,0))*4</f>
        <v>0</v>
      </c>
      <c r="Z37" s="992">
        <f>Y37/Y22</f>
        <v>0</v>
      </c>
      <c r="AA37" s="958">
        <f t="array" ref="AA37">SUM(IF($T37=$N$8:$N$600, $L$8:$M$600,0))*6</f>
        <v>0</v>
      </c>
      <c r="AB37" s="992">
        <f>AA37/AA22</f>
        <v>0</v>
      </c>
      <c r="AC37" s="958">
        <f t="array" ref="AC37">SUM(IF($T37=$N$8:$N$600, $M$8:$M$600,0))*12</f>
        <v>0</v>
      </c>
      <c r="AD37" s="992">
        <f>AC37/AC22</f>
        <v>0</v>
      </c>
      <c r="AE37" s="983">
        <f>'Sponsor Pro Forma'!K35</f>
        <v>0</v>
      </c>
      <c r="AF37" s="958"/>
      <c r="AG37" s="941"/>
      <c r="AI37" s="1879" t="s">
        <v>781</v>
      </c>
    </row>
    <row r="38" spans="1:39">
      <c r="A38" s="1826" t="s">
        <v>782</v>
      </c>
      <c r="B38" s="1827">
        <v>700</v>
      </c>
      <c r="C38" s="1827">
        <v>1100</v>
      </c>
      <c r="D38" s="1827">
        <v>1100</v>
      </c>
      <c r="E38" s="1827">
        <v>2400</v>
      </c>
      <c r="F38" s="1827">
        <v>3000</v>
      </c>
      <c r="G38" s="1827">
        <v>1550</v>
      </c>
      <c r="H38" s="1827">
        <v>1200</v>
      </c>
      <c r="I38" s="1827">
        <v>900</v>
      </c>
      <c r="J38" s="1827">
        <v>450</v>
      </c>
      <c r="K38" s="1827">
        <v>600</v>
      </c>
      <c r="L38" s="1827">
        <v>450</v>
      </c>
      <c r="M38" s="1827">
        <v>400</v>
      </c>
      <c r="N38" s="1849" t="s">
        <v>653</v>
      </c>
      <c r="Q38" s="957"/>
      <c r="T38" s="939" t="str">
        <f>'Debt Sizing'!A37</f>
        <v>Replacement Reserves</v>
      </c>
      <c r="U38" s="958">
        <f t="array" ref="U38">SUM(IF($T38=$N$8:$N$600, $B$8:$M$600,0))</f>
        <v>0</v>
      </c>
      <c r="V38" s="982">
        <f>U38/units</f>
        <v>0</v>
      </c>
      <c r="W38" s="958">
        <f t="array" ref="W38">SUM(IF($T38=$N$8:$N$600, $H$8:$M$600,0))*2</f>
        <v>0</v>
      </c>
      <c r="X38" s="982">
        <f>W38/units</f>
        <v>0</v>
      </c>
      <c r="Y38" s="958">
        <f t="array" ref="Y38">SUM(IF($T38=$N$8:$N$600, $K$8:$M$600,0))*4</f>
        <v>0</v>
      </c>
      <c r="Z38" s="982">
        <f>Y38/units</f>
        <v>0</v>
      </c>
      <c r="AA38" s="958">
        <f t="array" ref="AA38">SUM(IF($T38=$N$8:$N$600, $L$8:$M$600,0))*6</f>
        <v>0</v>
      </c>
      <c r="AB38" s="982">
        <f>AA38/units</f>
        <v>0</v>
      </c>
      <c r="AC38" s="958">
        <f t="array" ref="AC38">SUM(IF($T38=$N$8:$N$600, $M$8:$M$600,0))*12</f>
        <v>0</v>
      </c>
      <c r="AD38" s="982">
        <f>AC38/units</f>
        <v>0</v>
      </c>
      <c r="AE38" s="983">
        <f>'Sponsor Pro Forma'!K36</f>
        <v>66000</v>
      </c>
      <c r="AF38" s="958"/>
      <c r="AG38" s="941"/>
      <c r="AI38" s="989" t="s">
        <v>783</v>
      </c>
      <c r="AJ38" s="960">
        <f t="array" ref="AJ38">SUM(IF($AI38=$P$8:$P$600, $B$8:$M$600,0))</f>
        <v>0</v>
      </c>
      <c r="AK38" s="958">
        <f t="array" ref="AK38">SUM(IF($AI38=$P$8:$P$600, $H$8:$M$600,0))*2</f>
        <v>0</v>
      </c>
      <c r="AL38" s="958">
        <f t="array" ref="AL38">SUM(IF($AI38=$P$8:$P$600, $K$8:$M$600,0))*4</f>
        <v>0</v>
      </c>
      <c r="AM38" s="958">
        <f t="array" ref="AM38">SUM(IF($AI38=$P$8:$P$600, $M$8:$M$600,0))*12</f>
        <v>0</v>
      </c>
    </row>
    <row r="39" spans="1:39">
      <c r="A39" s="1826" t="s">
        <v>784</v>
      </c>
      <c r="B39" s="1827">
        <v>13183.55</v>
      </c>
      <c r="C39" s="1827">
        <v>13289.18</v>
      </c>
      <c r="D39" s="1827">
        <v>13778.5</v>
      </c>
      <c r="E39" s="1827">
        <v>14775.33</v>
      </c>
      <c r="F39" s="1827">
        <v>16243.28</v>
      </c>
      <c r="G39" s="1827">
        <v>17993.23</v>
      </c>
      <c r="H39" s="1827">
        <v>21185.31</v>
      </c>
      <c r="I39" s="1827">
        <v>21804</v>
      </c>
      <c r="J39" s="1827">
        <v>22124.53</v>
      </c>
      <c r="K39" s="1827">
        <v>22380</v>
      </c>
      <c r="L39" s="1827">
        <v>22983.88</v>
      </c>
      <c r="M39" s="1827">
        <v>23195.82</v>
      </c>
      <c r="N39" s="1849" t="s">
        <v>652</v>
      </c>
      <c r="P39" s="957"/>
      <c r="Q39" s="957"/>
      <c r="T39" s="987" t="s">
        <v>612</v>
      </c>
      <c r="U39" s="1870">
        <f>SUM(U34:U38)</f>
        <v>871387.44</v>
      </c>
      <c r="V39" s="1871">
        <f>U39/units</f>
        <v>3300.7099999999996</v>
      </c>
      <c r="W39" s="1870">
        <f t="shared" ref="W39:AC39" si="13">SUM(W34:W38)</f>
        <v>977735.52</v>
      </c>
      <c r="X39" s="1871">
        <f>W39/units</f>
        <v>3703.5436363636363</v>
      </c>
      <c r="Y39" s="1870">
        <f t="shared" si="13"/>
        <v>814900.96</v>
      </c>
      <c r="Z39" s="1871">
        <f>Y39/units</f>
        <v>3086.7460606060604</v>
      </c>
      <c r="AA39" s="1870">
        <f t="shared" ref="AA39" si="14">SUM(AA34:AA38)</f>
        <v>801326.46</v>
      </c>
      <c r="AB39" s="1871">
        <f>AA39/units</f>
        <v>3035.3274999999999</v>
      </c>
      <c r="AC39" s="1870">
        <f t="shared" si="13"/>
        <v>759799.91999999993</v>
      </c>
      <c r="AD39" s="1871">
        <f>AC39/units</f>
        <v>2878.0299999999997</v>
      </c>
      <c r="AE39" s="969"/>
      <c r="AF39" s="958"/>
      <c r="AG39" s="1872">
        <f t="shared" ref="AG39" si="15">AC39/U39-1</f>
        <v>-0.1280572967634237</v>
      </c>
      <c r="AI39" s="1873" t="s">
        <v>785</v>
      </c>
      <c r="AJ39" s="958">
        <f t="array" ref="AJ39">SUM(IF($AI39=$P$8:$P$600, $B$8:$M$600,0))</f>
        <v>0</v>
      </c>
      <c r="AK39" s="958">
        <f t="array" ref="AK39">SUM(IF($AI39=$P$8:$P$600, $H$8:$M$600,0))*2</f>
        <v>0</v>
      </c>
      <c r="AL39" s="958">
        <f t="array" ref="AL39">SUM(IF($AI39=$P$8:$P$600, $K$8:$M$600,0))*4</f>
        <v>0</v>
      </c>
      <c r="AM39" s="958">
        <f t="array" ref="AM39">SUM(IF($AI39=$P$8:$P$600, $M$8:$M$600,0))*12</f>
        <v>0</v>
      </c>
    </row>
    <row r="40" spans="1:39">
      <c r="A40" s="1826" t="s">
        <v>786</v>
      </c>
      <c r="B40" s="1827">
        <v>7561</v>
      </c>
      <c r="C40" s="1827">
        <v>7748</v>
      </c>
      <c r="D40" s="1827">
        <v>25383.5</v>
      </c>
      <c r="E40" s="1827">
        <v>1416</v>
      </c>
      <c r="F40" s="1827">
        <v>6786</v>
      </c>
      <c r="G40" s="1827">
        <v>3600</v>
      </c>
      <c r="H40" s="1827">
        <v>0</v>
      </c>
      <c r="I40" s="1827">
        <v>3145</v>
      </c>
      <c r="J40" s="1827">
        <v>3676</v>
      </c>
      <c r="K40" s="1827">
        <v>7076</v>
      </c>
      <c r="L40" s="1827">
        <v>1210</v>
      </c>
      <c r="M40" s="1827">
        <v>4432</v>
      </c>
      <c r="N40" s="1849" t="s">
        <v>653</v>
      </c>
      <c r="Q40" s="957"/>
      <c r="T40" s="993" t="s">
        <v>40</v>
      </c>
      <c r="U40" s="958">
        <f>U32+U39</f>
        <v>2266069.56</v>
      </c>
      <c r="V40" s="988">
        <f>U40/units</f>
        <v>8583.5968181818189</v>
      </c>
      <c r="W40" s="958">
        <f>W32+W39</f>
        <v>2419986.08</v>
      </c>
      <c r="X40" s="988">
        <f>W40/units</f>
        <v>9166.6139393939393</v>
      </c>
      <c r="Y40" s="958">
        <f>Y32+Y39</f>
        <v>2232728.7999999998</v>
      </c>
      <c r="Z40" s="988">
        <f>Y40/units</f>
        <v>8457.3060606060608</v>
      </c>
      <c r="AA40" s="958">
        <f>AA32+AA39</f>
        <v>2174920.38</v>
      </c>
      <c r="AB40" s="988">
        <f>AA40/units</f>
        <v>8238.3347727272721</v>
      </c>
      <c r="AC40" s="958">
        <f>AC32+AC39</f>
        <v>2137124.04</v>
      </c>
      <c r="AD40" s="988">
        <f>AC40/units</f>
        <v>8095.1668181818186</v>
      </c>
      <c r="AE40" s="969"/>
      <c r="AF40" s="958"/>
      <c r="AG40" s="941"/>
      <c r="AI40" s="989" t="s">
        <v>787</v>
      </c>
      <c r="AJ40" s="960">
        <f t="array" ref="AJ40">SUM(IF($AI40=$P$8:$P$600, $B$8:$M$600,0))</f>
        <v>0</v>
      </c>
      <c r="AK40" s="958">
        <f t="array" ref="AK40">SUM(IF($AI40=$P$8:$P$600, $H$8:$M$600,0))*2</f>
        <v>0</v>
      </c>
      <c r="AL40" s="958">
        <f t="array" ref="AL40">SUM(IF($AI40=$P$8:$P$600, $K$8:$M$600,0))*4</f>
        <v>0</v>
      </c>
      <c r="AM40" s="958">
        <f t="array" ref="AM40">SUM(IF($AI40=$P$8:$P$600, $M$8:$M$600,0))*12</f>
        <v>0</v>
      </c>
    </row>
    <row r="41" spans="1:39">
      <c r="A41" s="1826" t="s">
        <v>788</v>
      </c>
      <c r="B41" s="1827">
        <v>50.75</v>
      </c>
      <c r="C41" s="1827">
        <v>146.35</v>
      </c>
      <c r="D41" s="1827">
        <v>14.95</v>
      </c>
      <c r="E41" s="1827">
        <v>131.4</v>
      </c>
      <c r="F41" s="1827">
        <v>582.25</v>
      </c>
      <c r="G41" s="1827">
        <v>134.35</v>
      </c>
      <c r="H41" s="1827">
        <v>-224.05</v>
      </c>
      <c r="I41" s="1827">
        <v>537.70000000000005</v>
      </c>
      <c r="J41" s="1827">
        <v>179.2</v>
      </c>
      <c r="K41" s="1827">
        <v>26.95</v>
      </c>
      <c r="L41" s="1827">
        <v>47.8</v>
      </c>
      <c r="M41" s="1827">
        <v>29.9</v>
      </c>
      <c r="N41" s="1849" t="s">
        <v>653</v>
      </c>
      <c r="Q41" s="957"/>
      <c r="T41" s="967"/>
      <c r="U41" s="994"/>
      <c r="V41" s="995"/>
      <c r="W41" s="994"/>
      <c r="X41" s="995"/>
      <c r="Y41" s="994"/>
      <c r="Z41" s="995"/>
      <c r="AA41" s="994"/>
      <c r="AB41" s="995"/>
      <c r="AC41" s="994"/>
      <c r="AD41" s="995"/>
      <c r="AE41" s="991"/>
      <c r="AG41" s="976"/>
      <c r="AI41" s="989" t="s">
        <v>789</v>
      </c>
      <c r="AJ41" s="960">
        <f t="array" ref="AJ41">SUM(IF($AI41=$P$8:$P$600, $B$8:$M$600,0))</f>
        <v>0</v>
      </c>
      <c r="AK41" s="958">
        <f t="array" ref="AK41">SUM(IF($AI41=$P$8:$P$600, $H$8:$M$600,0))*2</f>
        <v>0</v>
      </c>
      <c r="AL41" s="958">
        <f t="array" ref="AL41">SUM(IF($AI41=$P$8:$P$600, $K$8:$M$600,0))*4</f>
        <v>0</v>
      </c>
      <c r="AM41" s="958">
        <f t="array" ref="AM41">SUM(IF($AI41=$P$8:$P$600, $M$8:$M$600,0))*12</f>
        <v>0</v>
      </c>
    </row>
    <row r="42" spans="1:39">
      <c r="A42" s="1826" t="s">
        <v>790</v>
      </c>
      <c r="B42" s="1827">
        <v>3225</v>
      </c>
      <c r="C42" s="1827">
        <v>1305</v>
      </c>
      <c r="D42" s="1827">
        <v>4296.07</v>
      </c>
      <c r="E42" s="1827">
        <v>1716.07</v>
      </c>
      <c r="F42" s="1827">
        <v>3551.58</v>
      </c>
      <c r="G42" s="1827">
        <v>885</v>
      </c>
      <c r="H42" s="1827">
        <v>2899.5</v>
      </c>
      <c r="I42" s="1827">
        <v>2440.61</v>
      </c>
      <c r="J42" s="1827">
        <v>1699.8</v>
      </c>
      <c r="K42" s="1827">
        <v>1548.3</v>
      </c>
      <c r="L42" s="1827">
        <v>1078.6500000000001</v>
      </c>
      <c r="M42" s="1827">
        <v>760</v>
      </c>
      <c r="N42" s="1849" t="s">
        <v>653</v>
      </c>
      <c r="Q42" s="957"/>
      <c r="T42" s="993" t="s">
        <v>613</v>
      </c>
      <c r="U42" s="958">
        <f>U22-U40</f>
        <v>1328527.9199999995</v>
      </c>
      <c r="V42" s="988">
        <f>U42/units</f>
        <v>5032.302727272725</v>
      </c>
      <c r="W42" s="958">
        <f>W22-W40</f>
        <v>1658311.9400000004</v>
      </c>
      <c r="X42" s="988">
        <f>W42/units</f>
        <v>6281.4846212121229</v>
      </c>
      <c r="Y42" s="958">
        <f>Y22-Y40</f>
        <v>2175984.96</v>
      </c>
      <c r="Z42" s="988">
        <f>Y42/units</f>
        <v>8242.3672727272733</v>
      </c>
      <c r="AA42" s="958">
        <f>AA22-AA40</f>
        <v>2251536.2400000002</v>
      </c>
      <c r="AB42" s="988">
        <f>AA42/units</f>
        <v>8528.5463636363638</v>
      </c>
      <c r="AC42" s="958">
        <f>AC22-AC40</f>
        <v>2338834.919999999</v>
      </c>
      <c r="AD42" s="988">
        <f>AC42/units</f>
        <v>8859.2231818181772</v>
      </c>
      <c r="AE42" s="969"/>
      <c r="AF42" s="958"/>
      <c r="AG42" s="941">
        <f t="shared" ref="AG42" si="16">AC42/U42-1</f>
        <v>0.76047103323203014</v>
      </c>
      <c r="AI42" s="989" t="s">
        <v>791</v>
      </c>
      <c r="AJ42" s="960">
        <f t="array" ref="AJ42">SUM(IF($AI42=$P$8:$P$600, $B$8:$M$600,0))</f>
        <v>0</v>
      </c>
      <c r="AK42" s="958">
        <f t="array" ref="AK42">SUM(IF($AI42=$P$8:$P$600, $H$8:$M$600,0))*2</f>
        <v>0</v>
      </c>
      <c r="AL42" s="958">
        <f t="array" ref="AL42">SUM(IF($AI42=$P$8:$P$600, $K$8:$M$600,0))*4</f>
        <v>0</v>
      </c>
      <c r="AM42" s="958">
        <f t="array" ref="AM42">SUM(IF($AI42=$P$8:$P$600, $M$8:$M$600,0))*12</f>
        <v>0</v>
      </c>
    </row>
    <row r="43" spans="1:39">
      <c r="A43" s="1826" t="s">
        <v>792</v>
      </c>
      <c r="B43" s="1827">
        <v>250</v>
      </c>
      <c r="C43" s="1827">
        <v>0</v>
      </c>
      <c r="D43" s="1827">
        <v>0</v>
      </c>
      <c r="E43" s="1827">
        <v>0</v>
      </c>
      <c r="F43" s="1827">
        <v>0</v>
      </c>
      <c r="G43" s="1827">
        <v>0</v>
      </c>
      <c r="H43" s="1827">
        <v>0</v>
      </c>
      <c r="I43" s="1827">
        <v>0</v>
      </c>
      <c r="J43" s="1827">
        <v>0</v>
      </c>
      <c r="K43" s="1827">
        <v>0</v>
      </c>
      <c r="L43" s="1827">
        <v>0</v>
      </c>
      <c r="M43" s="1827">
        <v>0</v>
      </c>
      <c r="N43" s="1849" t="s">
        <v>653</v>
      </c>
      <c r="Q43" s="957"/>
      <c r="AI43" s="989" t="s">
        <v>793</v>
      </c>
      <c r="AJ43" s="960">
        <f t="array" ref="AJ43">SUM(IF($AI43=$P$8:$P$600, $B$8:$M$600,0))</f>
        <v>0</v>
      </c>
      <c r="AK43" s="958">
        <f t="array" ref="AK43">SUM(IF($AI43=$P$8:$P$600, $H$8:$M$600,0))*2</f>
        <v>0</v>
      </c>
      <c r="AL43" s="958">
        <f t="array" ref="AL43">SUM(IF($AI43=$P$8:$P$600, $K$8:$M$600,0))*4</f>
        <v>0</v>
      </c>
      <c r="AM43" s="958">
        <f t="array" ref="AM43">SUM(IF($AI43=$P$8:$P$600, $M$8:$M$600,0))*12</f>
        <v>0</v>
      </c>
    </row>
    <row r="44" spans="1:39">
      <c r="A44" s="1826" t="s">
        <v>794</v>
      </c>
      <c r="B44" s="1827">
        <v>1611.08</v>
      </c>
      <c r="C44" s="1827">
        <v>1679.52</v>
      </c>
      <c r="D44" s="1827">
        <v>1927.03</v>
      </c>
      <c r="E44" s="1827">
        <v>2159.33</v>
      </c>
      <c r="F44" s="1827">
        <v>2270.67</v>
      </c>
      <c r="G44" s="1827">
        <v>2440.65</v>
      </c>
      <c r="H44" s="1827">
        <v>2673.4</v>
      </c>
      <c r="I44" s="1827">
        <v>2946.31</v>
      </c>
      <c r="J44" s="1827">
        <v>3057.1</v>
      </c>
      <c r="K44" s="1827">
        <v>3150.05</v>
      </c>
      <c r="L44" s="1827">
        <v>3365.95</v>
      </c>
      <c r="M44" s="1827">
        <v>3354.84</v>
      </c>
      <c r="N44" s="1849" t="s">
        <v>653</v>
      </c>
      <c r="Q44" s="957"/>
      <c r="T44" s="937" t="s">
        <v>795</v>
      </c>
      <c r="U44" s="996">
        <f>U42/'Inputs and Assumptions'!$D$11</f>
        <v>2.4602368888888879E-2</v>
      </c>
      <c r="V44" s="996">
        <f>V42/'Inputs and Assumptions'!$D$11</f>
        <v>9.3190791245791198E-5</v>
      </c>
      <c r="W44" s="996">
        <f>W42/'Inputs and Assumptions'!$D$11</f>
        <v>3.0709480370370378E-2</v>
      </c>
      <c r="X44" s="996">
        <f>X42/'Inputs and Assumptions'!$D$11</f>
        <v>1.1632378928170598E-4</v>
      </c>
      <c r="Y44" s="996">
        <f>Y42/'Inputs and Assumptions'!$D$11</f>
        <v>4.0296017777777776E-2</v>
      </c>
      <c r="Z44" s="996">
        <f>Z42/'Inputs and Assumptions'!$D$11</f>
        <v>1.52636430976431E-4</v>
      </c>
      <c r="AA44" s="996">
        <f>AA42/'Inputs and Assumptions'!$D$11</f>
        <v>4.1695115555555558E-2</v>
      </c>
      <c r="AB44" s="996">
        <f>AB42/'Inputs and Assumptions'!$D$11</f>
        <v>1.5793604377104377E-4</v>
      </c>
      <c r="AC44" s="996">
        <f>AC42/'Inputs and Assumptions'!$D$11</f>
        <v>4.3311757777777758E-2</v>
      </c>
      <c r="AI44" s="989" t="s">
        <v>796</v>
      </c>
      <c r="AJ44" s="960">
        <f t="array" ref="AJ44">SUM(IF($AI44=$P$8:$P$600, $B$8:$M$600,0))</f>
        <v>0</v>
      </c>
      <c r="AK44" s="958">
        <f t="array" ref="AK44">SUM(IF($AI44=$P$8:$P$600, $H$8:$M$600,0))*2</f>
        <v>0</v>
      </c>
      <c r="AL44" s="958">
        <f t="array" ref="AL44">SUM(IF($AI44=$P$8:$P$600, $K$8:$M$600,0))*4</f>
        <v>0</v>
      </c>
      <c r="AM44" s="958">
        <f t="array" ref="AM44">SUM(IF($AI44=$P$8:$P$600, $M$8:$M$600,0))*12</f>
        <v>0</v>
      </c>
    </row>
    <row r="45" spans="1:39">
      <c r="A45" s="1826" t="s">
        <v>797</v>
      </c>
      <c r="B45" s="1827">
        <v>1997.7</v>
      </c>
      <c r="C45" s="1827">
        <v>2023.4</v>
      </c>
      <c r="D45" s="1827">
        <v>2103.9</v>
      </c>
      <c r="E45" s="1827">
        <v>1939.9</v>
      </c>
      <c r="F45" s="1827">
        <v>2008.6</v>
      </c>
      <c r="G45" s="1827">
        <v>1981</v>
      </c>
      <c r="H45" s="1827">
        <v>2552.1</v>
      </c>
      <c r="I45" s="1827">
        <v>2612.1</v>
      </c>
      <c r="J45" s="1827">
        <v>2648</v>
      </c>
      <c r="K45" s="1827">
        <v>2562.8000000000002</v>
      </c>
      <c r="L45" s="1827">
        <v>2401</v>
      </c>
      <c r="M45" s="1827">
        <v>3486.9</v>
      </c>
      <c r="N45" s="1849" t="s">
        <v>653</v>
      </c>
      <c r="Q45" s="957"/>
      <c r="T45" s="937" t="s">
        <v>798</v>
      </c>
      <c r="U45" s="997">
        <f>U42+U36-Taxes!$H$13-'Debt Sizing'!$N$37</f>
        <v>1407049.6899999992</v>
      </c>
      <c r="V45" s="997"/>
      <c r="W45" s="997">
        <f>W42+W36-Taxes!$H$13-'Debt Sizing'!$N$37</f>
        <v>1819547.8</v>
      </c>
      <c r="X45" s="997">
        <f>X42+X36-Taxes!$H$13-'Debt Sizing'!$N$37</f>
        <v>-535836.48621212121</v>
      </c>
      <c r="Y45" s="997">
        <f>Y42+Y36-Taxes!$H$13-'Debt Sizing'!$N$37</f>
        <v>2219478.8800000004</v>
      </c>
      <c r="Z45" s="997">
        <f>Z42+Z36-Taxes!$H$13-'Debt Sizing'!$N$37</f>
        <v>-534321.59575757571</v>
      </c>
      <c r="AA45" s="997">
        <f>AA42+AA36-Taxes!$H$13-'Debt Sizing'!$N$37</f>
        <v>2295030.1200000006</v>
      </c>
      <c r="AB45" s="997">
        <f>AB42+AB36-Taxes!$H$13-'Debt Sizing'!$N$37</f>
        <v>-534035.41681818175</v>
      </c>
      <c r="AC45" s="997">
        <f>AC42+AC36-Taxes!$H$13-'Debt Sizing'!$N$37</f>
        <v>2382328.7999999993</v>
      </c>
      <c r="AI45" s="989" t="s">
        <v>799</v>
      </c>
      <c r="AJ45" s="960">
        <f t="array" ref="AJ45">SUM(IF($AI45=$P$8:$P$600, $B$8:$M$600,0))</f>
        <v>0</v>
      </c>
      <c r="AK45" s="958">
        <f t="array" ref="AK45">SUM(IF($AI45=$P$8:$P$600, $H$8:$M$600,0))*2</f>
        <v>0</v>
      </c>
      <c r="AL45" s="958">
        <f t="array" ref="AL45">SUM(IF($AI45=$P$8:$P$600, $K$8:$M$600,0))*4</f>
        <v>0</v>
      </c>
      <c r="AM45" s="958">
        <f t="array" ref="AM45">SUM(IF($AI45=$P$8:$P$600, $M$8:$M$600,0))*12</f>
        <v>0</v>
      </c>
    </row>
    <row r="46" spans="1:39">
      <c r="A46" s="1826" t="s">
        <v>800</v>
      </c>
      <c r="B46" s="1827">
        <v>680</v>
      </c>
      <c r="C46" s="1827">
        <v>680</v>
      </c>
      <c r="D46" s="1827">
        <v>680</v>
      </c>
      <c r="E46" s="1827">
        <v>0</v>
      </c>
      <c r="F46" s="1827">
        <v>1360</v>
      </c>
      <c r="G46" s="1827">
        <v>680</v>
      </c>
      <c r="H46" s="1827">
        <v>0</v>
      </c>
      <c r="I46" s="1827">
        <v>1360</v>
      </c>
      <c r="J46" s="1827">
        <v>680</v>
      </c>
      <c r="K46" s="1827">
        <v>2040</v>
      </c>
      <c r="L46" s="1827">
        <v>680</v>
      </c>
      <c r="M46" s="1827">
        <v>680</v>
      </c>
      <c r="N46" s="1849" t="s">
        <v>653</v>
      </c>
      <c r="Q46" s="957"/>
      <c r="T46" s="937" t="s">
        <v>801</v>
      </c>
      <c r="U46" s="996">
        <f>U45/'Inputs and Assumptions'!$D$11</f>
        <v>2.6056475740740728E-2</v>
      </c>
      <c r="V46" s="996">
        <f>V45/'Inputs and Assumptions'!$D$11</f>
        <v>0</v>
      </c>
      <c r="W46" s="996">
        <f>W45/'Inputs and Assumptions'!$D$11</f>
        <v>3.3695329629629629E-2</v>
      </c>
      <c r="X46" s="996">
        <f>X45/'Inputs and Assumptions'!$D$11</f>
        <v>-9.9228978928170598E-3</v>
      </c>
      <c r="Y46" s="996">
        <f>Y45/'Inputs and Assumptions'!$D$11</f>
        <v>4.1101460740740746E-2</v>
      </c>
      <c r="Z46" s="996">
        <f>Z45/'Inputs and Assumptions'!$D$11</f>
        <v>-9.8948443658810319E-3</v>
      </c>
      <c r="AA46" s="996">
        <f>AA45/'Inputs and Assumptions'!$D$11</f>
        <v>4.2500557777777788E-2</v>
      </c>
      <c r="AB46" s="996">
        <f>AB45/'Inputs and Assumptions'!$D$11</f>
        <v>-9.8895447558922552E-3</v>
      </c>
      <c r="AC46" s="996">
        <f>AC45/'Inputs and Assumptions'!$D$11</f>
        <v>4.4117199999999988E-2</v>
      </c>
      <c r="AI46" s="989" t="s">
        <v>802</v>
      </c>
      <c r="AJ46" s="960">
        <f t="array" ref="AJ46">SUM(IF($AI46=$P$8:$P$600, $B$8:$M$600,0))</f>
        <v>0</v>
      </c>
      <c r="AK46" s="958">
        <f t="array" ref="AK46">SUM(IF($AI46=$P$8:$P$600, $H$8:$M$600,0))*2</f>
        <v>0</v>
      </c>
      <c r="AL46" s="958">
        <f t="array" ref="AL46">SUM(IF($AI46=$P$8:$P$600, $K$8:$M$600,0))*4</f>
        <v>0</v>
      </c>
      <c r="AM46" s="958">
        <f t="array" ref="AM46">SUM(IF($AI46=$P$8:$P$600, $M$8:$M$600,0))*12</f>
        <v>0</v>
      </c>
    </row>
    <row r="47" spans="1:39">
      <c r="A47" s="1826" t="s">
        <v>803</v>
      </c>
      <c r="B47" s="1827">
        <v>0</v>
      </c>
      <c r="C47" s="1827">
        <v>322.58</v>
      </c>
      <c r="D47" s="1827">
        <v>300</v>
      </c>
      <c r="E47" s="1827">
        <v>0</v>
      </c>
      <c r="F47" s="1827">
        <v>383.33</v>
      </c>
      <c r="G47" s="1827">
        <v>562.91</v>
      </c>
      <c r="H47" s="1827">
        <v>548.39</v>
      </c>
      <c r="I47" s="1827">
        <v>133.33000000000001</v>
      </c>
      <c r="J47" s="1827">
        <v>0</v>
      </c>
      <c r="K47" s="1827">
        <v>0</v>
      </c>
      <c r="L47" s="1827">
        <v>225.81</v>
      </c>
      <c r="M47" s="1827">
        <v>177.42</v>
      </c>
      <c r="N47" s="1849" t="s">
        <v>653</v>
      </c>
      <c r="Q47" s="957"/>
      <c r="AI47" s="985" t="s">
        <v>804</v>
      </c>
      <c r="AJ47" s="966">
        <f>SUM(AJ38:AJ46)</f>
        <v>0</v>
      </c>
      <c r="AK47" s="966">
        <f>SUM(AK38:AK46)</f>
        <v>0</v>
      </c>
      <c r="AL47" s="966">
        <f>SUM(AL38:AL46)</f>
        <v>0</v>
      </c>
      <c r="AM47" s="966">
        <f>SUM(AM38:AM46)</f>
        <v>0</v>
      </c>
    </row>
    <row r="48" spans="1:39">
      <c r="A48" s="1826" t="s">
        <v>805</v>
      </c>
      <c r="B48" s="1827">
        <v>30</v>
      </c>
      <c r="C48" s="1827">
        <v>0</v>
      </c>
      <c r="D48" s="1827">
        <v>240</v>
      </c>
      <c r="E48" s="1827">
        <v>60</v>
      </c>
      <c r="F48" s="1827">
        <v>60</v>
      </c>
      <c r="G48" s="1827">
        <v>60</v>
      </c>
      <c r="H48" s="1827">
        <v>120</v>
      </c>
      <c r="I48" s="1827">
        <v>120</v>
      </c>
      <c r="J48" s="1827">
        <v>30</v>
      </c>
      <c r="K48" s="1827">
        <v>120</v>
      </c>
      <c r="L48" s="1827">
        <v>270</v>
      </c>
      <c r="M48" s="1827">
        <v>240</v>
      </c>
      <c r="N48" s="1849" t="s">
        <v>653</v>
      </c>
      <c r="Q48" s="957"/>
      <c r="AI48" s="985" t="s">
        <v>806</v>
      </c>
      <c r="AJ48" s="960">
        <f t="array" ref="AJ48">SUM(IF($AI48=$P$8:$P$600, $B$8:$M$600,0))</f>
        <v>0</v>
      </c>
      <c r="AK48" s="958">
        <f t="array" ref="AK48">SUM(IF($AI48=$P$8:$P$600, $H$8:$M$600,0))*2</f>
        <v>0</v>
      </c>
      <c r="AL48" s="958">
        <f t="array" ref="AL48">SUM(IF($AI48=$P$8:$P$600, $K$8:$M$600,0))*4</f>
        <v>0</v>
      </c>
      <c r="AM48" s="958">
        <f t="array" ref="AM48">SUM(IF($AI48=$P$9:$P$600, $M$9:$M$600,0))*12</f>
        <v>0</v>
      </c>
    </row>
    <row r="49" spans="1:39">
      <c r="A49" s="1826" t="s">
        <v>807</v>
      </c>
      <c r="B49" s="1827">
        <v>977.15</v>
      </c>
      <c r="C49" s="1827">
        <v>903.38</v>
      </c>
      <c r="D49" s="1827">
        <v>968.32</v>
      </c>
      <c r="E49" s="1827">
        <v>998.4</v>
      </c>
      <c r="F49" s="1827">
        <v>1132.6600000000001</v>
      </c>
      <c r="G49" s="1827">
        <v>1161.94</v>
      </c>
      <c r="H49" s="1827">
        <v>1236.1300000000001</v>
      </c>
      <c r="I49" s="1827">
        <v>1264</v>
      </c>
      <c r="J49" s="1827">
        <v>1365.8</v>
      </c>
      <c r="K49" s="1827">
        <v>1282.01</v>
      </c>
      <c r="L49" s="1827">
        <v>1421.29</v>
      </c>
      <c r="M49" s="1827">
        <v>1405.19</v>
      </c>
      <c r="N49" s="1849" t="s">
        <v>653</v>
      </c>
      <c r="Q49" s="957"/>
      <c r="AI49" s="989" t="s">
        <v>808</v>
      </c>
      <c r="AJ49" s="960">
        <f t="array" ref="AJ49">SUM(IF($AI49=$P$8:$P$600, $B$8:$M$600,0))</f>
        <v>0</v>
      </c>
      <c r="AK49" s="958">
        <f t="array" ref="AK49">SUM(IF($AI49=$P$8:$P$600, $H$8:$M$600,0))*2</f>
        <v>0</v>
      </c>
      <c r="AL49" s="958">
        <f t="array" ref="AL49">SUM(IF($AI49=$P$8:$P$600, $K$8:$M$600,0))*4</f>
        <v>0</v>
      </c>
      <c r="AM49" s="958">
        <f t="array" ref="AM49">SUM(IF($AI49=$P$8:$P$600, $M$8:$M$600,0))*12</f>
        <v>0</v>
      </c>
    </row>
    <row r="50" spans="1:39">
      <c r="A50" s="1826" t="s">
        <v>809</v>
      </c>
      <c r="B50" s="1827">
        <v>278.56</v>
      </c>
      <c r="C50" s="1827">
        <v>1950</v>
      </c>
      <c r="D50" s="1827">
        <v>350</v>
      </c>
      <c r="E50" s="1827">
        <v>2700</v>
      </c>
      <c r="F50" s="1827">
        <v>1250</v>
      </c>
      <c r="G50" s="1827">
        <v>1050</v>
      </c>
      <c r="H50" s="1827">
        <v>2100</v>
      </c>
      <c r="I50" s="1827">
        <v>1250</v>
      </c>
      <c r="J50" s="1827">
        <v>2000</v>
      </c>
      <c r="K50" s="1827">
        <v>850</v>
      </c>
      <c r="L50" s="1827">
        <v>1650</v>
      </c>
      <c r="M50" s="1827">
        <v>700</v>
      </c>
      <c r="N50" s="1849" t="s">
        <v>653</v>
      </c>
      <c r="Q50" s="957"/>
      <c r="AI50" s="989" t="s">
        <v>810</v>
      </c>
      <c r="AJ50" s="960">
        <f t="array" ref="AJ50">SUM(IF($AI50=$P$8:$P$600, $B$8:$M$600,0))</f>
        <v>0</v>
      </c>
      <c r="AK50" s="958">
        <f t="array" ref="AK50">SUM(IF($AI50=$P$8:$P$600, $H$8:$M$600,0))*2</f>
        <v>0</v>
      </c>
      <c r="AL50" s="958">
        <f t="array" ref="AL50">SUM(IF($AI50=$P$8:$P$600, $K$8:$M$600,0))*4</f>
        <v>0</v>
      </c>
      <c r="AM50" s="958">
        <f t="array" ref="AM50">SUM(IF($AI50=$P$8:$P$600, $M$8:$M$600,0))*12</f>
        <v>0</v>
      </c>
    </row>
    <row r="51" spans="1:39">
      <c r="A51" s="1826" t="s">
        <v>811</v>
      </c>
      <c r="B51" s="1827">
        <v>0</v>
      </c>
      <c r="C51" s="1827">
        <v>0</v>
      </c>
      <c r="D51" s="1827">
        <v>0</v>
      </c>
      <c r="E51" s="1827">
        <v>0</v>
      </c>
      <c r="F51" s="1827">
        <v>0</v>
      </c>
      <c r="G51" s="1827">
        <v>1521</v>
      </c>
      <c r="H51" s="1827">
        <v>0</v>
      </c>
      <c r="I51" s="1827">
        <v>0</v>
      </c>
      <c r="J51" s="1827">
        <v>0</v>
      </c>
      <c r="K51" s="1827">
        <v>0</v>
      </c>
      <c r="L51" s="1827">
        <v>0</v>
      </c>
      <c r="M51" s="1827">
        <v>0</v>
      </c>
      <c r="N51" s="1849" t="s">
        <v>653</v>
      </c>
      <c r="Q51" s="957"/>
      <c r="AI51" s="989" t="s">
        <v>812</v>
      </c>
      <c r="AJ51" s="960">
        <f t="array" ref="AJ51">SUM(IF($AI51=$P$8:$P$600, $B$8:$M$600,0))</f>
        <v>0</v>
      </c>
      <c r="AK51" s="958">
        <f t="array" ref="AK51">SUM(IF($AI51=$P$8:$P$600, $H$8:$M$600,0))*2</f>
        <v>0</v>
      </c>
      <c r="AL51" s="958">
        <f t="array" ref="AL51">SUM(IF($AI51=$P$8:$P$600, $K$8:$M$600,0))*4</f>
        <v>0</v>
      </c>
      <c r="AM51" s="958">
        <f t="array" ref="AM51">SUM(IF($AI51=$P$8:$P$600, $M$8:$M$600,0))*12</f>
        <v>0</v>
      </c>
    </row>
    <row r="52" spans="1:39">
      <c r="A52" s="1826" t="s">
        <v>813</v>
      </c>
      <c r="B52" s="1827">
        <v>4022.31</v>
      </c>
      <c r="C52" s="1827">
        <v>4027.44</v>
      </c>
      <c r="D52" s="1827">
        <v>4105.01</v>
      </c>
      <c r="E52" s="1827">
        <v>4332.2700000000004</v>
      </c>
      <c r="F52" s="1827">
        <v>4673.21</v>
      </c>
      <c r="G52" s="1827">
        <v>5105.6899999999996</v>
      </c>
      <c r="H52" s="1827">
        <v>5950.8</v>
      </c>
      <c r="I52" s="1827">
        <v>6115.01</v>
      </c>
      <c r="J52" s="1827">
        <v>6204.02</v>
      </c>
      <c r="K52" s="1827">
        <v>6272.49</v>
      </c>
      <c r="L52" s="1827">
        <v>6442.74</v>
      </c>
      <c r="M52" s="1827">
        <v>6501.6</v>
      </c>
      <c r="N52" s="1849" t="s">
        <v>652</v>
      </c>
      <c r="Q52" s="957"/>
      <c r="AI52" s="989" t="s">
        <v>814</v>
      </c>
      <c r="AJ52" s="960">
        <f t="array" ref="AJ52">SUM(IF($AI52=$P$8:$P$600, $B$8:$M$600,0))</f>
        <v>0</v>
      </c>
      <c r="AK52" s="958">
        <f t="array" ref="AK52">SUM(IF($AI52=$P$8:$P$600, $H$8:$M$600,0))*2</f>
        <v>0</v>
      </c>
      <c r="AL52" s="958">
        <f t="array" ref="AL52">SUM(IF($AI52=$P$8:$P$600, $K$8:$M$600,0))*4</f>
        <v>0</v>
      </c>
      <c r="AM52" s="958">
        <f t="array" ref="AM52">SUM(IF($AI52=$P$8:$P$600, $M$8:$M$600,0))*12</f>
        <v>0</v>
      </c>
    </row>
    <row r="53" spans="1:39">
      <c r="A53" s="1826" t="s">
        <v>815</v>
      </c>
      <c r="B53" s="1827">
        <v>6675.89</v>
      </c>
      <c r="C53" s="1827">
        <v>6667.45</v>
      </c>
      <c r="D53" s="1827">
        <v>6776.33</v>
      </c>
      <c r="E53" s="1827">
        <v>7120.04</v>
      </c>
      <c r="F53" s="1827">
        <v>7634.86</v>
      </c>
      <c r="G53" s="1827">
        <v>8361.76</v>
      </c>
      <c r="H53" s="1827">
        <v>9776.9500000000007</v>
      </c>
      <c r="I53" s="1827">
        <v>10048</v>
      </c>
      <c r="J53" s="1827">
        <v>10246.92</v>
      </c>
      <c r="K53" s="1827">
        <v>10391.5</v>
      </c>
      <c r="L53" s="1827">
        <v>10707.56</v>
      </c>
      <c r="M53" s="1827">
        <v>10825.49</v>
      </c>
      <c r="N53" s="1849" t="s">
        <v>652</v>
      </c>
      <c r="Q53" s="957"/>
      <c r="AI53" s="973" t="s">
        <v>816</v>
      </c>
      <c r="AJ53" s="960">
        <f t="array" ref="AJ53">-SUM(IF($AI53=$P$8:$P$600, $B$8:$M$600,0))</f>
        <v>0</v>
      </c>
      <c r="AK53" s="958">
        <f t="array" ref="AK53">-SUM(IF($AI53=$P$8:$P$600, $H$8:$M$600,0))*2</f>
        <v>0</v>
      </c>
      <c r="AL53" s="958">
        <f t="array" ref="AL53">-SUM(IF($AI53=$P$8:$P$600, $K$8:$M$600,0))*4</f>
        <v>0</v>
      </c>
      <c r="AM53" s="958">
        <f t="array" ref="AM53">-SUM(IF($AI53=$P$8:$P$600, $M$8:$M$600,0))*12</f>
        <v>0</v>
      </c>
    </row>
    <row r="54" spans="1:39">
      <c r="A54" s="1826" t="s">
        <v>817</v>
      </c>
      <c r="B54" s="1827">
        <v>804.46</v>
      </c>
      <c r="C54" s="1827">
        <v>805.5</v>
      </c>
      <c r="D54" s="1827">
        <v>820.99</v>
      </c>
      <c r="E54" s="1827">
        <v>866.42</v>
      </c>
      <c r="F54" s="1827">
        <v>934.67</v>
      </c>
      <c r="G54" s="1827">
        <v>1021.13</v>
      </c>
      <c r="H54" s="1827">
        <v>1190.19</v>
      </c>
      <c r="I54" s="1827">
        <v>1222.99</v>
      </c>
      <c r="J54" s="1827">
        <v>1240.8</v>
      </c>
      <c r="K54" s="1827">
        <v>1629.51</v>
      </c>
      <c r="L54" s="1827">
        <v>1663.54</v>
      </c>
      <c r="M54" s="1827">
        <v>1675.32</v>
      </c>
      <c r="N54" s="1849" t="s">
        <v>653</v>
      </c>
      <c r="Q54" s="957"/>
      <c r="AI54" s="985" t="s">
        <v>818</v>
      </c>
      <c r="AJ54" s="966">
        <f>SUM(AJ49:AJ53)</f>
        <v>0</v>
      </c>
      <c r="AK54" s="966">
        <f>SUM(AK49:AK53)</f>
        <v>0</v>
      </c>
      <c r="AL54" s="966">
        <f>SUM(AL49:AL53)</f>
        <v>0</v>
      </c>
      <c r="AM54" s="966">
        <f>SUM(AM49:AM53)</f>
        <v>0</v>
      </c>
    </row>
    <row r="55" spans="1:39">
      <c r="A55" s="1826" t="s">
        <v>819</v>
      </c>
      <c r="B55" s="1827">
        <v>0</v>
      </c>
      <c r="C55" s="1827">
        <v>0</v>
      </c>
      <c r="D55" s="1827">
        <v>0</v>
      </c>
      <c r="E55" s="1827">
        <v>0</v>
      </c>
      <c r="F55" s="1827">
        <v>0</v>
      </c>
      <c r="G55" s="1827">
        <v>0</v>
      </c>
      <c r="H55" s="1827">
        <v>0</v>
      </c>
      <c r="I55" s="1827">
        <v>0</v>
      </c>
      <c r="J55" s="1827">
        <v>0</v>
      </c>
      <c r="K55" s="1827">
        <v>427.09</v>
      </c>
      <c r="L55" s="1827">
        <v>337.72</v>
      </c>
      <c r="M55" s="1827">
        <v>516.16</v>
      </c>
      <c r="N55" s="1849" t="s">
        <v>652</v>
      </c>
      <c r="Q55" s="957"/>
      <c r="AI55" s="989" t="s">
        <v>820</v>
      </c>
      <c r="AJ55" s="960">
        <f t="array" ref="AJ55">SUM(IF($AI55=$P$8:$P$600, $B$8:$M$600,0))</f>
        <v>0</v>
      </c>
      <c r="AK55" s="958">
        <f t="array" ref="AK55">SUM(IF($AI55=$P$8:$P$600, $H$8:$M$600,0))*2</f>
        <v>0</v>
      </c>
      <c r="AL55" s="958">
        <f t="array" ref="AL55">SUM(IF($AI55=$P$8:$P$600, $K$8:$M$600,0))*4</f>
        <v>0</v>
      </c>
      <c r="AM55" s="958">
        <f t="array" ref="AM55">SUM(IF($AI55=$P$8:$P$600, $M$8:$M$600,0))*12</f>
        <v>0</v>
      </c>
    </row>
    <row r="56" spans="1:39">
      <c r="A56" s="1826" t="s">
        <v>821</v>
      </c>
      <c r="B56" s="1827">
        <v>88.99</v>
      </c>
      <c r="C56" s="1827">
        <v>-68.75</v>
      </c>
      <c r="D56" s="1827">
        <v>240.14</v>
      </c>
      <c r="E56" s="1827">
        <v>164.36</v>
      </c>
      <c r="F56" s="1827">
        <v>-71.53</v>
      </c>
      <c r="G56" s="1827">
        <v>152.38999999999999</v>
      </c>
      <c r="H56" s="1827">
        <v>367.36</v>
      </c>
      <c r="I56" s="1827">
        <v>-170.26</v>
      </c>
      <c r="J56" s="1827">
        <v>23.77</v>
      </c>
      <c r="K56" s="1827">
        <v>310.99</v>
      </c>
      <c r="L56" s="1827">
        <v>325.57</v>
      </c>
      <c r="M56" s="1827">
        <v>-228.18</v>
      </c>
      <c r="N56" s="1849" t="s">
        <v>653</v>
      </c>
      <c r="Q56" s="957"/>
      <c r="AI56" s="973" t="s">
        <v>822</v>
      </c>
      <c r="AJ56" s="960">
        <f t="array" ref="AJ56">-SUM(IF($AI56=$P$8:$P$600, $B$8:$M$600,0))</f>
        <v>0</v>
      </c>
      <c r="AK56" s="958">
        <f t="array" ref="AK56">-SUM(IF($AI56=$P$8:$P$600, $H$8:$M$600,0))*2</f>
        <v>0</v>
      </c>
      <c r="AL56" s="958">
        <f t="array" ref="AL56">-SUM(IF($AI56=$P$8:$P$600, $K$8:$M$600,0))*4</f>
        <v>0</v>
      </c>
      <c r="AM56" s="958">
        <f t="array" ref="AM56">-SUM(IF($AI56=$P$8:$P$600, $M$8:$M$600,0))*12</f>
        <v>0</v>
      </c>
    </row>
    <row r="57" spans="1:39">
      <c r="A57" s="1826" t="s">
        <v>823</v>
      </c>
      <c r="B57" s="1827">
        <v>0</v>
      </c>
      <c r="C57" s="1827">
        <v>0</v>
      </c>
      <c r="D57" s="1827">
        <v>0</v>
      </c>
      <c r="E57" s="1827">
        <v>0</v>
      </c>
      <c r="F57" s="1827">
        <v>0</v>
      </c>
      <c r="G57" s="1827">
        <v>0</v>
      </c>
      <c r="H57" s="1827">
        <v>0</v>
      </c>
      <c r="I57" s="1827">
        <v>12.1</v>
      </c>
      <c r="J57" s="1827">
        <v>0</v>
      </c>
      <c r="K57" s="1827">
        <v>0</v>
      </c>
      <c r="L57" s="1827">
        <v>0</v>
      </c>
      <c r="M57" s="1827">
        <v>0</v>
      </c>
      <c r="N57" s="1849" t="s">
        <v>653</v>
      </c>
      <c r="Q57" s="957"/>
      <c r="AI57" s="989" t="s">
        <v>824</v>
      </c>
      <c r="AJ57" s="960">
        <f t="array" ref="AJ57">SUM(IF($AI57=$P$8:$P$600, $B$8:$M$600,0))</f>
        <v>0</v>
      </c>
      <c r="AK57" s="958">
        <f t="array" ref="AK57">SUM(IF($AI57=$P$8:$P$600, $H$8:$M$600,0))*2</f>
        <v>0</v>
      </c>
      <c r="AL57" s="958">
        <f t="array" ref="AL57">SUM(IF($AI57=$P$8:$P$600, $K$8:$M$600,0))*4</f>
        <v>0</v>
      </c>
      <c r="AM57" s="958">
        <f t="array" ref="AM57">SUM(IF($AI57=$P$8:$P$600, $M$8:$M$600,0))*12</f>
        <v>0</v>
      </c>
    </row>
    <row r="58" spans="1:39">
      <c r="A58" s="1826" t="s">
        <v>825</v>
      </c>
      <c r="B58" s="1827">
        <v>-10777.74</v>
      </c>
      <c r="C58" s="1827">
        <v>-9347.14</v>
      </c>
      <c r="D58" s="1827">
        <v>-23266.13</v>
      </c>
      <c r="E58" s="1827">
        <v>-493.5</v>
      </c>
      <c r="F58" s="1827">
        <v>-13259.45</v>
      </c>
      <c r="G58" s="1827">
        <v>-7324.06</v>
      </c>
      <c r="H58" s="1827">
        <v>-2854.65</v>
      </c>
      <c r="I58" s="1827">
        <v>-5942.33</v>
      </c>
      <c r="J58" s="1827">
        <v>-6625.82</v>
      </c>
      <c r="K58" s="1827">
        <v>-7457.7</v>
      </c>
      <c r="L58" s="1827">
        <v>-4185.3</v>
      </c>
      <c r="M58" s="1827">
        <v>-8753.19</v>
      </c>
      <c r="N58" s="1849" t="s">
        <v>647</v>
      </c>
      <c r="Q58" s="957"/>
      <c r="AI58" s="989" t="s">
        <v>826</v>
      </c>
      <c r="AJ58" s="960">
        <f t="array" ref="AJ58">SUM(IF($AI58=$P$8:$P$600, $B$8:$M$600,0))</f>
        <v>0</v>
      </c>
      <c r="AK58" s="958">
        <f t="array" ref="AK58">SUM(IF($AI58=$P$8:$P$600, $H$8:$M$600,0))*2</f>
        <v>0</v>
      </c>
      <c r="AL58" s="958">
        <f t="array" ref="AL58">SUM(IF($AI58=$P$8:$P$600, $K$8:$M$600,0))*4</f>
        <v>0</v>
      </c>
      <c r="AM58" s="958">
        <f t="array" ref="AM58">SUM(IF($AI58=$P$8:$P$600, $M$8:$M$600,0))*12</f>
        <v>0</v>
      </c>
    </row>
    <row r="59" spans="1:39">
      <c r="A59" s="1826"/>
      <c r="B59" s="1831"/>
      <c r="C59" s="1831"/>
      <c r="D59" s="1831"/>
      <c r="E59" s="1831"/>
      <c r="F59" s="1831"/>
      <c r="G59" s="1831"/>
      <c r="H59" s="1831"/>
      <c r="I59" s="1831"/>
      <c r="J59" s="1831"/>
      <c r="K59" s="1831"/>
      <c r="L59" s="1831"/>
      <c r="M59" s="1831"/>
      <c r="N59" s="1849"/>
      <c r="Q59" s="957"/>
      <c r="AI59" s="989" t="s">
        <v>827</v>
      </c>
      <c r="AJ59" s="960">
        <f t="array" ref="AJ59">SUM(IF($AI59=$P$8:$P$600, $B$8:$M$600,0))</f>
        <v>0</v>
      </c>
      <c r="AK59" s="958">
        <f t="array" ref="AK59">SUM(IF($AI59=$P$8:$P$600, $H$8:$M$600,0))*2</f>
        <v>0</v>
      </c>
      <c r="AL59" s="958">
        <f t="array" ref="AL59">SUM(IF($AI59=$P$8:$P$600, $K$8:$M$600,0))*4</f>
        <v>0</v>
      </c>
      <c r="AM59" s="958">
        <f t="array" ref="AM59">SUM(IF($AI59=$P$8:$P$600, $M$8:$M$600,0))*12</f>
        <v>0</v>
      </c>
    </row>
    <row r="60" spans="1:39">
      <c r="A60" s="1826" t="s">
        <v>828</v>
      </c>
      <c r="B60" s="1836">
        <v>32658.7</v>
      </c>
      <c r="C60" s="1836">
        <v>35531.910000000003</v>
      </c>
      <c r="D60" s="1836">
        <v>42118.61</v>
      </c>
      <c r="E60" s="1836">
        <v>47286.02</v>
      </c>
      <c r="F60" s="1836">
        <v>45590.13</v>
      </c>
      <c r="G60" s="1836">
        <v>43686.99</v>
      </c>
      <c r="H60" s="1836">
        <v>51031.43</v>
      </c>
      <c r="I60" s="1836">
        <v>52373.56</v>
      </c>
      <c r="J60" s="1836">
        <v>49550.12</v>
      </c>
      <c r="K60" s="1836">
        <v>54534.99</v>
      </c>
      <c r="L60" s="1836">
        <v>52411.21</v>
      </c>
      <c r="M60" s="1836">
        <v>50399.27</v>
      </c>
      <c r="N60" s="1849"/>
      <c r="Q60" s="957"/>
      <c r="AI60" s="989" t="s">
        <v>829</v>
      </c>
      <c r="AJ60" s="960">
        <f t="array" ref="AJ60">SUM(IF($AI60=$P$8:$P$600, $B$8:$M$600,0))</f>
        <v>0</v>
      </c>
      <c r="AK60" s="958">
        <f t="array" ref="AK60">SUM(IF($AI60=$P$8:$P$600, $H$8:$M$600,0))*2</f>
        <v>0</v>
      </c>
      <c r="AL60" s="958">
        <f t="array" ref="AL60">SUM(IF($AI60=$P$8:$P$600, $K$8:$M$600,0))*4</f>
        <v>0</v>
      </c>
      <c r="AM60" s="958">
        <f t="array" ref="AM60">SUM(IF($AI60=$P$8:$P$600, $M$8:$M$600,0))*12</f>
        <v>0</v>
      </c>
    </row>
    <row r="61" spans="1:39">
      <c r="A61" s="1826"/>
      <c r="B61" s="1831"/>
      <c r="C61" s="1831"/>
      <c r="D61" s="1831"/>
      <c r="E61" s="1831"/>
      <c r="F61" s="1831"/>
      <c r="G61" s="1831"/>
      <c r="H61" s="1831"/>
      <c r="I61" s="1831"/>
      <c r="J61" s="1831"/>
      <c r="K61" s="1867"/>
      <c r="L61" s="1831"/>
      <c r="M61" s="1831"/>
      <c r="N61" s="1849"/>
      <c r="Q61" s="957"/>
      <c r="AI61" s="989" t="s">
        <v>830</v>
      </c>
      <c r="AJ61" s="960">
        <f t="array" ref="AJ61">SUM(IF($AI61=$P$8:$P$600, $B$8:$M$600,0))</f>
        <v>0</v>
      </c>
      <c r="AK61" s="958">
        <f t="array" ref="AK61">SUM(IF($AI61=$P$8:$P$600, $H$8:$M$600,0))*2</f>
        <v>0</v>
      </c>
      <c r="AL61" s="958">
        <f t="array" ref="AL61">SUM(IF($AI61=$P$8:$P$600, $K$8:$M$600,0))*4</f>
        <v>0</v>
      </c>
      <c r="AM61" s="958">
        <f t="array" ref="AM61">SUM(IF($AI61=$P$8:$P$600, $M$8:$M$600,0))*12</f>
        <v>0</v>
      </c>
    </row>
    <row r="62" spans="1:39">
      <c r="A62" s="1826" t="s">
        <v>831</v>
      </c>
      <c r="B62" s="1836">
        <v>236402.89</v>
      </c>
      <c r="C62" s="1836">
        <v>237565.85</v>
      </c>
      <c r="D62" s="1836">
        <v>251569</v>
      </c>
      <c r="E62" s="1836">
        <v>264308</v>
      </c>
      <c r="F62" s="1836">
        <v>284977.33</v>
      </c>
      <c r="G62" s="1836">
        <v>280625.40000000002</v>
      </c>
      <c r="H62" s="1836">
        <v>285303.05</v>
      </c>
      <c r="I62" s="1836">
        <v>307935.95</v>
      </c>
      <c r="J62" s="1836">
        <v>343731.57</v>
      </c>
      <c r="K62" s="1836">
        <v>364435.67</v>
      </c>
      <c r="L62" s="1836">
        <v>364746.19</v>
      </c>
      <c r="M62" s="1836">
        <v>372996.58</v>
      </c>
      <c r="N62" s="1849"/>
      <c r="Q62" s="957"/>
      <c r="AI62" s="989" t="s">
        <v>832</v>
      </c>
      <c r="AJ62" s="960">
        <f t="array" ref="AJ62">SUM(IF($AI62=$P$8:$P$600, $B$8:$M$600,0))</f>
        <v>0</v>
      </c>
      <c r="AK62" s="958">
        <f t="array" ref="AK62">SUM(IF($AI62=$P$8:$P$600, $H$8:$M$600,0))*2</f>
        <v>0</v>
      </c>
      <c r="AL62" s="958">
        <f t="array" ref="AL62">SUM(IF($AI62=$P$8:$P$600, $K$8:$M$600,0))*4</f>
        <v>0</v>
      </c>
      <c r="AM62" s="958">
        <f t="array" ref="AM62">SUM(IF($AI62=$P$8:$P$600, $M$8:$M$600,0))*12</f>
        <v>0</v>
      </c>
    </row>
    <row r="63" spans="1:39">
      <c r="A63" s="1826"/>
      <c r="B63" s="1830"/>
      <c r="C63" s="1830"/>
      <c r="D63" s="1830"/>
      <c r="E63" s="1830"/>
      <c r="F63" s="1830"/>
      <c r="G63" s="1830"/>
      <c r="H63" s="1830"/>
      <c r="I63" s="1830"/>
      <c r="J63" s="1830"/>
      <c r="K63" s="1830"/>
      <c r="L63" s="1830"/>
      <c r="M63" s="1830"/>
      <c r="N63" s="1849"/>
      <c r="Q63" s="957"/>
      <c r="AI63" s="985" t="s">
        <v>833</v>
      </c>
      <c r="AJ63" s="966">
        <f>SUM(AJ55:AJ62)</f>
        <v>0</v>
      </c>
      <c r="AK63" s="966">
        <f>SUM(AK55:AK62)</f>
        <v>0</v>
      </c>
      <c r="AL63" s="966">
        <f>SUM(AL55:AL62)</f>
        <v>0</v>
      </c>
      <c r="AM63" s="966">
        <f>SUM(AM55:AM62)</f>
        <v>0</v>
      </c>
    </row>
    <row r="64" spans="1:39">
      <c r="A64" s="1826" t="s">
        <v>834</v>
      </c>
      <c r="B64" s="1835"/>
      <c r="C64" s="1835"/>
      <c r="D64" s="1835"/>
      <c r="E64" s="1835"/>
      <c r="F64" s="1835"/>
      <c r="G64" s="1835"/>
      <c r="H64" s="1835"/>
      <c r="I64" s="1835"/>
      <c r="J64" s="1835"/>
      <c r="K64" s="1835"/>
      <c r="L64" s="1835"/>
      <c r="M64" s="1835"/>
      <c r="N64" s="1849"/>
      <c r="Q64" s="957"/>
      <c r="AI64" s="989" t="s">
        <v>835</v>
      </c>
      <c r="AJ64" s="960">
        <f t="array" ref="AJ64">SUM(IF($AI64=$P$8:$P$600, $B$8:$M$600,0))</f>
        <v>0</v>
      </c>
      <c r="AK64" s="958">
        <f t="array" ref="AK64">SUM(IF($AI64=$P$8:$P$600, $H$8:$M$600,0))*2</f>
        <v>0</v>
      </c>
      <c r="AL64" s="958">
        <f t="array" ref="AL64">SUM(IF($AI64=$P$8:$P$600, $K$8:$M$600,0))*4</f>
        <v>0</v>
      </c>
      <c r="AM64" s="958">
        <f t="array" ref="AM64">SUM(IF($AI64=$P$8:$P$600, $M$8:$M$600,0))*12</f>
        <v>0</v>
      </c>
    </row>
    <row r="65" spans="1:39">
      <c r="A65" s="1826"/>
      <c r="B65" s="1830"/>
      <c r="C65" s="1830"/>
      <c r="D65" s="1830"/>
      <c r="E65" s="1830"/>
      <c r="F65" s="1830"/>
      <c r="G65" s="1830"/>
      <c r="H65" s="1830"/>
      <c r="I65" s="1830"/>
      <c r="J65" s="1830"/>
      <c r="K65" s="1830"/>
      <c r="L65" s="1830"/>
      <c r="M65" s="1830"/>
      <c r="N65" s="1849"/>
      <c r="Q65" s="957"/>
      <c r="AI65" s="985" t="s">
        <v>836</v>
      </c>
      <c r="AJ65" s="960">
        <f t="array" ref="AJ65">SUM(IF($AI65=$P$8:$P$600, $B$8:$M$600,0))</f>
        <v>0</v>
      </c>
      <c r="AK65" s="958">
        <f t="array" ref="AK65">SUM(IF($AI65=$P$8:$P$600, $H$8:$M$600,0))*2</f>
        <v>0</v>
      </c>
      <c r="AL65" s="958">
        <f t="array" ref="AL65">SUM(IF($AI65=$P$8:$P$600, $K$8:$M$600,0))*4</f>
        <v>0</v>
      </c>
      <c r="AM65" s="958">
        <f t="array" ref="AM65">SUM(IF($AI65=$P$8:$P$600, $M$8:$M$600,0))*12</f>
        <v>0</v>
      </c>
    </row>
    <row r="66" spans="1:39">
      <c r="A66" s="1826" t="s">
        <v>837</v>
      </c>
      <c r="B66" s="1835"/>
      <c r="C66" s="1835"/>
      <c r="D66" s="1835"/>
      <c r="E66" s="1835"/>
      <c r="F66" s="1835"/>
      <c r="G66" s="1835"/>
      <c r="H66" s="1835"/>
      <c r="I66" s="1835"/>
      <c r="J66" s="1835"/>
      <c r="K66" s="1835"/>
      <c r="L66" s="1835"/>
      <c r="M66" s="1835"/>
      <c r="N66" s="1849"/>
      <c r="Q66" s="957"/>
      <c r="AI66" s="998" t="s">
        <v>838</v>
      </c>
      <c r="AJ66" s="958">
        <f>AJ47+AJ48+AJ54+AJ63+AJ65</f>
        <v>0</v>
      </c>
      <c r="AK66" s="958">
        <f>AK47+AK48+AK54+AK63+AK65</f>
        <v>0</v>
      </c>
      <c r="AL66" s="958">
        <f>AL47+AL48+AL54+AL63+AL65</f>
        <v>0</v>
      </c>
      <c r="AM66" s="958">
        <f>AM47+AM48+AM54+AM63+AM65</f>
        <v>0</v>
      </c>
    </row>
    <row r="67" spans="1:39">
      <c r="A67" s="1826" t="s">
        <v>839</v>
      </c>
      <c r="B67" s="1835"/>
      <c r="C67" s="1835"/>
      <c r="D67" s="1835"/>
      <c r="E67" s="1835"/>
      <c r="F67" s="1835"/>
      <c r="G67" s="1835"/>
      <c r="H67" s="1835"/>
      <c r="I67" s="1835"/>
      <c r="J67" s="1835"/>
      <c r="K67" s="1835"/>
      <c r="L67" s="1835"/>
      <c r="M67" s="1835"/>
      <c r="N67" s="1849"/>
      <c r="Q67" s="957"/>
      <c r="AI67" s="984"/>
    </row>
    <row r="68" spans="1:39">
      <c r="A68" s="1826" t="s">
        <v>840</v>
      </c>
      <c r="B68" s="1827">
        <v>6338.48</v>
      </c>
      <c r="C68" s="1827">
        <v>6655.4</v>
      </c>
      <c r="D68" s="1827">
        <v>6972.33</v>
      </c>
      <c r="E68" s="1827">
        <v>6972.33</v>
      </c>
      <c r="F68" s="1827">
        <v>6655.41</v>
      </c>
      <c r="G68" s="1827">
        <v>7289.26</v>
      </c>
      <c r="H68" s="1827">
        <v>6655.4</v>
      </c>
      <c r="I68" s="1827">
        <v>6972.33</v>
      </c>
      <c r="J68" s="1827">
        <v>7289.25</v>
      </c>
      <c r="K68" s="1827">
        <v>6338.48</v>
      </c>
      <c r="L68" s="1827">
        <v>7289.26</v>
      </c>
      <c r="M68" s="1827">
        <v>7181.52</v>
      </c>
      <c r="N68" s="1849" t="s">
        <v>658</v>
      </c>
      <c r="Q68" s="957"/>
      <c r="AI68" s="999" t="s">
        <v>841</v>
      </c>
      <c r="AJ68" s="966">
        <f>AJ36+AJ66</f>
        <v>0</v>
      </c>
      <c r="AK68" s="966">
        <f>AK36+AK66</f>
        <v>0</v>
      </c>
      <c r="AL68" s="966">
        <f>AL36+AL66</f>
        <v>0</v>
      </c>
      <c r="AM68" s="966">
        <f>AM36+AM66</f>
        <v>0</v>
      </c>
    </row>
    <row r="69" spans="1:39">
      <c r="A69" s="1826" t="s">
        <v>842</v>
      </c>
      <c r="B69" s="1827">
        <v>1030.01</v>
      </c>
      <c r="C69" s="1827">
        <v>1030</v>
      </c>
      <c r="D69" s="1827">
        <v>1030</v>
      </c>
      <c r="E69" s="1827">
        <v>749.58</v>
      </c>
      <c r="F69" s="1827">
        <v>1030</v>
      </c>
      <c r="G69" s="1827">
        <v>1030</v>
      </c>
      <c r="H69" s="1827">
        <v>771.76</v>
      </c>
      <c r="I69" s="1827">
        <v>1030</v>
      </c>
      <c r="J69" s="1827">
        <v>1030</v>
      </c>
      <c r="K69" s="1827">
        <v>821.43</v>
      </c>
      <c r="L69" s="1827">
        <v>1030</v>
      </c>
      <c r="M69" s="1827">
        <v>1153.5899999999999</v>
      </c>
      <c r="N69" s="1849" t="s">
        <v>658</v>
      </c>
      <c r="Q69" s="957"/>
      <c r="AI69" s="989" t="s">
        <v>843</v>
      </c>
      <c r="AJ69" s="960">
        <f t="array" ref="AJ69">SUM(IF($AI69=$P$8:$P$600, $B$8:$M$600,0))</f>
        <v>0</v>
      </c>
      <c r="AK69" s="958">
        <f t="array" ref="AK69">SUM(IF($AI69=$P$8:$P$600, $H$8:$M$600,0))*2</f>
        <v>0</v>
      </c>
      <c r="AL69" s="958">
        <f t="array" ref="AL69">SUM(IF($AI69=$P$8:$P$600, $K$8:$M$600,0))*4</f>
        <v>0</v>
      </c>
      <c r="AM69" s="958">
        <f t="array" ref="AM69">SUM(IF($AI69=$P$8:$P$600, $M$8:$M$600,0))*12</f>
        <v>0</v>
      </c>
    </row>
    <row r="70" spans="1:39">
      <c r="A70" s="1826" t="s">
        <v>844</v>
      </c>
      <c r="B70" s="1827">
        <v>4006.76</v>
      </c>
      <c r="C70" s="1827">
        <v>4240.3599999999997</v>
      </c>
      <c r="D70" s="1827">
        <v>4646.3100000000004</v>
      </c>
      <c r="E70" s="1827">
        <v>4393.3599999999997</v>
      </c>
      <c r="F70" s="1827">
        <v>4333.2</v>
      </c>
      <c r="G70" s="1827">
        <v>4840.75</v>
      </c>
      <c r="H70" s="1827">
        <v>4126.5</v>
      </c>
      <c r="I70" s="1827">
        <v>4289.5200000000004</v>
      </c>
      <c r="J70" s="1827">
        <v>4646.53</v>
      </c>
      <c r="K70" s="1827">
        <v>4107.1400000000003</v>
      </c>
      <c r="L70" s="1827">
        <v>4637.63</v>
      </c>
      <c r="M70" s="1827">
        <v>4985.42</v>
      </c>
      <c r="N70" s="1849" t="s">
        <v>658</v>
      </c>
      <c r="Q70" s="957"/>
      <c r="AI70" s="989" t="s">
        <v>669</v>
      </c>
      <c r="AJ70" s="960">
        <f t="array" ref="AJ70">SUM(IF($AI70=$P$8:$P$600, $B$8:$M$600,0))</f>
        <v>0</v>
      </c>
      <c r="AK70" s="958">
        <f t="array" ref="AK70">SUM(IF($AI70=$P$8:$P$600, $H$8:$M$600,0))*2</f>
        <v>0</v>
      </c>
      <c r="AL70" s="958">
        <f t="array" ref="AL70">SUM(IF($AI70=$P$8:$P$600, $K$8:$M$600,0))*4</f>
        <v>0</v>
      </c>
      <c r="AM70" s="958">
        <f t="array" ref="AM70">SUM(IF($AI70=$P$8:$P$600, $M$8:$M$600,0))*12</f>
        <v>0</v>
      </c>
    </row>
    <row r="71" spans="1:39" ht="18" thickBot="1">
      <c r="A71" s="1826" t="s">
        <v>845</v>
      </c>
      <c r="B71" s="1827">
        <v>3261.24</v>
      </c>
      <c r="C71" s="1827">
        <v>3187.71</v>
      </c>
      <c r="D71" s="1827">
        <v>3477.94</v>
      </c>
      <c r="E71" s="1827">
        <v>3412.59</v>
      </c>
      <c r="F71" s="1827">
        <v>3505.73</v>
      </c>
      <c r="G71" s="1827">
        <v>3804.92</v>
      </c>
      <c r="H71" s="1827">
        <v>3032.66</v>
      </c>
      <c r="I71" s="1827">
        <v>3507.02</v>
      </c>
      <c r="J71" s="1827">
        <v>3400.04</v>
      </c>
      <c r="K71" s="1827">
        <v>3431.52</v>
      </c>
      <c r="L71" s="1827">
        <v>3538.43</v>
      </c>
      <c r="M71" s="1827">
        <v>4272.38</v>
      </c>
      <c r="N71" s="1849" t="s">
        <v>658</v>
      </c>
      <c r="Q71" s="957"/>
      <c r="AI71" s="989" t="s">
        <v>846</v>
      </c>
      <c r="AJ71" s="960">
        <f t="array" ref="AJ71">SUM(IF($AI71=$P$8:$P$600, $B$8:$M$600,0))</f>
        <v>0</v>
      </c>
      <c r="AK71" s="958">
        <f t="array" ref="AK71">SUM(IF($AI71=$P$8:$P$600, $H$8:$M$600,0))*2</f>
        <v>0</v>
      </c>
      <c r="AL71" s="958">
        <f t="array" ref="AL71">SUM(IF($AI71=$P$8:$P$600, $K$8:$M$600,0))*4</f>
        <v>0</v>
      </c>
      <c r="AM71" s="958">
        <f t="array" ref="AM71">SUM(IF($AI71=$P$8:$P$600, $M$8:$M$600,0))*12</f>
        <v>0</v>
      </c>
    </row>
    <row r="72" spans="1:39" ht="18" thickBot="1">
      <c r="A72" s="1826" t="s">
        <v>847</v>
      </c>
      <c r="B72" s="1827">
        <v>5362.56</v>
      </c>
      <c r="C72" s="1827">
        <v>5520.34</v>
      </c>
      <c r="D72" s="1827">
        <v>5895.82</v>
      </c>
      <c r="E72" s="1827">
        <v>5951.83</v>
      </c>
      <c r="F72" s="1827">
        <v>5964.19</v>
      </c>
      <c r="G72" s="1827">
        <v>6366.71</v>
      </c>
      <c r="H72" s="1827">
        <v>6078.75</v>
      </c>
      <c r="I72" s="1827">
        <v>6395.24</v>
      </c>
      <c r="J72" s="1827">
        <v>6707.06</v>
      </c>
      <c r="K72" s="1827">
        <v>5667.74</v>
      </c>
      <c r="L72" s="1827">
        <v>6234.99</v>
      </c>
      <c r="M72" s="1827">
        <v>5786.06</v>
      </c>
      <c r="N72" s="1849" t="s">
        <v>658</v>
      </c>
      <c r="Q72" s="957"/>
      <c r="AI72" s="1880" t="s">
        <v>848</v>
      </c>
      <c r="AJ72" s="966">
        <f>SUM(AJ68:AJ71)</f>
        <v>0</v>
      </c>
      <c r="AK72" s="966">
        <f>SUM(AK68:AK71)</f>
        <v>0</v>
      </c>
      <c r="AL72" s="966">
        <f>SUM(AL68:AL71)</f>
        <v>0</v>
      </c>
      <c r="AM72" s="966">
        <f>SUM(AM68:AM71)</f>
        <v>0</v>
      </c>
    </row>
    <row r="73" spans="1:39" ht="18" thickBot="1">
      <c r="A73" s="1826" t="s">
        <v>849</v>
      </c>
      <c r="B73" s="1827">
        <v>3840.77</v>
      </c>
      <c r="C73" s="1827">
        <v>4169.46</v>
      </c>
      <c r="D73" s="1827">
        <v>4335.07</v>
      </c>
      <c r="E73" s="1827">
        <v>4340.71</v>
      </c>
      <c r="F73" s="1827">
        <v>4345.57</v>
      </c>
      <c r="G73" s="1827">
        <v>4431.7700000000004</v>
      </c>
      <c r="H73" s="1827">
        <v>4062.45</v>
      </c>
      <c r="I73" s="1827">
        <v>502.25</v>
      </c>
      <c r="J73" s="1827">
        <v>3005.82</v>
      </c>
      <c r="K73" s="1827">
        <v>4134.9799999999996</v>
      </c>
      <c r="L73" s="1827">
        <v>4723.3599999999997</v>
      </c>
      <c r="M73" s="1827">
        <v>3746.59</v>
      </c>
      <c r="N73" s="1849" t="s">
        <v>658</v>
      </c>
      <c r="Q73" s="957"/>
      <c r="AI73" s="984"/>
    </row>
    <row r="74" spans="1:39" ht="18" thickBot="1">
      <c r="A74" s="1826" t="s">
        <v>850</v>
      </c>
      <c r="B74" s="1827">
        <v>2304.2800000000002</v>
      </c>
      <c r="C74" s="1827">
        <v>1752.88</v>
      </c>
      <c r="D74" s="1827">
        <v>2193.11</v>
      </c>
      <c r="E74" s="1827">
        <v>2603.6999999999998</v>
      </c>
      <c r="F74" s="1827">
        <v>2414.09</v>
      </c>
      <c r="G74" s="1827">
        <v>2865.47</v>
      </c>
      <c r="H74" s="1827">
        <v>3976.17</v>
      </c>
      <c r="I74" s="1827">
        <v>2237.2399999999998</v>
      </c>
      <c r="J74" s="1827">
        <v>1141.01</v>
      </c>
      <c r="K74" s="1827">
        <v>2839.29</v>
      </c>
      <c r="L74" s="1827">
        <v>2878.39</v>
      </c>
      <c r="M74" s="1827">
        <v>2513.84</v>
      </c>
      <c r="N74" s="1849" t="s">
        <v>658</v>
      </c>
      <c r="Q74" s="957"/>
      <c r="AI74" s="1880" t="s">
        <v>851</v>
      </c>
      <c r="AJ74" s="958">
        <f>AJ26-AJ72</f>
        <v>0</v>
      </c>
      <c r="AK74" s="958">
        <f>AK26-AK72</f>
        <v>0</v>
      </c>
      <c r="AL74" s="958">
        <f>AL26-AL72</f>
        <v>0</v>
      </c>
      <c r="AM74" s="958">
        <f>AM26-AM72</f>
        <v>0</v>
      </c>
    </row>
    <row r="75" spans="1:39">
      <c r="A75" s="1826" t="s">
        <v>852</v>
      </c>
      <c r="B75" s="1827">
        <v>4174.7</v>
      </c>
      <c r="C75" s="1827">
        <v>4383.4399999999996</v>
      </c>
      <c r="D75" s="1827">
        <v>4602.82</v>
      </c>
      <c r="E75" s="1827">
        <v>2267.17</v>
      </c>
      <c r="F75" s="1827">
        <v>5158.43</v>
      </c>
      <c r="G75" s="1827">
        <v>4800.91</v>
      </c>
      <c r="H75" s="1827">
        <v>4383.43</v>
      </c>
      <c r="I75" s="1827">
        <v>4592.17</v>
      </c>
      <c r="J75" s="1827">
        <v>1640.97</v>
      </c>
      <c r="K75" s="1827">
        <v>4949.7</v>
      </c>
      <c r="L75" s="1827">
        <v>4804.8999999999996</v>
      </c>
      <c r="M75" s="1827">
        <v>5682.11</v>
      </c>
      <c r="N75" s="1849" t="s">
        <v>658</v>
      </c>
      <c r="Q75" s="957"/>
    </row>
    <row r="76" spans="1:39">
      <c r="A76" s="1826" t="s">
        <v>853</v>
      </c>
      <c r="B76" s="1827">
        <v>0</v>
      </c>
      <c r="C76" s="1827">
        <v>1094.81</v>
      </c>
      <c r="D76" s="1827">
        <v>1883.18</v>
      </c>
      <c r="E76" s="1827">
        <v>0</v>
      </c>
      <c r="F76" s="1827">
        <v>0</v>
      </c>
      <c r="G76" s="1827">
        <v>0</v>
      </c>
      <c r="H76" s="1827">
        <v>0</v>
      </c>
      <c r="I76" s="1827">
        <v>1963.44</v>
      </c>
      <c r="J76" s="1827">
        <v>433.39</v>
      </c>
      <c r="K76" s="1827">
        <v>954.86</v>
      </c>
      <c r="L76" s="1827">
        <v>0</v>
      </c>
      <c r="M76" s="1827">
        <v>0</v>
      </c>
      <c r="N76" s="1849" t="s">
        <v>658</v>
      </c>
      <c r="Q76" s="957"/>
    </row>
    <row r="77" spans="1:39">
      <c r="A77" s="1826" t="s">
        <v>854</v>
      </c>
      <c r="B77" s="1827">
        <v>4685.45</v>
      </c>
      <c r="C77" s="1827">
        <v>2298</v>
      </c>
      <c r="D77" s="1827">
        <v>3805.5</v>
      </c>
      <c r="E77" s="1827">
        <v>5771.39</v>
      </c>
      <c r="F77" s="1827">
        <v>7947.93</v>
      </c>
      <c r="G77" s="1827">
        <v>6295.77</v>
      </c>
      <c r="H77" s="1827">
        <v>11871.1</v>
      </c>
      <c r="I77" s="1827">
        <v>11683.47</v>
      </c>
      <c r="J77" s="1827">
        <v>6694.59</v>
      </c>
      <c r="K77" s="1827">
        <v>6697.2</v>
      </c>
      <c r="L77" s="1827">
        <v>7961.09</v>
      </c>
      <c r="M77" s="1827">
        <v>5613.09</v>
      </c>
      <c r="N77" s="1849" t="s">
        <v>658</v>
      </c>
      <c r="Q77" s="957"/>
    </row>
    <row r="78" spans="1:39">
      <c r="A78" s="1826" t="s">
        <v>855</v>
      </c>
      <c r="B78" s="1827">
        <v>384.4</v>
      </c>
      <c r="C78" s="1827">
        <v>451.48</v>
      </c>
      <c r="D78" s="1827">
        <v>594.89</v>
      </c>
      <c r="E78" s="1827">
        <v>646.62</v>
      </c>
      <c r="F78" s="1827">
        <v>809.19</v>
      </c>
      <c r="G78" s="1827">
        <v>709.96</v>
      </c>
      <c r="H78" s="1827">
        <v>1072.8900000000001</v>
      </c>
      <c r="I78" s="1827">
        <v>716.95</v>
      </c>
      <c r="J78" s="1827">
        <v>7.38</v>
      </c>
      <c r="K78" s="1827">
        <v>561.15</v>
      </c>
      <c r="L78" s="1827">
        <v>578.46</v>
      </c>
      <c r="M78" s="1827">
        <v>561.32000000000005</v>
      </c>
      <c r="N78" s="1849" t="s">
        <v>658</v>
      </c>
      <c r="Q78" s="957"/>
    </row>
    <row r="79" spans="1:39">
      <c r="A79" s="1826" t="s">
        <v>856</v>
      </c>
      <c r="B79" s="1827">
        <v>743.29</v>
      </c>
      <c r="C79" s="1827">
        <v>685.84</v>
      </c>
      <c r="D79" s="1827">
        <v>1103.52</v>
      </c>
      <c r="E79" s="1827">
        <v>862.24</v>
      </c>
      <c r="F79" s="1827">
        <v>1113.2</v>
      </c>
      <c r="G79" s="1827">
        <v>804.19</v>
      </c>
      <c r="H79" s="1827">
        <v>1106.46</v>
      </c>
      <c r="I79" s="1827">
        <v>738.63</v>
      </c>
      <c r="J79" s="1827">
        <v>475.27</v>
      </c>
      <c r="K79" s="1827">
        <v>1020.03</v>
      </c>
      <c r="L79" s="1827">
        <v>1151.0999999999999</v>
      </c>
      <c r="M79" s="1827">
        <v>771.36</v>
      </c>
      <c r="N79" s="1849" t="s">
        <v>658</v>
      </c>
      <c r="Q79" s="957"/>
    </row>
    <row r="80" spans="1:39">
      <c r="A80" s="1826"/>
      <c r="B80" s="1831"/>
      <c r="C80" s="1831"/>
      <c r="D80" s="1831"/>
      <c r="E80" s="1831"/>
      <c r="F80" s="1831"/>
      <c r="G80" s="1831"/>
      <c r="H80" s="1831"/>
      <c r="I80" s="1831"/>
      <c r="J80" s="1831"/>
      <c r="K80" s="1831"/>
      <c r="L80" s="1831"/>
      <c r="M80" s="1831"/>
      <c r="N80" s="1849"/>
      <c r="Q80" s="957"/>
    </row>
    <row r="81" spans="1:20">
      <c r="A81" s="1826" t="s">
        <v>857</v>
      </c>
      <c r="B81" s="1836">
        <v>36131.94</v>
      </c>
      <c r="C81" s="1836">
        <v>35469.72</v>
      </c>
      <c r="D81" s="1836">
        <v>40540.49</v>
      </c>
      <c r="E81" s="1836">
        <v>37971.519999999997</v>
      </c>
      <c r="F81" s="1836">
        <v>43276.94</v>
      </c>
      <c r="G81" s="1836">
        <v>43239.71</v>
      </c>
      <c r="H81" s="1836">
        <v>47137.57</v>
      </c>
      <c r="I81" s="1836">
        <v>44628.26</v>
      </c>
      <c r="J81" s="1836">
        <v>36471.31</v>
      </c>
      <c r="K81" s="1836">
        <v>41523.519999999997</v>
      </c>
      <c r="L81" s="1836">
        <v>44827.61</v>
      </c>
      <c r="M81" s="1836">
        <v>42267.28</v>
      </c>
      <c r="N81" s="1849"/>
      <c r="Q81" s="957"/>
    </row>
    <row r="82" spans="1:20">
      <c r="A82" s="1826" t="s">
        <v>858</v>
      </c>
      <c r="B82" s="1835"/>
      <c r="C82" s="1835"/>
      <c r="D82" s="1835"/>
      <c r="E82" s="1835"/>
      <c r="F82" s="1835"/>
      <c r="G82" s="1835"/>
      <c r="H82" s="1835"/>
      <c r="I82" s="1835"/>
      <c r="J82" s="1835"/>
      <c r="K82" s="1835"/>
      <c r="L82" s="1835"/>
      <c r="M82" s="1835"/>
      <c r="N82" s="1849"/>
      <c r="Q82" s="957"/>
    </row>
    <row r="83" spans="1:20">
      <c r="A83" s="1826" t="s">
        <v>859</v>
      </c>
      <c r="B83" s="1827">
        <v>0</v>
      </c>
      <c r="C83" s="1827">
        <v>0</v>
      </c>
      <c r="D83" s="1827">
        <v>0</v>
      </c>
      <c r="E83" s="1827">
        <v>0</v>
      </c>
      <c r="F83" s="1827">
        <v>510.95</v>
      </c>
      <c r="G83" s="1827">
        <v>0</v>
      </c>
      <c r="H83" s="1827">
        <v>0</v>
      </c>
      <c r="I83" s="1827">
        <v>0</v>
      </c>
      <c r="J83" s="1827">
        <v>0</v>
      </c>
      <c r="K83" s="1827">
        <v>0</v>
      </c>
      <c r="L83" s="1827">
        <v>0</v>
      </c>
      <c r="M83" s="1827">
        <v>0</v>
      </c>
      <c r="N83" s="1849" t="s">
        <v>660</v>
      </c>
      <c r="Q83" s="957"/>
    </row>
    <row r="84" spans="1:20">
      <c r="A84" s="1826" t="s">
        <v>860</v>
      </c>
      <c r="B84" s="1827">
        <v>0</v>
      </c>
      <c r="C84" s="1827">
        <v>0</v>
      </c>
      <c r="D84" s="1827">
        <v>0</v>
      </c>
      <c r="E84" s="1827">
        <v>0</v>
      </c>
      <c r="F84" s="1827">
        <v>0</v>
      </c>
      <c r="G84" s="1827">
        <v>0</v>
      </c>
      <c r="H84" s="1827">
        <v>0</v>
      </c>
      <c r="I84" s="1827">
        <v>1636</v>
      </c>
      <c r="J84" s="1827">
        <v>409</v>
      </c>
      <c r="K84" s="1827">
        <v>409</v>
      </c>
      <c r="L84" s="1827">
        <v>0</v>
      </c>
      <c r="M84" s="1827">
        <v>0</v>
      </c>
      <c r="N84" s="1849" t="s">
        <v>660</v>
      </c>
      <c r="Q84" s="957"/>
    </row>
    <row r="85" spans="1:20">
      <c r="A85" s="1826" t="s">
        <v>861</v>
      </c>
      <c r="B85" s="1827">
        <v>10165</v>
      </c>
      <c r="C85" s="1827">
        <v>10165</v>
      </c>
      <c r="D85" s="1827">
        <v>10126</v>
      </c>
      <c r="E85" s="1827">
        <v>10165</v>
      </c>
      <c r="F85" s="1827">
        <v>10165</v>
      </c>
      <c r="G85" s="1827">
        <v>10204</v>
      </c>
      <c r="H85" s="1827">
        <v>10189.129999999999</v>
      </c>
      <c r="I85" s="1827">
        <v>10165</v>
      </c>
      <c r="J85" s="1827">
        <v>10307.94</v>
      </c>
      <c r="K85" s="1827">
        <v>10673.66</v>
      </c>
      <c r="L85" s="1827">
        <v>8427.66</v>
      </c>
      <c r="M85" s="1827">
        <v>8712.66</v>
      </c>
      <c r="N85" s="1849" t="s">
        <v>660</v>
      </c>
      <c r="Q85" s="957"/>
    </row>
    <row r="86" spans="1:20">
      <c r="A86" s="1826" t="s">
        <v>862</v>
      </c>
      <c r="B86" s="1827">
        <v>804.6</v>
      </c>
      <c r="C86" s="1827">
        <v>3894.83</v>
      </c>
      <c r="D86" s="1827">
        <v>768.16</v>
      </c>
      <c r="E86" s="1827">
        <v>200.36</v>
      </c>
      <c r="F86" s="1827">
        <v>201.86</v>
      </c>
      <c r="G86" s="1827">
        <v>914.58</v>
      </c>
      <c r="H86" s="1827">
        <v>615.17999999999995</v>
      </c>
      <c r="I86" s="1827">
        <v>412.49</v>
      </c>
      <c r="J86" s="1827">
        <v>314.08999999999997</v>
      </c>
      <c r="K86" s="1827">
        <v>287.51</v>
      </c>
      <c r="L86" s="1827">
        <v>912.16</v>
      </c>
      <c r="M86" s="1827">
        <v>108.41</v>
      </c>
      <c r="N86" s="1849" t="s">
        <v>660</v>
      </c>
      <c r="Q86" s="957"/>
    </row>
    <row r="87" spans="1:20">
      <c r="A87" s="1826" t="s">
        <v>863</v>
      </c>
      <c r="B87" s="1827">
        <v>352.26</v>
      </c>
      <c r="C87" s="1827">
        <v>499.69</v>
      </c>
      <c r="D87" s="1827">
        <v>629.04999999999995</v>
      </c>
      <c r="E87" s="1827">
        <v>395.61</v>
      </c>
      <c r="F87" s="1827">
        <v>342.86</v>
      </c>
      <c r="G87" s="1827">
        <v>517.73</v>
      </c>
      <c r="H87" s="1827">
        <v>423.24</v>
      </c>
      <c r="I87" s="1827">
        <v>616.4</v>
      </c>
      <c r="J87" s="1827">
        <v>399.84</v>
      </c>
      <c r="K87" s="1827">
        <v>490.71</v>
      </c>
      <c r="L87" s="1827">
        <v>281.77999999999997</v>
      </c>
      <c r="M87" s="1827">
        <v>246.45</v>
      </c>
      <c r="N87" s="1849" t="s">
        <v>660</v>
      </c>
      <c r="Q87" s="957"/>
    </row>
    <row r="88" spans="1:20">
      <c r="A88" s="1826" t="s">
        <v>864</v>
      </c>
      <c r="B88" s="1827">
        <v>48.28</v>
      </c>
      <c r="C88" s="1827">
        <v>259.85000000000002</v>
      </c>
      <c r="D88" s="1827">
        <v>0</v>
      </c>
      <c r="E88" s="1827">
        <v>137.28</v>
      </c>
      <c r="F88" s="1827">
        <v>48.28</v>
      </c>
      <c r="G88" s="1827">
        <v>274.56</v>
      </c>
      <c r="H88" s="1827">
        <v>137.28</v>
      </c>
      <c r="I88" s="1827">
        <v>137.28</v>
      </c>
      <c r="J88" s="1827">
        <v>137.28</v>
      </c>
      <c r="K88" s="1827">
        <v>137.28</v>
      </c>
      <c r="L88" s="1827">
        <v>316.27999999999997</v>
      </c>
      <c r="M88" s="1827">
        <v>137.28</v>
      </c>
      <c r="N88" s="1849" t="s">
        <v>660</v>
      </c>
      <c r="Q88" s="957"/>
    </row>
    <row r="89" spans="1:20">
      <c r="A89" s="1826" t="s">
        <v>865</v>
      </c>
      <c r="B89" s="1827">
        <v>0</v>
      </c>
      <c r="C89" s="1827">
        <v>58.55</v>
      </c>
      <c r="D89" s="1827">
        <v>0</v>
      </c>
      <c r="E89" s="1827">
        <v>0</v>
      </c>
      <c r="F89" s="1827">
        <v>0</v>
      </c>
      <c r="G89" s="1827">
        <v>0</v>
      </c>
      <c r="H89" s="1827">
        <v>0</v>
      </c>
      <c r="I89" s="1827">
        <v>0</v>
      </c>
      <c r="J89" s="1827">
        <v>147.81</v>
      </c>
      <c r="K89" s="1827">
        <v>0</v>
      </c>
      <c r="L89" s="1827">
        <v>320.42</v>
      </c>
      <c r="M89" s="1827">
        <v>0</v>
      </c>
      <c r="N89" s="1849" t="s">
        <v>660</v>
      </c>
      <c r="Q89" s="957"/>
    </row>
    <row r="90" spans="1:20">
      <c r="A90" s="1826" t="s">
        <v>866</v>
      </c>
      <c r="B90" s="1827">
        <v>0</v>
      </c>
      <c r="C90" s="1827">
        <v>3500</v>
      </c>
      <c r="D90" s="1827">
        <v>-1086.8399999999999</v>
      </c>
      <c r="E90" s="1827">
        <v>0</v>
      </c>
      <c r="F90" s="1827">
        <v>0</v>
      </c>
      <c r="G90" s="1827">
        <v>0</v>
      </c>
      <c r="H90" s="1827">
        <v>0</v>
      </c>
      <c r="I90" s="1827">
        <v>0</v>
      </c>
      <c r="J90" s="1827">
        <v>0</v>
      </c>
      <c r="K90" s="1827">
        <v>0</v>
      </c>
      <c r="L90" s="1827">
        <v>0</v>
      </c>
      <c r="M90" s="1827">
        <v>0</v>
      </c>
      <c r="N90" s="1849" t="s">
        <v>660</v>
      </c>
      <c r="Q90" s="957"/>
    </row>
    <row r="91" spans="1:20">
      <c r="A91" s="1826" t="s">
        <v>867</v>
      </c>
      <c r="B91" s="1827">
        <v>0</v>
      </c>
      <c r="C91" s="1827">
        <v>827.1</v>
      </c>
      <c r="D91" s="1827">
        <v>0</v>
      </c>
      <c r="E91" s="1827">
        <v>0</v>
      </c>
      <c r="F91" s="1827">
        <v>0</v>
      </c>
      <c r="G91" s="1827">
        <v>0</v>
      </c>
      <c r="H91" s="1827">
        <v>0</v>
      </c>
      <c r="I91" s="1827">
        <v>0</v>
      </c>
      <c r="J91" s="1827">
        <v>211.9</v>
      </c>
      <c r="K91" s="1827">
        <v>0</v>
      </c>
      <c r="L91" s="1827">
        <v>0</v>
      </c>
      <c r="M91" s="1827">
        <v>135.55000000000001</v>
      </c>
      <c r="N91" s="1849" t="s">
        <v>660</v>
      </c>
      <c r="Q91" s="957"/>
    </row>
    <row r="92" spans="1:20">
      <c r="A92" s="1826" t="s">
        <v>868</v>
      </c>
      <c r="B92" s="1827">
        <v>48</v>
      </c>
      <c r="C92" s="1827">
        <v>-48</v>
      </c>
      <c r="D92" s="1827">
        <v>0</v>
      </c>
      <c r="E92" s="1827">
        <v>0</v>
      </c>
      <c r="F92" s="1827">
        <v>0</v>
      </c>
      <c r="G92" s="1827">
        <v>0</v>
      </c>
      <c r="H92" s="1827">
        <v>0</v>
      </c>
      <c r="I92" s="1827">
        <v>0</v>
      </c>
      <c r="J92" s="1827">
        <v>0</v>
      </c>
      <c r="K92" s="1827">
        <v>561.67999999999995</v>
      </c>
      <c r="L92" s="1827">
        <v>44.88</v>
      </c>
      <c r="M92" s="1827">
        <v>542.78</v>
      </c>
      <c r="N92" s="1849" t="s">
        <v>660</v>
      </c>
      <c r="Q92" s="957"/>
    </row>
    <row r="93" spans="1:20">
      <c r="A93" s="1826"/>
      <c r="B93" s="1831"/>
      <c r="C93" s="1831"/>
      <c r="D93" s="1831"/>
      <c r="E93" s="1831"/>
      <c r="F93" s="1831"/>
      <c r="G93" s="1831"/>
      <c r="H93" s="1831"/>
      <c r="I93" s="1831"/>
      <c r="J93" s="1831"/>
      <c r="K93" s="1831"/>
      <c r="L93" s="1831"/>
      <c r="M93" s="1831"/>
      <c r="N93" s="1849"/>
      <c r="Q93" s="957"/>
    </row>
    <row r="94" spans="1:20">
      <c r="A94" s="1826" t="s">
        <v>869</v>
      </c>
      <c r="B94" s="1836">
        <v>11418.14</v>
      </c>
      <c r="C94" s="1836">
        <v>19157.02</v>
      </c>
      <c r="D94" s="1836">
        <v>10436.370000000001</v>
      </c>
      <c r="E94" s="1836">
        <v>10898.25</v>
      </c>
      <c r="F94" s="1836">
        <v>11268.95</v>
      </c>
      <c r="G94" s="1836">
        <v>11910.87</v>
      </c>
      <c r="H94" s="1836">
        <v>11364.83</v>
      </c>
      <c r="I94" s="1836">
        <v>12967.17</v>
      </c>
      <c r="J94" s="1836">
        <v>11927.86</v>
      </c>
      <c r="K94" s="1836">
        <v>12559.84</v>
      </c>
      <c r="L94" s="1836">
        <v>10303.18</v>
      </c>
      <c r="M94" s="1836">
        <v>9883.1299999999992</v>
      </c>
      <c r="N94" s="1849"/>
      <c r="Q94" s="957"/>
      <c r="T94" s="1000"/>
    </row>
    <row r="95" spans="1:20">
      <c r="A95" s="1826" t="s">
        <v>870</v>
      </c>
      <c r="B95" s="1835"/>
      <c r="C95" s="1835"/>
      <c r="D95" s="1835"/>
      <c r="E95" s="1835"/>
      <c r="F95" s="1835"/>
      <c r="G95" s="1835"/>
      <c r="H95" s="1835"/>
      <c r="I95" s="1835"/>
      <c r="J95" s="1835"/>
      <c r="K95" s="1835"/>
      <c r="L95" s="1835"/>
      <c r="M95" s="1835"/>
      <c r="N95" s="1849"/>
      <c r="Q95" s="957"/>
      <c r="T95" s="1000"/>
    </row>
    <row r="96" spans="1:20">
      <c r="A96" s="1826" t="s">
        <v>871</v>
      </c>
      <c r="B96" s="1827">
        <v>49</v>
      </c>
      <c r="C96" s="1827">
        <v>49</v>
      </c>
      <c r="D96" s="1827">
        <v>49</v>
      </c>
      <c r="E96" s="1827">
        <v>49</v>
      </c>
      <c r="F96" s="1827">
        <v>49</v>
      </c>
      <c r="G96" s="1827">
        <v>49</v>
      </c>
      <c r="H96" s="1827">
        <v>49</v>
      </c>
      <c r="I96" s="1827">
        <v>49</v>
      </c>
      <c r="J96" s="1827">
        <v>49</v>
      </c>
      <c r="K96" s="1827">
        <v>49</v>
      </c>
      <c r="L96" s="1827">
        <v>49</v>
      </c>
      <c r="M96" s="1827">
        <v>49</v>
      </c>
      <c r="N96" s="1849" t="s">
        <v>661</v>
      </c>
      <c r="Q96" s="957"/>
    </row>
    <row r="97" spans="1:20">
      <c r="A97" s="1826" t="s">
        <v>872</v>
      </c>
      <c r="B97" s="1827">
        <v>88.77</v>
      </c>
      <c r="C97" s="1827">
        <v>1325</v>
      </c>
      <c r="D97" s="1827">
        <v>-1275</v>
      </c>
      <c r="E97" s="1827">
        <v>66.44</v>
      </c>
      <c r="F97" s="1827">
        <v>-625</v>
      </c>
      <c r="G97" s="1827">
        <v>125.06</v>
      </c>
      <c r="H97" s="1827">
        <v>139.76</v>
      </c>
      <c r="I97" s="1827">
        <v>-8.56</v>
      </c>
      <c r="J97" s="1827">
        <v>0</v>
      </c>
      <c r="K97" s="1827">
        <v>775.78</v>
      </c>
      <c r="L97" s="1827">
        <v>1014.73</v>
      </c>
      <c r="M97" s="1827">
        <v>0</v>
      </c>
      <c r="N97" s="1849" t="s">
        <v>661</v>
      </c>
      <c r="Q97" s="957"/>
    </row>
    <row r="98" spans="1:20">
      <c r="A98" s="1826" t="s">
        <v>873</v>
      </c>
      <c r="B98" s="1827">
        <v>0</v>
      </c>
      <c r="C98" s="1827">
        <v>0</v>
      </c>
      <c r="D98" s="1827">
        <v>1325</v>
      </c>
      <c r="E98" s="1827">
        <v>0</v>
      </c>
      <c r="F98" s="1827">
        <v>0</v>
      </c>
      <c r="G98" s="1827">
        <v>250</v>
      </c>
      <c r="H98" s="1827">
        <v>0</v>
      </c>
      <c r="I98" s="1827">
        <v>0</v>
      </c>
      <c r="J98" s="1827">
        <v>0</v>
      </c>
      <c r="K98" s="1827">
        <v>0</v>
      </c>
      <c r="L98" s="1827">
        <v>0</v>
      </c>
      <c r="M98" s="1827">
        <v>0</v>
      </c>
      <c r="N98" s="1849" t="s">
        <v>661</v>
      </c>
      <c r="Q98" s="957"/>
      <c r="T98" s="1000"/>
    </row>
    <row r="99" spans="1:20">
      <c r="A99" s="1826" t="s">
        <v>874</v>
      </c>
      <c r="B99" s="1827">
        <v>272.89</v>
      </c>
      <c r="C99" s="1827">
        <v>256.97000000000003</v>
      </c>
      <c r="D99" s="1827">
        <v>293.12</v>
      </c>
      <c r="E99" s="1827">
        <v>462.84</v>
      </c>
      <c r="F99" s="1827">
        <v>583.99</v>
      </c>
      <c r="G99" s="1827">
        <v>701.35</v>
      </c>
      <c r="H99" s="1827">
        <v>375</v>
      </c>
      <c r="I99" s="1827">
        <v>301.33999999999997</v>
      </c>
      <c r="J99" s="1827">
        <v>284.02999999999997</v>
      </c>
      <c r="K99" s="1827">
        <v>198.53</v>
      </c>
      <c r="L99" s="1827">
        <v>317.44</v>
      </c>
      <c r="M99" s="1827">
        <v>225.51</v>
      </c>
      <c r="N99" s="1849" t="s">
        <v>661</v>
      </c>
      <c r="Q99" s="957"/>
    </row>
    <row r="100" spans="1:20">
      <c r="A100" s="1826" t="s">
        <v>875</v>
      </c>
      <c r="B100" s="1827">
        <v>8228.73</v>
      </c>
      <c r="C100" s="1827">
        <v>8228.73</v>
      </c>
      <c r="D100" s="1827">
        <v>12047.04</v>
      </c>
      <c r="E100" s="1827">
        <v>10449.86</v>
      </c>
      <c r="F100" s="1827">
        <v>11519.39</v>
      </c>
      <c r="G100" s="1827">
        <v>11353.41</v>
      </c>
      <c r="H100" s="1827">
        <v>11519.39</v>
      </c>
      <c r="I100" s="1827">
        <v>11519.39</v>
      </c>
      <c r="J100" s="1827">
        <v>18075.23</v>
      </c>
      <c r="K100" s="1827">
        <v>14797.32</v>
      </c>
      <c r="L100" s="1827">
        <v>14797.32</v>
      </c>
      <c r="M100" s="1827">
        <v>15418.11</v>
      </c>
      <c r="N100" s="1849" t="s">
        <v>662</v>
      </c>
      <c r="P100" s="957"/>
      <c r="Q100" s="957"/>
      <c r="T100" s="1000"/>
    </row>
    <row r="101" spans="1:20">
      <c r="A101" s="1826" t="s">
        <v>876</v>
      </c>
      <c r="B101" s="1827">
        <v>3216.16</v>
      </c>
      <c r="C101" s="1827">
        <v>3216.16</v>
      </c>
      <c r="D101" s="1827">
        <v>3216.16</v>
      </c>
      <c r="E101" s="1827">
        <v>3216.16</v>
      </c>
      <c r="F101" s="1827">
        <v>3216.16</v>
      </c>
      <c r="G101" s="1827">
        <v>-5957.06</v>
      </c>
      <c r="H101" s="1827">
        <v>2733.36</v>
      </c>
      <c r="I101" s="1827">
        <v>2733.36</v>
      </c>
      <c r="J101" s="1827">
        <v>2733.36</v>
      </c>
      <c r="K101" s="1827">
        <v>2733.36</v>
      </c>
      <c r="L101" s="1827">
        <v>2733.36</v>
      </c>
      <c r="M101" s="1827">
        <v>2733.36</v>
      </c>
      <c r="N101" s="1849" t="s">
        <v>661</v>
      </c>
      <c r="Q101" s="957"/>
    </row>
    <row r="102" spans="1:20">
      <c r="A102" s="1826" t="s">
        <v>877</v>
      </c>
      <c r="B102" s="1827">
        <v>6021.99</v>
      </c>
      <c r="C102" s="1827">
        <v>6127.59</v>
      </c>
      <c r="D102" s="1827">
        <v>6262.09</v>
      </c>
      <c r="E102" s="1827">
        <v>6138.01</v>
      </c>
      <c r="F102" s="1827">
        <v>6138.01</v>
      </c>
      <c r="G102" s="1827">
        <v>7328.21</v>
      </c>
      <c r="H102" s="1827">
        <v>3230.77</v>
      </c>
      <c r="I102" s="1827">
        <v>5184.6499999999996</v>
      </c>
      <c r="J102" s="1827">
        <v>4834.6499999999996</v>
      </c>
      <c r="K102" s="1827">
        <v>5531.02</v>
      </c>
      <c r="L102" s="1827">
        <v>5531.02</v>
      </c>
      <c r="M102" s="1827">
        <v>6598.07</v>
      </c>
      <c r="N102" s="1849" t="s">
        <v>661</v>
      </c>
      <c r="Q102" s="957"/>
      <c r="T102" s="1000"/>
    </row>
    <row r="103" spans="1:20">
      <c r="A103" s="1826" t="s">
        <v>878</v>
      </c>
      <c r="B103" s="1827">
        <v>427.68</v>
      </c>
      <c r="C103" s="1827">
        <v>427.68</v>
      </c>
      <c r="D103" s="1827">
        <v>847.39</v>
      </c>
      <c r="E103" s="1827">
        <v>807.28</v>
      </c>
      <c r="F103" s="1827">
        <v>797.28</v>
      </c>
      <c r="G103" s="1827">
        <v>694.32</v>
      </c>
      <c r="H103" s="1827">
        <v>694.32</v>
      </c>
      <c r="I103" s="1827">
        <v>734.32</v>
      </c>
      <c r="J103" s="1827">
        <v>704.32</v>
      </c>
      <c r="K103" s="1827">
        <v>369.6</v>
      </c>
      <c r="L103" s="1827">
        <v>369.6</v>
      </c>
      <c r="M103" s="1827">
        <v>707.31</v>
      </c>
      <c r="N103" s="1849" t="s">
        <v>661</v>
      </c>
      <c r="Q103" s="957"/>
      <c r="T103" s="1000"/>
    </row>
    <row r="104" spans="1:20">
      <c r="A104" s="1826" t="s">
        <v>879</v>
      </c>
      <c r="B104" s="1827">
        <v>229.87</v>
      </c>
      <c r="C104" s="1827">
        <v>229.92</v>
      </c>
      <c r="D104" s="1827">
        <v>229.92</v>
      </c>
      <c r="E104" s="1827">
        <v>229.92</v>
      </c>
      <c r="F104" s="1827">
        <v>405.92</v>
      </c>
      <c r="G104" s="1827">
        <v>273.92</v>
      </c>
      <c r="H104" s="1827">
        <v>273.92</v>
      </c>
      <c r="I104" s="1827">
        <v>273.92</v>
      </c>
      <c r="J104" s="1827">
        <v>273.92</v>
      </c>
      <c r="K104" s="1827">
        <v>1068.03</v>
      </c>
      <c r="L104" s="1827">
        <v>324.81</v>
      </c>
      <c r="M104" s="1827">
        <v>251.52</v>
      </c>
      <c r="N104" s="1849" t="s">
        <v>661</v>
      </c>
      <c r="Q104" s="957"/>
    </row>
    <row r="105" spans="1:20">
      <c r="A105" s="1826" t="s">
        <v>880</v>
      </c>
      <c r="B105" s="1827">
        <v>64.95</v>
      </c>
      <c r="C105" s="1827">
        <v>64.95</v>
      </c>
      <c r="D105" s="1827">
        <v>64.95</v>
      </c>
      <c r="E105" s="1827">
        <v>64.95</v>
      </c>
      <c r="F105" s="1827">
        <v>64.95</v>
      </c>
      <c r="G105" s="1827">
        <v>64.95</v>
      </c>
      <c r="H105" s="1827">
        <v>334.95</v>
      </c>
      <c r="I105" s="1827">
        <v>64.95</v>
      </c>
      <c r="J105" s="1827">
        <v>64.95</v>
      </c>
      <c r="K105" s="1827">
        <v>64.95</v>
      </c>
      <c r="L105" s="1827">
        <v>64.95</v>
      </c>
      <c r="M105" s="1827">
        <v>64.95</v>
      </c>
      <c r="N105" s="1849" t="s">
        <v>661</v>
      </c>
      <c r="Q105" s="957"/>
    </row>
    <row r="106" spans="1:20">
      <c r="A106" s="1826" t="s">
        <v>881</v>
      </c>
      <c r="B106" s="1827">
        <v>350.96</v>
      </c>
      <c r="C106" s="1827">
        <v>362.96</v>
      </c>
      <c r="D106" s="1827">
        <v>559.94000000000005</v>
      </c>
      <c r="E106" s="1827">
        <v>222.09</v>
      </c>
      <c r="F106" s="1827">
        <v>218.18</v>
      </c>
      <c r="G106" s="1827">
        <v>550.03</v>
      </c>
      <c r="H106" s="1827">
        <v>305.48</v>
      </c>
      <c r="I106" s="1827">
        <v>305.48</v>
      </c>
      <c r="J106" s="1827">
        <v>232.49</v>
      </c>
      <c r="K106" s="1827">
        <v>388.14</v>
      </c>
      <c r="L106" s="1827">
        <v>222.16</v>
      </c>
      <c r="M106" s="1827">
        <v>240.5</v>
      </c>
      <c r="N106" s="1849" t="s">
        <v>662</v>
      </c>
      <c r="P106" s="957"/>
      <c r="Q106" s="957"/>
    </row>
    <row r="107" spans="1:20">
      <c r="A107" s="1826" t="s">
        <v>882</v>
      </c>
      <c r="B107" s="1827">
        <v>102</v>
      </c>
      <c r="C107" s="1827">
        <v>1360</v>
      </c>
      <c r="D107" s="1827">
        <v>680</v>
      </c>
      <c r="E107" s="1827">
        <v>150</v>
      </c>
      <c r="F107" s="1827">
        <v>2130</v>
      </c>
      <c r="G107" s="1827">
        <v>100</v>
      </c>
      <c r="H107" s="1827">
        <v>0</v>
      </c>
      <c r="I107" s="1827">
        <v>1480</v>
      </c>
      <c r="J107" s="1827">
        <v>680</v>
      </c>
      <c r="K107" s="1827">
        <v>1480</v>
      </c>
      <c r="L107" s="1827">
        <v>800</v>
      </c>
      <c r="M107" s="1827">
        <v>740</v>
      </c>
      <c r="N107" s="1849" t="s">
        <v>661</v>
      </c>
      <c r="Q107" s="957"/>
    </row>
    <row r="108" spans="1:20">
      <c r="A108" s="1826" t="s">
        <v>883</v>
      </c>
      <c r="B108" s="1827">
        <v>240</v>
      </c>
      <c r="C108" s="1827">
        <v>240</v>
      </c>
      <c r="D108" s="1827">
        <v>360</v>
      </c>
      <c r="E108" s="1827">
        <v>120</v>
      </c>
      <c r="F108" s="1827">
        <v>240</v>
      </c>
      <c r="G108" s="1827">
        <v>240</v>
      </c>
      <c r="H108" s="1827">
        <v>240</v>
      </c>
      <c r="I108" s="1827">
        <v>240</v>
      </c>
      <c r="J108" s="1827">
        <v>240</v>
      </c>
      <c r="K108" s="1827">
        <v>240</v>
      </c>
      <c r="L108" s="1827">
        <v>240</v>
      </c>
      <c r="M108" s="1827">
        <v>240</v>
      </c>
      <c r="N108" s="1849" t="s">
        <v>661</v>
      </c>
      <c r="Q108" s="957"/>
    </row>
    <row r="109" spans="1:20">
      <c r="A109" s="1826" t="s">
        <v>884</v>
      </c>
      <c r="B109" s="1827">
        <v>220.93</v>
      </c>
      <c r="C109" s="1827">
        <v>100.74</v>
      </c>
      <c r="D109" s="1827">
        <v>75.13</v>
      </c>
      <c r="E109" s="1827">
        <v>85.46</v>
      </c>
      <c r="F109" s="1827">
        <v>75.599999999999994</v>
      </c>
      <c r="G109" s="1827">
        <v>85.86</v>
      </c>
      <c r="H109" s="1827">
        <v>89.66</v>
      </c>
      <c r="I109" s="1827">
        <v>38.01</v>
      </c>
      <c r="J109" s="1827">
        <v>116.12</v>
      </c>
      <c r="K109" s="1827">
        <v>57.66</v>
      </c>
      <c r="L109" s="1827">
        <v>122.31</v>
      </c>
      <c r="M109" s="1827">
        <v>227.31</v>
      </c>
      <c r="N109" s="1849" t="s">
        <v>661</v>
      </c>
      <c r="Q109" s="957"/>
    </row>
    <row r="110" spans="1:20">
      <c r="A110" s="1826" t="s">
        <v>885</v>
      </c>
      <c r="B110" s="1827">
        <v>110</v>
      </c>
      <c r="C110" s="1827">
        <v>10</v>
      </c>
      <c r="D110" s="1827">
        <v>10</v>
      </c>
      <c r="E110" s="1827">
        <v>10</v>
      </c>
      <c r="F110" s="1827">
        <v>10</v>
      </c>
      <c r="G110" s="1827">
        <v>10</v>
      </c>
      <c r="H110" s="1827">
        <v>10</v>
      </c>
      <c r="I110" s="1827">
        <v>10</v>
      </c>
      <c r="J110" s="1827">
        <v>110</v>
      </c>
      <c r="K110" s="1827">
        <v>10</v>
      </c>
      <c r="L110" s="1827">
        <v>17.600000000000001</v>
      </c>
      <c r="M110" s="1827">
        <v>10</v>
      </c>
      <c r="N110" s="1849" t="s">
        <v>661</v>
      </c>
      <c r="Q110" s="957"/>
    </row>
    <row r="111" spans="1:20">
      <c r="A111" s="1826" t="s">
        <v>886</v>
      </c>
      <c r="B111" s="1827">
        <v>566.75</v>
      </c>
      <c r="C111" s="1827">
        <v>80</v>
      </c>
      <c r="D111" s="1827">
        <v>80</v>
      </c>
      <c r="E111" s="1827">
        <v>80</v>
      </c>
      <c r="F111" s="1827">
        <v>80</v>
      </c>
      <c r="G111" s="1827">
        <v>80</v>
      </c>
      <c r="H111" s="1827">
        <v>80</v>
      </c>
      <c r="I111" s="1827">
        <v>80</v>
      </c>
      <c r="J111" s="1827">
        <v>80</v>
      </c>
      <c r="K111" s="1827">
        <v>183.75</v>
      </c>
      <c r="L111" s="1827">
        <v>80</v>
      </c>
      <c r="M111" s="1827">
        <v>231.21</v>
      </c>
      <c r="N111" s="1849" t="s">
        <v>661</v>
      </c>
      <c r="Q111" s="957"/>
    </row>
    <row r="112" spans="1:20">
      <c r="A112" s="1826" t="s">
        <v>887</v>
      </c>
      <c r="B112" s="1827">
        <v>60.91</v>
      </c>
      <c r="C112" s="1827">
        <v>91.84</v>
      </c>
      <c r="D112" s="1827">
        <v>38</v>
      </c>
      <c r="E112" s="1827">
        <v>81.64</v>
      </c>
      <c r="F112" s="1827">
        <v>31</v>
      </c>
      <c r="G112" s="1827">
        <v>41</v>
      </c>
      <c r="H112" s="1827">
        <v>38</v>
      </c>
      <c r="I112" s="1827">
        <v>50</v>
      </c>
      <c r="J112" s="1827">
        <v>25</v>
      </c>
      <c r="K112" s="1827">
        <v>53</v>
      </c>
      <c r="L112" s="1827">
        <v>57.6</v>
      </c>
      <c r="M112" s="1827">
        <v>39</v>
      </c>
      <c r="N112" s="1849" t="s">
        <v>661</v>
      </c>
      <c r="Q112" s="957"/>
    </row>
    <row r="113" spans="1:17">
      <c r="A113" s="1826" t="s">
        <v>888</v>
      </c>
      <c r="B113" s="1827">
        <v>636.30999999999995</v>
      </c>
      <c r="C113" s="1827">
        <v>648.30999999999995</v>
      </c>
      <c r="D113" s="1827">
        <v>897.34</v>
      </c>
      <c r="E113" s="1827">
        <v>597.19000000000005</v>
      </c>
      <c r="F113" s="1827">
        <v>622.1</v>
      </c>
      <c r="G113" s="1827">
        <v>618.21</v>
      </c>
      <c r="H113" s="1827">
        <v>650.6</v>
      </c>
      <c r="I113" s="1827">
        <v>614.6</v>
      </c>
      <c r="J113" s="1827">
        <v>826.6</v>
      </c>
      <c r="K113" s="1827">
        <v>405.02</v>
      </c>
      <c r="L113" s="1827">
        <v>617.02</v>
      </c>
      <c r="M113" s="1827">
        <v>621.66999999999996</v>
      </c>
      <c r="N113" s="1849" t="s">
        <v>661</v>
      </c>
      <c r="Q113" s="957"/>
    </row>
    <row r="114" spans="1:17">
      <c r="A114" s="1826" t="s">
        <v>889</v>
      </c>
      <c r="B114" s="1827">
        <v>555.17999999999995</v>
      </c>
      <c r="C114" s="1827">
        <v>585.97</v>
      </c>
      <c r="D114" s="1827">
        <v>535.97</v>
      </c>
      <c r="E114" s="1827">
        <v>535.97</v>
      </c>
      <c r="F114" s="1827">
        <v>625.97</v>
      </c>
      <c r="G114" s="1827">
        <v>536.02</v>
      </c>
      <c r="H114" s="1827">
        <v>524.44000000000005</v>
      </c>
      <c r="I114" s="1827">
        <v>524.44000000000005</v>
      </c>
      <c r="J114" s="1827">
        <v>524.44000000000005</v>
      </c>
      <c r="K114" s="1827">
        <v>524.44000000000005</v>
      </c>
      <c r="L114" s="1827">
        <v>524.44000000000005</v>
      </c>
      <c r="M114" s="1827">
        <v>524.44000000000005</v>
      </c>
      <c r="N114" s="1849" t="s">
        <v>661</v>
      </c>
      <c r="Q114" s="957"/>
    </row>
    <row r="115" spans="1:17">
      <c r="A115" s="1826" t="s">
        <v>890</v>
      </c>
      <c r="B115" s="1827">
        <v>0</v>
      </c>
      <c r="C115" s="1827">
        <v>0</v>
      </c>
      <c r="D115" s="1827">
        <v>0</v>
      </c>
      <c r="E115" s="1827">
        <v>0</v>
      </c>
      <c r="F115" s="1827">
        <v>0</v>
      </c>
      <c r="G115" s="1827">
        <v>0</v>
      </c>
      <c r="H115" s="1827">
        <v>0</v>
      </c>
      <c r="I115" s="1827">
        <v>0</v>
      </c>
      <c r="J115" s="1827">
        <v>50</v>
      </c>
      <c r="K115" s="1827">
        <v>50</v>
      </c>
      <c r="L115" s="1827">
        <v>50</v>
      </c>
      <c r="M115" s="1827">
        <v>98</v>
      </c>
      <c r="N115" s="1849" t="s">
        <v>661</v>
      </c>
      <c r="Q115" s="957"/>
    </row>
    <row r="116" spans="1:17">
      <c r="A116" s="1826" t="s">
        <v>891</v>
      </c>
      <c r="B116" s="1827">
        <v>564</v>
      </c>
      <c r="C116" s="1827">
        <v>564</v>
      </c>
      <c r="D116" s="1827">
        <v>591.84</v>
      </c>
      <c r="E116" s="1827">
        <v>591.84</v>
      </c>
      <c r="F116" s="1827">
        <v>591.84</v>
      </c>
      <c r="G116" s="1827">
        <v>590.78</v>
      </c>
      <c r="H116" s="1827">
        <v>590.78</v>
      </c>
      <c r="I116" s="1827">
        <v>590.78</v>
      </c>
      <c r="J116" s="1827">
        <v>590.78</v>
      </c>
      <c r="K116" s="1827">
        <v>590.79</v>
      </c>
      <c r="L116" s="1827">
        <v>590.78</v>
      </c>
      <c r="M116" s="1827">
        <v>0</v>
      </c>
      <c r="N116" s="1849" t="s">
        <v>661</v>
      </c>
      <c r="Q116" s="957"/>
    </row>
    <row r="117" spans="1:17">
      <c r="A117" s="1826" t="s">
        <v>892</v>
      </c>
      <c r="B117" s="1827">
        <v>8500</v>
      </c>
      <c r="C117" s="1827">
        <v>8500</v>
      </c>
      <c r="D117" s="1827">
        <v>8500</v>
      </c>
      <c r="E117" s="1827">
        <v>8500</v>
      </c>
      <c r="F117" s="1827">
        <v>8674.91</v>
      </c>
      <c r="G117" s="1827">
        <v>8558.15</v>
      </c>
      <c r="H117" s="1827">
        <v>8636.2999999999993</v>
      </c>
      <c r="I117" s="1827">
        <v>9518.61</v>
      </c>
      <c r="J117" s="1827">
        <v>10266.32</v>
      </c>
      <c r="K117" s="1827">
        <v>11361.3</v>
      </c>
      <c r="L117" s="1827">
        <v>11428.23</v>
      </c>
      <c r="M117" s="1827">
        <v>11647.74</v>
      </c>
      <c r="N117" s="1849" t="s">
        <v>664</v>
      </c>
      <c r="Q117" s="957"/>
    </row>
    <row r="118" spans="1:17">
      <c r="A118" s="1826"/>
      <c r="B118" s="1831"/>
      <c r="C118" s="1831"/>
      <c r="D118" s="1831"/>
      <c r="E118" s="1831"/>
      <c r="F118" s="1831"/>
      <c r="G118" s="1831"/>
      <c r="H118" s="1831"/>
      <c r="I118" s="1831"/>
      <c r="J118" s="1831"/>
      <c r="K118" s="1831"/>
      <c r="L118" s="1831"/>
      <c r="M118" s="1831"/>
      <c r="N118" s="1849"/>
      <c r="Q118" s="957"/>
    </row>
    <row r="119" spans="1:17">
      <c r="A119" s="1826" t="s">
        <v>893</v>
      </c>
      <c r="B119" s="1836">
        <v>30507.08</v>
      </c>
      <c r="C119" s="1836">
        <v>32469.82</v>
      </c>
      <c r="D119" s="1836">
        <v>35387.89</v>
      </c>
      <c r="E119" s="1836">
        <v>32458.65</v>
      </c>
      <c r="F119" s="1836">
        <v>35449.300000000003</v>
      </c>
      <c r="G119" s="1836">
        <v>26293.21</v>
      </c>
      <c r="H119" s="1836">
        <v>30515.73</v>
      </c>
      <c r="I119" s="1836">
        <v>34304.29</v>
      </c>
      <c r="J119" s="1836">
        <v>40761.21</v>
      </c>
      <c r="K119" s="1836">
        <v>40931.69</v>
      </c>
      <c r="L119" s="1836">
        <v>39952.370000000003</v>
      </c>
      <c r="M119" s="1836">
        <v>40667.699999999997</v>
      </c>
      <c r="N119" s="1849"/>
      <c r="Q119" s="957"/>
    </row>
    <row r="120" spans="1:17">
      <c r="A120" s="1826" t="s">
        <v>894</v>
      </c>
      <c r="B120" s="1835"/>
      <c r="C120" s="1835"/>
      <c r="D120" s="1835"/>
      <c r="E120" s="1835"/>
      <c r="F120" s="1835"/>
      <c r="G120" s="1835"/>
      <c r="H120" s="1835"/>
      <c r="I120" s="1835"/>
      <c r="J120" s="1835"/>
      <c r="K120" s="1835"/>
      <c r="L120" s="1835"/>
      <c r="M120" s="1835"/>
      <c r="N120" s="1849"/>
      <c r="Q120" s="957"/>
    </row>
    <row r="121" spans="1:17">
      <c r="A121" s="1826" t="s">
        <v>895</v>
      </c>
      <c r="B121" s="1827">
        <v>0</v>
      </c>
      <c r="C121" s="1827">
        <v>1800</v>
      </c>
      <c r="D121" s="1827">
        <v>345</v>
      </c>
      <c r="E121" s="1827">
        <v>1841</v>
      </c>
      <c r="F121" s="1827">
        <v>0</v>
      </c>
      <c r="G121" s="1827">
        <v>0</v>
      </c>
      <c r="H121" s="1827">
        <v>0</v>
      </c>
      <c r="I121" s="1827">
        <v>0</v>
      </c>
      <c r="J121" s="1827">
        <v>1900</v>
      </c>
      <c r="K121" s="1827">
        <v>-93</v>
      </c>
      <c r="L121" s="1827">
        <v>0</v>
      </c>
      <c r="M121" s="1827">
        <v>0</v>
      </c>
      <c r="N121" s="1849" t="s">
        <v>656</v>
      </c>
      <c r="Q121" s="957"/>
    </row>
    <row r="122" spans="1:17">
      <c r="A122" s="1826" t="s">
        <v>896</v>
      </c>
      <c r="B122" s="1827">
        <v>2420</v>
      </c>
      <c r="C122" s="1827">
        <v>2420</v>
      </c>
      <c r="D122" s="1827">
        <v>2420</v>
      </c>
      <c r="E122" s="1827">
        <v>2420</v>
      </c>
      <c r="F122" s="1827">
        <v>2750</v>
      </c>
      <c r="G122" s="1827">
        <v>2750</v>
      </c>
      <c r="H122" s="1827">
        <v>2750</v>
      </c>
      <c r="I122" s="1827">
        <v>2750</v>
      </c>
      <c r="J122" s="1827">
        <v>2750</v>
      </c>
      <c r="K122" s="1827">
        <v>2750</v>
      </c>
      <c r="L122" s="1827">
        <v>2750</v>
      </c>
      <c r="M122" s="1827">
        <v>2750</v>
      </c>
      <c r="N122" s="1849" t="s">
        <v>656</v>
      </c>
      <c r="Q122" s="957"/>
    </row>
    <row r="123" spans="1:17">
      <c r="A123" s="1826" t="s">
        <v>897</v>
      </c>
      <c r="B123" s="1827">
        <v>0</v>
      </c>
      <c r="C123" s="1827">
        <v>0</v>
      </c>
      <c r="D123" s="1827">
        <v>2439</v>
      </c>
      <c r="E123" s="1827">
        <v>0</v>
      </c>
      <c r="F123" s="1827">
        <v>0</v>
      </c>
      <c r="G123" s="1827">
        <v>0</v>
      </c>
      <c r="H123" s="1827">
        <v>0</v>
      </c>
      <c r="I123" s="1827">
        <v>0</v>
      </c>
      <c r="J123" s="1827">
        <v>4000</v>
      </c>
      <c r="K123" s="1827">
        <v>20</v>
      </c>
      <c r="L123" s="1827">
        <v>0</v>
      </c>
      <c r="M123" s="1827">
        <v>0</v>
      </c>
      <c r="N123" s="1849" t="s">
        <v>656</v>
      </c>
      <c r="Q123" s="957"/>
    </row>
    <row r="124" spans="1:17">
      <c r="A124" s="1826" t="s">
        <v>898</v>
      </c>
      <c r="B124" s="1827">
        <v>0</v>
      </c>
      <c r="C124" s="1827">
        <v>0</v>
      </c>
      <c r="D124" s="1827">
        <v>0</v>
      </c>
      <c r="E124" s="1827">
        <v>0</v>
      </c>
      <c r="F124" s="1827">
        <v>0</v>
      </c>
      <c r="G124" s="1827">
        <v>743</v>
      </c>
      <c r="H124" s="1827">
        <v>0</v>
      </c>
      <c r="I124" s="1827">
        <v>0</v>
      </c>
      <c r="J124" s="1827">
        <v>0</v>
      </c>
      <c r="K124" s="1827">
        <v>752</v>
      </c>
      <c r="L124" s="1827">
        <v>-376</v>
      </c>
      <c r="M124" s="1827">
        <v>0</v>
      </c>
      <c r="N124" s="1849" t="s">
        <v>656</v>
      </c>
      <c r="Q124" s="957"/>
    </row>
    <row r="125" spans="1:17">
      <c r="A125" s="1826" t="s">
        <v>899</v>
      </c>
      <c r="B125" s="1827">
        <v>28.23</v>
      </c>
      <c r="C125" s="1827">
        <v>0</v>
      </c>
      <c r="D125" s="1827">
        <v>25.81</v>
      </c>
      <c r="E125" s="1827">
        <v>0</v>
      </c>
      <c r="F125" s="1827">
        <v>0</v>
      </c>
      <c r="G125" s="1827">
        <v>33.85</v>
      </c>
      <c r="H125" s="1827">
        <v>30.19</v>
      </c>
      <c r="I125" s="1827">
        <v>0</v>
      </c>
      <c r="J125" s="1827">
        <v>7.68</v>
      </c>
      <c r="K125" s="1827">
        <v>48.26</v>
      </c>
      <c r="L125" s="1827">
        <v>57.94</v>
      </c>
      <c r="M125" s="1827">
        <v>349.94</v>
      </c>
      <c r="N125" s="1849" t="s">
        <v>656</v>
      </c>
      <c r="Q125" s="957"/>
    </row>
    <row r="126" spans="1:17">
      <c r="A126" s="1826"/>
      <c r="B126" s="1831"/>
      <c r="C126" s="1831"/>
      <c r="D126" s="1831"/>
      <c r="E126" s="1831"/>
      <c r="F126" s="1831"/>
      <c r="G126" s="1831"/>
      <c r="H126" s="1831"/>
      <c r="I126" s="1831"/>
      <c r="J126" s="1831"/>
      <c r="K126" s="1831"/>
      <c r="L126" s="1831"/>
      <c r="M126" s="1831"/>
      <c r="N126" s="1849"/>
      <c r="Q126" s="957"/>
    </row>
    <row r="127" spans="1:17">
      <c r="A127" s="1826" t="s">
        <v>900</v>
      </c>
      <c r="B127" s="1836">
        <v>2448.23</v>
      </c>
      <c r="C127" s="1836">
        <v>4220</v>
      </c>
      <c r="D127" s="1836">
        <v>5229.8100000000004</v>
      </c>
      <c r="E127" s="1836">
        <v>4261</v>
      </c>
      <c r="F127" s="1836">
        <v>2750</v>
      </c>
      <c r="G127" s="1836">
        <v>3526.85</v>
      </c>
      <c r="H127" s="1836">
        <v>2780.19</v>
      </c>
      <c r="I127" s="1836">
        <v>2750</v>
      </c>
      <c r="J127" s="1836">
        <v>8657.68</v>
      </c>
      <c r="K127" s="1836">
        <v>3477.26</v>
      </c>
      <c r="L127" s="1836">
        <v>2431.94</v>
      </c>
      <c r="M127" s="1836">
        <v>3099.94</v>
      </c>
      <c r="N127" s="1849"/>
      <c r="Q127" s="957"/>
    </row>
    <row r="128" spans="1:17">
      <c r="A128" s="1826" t="s">
        <v>901</v>
      </c>
      <c r="B128" s="1835"/>
      <c r="C128" s="1835"/>
      <c r="D128" s="1835"/>
      <c r="E128" s="1835"/>
      <c r="F128" s="1835"/>
      <c r="G128" s="1835"/>
      <c r="H128" s="1835"/>
      <c r="I128" s="1835"/>
      <c r="J128" s="1835"/>
      <c r="K128" s="1835"/>
      <c r="L128" s="1835"/>
      <c r="M128" s="1835"/>
      <c r="N128" s="1849"/>
      <c r="Q128" s="957"/>
    </row>
    <row r="129" spans="1:17">
      <c r="A129" s="1826" t="s">
        <v>902</v>
      </c>
      <c r="B129" s="1827">
        <v>0</v>
      </c>
      <c r="C129" s="1827">
        <v>255</v>
      </c>
      <c r="D129" s="1827">
        <v>195</v>
      </c>
      <c r="E129" s="1827">
        <v>95</v>
      </c>
      <c r="F129" s="1827">
        <v>50</v>
      </c>
      <c r="G129" s="1827">
        <v>435</v>
      </c>
      <c r="H129" s="1827">
        <v>145</v>
      </c>
      <c r="I129" s="1827">
        <v>420</v>
      </c>
      <c r="J129" s="1827">
        <v>185</v>
      </c>
      <c r="K129" s="1827">
        <v>400</v>
      </c>
      <c r="L129" s="1827">
        <v>360</v>
      </c>
      <c r="M129" s="1827">
        <v>30</v>
      </c>
      <c r="N129" s="1849" t="s">
        <v>657</v>
      </c>
      <c r="Q129" s="957"/>
    </row>
    <row r="130" spans="1:17">
      <c r="A130" s="1826" t="s">
        <v>903</v>
      </c>
      <c r="B130" s="1827">
        <v>0</v>
      </c>
      <c r="C130" s="1827">
        <v>0</v>
      </c>
      <c r="D130" s="1827">
        <v>0</v>
      </c>
      <c r="E130" s="1827">
        <v>0</v>
      </c>
      <c r="F130" s="1827">
        <v>0</v>
      </c>
      <c r="G130" s="1827">
        <v>0</v>
      </c>
      <c r="H130" s="1827">
        <v>0</v>
      </c>
      <c r="I130" s="1827">
        <v>575</v>
      </c>
      <c r="J130" s="1827">
        <v>0</v>
      </c>
      <c r="K130" s="1827">
        <v>0</v>
      </c>
      <c r="L130" s="1827">
        <v>160</v>
      </c>
      <c r="M130" s="1827">
        <v>0</v>
      </c>
      <c r="N130" s="1849" t="s">
        <v>657</v>
      </c>
      <c r="Q130" s="957"/>
    </row>
    <row r="131" spans="1:17">
      <c r="A131" s="1826" t="s">
        <v>904</v>
      </c>
      <c r="B131" s="1827">
        <v>1175</v>
      </c>
      <c r="C131" s="1827">
        <v>1020</v>
      </c>
      <c r="D131" s="1827">
        <v>1220</v>
      </c>
      <c r="E131" s="1827">
        <v>3025</v>
      </c>
      <c r="F131" s="1827">
        <v>875</v>
      </c>
      <c r="G131" s="1827">
        <v>3860</v>
      </c>
      <c r="H131" s="1827">
        <v>5730</v>
      </c>
      <c r="I131" s="1827">
        <v>1720</v>
      </c>
      <c r="J131" s="1827">
        <v>2352</v>
      </c>
      <c r="K131" s="1827">
        <v>765</v>
      </c>
      <c r="L131" s="1827">
        <v>425</v>
      </c>
      <c r="M131" s="1827">
        <v>712</v>
      </c>
      <c r="N131" s="1849" t="s">
        <v>657</v>
      </c>
      <c r="Q131" s="957"/>
    </row>
    <row r="132" spans="1:17">
      <c r="A132" s="1826" t="s">
        <v>905</v>
      </c>
      <c r="B132" s="1827">
        <v>46.23</v>
      </c>
      <c r="C132" s="1827">
        <v>87.4</v>
      </c>
      <c r="D132" s="1827">
        <v>0</v>
      </c>
      <c r="E132" s="1827">
        <v>1077.1300000000001</v>
      </c>
      <c r="F132" s="1827">
        <v>825</v>
      </c>
      <c r="G132" s="1827">
        <v>906.62</v>
      </c>
      <c r="H132" s="1827">
        <v>326.22000000000003</v>
      </c>
      <c r="I132" s="1827">
        <v>0</v>
      </c>
      <c r="J132" s="1827">
        <v>20.37</v>
      </c>
      <c r="K132" s="1827">
        <v>341.99</v>
      </c>
      <c r="L132" s="1827">
        <v>831.96</v>
      </c>
      <c r="M132" s="1827">
        <v>858.67</v>
      </c>
      <c r="N132" s="1849" t="s">
        <v>657</v>
      </c>
      <c r="Q132" s="957"/>
    </row>
    <row r="133" spans="1:17">
      <c r="A133" s="1826" t="s">
        <v>906</v>
      </c>
      <c r="B133" s="1827">
        <v>0</v>
      </c>
      <c r="C133" s="1827">
        <v>0</v>
      </c>
      <c r="D133" s="1827">
        <v>0</v>
      </c>
      <c r="E133" s="1827">
        <v>0</v>
      </c>
      <c r="F133" s="1827">
        <v>0</v>
      </c>
      <c r="G133" s="1827">
        <v>94.7</v>
      </c>
      <c r="H133" s="1827">
        <v>37.479999999999997</v>
      </c>
      <c r="I133" s="1827">
        <v>0</v>
      </c>
      <c r="J133" s="1827">
        <v>45</v>
      </c>
      <c r="K133" s="1827">
        <v>35.43</v>
      </c>
      <c r="L133" s="1827">
        <v>11.14</v>
      </c>
      <c r="M133" s="1827">
        <v>36.35</v>
      </c>
      <c r="N133" s="1849" t="s">
        <v>657</v>
      </c>
      <c r="Q133" s="957"/>
    </row>
    <row r="134" spans="1:17">
      <c r="A134" s="1826" t="s">
        <v>907</v>
      </c>
      <c r="B134" s="1827">
        <v>309.18</v>
      </c>
      <c r="C134" s="1827">
        <v>0</v>
      </c>
      <c r="D134" s="1827">
        <v>721.42</v>
      </c>
      <c r="E134" s="1827">
        <v>412.24</v>
      </c>
      <c r="F134" s="1827">
        <v>618.36</v>
      </c>
      <c r="G134" s="1827">
        <v>502.94</v>
      </c>
      <c r="H134" s="1827">
        <v>289.64999999999998</v>
      </c>
      <c r="I134" s="1827">
        <v>268.79000000000002</v>
      </c>
      <c r="J134" s="1827">
        <v>277.16000000000003</v>
      </c>
      <c r="K134" s="1827">
        <v>186.4</v>
      </c>
      <c r="L134" s="1827">
        <v>0</v>
      </c>
      <c r="M134" s="1827">
        <v>287.54000000000002</v>
      </c>
      <c r="N134" s="1849" t="s">
        <v>657</v>
      </c>
      <c r="Q134" s="957"/>
    </row>
    <row r="135" spans="1:17">
      <c r="A135" s="1826" t="s">
        <v>908</v>
      </c>
      <c r="B135" s="1827">
        <v>750</v>
      </c>
      <c r="C135" s="1827">
        <v>1850</v>
      </c>
      <c r="D135" s="1827">
        <v>4275</v>
      </c>
      <c r="E135" s="1827">
        <v>4350</v>
      </c>
      <c r="F135" s="1827">
        <v>1875</v>
      </c>
      <c r="G135" s="1827">
        <v>3800</v>
      </c>
      <c r="H135" s="1827">
        <v>6130</v>
      </c>
      <c r="I135" s="1827">
        <v>3750</v>
      </c>
      <c r="J135" s="1827">
        <v>2367</v>
      </c>
      <c r="K135" s="1827">
        <v>1456.5</v>
      </c>
      <c r="L135" s="1827">
        <v>150</v>
      </c>
      <c r="M135" s="1827">
        <v>1300.5</v>
      </c>
      <c r="N135" s="1849" t="s">
        <v>657</v>
      </c>
      <c r="Q135" s="957"/>
    </row>
    <row r="136" spans="1:17">
      <c r="A136" s="1826" t="s">
        <v>909</v>
      </c>
      <c r="B136" s="1827">
        <v>0</v>
      </c>
      <c r="C136" s="1827">
        <v>0</v>
      </c>
      <c r="D136" s="1827">
        <v>0</v>
      </c>
      <c r="E136" s="1827">
        <v>0</v>
      </c>
      <c r="F136" s="1827">
        <v>0</v>
      </c>
      <c r="G136" s="1827">
        <v>129.54</v>
      </c>
      <c r="H136" s="1827">
        <v>86.36</v>
      </c>
      <c r="I136" s="1827">
        <v>135.93</v>
      </c>
      <c r="J136" s="1827">
        <v>88.16</v>
      </c>
      <c r="K136" s="1827">
        <v>113.25</v>
      </c>
      <c r="L136" s="1827">
        <v>554.15</v>
      </c>
      <c r="M136" s="1827">
        <v>361.58</v>
      </c>
      <c r="N136" s="1849" t="s">
        <v>657</v>
      </c>
      <c r="Q136" s="957"/>
    </row>
    <row r="137" spans="1:17">
      <c r="A137" s="1826"/>
      <c r="B137" s="1831"/>
      <c r="C137" s="1831"/>
      <c r="D137" s="1831"/>
      <c r="E137" s="1831"/>
      <c r="F137" s="1831"/>
      <c r="G137" s="1831"/>
      <c r="H137" s="1831"/>
      <c r="I137" s="1831"/>
      <c r="J137" s="1831"/>
      <c r="K137" s="1831"/>
      <c r="L137" s="1831"/>
      <c r="M137" s="1831"/>
      <c r="N137" s="1849"/>
      <c r="Q137" s="957"/>
    </row>
    <row r="138" spans="1:17">
      <c r="A138" s="1826" t="s">
        <v>910</v>
      </c>
      <c r="B138" s="1836">
        <v>2280.41</v>
      </c>
      <c r="C138" s="1836">
        <v>3212.4</v>
      </c>
      <c r="D138" s="1836">
        <v>6411.42</v>
      </c>
      <c r="E138" s="1836">
        <v>8959.3700000000008</v>
      </c>
      <c r="F138" s="1836">
        <v>4243.3599999999997</v>
      </c>
      <c r="G138" s="1836">
        <v>9728.7999999999993</v>
      </c>
      <c r="H138" s="1836">
        <v>12744.71</v>
      </c>
      <c r="I138" s="1836">
        <v>6869.72</v>
      </c>
      <c r="J138" s="1836">
        <v>5334.69</v>
      </c>
      <c r="K138" s="1836">
        <v>3298.57</v>
      </c>
      <c r="L138" s="1836">
        <v>2492.25</v>
      </c>
      <c r="M138" s="1836">
        <v>3586.64</v>
      </c>
      <c r="N138" s="1849"/>
      <c r="Q138" s="957"/>
    </row>
    <row r="139" spans="1:17">
      <c r="A139" s="1826" t="s">
        <v>911</v>
      </c>
      <c r="B139" s="1835"/>
      <c r="C139" s="1835"/>
      <c r="D139" s="1835"/>
      <c r="E139" s="1835"/>
      <c r="F139" s="1835"/>
      <c r="G139" s="1835"/>
      <c r="H139" s="1835"/>
      <c r="I139" s="1835"/>
      <c r="J139" s="1835"/>
      <c r="K139" s="1835"/>
      <c r="L139" s="1835"/>
      <c r="M139" s="1835"/>
      <c r="N139" s="1849"/>
      <c r="Q139" s="957"/>
    </row>
    <row r="140" spans="1:17">
      <c r="A140" s="1826" t="s">
        <v>912</v>
      </c>
      <c r="B140" s="1827">
        <v>0</v>
      </c>
      <c r="C140" s="1827">
        <v>0</v>
      </c>
      <c r="D140" s="1827">
        <v>0</v>
      </c>
      <c r="E140" s="1827">
        <v>0</v>
      </c>
      <c r="F140" s="1827">
        <v>1536.84</v>
      </c>
      <c r="G140" s="1827">
        <v>0</v>
      </c>
      <c r="H140" s="1827">
        <v>0</v>
      </c>
      <c r="I140" s="1827">
        <v>1805.5</v>
      </c>
      <c r="J140" s="1827">
        <v>1535.48</v>
      </c>
      <c r="K140" s="1827">
        <v>0</v>
      </c>
      <c r="L140" s="1827">
        <v>0</v>
      </c>
      <c r="M140" s="1827">
        <v>1535.48</v>
      </c>
      <c r="N140" s="1849" t="s">
        <v>654</v>
      </c>
      <c r="Q140" s="957"/>
    </row>
    <row r="141" spans="1:17">
      <c r="A141" s="1826" t="s">
        <v>913</v>
      </c>
      <c r="B141" s="1827">
        <v>0</v>
      </c>
      <c r="C141" s="1827">
        <v>0</v>
      </c>
      <c r="D141" s="1827">
        <v>0</v>
      </c>
      <c r="E141" s="1827">
        <v>0</v>
      </c>
      <c r="F141" s="1827">
        <v>0</v>
      </c>
      <c r="G141" s="1827">
        <v>0</v>
      </c>
      <c r="H141" s="1827">
        <v>59.48</v>
      </c>
      <c r="I141" s="1827">
        <v>0</v>
      </c>
      <c r="J141" s="1827">
        <v>0</v>
      </c>
      <c r="K141" s="1827">
        <v>33.03</v>
      </c>
      <c r="L141" s="1827">
        <v>1191.17</v>
      </c>
      <c r="M141" s="1827">
        <v>0</v>
      </c>
      <c r="N141" s="1849" t="s">
        <v>654</v>
      </c>
      <c r="Q141" s="957"/>
    </row>
    <row r="142" spans="1:17">
      <c r="A142" s="1826" t="s">
        <v>914</v>
      </c>
      <c r="B142" s="1827">
        <v>347.59</v>
      </c>
      <c r="C142" s="1827">
        <v>694.45</v>
      </c>
      <c r="D142" s="1827">
        <v>400.1</v>
      </c>
      <c r="E142" s="1827">
        <v>317.5</v>
      </c>
      <c r="F142" s="1827">
        <v>669.44</v>
      </c>
      <c r="G142" s="1827">
        <v>385.44</v>
      </c>
      <c r="H142" s="1827">
        <v>360.37</v>
      </c>
      <c r="I142" s="1827">
        <v>444.6</v>
      </c>
      <c r="J142" s="1827">
        <v>643.26</v>
      </c>
      <c r="K142" s="1827">
        <v>863.6</v>
      </c>
      <c r="L142" s="1827">
        <v>471.57</v>
      </c>
      <c r="M142" s="1827">
        <v>388.95</v>
      </c>
      <c r="N142" s="1849" t="s">
        <v>654</v>
      </c>
      <c r="Q142" s="957"/>
    </row>
    <row r="143" spans="1:17">
      <c r="A143" s="1826" t="s">
        <v>915</v>
      </c>
      <c r="B143" s="1827">
        <v>2110</v>
      </c>
      <c r="C143" s="1827">
        <v>1575</v>
      </c>
      <c r="D143" s="1827">
        <v>2106.5</v>
      </c>
      <c r="E143" s="1827">
        <v>835</v>
      </c>
      <c r="F143" s="1827">
        <v>2101.6999999999998</v>
      </c>
      <c r="G143" s="1827">
        <v>2750</v>
      </c>
      <c r="H143" s="1827">
        <v>2393.08</v>
      </c>
      <c r="I143" s="1827">
        <v>1629.57</v>
      </c>
      <c r="J143" s="1827">
        <v>2329.84</v>
      </c>
      <c r="K143" s="1827">
        <v>2913.51</v>
      </c>
      <c r="L143" s="1827">
        <v>2000</v>
      </c>
      <c r="M143" s="1827">
        <v>1771.31</v>
      </c>
      <c r="N143" s="1849" t="s">
        <v>654</v>
      </c>
      <c r="Q143" s="957"/>
    </row>
    <row r="144" spans="1:17">
      <c r="A144" s="1826" t="s">
        <v>916</v>
      </c>
      <c r="B144" s="1827">
        <v>0</v>
      </c>
      <c r="C144" s="1827">
        <v>20</v>
      </c>
      <c r="D144" s="1827">
        <v>0</v>
      </c>
      <c r="E144" s="1827">
        <v>0</v>
      </c>
      <c r="F144" s="1827">
        <v>94.7</v>
      </c>
      <c r="G144" s="1827">
        <v>0</v>
      </c>
      <c r="H144" s="1827">
        <v>126.07</v>
      </c>
      <c r="I144" s="1827">
        <v>0</v>
      </c>
      <c r="J144" s="1827">
        <v>136.36000000000001</v>
      </c>
      <c r="K144" s="1827">
        <v>70.52</v>
      </c>
      <c r="L144" s="1827">
        <v>118.37</v>
      </c>
      <c r="M144" s="1827">
        <v>0</v>
      </c>
      <c r="N144" s="1849" t="s">
        <v>654</v>
      </c>
      <c r="Q144" s="957"/>
    </row>
    <row r="145" spans="1:17">
      <c r="A145" s="1826" t="s">
        <v>917</v>
      </c>
      <c r="B145" s="1827">
        <v>0</v>
      </c>
      <c r="C145" s="1827">
        <v>14.46</v>
      </c>
      <c r="D145" s="1827">
        <v>0</v>
      </c>
      <c r="E145" s="1827">
        <v>0</v>
      </c>
      <c r="F145" s="1827">
        <v>0</v>
      </c>
      <c r="G145" s="1827">
        <v>15.75</v>
      </c>
      <c r="H145" s="1827">
        <v>879.77</v>
      </c>
      <c r="I145" s="1827">
        <v>478.84</v>
      </c>
      <c r="J145" s="1827">
        <v>13.53</v>
      </c>
      <c r="K145" s="1827">
        <v>270</v>
      </c>
      <c r="L145" s="1827">
        <v>34.42</v>
      </c>
      <c r="M145" s="1827">
        <v>161.46</v>
      </c>
      <c r="N145" s="1849" t="s">
        <v>654</v>
      </c>
      <c r="Q145" s="957"/>
    </row>
    <row r="146" spans="1:17">
      <c r="A146" s="1826" t="s">
        <v>918</v>
      </c>
      <c r="B146" s="1827">
        <v>644.16999999999996</v>
      </c>
      <c r="C146" s="1827">
        <v>322.08</v>
      </c>
      <c r="D146" s="1827">
        <v>1004.08</v>
      </c>
      <c r="E146" s="1827">
        <v>322.08</v>
      </c>
      <c r="F146" s="1827">
        <v>322.08</v>
      </c>
      <c r="G146" s="1827">
        <v>322.08</v>
      </c>
      <c r="H146" s="1827">
        <v>322.08</v>
      </c>
      <c r="I146" s="1827">
        <v>322.08</v>
      </c>
      <c r="J146" s="1827">
        <v>2986.23</v>
      </c>
      <c r="K146" s="1827">
        <v>322.10000000000002</v>
      </c>
      <c r="L146" s="1827">
        <v>322.08</v>
      </c>
      <c r="M146" s="1827">
        <v>0</v>
      </c>
      <c r="N146" s="1849" t="s">
        <v>654</v>
      </c>
      <c r="Q146" s="957"/>
    </row>
    <row r="147" spans="1:17">
      <c r="A147" s="1826" t="s">
        <v>919</v>
      </c>
      <c r="B147" s="1827">
        <v>780.7</v>
      </c>
      <c r="C147" s="1827">
        <v>284.61</v>
      </c>
      <c r="D147" s="1827">
        <v>637.54999999999995</v>
      </c>
      <c r="E147" s="1827">
        <v>0</v>
      </c>
      <c r="F147" s="1827">
        <v>1764.32</v>
      </c>
      <c r="G147" s="1827">
        <v>1246.79</v>
      </c>
      <c r="H147" s="1827">
        <v>862.49</v>
      </c>
      <c r="I147" s="1827">
        <v>7.98</v>
      </c>
      <c r="J147" s="1827">
        <v>265.05</v>
      </c>
      <c r="K147" s="1827">
        <v>2258.75</v>
      </c>
      <c r="L147" s="1827">
        <v>943.39</v>
      </c>
      <c r="M147" s="1827">
        <v>235.61</v>
      </c>
      <c r="N147" s="1849" t="s">
        <v>654</v>
      </c>
      <c r="Q147" s="957"/>
    </row>
    <row r="148" spans="1:17">
      <c r="A148" s="1826" t="s">
        <v>920</v>
      </c>
      <c r="B148" s="1827">
        <v>52.5</v>
      </c>
      <c r="C148" s="1827">
        <v>52.5</v>
      </c>
      <c r="D148" s="1827">
        <v>52.5</v>
      </c>
      <c r="E148" s="1827">
        <v>52.5</v>
      </c>
      <c r="F148" s="1827">
        <v>52.5</v>
      </c>
      <c r="G148" s="1827">
        <v>52.5</v>
      </c>
      <c r="H148" s="1827">
        <v>52.5</v>
      </c>
      <c r="I148" s="1827">
        <v>52.5</v>
      </c>
      <c r="J148" s="1827">
        <v>52.5</v>
      </c>
      <c r="K148" s="1827">
        <v>52.5</v>
      </c>
      <c r="L148" s="1827">
        <v>52.5</v>
      </c>
      <c r="M148" s="1827">
        <v>52.5</v>
      </c>
      <c r="N148" s="1849" t="s">
        <v>654</v>
      </c>
      <c r="Q148" s="957"/>
    </row>
    <row r="149" spans="1:17">
      <c r="A149" s="1826" t="s">
        <v>921</v>
      </c>
      <c r="B149" s="1827">
        <v>0</v>
      </c>
      <c r="C149" s="1827">
        <v>0</v>
      </c>
      <c r="D149" s="1827">
        <v>0</v>
      </c>
      <c r="E149" s="1827">
        <v>115</v>
      </c>
      <c r="F149" s="1827">
        <v>341</v>
      </c>
      <c r="G149" s="1827">
        <v>0</v>
      </c>
      <c r="H149" s="1827">
        <v>169.86</v>
      </c>
      <c r="I149" s="1827">
        <v>169.86</v>
      </c>
      <c r="J149" s="1827">
        <v>0</v>
      </c>
      <c r="K149" s="1827">
        <v>0</v>
      </c>
      <c r="L149" s="1827">
        <v>256.99</v>
      </c>
      <c r="M149" s="1827">
        <v>0</v>
      </c>
      <c r="N149" s="1849" t="s">
        <v>654</v>
      </c>
      <c r="Q149" s="957"/>
    </row>
    <row r="150" spans="1:17">
      <c r="A150" s="1826" t="s">
        <v>922</v>
      </c>
      <c r="B150" s="1827">
        <v>0</v>
      </c>
      <c r="C150" s="1827">
        <v>0</v>
      </c>
      <c r="D150" s="1827">
        <v>0</v>
      </c>
      <c r="E150" s="1827">
        <v>0</v>
      </c>
      <c r="F150" s="1827">
        <v>56.62</v>
      </c>
      <c r="G150" s="1827">
        <v>0</v>
      </c>
      <c r="H150" s="1827">
        <v>54.09</v>
      </c>
      <c r="I150" s="1827">
        <v>0</v>
      </c>
      <c r="J150" s="1827">
        <v>164.05</v>
      </c>
      <c r="K150" s="1827">
        <v>17.260000000000002</v>
      </c>
      <c r="L150" s="1827">
        <v>7.05</v>
      </c>
      <c r="M150" s="1827">
        <v>0</v>
      </c>
      <c r="N150" s="1849" t="s">
        <v>654</v>
      </c>
      <c r="Q150" s="957"/>
    </row>
    <row r="151" spans="1:17">
      <c r="A151" s="1826" t="s">
        <v>923</v>
      </c>
      <c r="B151" s="1827">
        <v>164.73</v>
      </c>
      <c r="C151" s="1827">
        <v>271.52</v>
      </c>
      <c r="D151" s="1827">
        <v>86.94</v>
      </c>
      <c r="E151" s="1827">
        <v>127.31</v>
      </c>
      <c r="F151" s="1827">
        <v>319.38</v>
      </c>
      <c r="G151" s="1827">
        <v>278.7</v>
      </c>
      <c r="H151" s="1827">
        <v>105.45</v>
      </c>
      <c r="I151" s="1827">
        <v>131.32</v>
      </c>
      <c r="J151" s="1827">
        <v>856.65</v>
      </c>
      <c r="K151" s="1827">
        <v>140.62</v>
      </c>
      <c r="L151" s="1827">
        <v>348.56</v>
      </c>
      <c r="M151" s="1827">
        <v>326.5</v>
      </c>
      <c r="N151" s="1849" t="s">
        <v>654</v>
      </c>
      <c r="Q151" s="957"/>
    </row>
    <row r="152" spans="1:17">
      <c r="A152" s="1826" t="s">
        <v>924</v>
      </c>
      <c r="B152" s="1827">
        <v>500</v>
      </c>
      <c r="C152" s="1827">
        <v>500</v>
      </c>
      <c r="D152" s="1827">
        <v>500</v>
      </c>
      <c r="E152" s="1827">
        <v>500</v>
      </c>
      <c r="F152" s="1827">
        <v>529.05999999999995</v>
      </c>
      <c r="G152" s="1827">
        <v>500</v>
      </c>
      <c r="H152" s="1827">
        <v>500</v>
      </c>
      <c r="I152" s="1827">
        <v>2014.84</v>
      </c>
      <c r="J152" s="1827">
        <v>500</v>
      </c>
      <c r="K152" s="1827">
        <v>500</v>
      </c>
      <c r="L152" s="1827">
        <v>500</v>
      </c>
      <c r="M152" s="1827">
        <v>500</v>
      </c>
      <c r="N152" s="1849" t="s">
        <v>654</v>
      </c>
      <c r="Q152" s="957"/>
    </row>
    <row r="153" spans="1:17">
      <c r="A153" s="1826" t="s">
        <v>925</v>
      </c>
      <c r="B153" s="1827">
        <v>0</v>
      </c>
      <c r="C153" s="1827">
        <v>64.25</v>
      </c>
      <c r="D153" s="1827">
        <v>59.15</v>
      </c>
      <c r="E153" s="1827">
        <v>0</v>
      </c>
      <c r="F153" s="1827">
        <v>70.260000000000005</v>
      </c>
      <c r="G153" s="1827">
        <v>349.92</v>
      </c>
      <c r="H153" s="1827">
        <v>54.04</v>
      </c>
      <c r="I153" s="1827">
        <v>89.73</v>
      </c>
      <c r="J153" s="1827">
        <v>0</v>
      </c>
      <c r="K153" s="1827">
        <v>630.30999999999995</v>
      </c>
      <c r="L153" s="1827">
        <v>68.459999999999994</v>
      </c>
      <c r="M153" s="1827">
        <v>154.34</v>
      </c>
      <c r="N153" s="1849" t="s">
        <v>654</v>
      </c>
      <c r="Q153" s="957"/>
    </row>
    <row r="154" spans="1:17">
      <c r="A154" s="1826" t="s">
        <v>926</v>
      </c>
      <c r="B154" s="1827">
        <v>229.99</v>
      </c>
      <c r="C154" s="1827">
        <v>0</v>
      </c>
      <c r="D154" s="1827">
        <v>252.15</v>
      </c>
      <c r="E154" s="1827">
        <v>252.15</v>
      </c>
      <c r="F154" s="1827">
        <v>429.7</v>
      </c>
      <c r="G154" s="1827">
        <v>213.17</v>
      </c>
      <c r="H154" s="1827">
        <v>294.35000000000002</v>
      </c>
      <c r="I154" s="1827">
        <v>875.28</v>
      </c>
      <c r="J154" s="1827">
        <v>176.33</v>
      </c>
      <c r="K154" s="1827">
        <v>0</v>
      </c>
      <c r="L154" s="1827">
        <v>269.23</v>
      </c>
      <c r="M154" s="1827">
        <v>89.27</v>
      </c>
      <c r="N154" s="1849" t="s">
        <v>654</v>
      </c>
      <c r="Q154" s="957"/>
    </row>
    <row r="155" spans="1:17">
      <c r="A155" s="1826" t="s">
        <v>927</v>
      </c>
      <c r="B155" s="1827">
        <v>76.13</v>
      </c>
      <c r="C155" s="1827">
        <v>147.88</v>
      </c>
      <c r="D155" s="1827">
        <v>0</v>
      </c>
      <c r="E155" s="1827">
        <v>0</v>
      </c>
      <c r="F155" s="1827">
        <v>0</v>
      </c>
      <c r="G155" s="1827">
        <v>884</v>
      </c>
      <c r="H155" s="1827">
        <v>0</v>
      </c>
      <c r="I155" s="1827">
        <v>63.1</v>
      </c>
      <c r="J155" s="1827">
        <v>1155</v>
      </c>
      <c r="K155" s="1827">
        <v>-594.23</v>
      </c>
      <c r="L155" s="1827">
        <v>-10</v>
      </c>
      <c r="M155" s="1827">
        <v>0</v>
      </c>
      <c r="N155" s="1849" t="s">
        <v>654</v>
      </c>
      <c r="Q155" s="957"/>
    </row>
    <row r="156" spans="1:17">
      <c r="A156" s="1826" t="s">
        <v>928</v>
      </c>
      <c r="B156" s="1827">
        <v>0</v>
      </c>
      <c r="C156" s="1827">
        <v>0</v>
      </c>
      <c r="D156" s="1827">
        <v>0</v>
      </c>
      <c r="E156" s="1827">
        <v>0</v>
      </c>
      <c r="F156" s="1827">
        <v>0</v>
      </c>
      <c r="G156" s="1827">
        <v>312</v>
      </c>
      <c r="H156" s="1827">
        <v>-5.4</v>
      </c>
      <c r="I156" s="1827">
        <v>20.89</v>
      </c>
      <c r="J156" s="1827">
        <v>0</v>
      </c>
      <c r="K156" s="1827">
        <v>0</v>
      </c>
      <c r="L156" s="1827">
        <v>0</v>
      </c>
      <c r="M156" s="1827">
        <v>137.26</v>
      </c>
      <c r="N156" s="1849" t="s">
        <v>654</v>
      </c>
      <c r="Q156" s="957"/>
    </row>
    <row r="157" spans="1:17">
      <c r="A157" s="1826" t="s">
        <v>929</v>
      </c>
      <c r="B157" s="1827">
        <v>40</v>
      </c>
      <c r="C157" s="1827">
        <v>40</v>
      </c>
      <c r="D157" s="1827">
        <v>40</v>
      </c>
      <c r="E157" s="1827">
        <v>72</v>
      </c>
      <c r="F157" s="1827">
        <v>40</v>
      </c>
      <c r="G157" s="1827">
        <v>40</v>
      </c>
      <c r="H157" s="1827">
        <v>40</v>
      </c>
      <c r="I157" s="1827">
        <v>40</v>
      </c>
      <c r="J157" s="1827">
        <v>40</v>
      </c>
      <c r="K157" s="1827">
        <v>40</v>
      </c>
      <c r="L157" s="1827">
        <v>40</v>
      </c>
      <c r="M157" s="1827">
        <v>40</v>
      </c>
      <c r="N157" s="1849" t="s">
        <v>654</v>
      </c>
      <c r="Q157" s="957"/>
    </row>
    <row r="158" spans="1:17">
      <c r="A158" s="1826"/>
      <c r="B158" s="1831"/>
      <c r="C158" s="1831"/>
      <c r="D158" s="1831"/>
      <c r="E158" s="1831"/>
      <c r="F158" s="1831"/>
      <c r="G158" s="1831"/>
      <c r="H158" s="1831"/>
      <c r="I158" s="1831"/>
      <c r="J158" s="1831"/>
      <c r="K158" s="1831"/>
      <c r="L158" s="1831"/>
      <c r="M158" s="1831"/>
      <c r="N158" s="1849"/>
      <c r="Q158" s="957"/>
    </row>
    <row r="159" spans="1:17">
      <c r="A159" s="1826" t="s">
        <v>930</v>
      </c>
      <c r="B159" s="1836">
        <v>4945.8100000000004</v>
      </c>
      <c r="C159" s="1836">
        <v>3986.75</v>
      </c>
      <c r="D159" s="1836">
        <v>5138.97</v>
      </c>
      <c r="E159" s="1836">
        <v>2593.54</v>
      </c>
      <c r="F159" s="1836">
        <v>8327.6</v>
      </c>
      <c r="G159" s="1836">
        <v>7350.35</v>
      </c>
      <c r="H159" s="1836">
        <v>6268.23</v>
      </c>
      <c r="I159" s="1836">
        <v>8146.09</v>
      </c>
      <c r="J159" s="1836">
        <v>10854.28</v>
      </c>
      <c r="K159" s="1836">
        <v>7517.97</v>
      </c>
      <c r="L159" s="1836">
        <v>6613.79</v>
      </c>
      <c r="M159" s="1836">
        <v>5392.68</v>
      </c>
      <c r="N159" s="1849"/>
      <c r="Q159" s="957"/>
    </row>
    <row r="160" spans="1:17">
      <c r="A160" s="1826" t="s">
        <v>931</v>
      </c>
      <c r="B160" s="1835"/>
      <c r="C160" s="1835"/>
      <c r="D160" s="1835"/>
      <c r="E160" s="1835"/>
      <c r="F160" s="1835"/>
      <c r="G160" s="1835"/>
      <c r="H160" s="1835"/>
      <c r="I160" s="1835"/>
      <c r="J160" s="1835"/>
      <c r="K160" s="1835"/>
      <c r="L160" s="1835"/>
      <c r="M160" s="1835"/>
      <c r="N160" s="1849"/>
      <c r="Q160" s="957"/>
    </row>
    <row r="161" spans="1:17">
      <c r="A161" s="1826" t="s">
        <v>932</v>
      </c>
      <c r="B161" s="1827">
        <v>3225.48</v>
      </c>
      <c r="C161" s="1827">
        <v>3630.71</v>
      </c>
      <c r="D161" s="1827">
        <v>3155.39</v>
      </c>
      <c r="E161" s="1827">
        <v>2541.7399999999998</v>
      </c>
      <c r="F161" s="1827">
        <v>2630.47</v>
      </c>
      <c r="G161" s="1827">
        <v>2710.76</v>
      </c>
      <c r="H161" s="1827">
        <v>2638.53</v>
      </c>
      <c r="I161" s="1827">
        <v>19.690000000000001</v>
      </c>
      <c r="J161" s="1827">
        <v>3761.07</v>
      </c>
      <c r="K161" s="1827">
        <v>2559.4299999999998</v>
      </c>
      <c r="L161" s="1827">
        <v>2589.7399999999998</v>
      </c>
      <c r="M161" s="1827">
        <v>3078.81</v>
      </c>
      <c r="N161" s="1849" t="s">
        <v>662</v>
      </c>
      <c r="Q161" s="957"/>
    </row>
    <row r="162" spans="1:17">
      <c r="A162" s="1826" t="s">
        <v>933</v>
      </c>
      <c r="B162" s="1827">
        <v>10611.79</v>
      </c>
      <c r="C162" s="1827">
        <v>7510.12</v>
      </c>
      <c r="D162" s="1827">
        <v>4818.17</v>
      </c>
      <c r="E162" s="1827">
        <v>3650.05</v>
      </c>
      <c r="F162" s="1827">
        <v>3786.01</v>
      </c>
      <c r="G162" s="1827">
        <v>3002.61</v>
      </c>
      <c r="H162" s="1827">
        <v>3539.24</v>
      </c>
      <c r="I162" s="1827">
        <v>1011.36</v>
      </c>
      <c r="J162" s="1827">
        <v>1309.6300000000001</v>
      </c>
      <c r="K162" s="1827">
        <v>2770.27</v>
      </c>
      <c r="L162" s="1827">
        <v>579.57000000000005</v>
      </c>
      <c r="M162" s="1827">
        <v>904.05</v>
      </c>
      <c r="N162" s="1849" t="s">
        <v>662</v>
      </c>
      <c r="Q162" s="957"/>
    </row>
    <row r="163" spans="1:17">
      <c r="A163" s="1826" t="s">
        <v>934</v>
      </c>
      <c r="B163" s="1827">
        <v>2272.66</v>
      </c>
      <c r="C163" s="1827">
        <v>2360.7800000000002</v>
      </c>
      <c r="D163" s="1827">
        <v>816.04</v>
      </c>
      <c r="E163" s="1827">
        <v>2746.91</v>
      </c>
      <c r="F163" s="1827">
        <v>2290.33</v>
      </c>
      <c r="G163" s="1827">
        <v>3040.03</v>
      </c>
      <c r="H163" s="1827">
        <v>3303.99</v>
      </c>
      <c r="I163" s="1827">
        <v>3790.78</v>
      </c>
      <c r="J163" s="1827">
        <v>2474.39</v>
      </c>
      <c r="K163" s="1827">
        <v>5189.75</v>
      </c>
      <c r="L163" s="1827">
        <v>2739.73</v>
      </c>
      <c r="M163" s="1827">
        <v>4399.6000000000004</v>
      </c>
      <c r="N163" s="1849" t="s">
        <v>662</v>
      </c>
      <c r="Q163" s="957"/>
    </row>
    <row r="164" spans="1:17">
      <c r="A164" s="1826" t="s">
        <v>935</v>
      </c>
      <c r="B164" s="1827">
        <v>2904</v>
      </c>
      <c r="C164" s="1827">
        <v>2991.12</v>
      </c>
      <c r="D164" s="1827">
        <v>2991.12</v>
      </c>
      <c r="E164" s="1827">
        <v>2991.12</v>
      </c>
      <c r="F164" s="1827">
        <v>2991.12</v>
      </c>
      <c r="G164" s="1827">
        <v>2991.12</v>
      </c>
      <c r="H164" s="1827">
        <v>2991.12</v>
      </c>
      <c r="I164" s="1827">
        <v>2991.12</v>
      </c>
      <c r="J164" s="1827">
        <v>2991.12</v>
      </c>
      <c r="K164" s="1827">
        <v>2991.12</v>
      </c>
      <c r="L164" s="1827">
        <v>2991.12</v>
      </c>
      <c r="M164" s="1827">
        <v>2991.12</v>
      </c>
      <c r="N164" s="1849" t="s">
        <v>662</v>
      </c>
      <c r="Q164" s="957"/>
    </row>
    <row r="165" spans="1:17">
      <c r="A165" s="1826" t="s">
        <v>936</v>
      </c>
      <c r="B165" s="1827">
        <v>194.82</v>
      </c>
      <c r="C165" s="1827">
        <v>195.81</v>
      </c>
      <c r="D165" s="1827">
        <v>-21.92</v>
      </c>
      <c r="E165" s="1827">
        <v>88.83</v>
      </c>
      <c r="F165" s="1827">
        <v>103.5</v>
      </c>
      <c r="G165" s="1827">
        <v>74.900000000000006</v>
      </c>
      <c r="H165" s="1827">
        <v>77.41</v>
      </c>
      <c r="I165" s="1827">
        <v>74.91</v>
      </c>
      <c r="J165" s="1827">
        <v>77.41</v>
      </c>
      <c r="K165" s="1827">
        <v>74.91</v>
      </c>
      <c r="L165" s="1827">
        <v>-152.59</v>
      </c>
      <c r="M165" s="1827">
        <v>73.540000000000006</v>
      </c>
      <c r="N165" s="1849" t="s">
        <v>662</v>
      </c>
      <c r="Q165" s="957"/>
    </row>
    <row r="166" spans="1:17">
      <c r="A166" s="1826" t="s">
        <v>937</v>
      </c>
      <c r="B166" s="1827">
        <v>1042</v>
      </c>
      <c r="C166" s="1827">
        <v>1603.64</v>
      </c>
      <c r="D166" s="1827">
        <v>1116.43</v>
      </c>
      <c r="E166" s="1827">
        <v>-307.67</v>
      </c>
      <c r="F166" s="1827">
        <v>740.05</v>
      </c>
      <c r="G166" s="1827">
        <v>946.91</v>
      </c>
      <c r="H166" s="1827">
        <v>765.6</v>
      </c>
      <c r="I166" s="1827">
        <v>766.45</v>
      </c>
      <c r="J166" s="1827">
        <v>817.55</v>
      </c>
      <c r="K166" s="1827">
        <v>792</v>
      </c>
      <c r="L166" s="1827">
        <v>792</v>
      </c>
      <c r="M166" s="1827">
        <v>912</v>
      </c>
      <c r="N166" s="1849" t="s">
        <v>662</v>
      </c>
      <c r="Q166" s="957"/>
    </row>
    <row r="167" spans="1:17">
      <c r="A167" s="1826" t="s">
        <v>938</v>
      </c>
      <c r="B167" s="1827">
        <v>2887.1</v>
      </c>
      <c r="C167" s="1827">
        <v>9482.06</v>
      </c>
      <c r="D167" s="1827">
        <v>5485.6</v>
      </c>
      <c r="E167" s="1827">
        <v>5496.79</v>
      </c>
      <c r="F167" s="1827">
        <v>8307.66</v>
      </c>
      <c r="G167" s="1827">
        <v>10793.2</v>
      </c>
      <c r="H167" s="1827">
        <v>9992.7999999999993</v>
      </c>
      <c r="I167" s="1827">
        <v>10371.299999999999</v>
      </c>
      <c r="J167" s="1827">
        <v>6840.26</v>
      </c>
      <c r="K167" s="1827">
        <v>13199.61</v>
      </c>
      <c r="L167" s="1827">
        <v>9422.83</v>
      </c>
      <c r="M167" s="1827">
        <v>9168.26</v>
      </c>
      <c r="N167" s="1849" t="s">
        <v>662</v>
      </c>
      <c r="Q167" s="957"/>
    </row>
    <row r="168" spans="1:17">
      <c r="A168" s="1826"/>
      <c r="B168" s="1831"/>
      <c r="C168" s="1831"/>
      <c r="D168" s="1831"/>
      <c r="E168" s="1831"/>
      <c r="F168" s="1831"/>
      <c r="G168" s="1831"/>
      <c r="H168" s="1831"/>
      <c r="I168" s="1831"/>
      <c r="J168" s="1831"/>
      <c r="K168" s="1831"/>
      <c r="L168" s="1831"/>
      <c r="M168" s="1831"/>
      <c r="N168" s="1849"/>
      <c r="Q168" s="957"/>
    </row>
    <row r="169" spans="1:17">
      <c r="A169" s="1826" t="s">
        <v>939</v>
      </c>
      <c r="B169" s="1836">
        <v>23137.85</v>
      </c>
      <c r="C169" s="1836">
        <v>27774.240000000002</v>
      </c>
      <c r="D169" s="1836">
        <v>18360.830000000002</v>
      </c>
      <c r="E169" s="1836">
        <v>17207.77</v>
      </c>
      <c r="F169" s="1836">
        <v>20849.14</v>
      </c>
      <c r="G169" s="1836">
        <v>23559.53</v>
      </c>
      <c r="H169" s="1836">
        <v>23308.69</v>
      </c>
      <c r="I169" s="1836">
        <v>19025.61</v>
      </c>
      <c r="J169" s="1836">
        <v>18271.43</v>
      </c>
      <c r="K169" s="1836">
        <v>27577.09</v>
      </c>
      <c r="L169" s="1836">
        <v>18962.400000000001</v>
      </c>
      <c r="M169" s="1836">
        <v>21527.38</v>
      </c>
      <c r="N169" s="1849"/>
      <c r="Q169" s="957"/>
    </row>
    <row r="170" spans="1:17">
      <c r="A170" s="1826" t="s">
        <v>940</v>
      </c>
      <c r="B170" s="1835"/>
      <c r="C170" s="1835"/>
      <c r="D170" s="1835"/>
      <c r="E170" s="1835"/>
      <c r="F170" s="1835"/>
      <c r="G170" s="1835"/>
      <c r="H170" s="1835"/>
      <c r="I170" s="1835"/>
      <c r="J170" s="1835"/>
      <c r="K170" s="1835"/>
      <c r="L170" s="1835"/>
      <c r="M170" s="1835"/>
      <c r="N170" s="1849"/>
      <c r="Q170" s="957"/>
    </row>
    <row r="171" spans="1:17">
      <c r="A171" s="1826" t="s">
        <v>941</v>
      </c>
      <c r="B171" s="1827">
        <v>7140.6</v>
      </c>
      <c r="C171" s="1827">
        <v>7140.6</v>
      </c>
      <c r="D171" s="1827">
        <v>7140.6</v>
      </c>
      <c r="E171" s="1827">
        <v>7140.6</v>
      </c>
      <c r="F171" s="1827">
        <v>7140.6</v>
      </c>
      <c r="G171" s="1827">
        <v>25283.62</v>
      </c>
      <c r="H171" s="1827">
        <v>16926.27</v>
      </c>
      <c r="I171" s="1827">
        <v>16926.27</v>
      </c>
      <c r="J171" s="1827">
        <v>16926.22</v>
      </c>
      <c r="K171" s="1827">
        <v>9785.67</v>
      </c>
      <c r="L171" s="1827">
        <v>9785.67</v>
      </c>
      <c r="M171" s="1827">
        <v>2645.07</v>
      </c>
      <c r="N171" s="1849" t="s">
        <v>663</v>
      </c>
      <c r="Q171" s="957"/>
    </row>
    <row r="172" spans="1:17">
      <c r="A172" s="1850" t="s">
        <v>942</v>
      </c>
      <c r="B172" s="1827">
        <v>0</v>
      </c>
      <c r="C172" s="1827">
        <v>0</v>
      </c>
      <c r="D172" s="1827">
        <v>0</v>
      </c>
      <c r="E172" s="1827">
        <v>6270.1</v>
      </c>
      <c r="F172" s="1827">
        <v>17824</v>
      </c>
      <c r="G172" s="1827">
        <v>-24094.1</v>
      </c>
      <c r="H172" s="1827">
        <v>0</v>
      </c>
      <c r="I172" s="1827">
        <v>0</v>
      </c>
      <c r="J172" s="1827">
        <v>0</v>
      </c>
      <c r="K172" s="1827">
        <v>0</v>
      </c>
      <c r="L172" s="1827">
        <v>0</v>
      </c>
      <c r="M172" s="1827">
        <v>0</v>
      </c>
      <c r="N172" s="1849" t="s">
        <v>663</v>
      </c>
      <c r="Q172" s="957"/>
    </row>
    <row r="173" spans="1:17">
      <c r="A173" s="1826"/>
      <c r="B173" s="1831"/>
      <c r="C173" s="1831"/>
      <c r="D173" s="1831"/>
      <c r="E173" s="1831"/>
      <c r="F173" s="1831"/>
      <c r="G173" s="1831"/>
      <c r="H173" s="1831"/>
      <c r="I173" s="1831"/>
      <c r="J173" s="1831"/>
      <c r="K173" s="1831"/>
      <c r="L173" s="1831"/>
      <c r="M173" s="1831"/>
      <c r="N173" s="1849"/>
      <c r="Q173" s="957"/>
    </row>
    <row r="174" spans="1:17">
      <c r="A174" s="1826" t="s">
        <v>943</v>
      </c>
      <c r="B174" s="1836">
        <v>7140.6</v>
      </c>
      <c r="C174" s="1836">
        <v>7140.6</v>
      </c>
      <c r="D174" s="1836">
        <v>7140.6</v>
      </c>
      <c r="E174" s="1836">
        <v>13410.7</v>
      </c>
      <c r="F174" s="1836">
        <v>24964.6</v>
      </c>
      <c r="G174" s="1836">
        <v>1189.52</v>
      </c>
      <c r="H174" s="1836">
        <v>16926.27</v>
      </c>
      <c r="I174" s="1836">
        <v>16926.27</v>
      </c>
      <c r="J174" s="1836">
        <v>16926.22</v>
      </c>
      <c r="K174" s="1836">
        <v>9785.67</v>
      </c>
      <c r="L174" s="1836">
        <v>9785.67</v>
      </c>
      <c r="M174" s="1836">
        <v>2645.07</v>
      </c>
      <c r="N174" s="1849"/>
      <c r="Q174" s="957"/>
    </row>
    <row r="175" spans="1:17">
      <c r="A175" s="1826" t="s">
        <v>944</v>
      </c>
      <c r="B175" s="1835"/>
      <c r="C175" s="1835"/>
      <c r="D175" s="1835"/>
      <c r="E175" s="1835"/>
      <c r="F175" s="1835"/>
      <c r="G175" s="1835"/>
      <c r="H175" s="1835"/>
      <c r="I175" s="1835"/>
      <c r="J175" s="1835"/>
      <c r="K175" s="1835"/>
      <c r="L175" s="1835"/>
      <c r="M175" s="1835"/>
      <c r="N175" s="1849"/>
      <c r="Q175" s="957"/>
    </row>
    <row r="176" spans="1:17">
      <c r="A176" s="1826" t="s">
        <v>945</v>
      </c>
      <c r="B176" s="1827">
        <v>45050</v>
      </c>
      <c r="C176" s="1827">
        <v>45050</v>
      </c>
      <c r="D176" s="1827">
        <v>45050</v>
      </c>
      <c r="E176" s="1827">
        <v>45050</v>
      </c>
      <c r="F176" s="1827">
        <v>45050</v>
      </c>
      <c r="G176" s="1827">
        <v>45050</v>
      </c>
      <c r="H176" s="1827">
        <v>88762.39</v>
      </c>
      <c r="I176" s="1827">
        <v>49023.85</v>
      </c>
      <c r="J176" s="1827">
        <v>49023.85</v>
      </c>
      <c r="K176" s="1827">
        <v>49023.86</v>
      </c>
      <c r="L176" s="1827">
        <v>49023.85</v>
      </c>
      <c r="M176" s="1827">
        <v>49023.85</v>
      </c>
      <c r="N176" s="1849" t="s">
        <v>665</v>
      </c>
      <c r="Q176" s="957"/>
    </row>
    <row r="177" spans="1:17">
      <c r="A177" s="1826" t="s">
        <v>946</v>
      </c>
      <c r="B177" s="1827">
        <v>0</v>
      </c>
      <c r="C177" s="1827">
        <v>0</v>
      </c>
      <c r="D177" s="1827">
        <v>0</v>
      </c>
      <c r="E177" s="1827">
        <v>0</v>
      </c>
      <c r="F177" s="1827">
        <v>0</v>
      </c>
      <c r="G177" s="1827">
        <v>0</v>
      </c>
      <c r="H177" s="1827">
        <v>0</v>
      </c>
      <c r="I177" s="1827">
        <v>19132.439999999999</v>
      </c>
      <c r="J177" s="1827">
        <v>0</v>
      </c>
      <c r="K177" s="1827">
        <v>0</v>
      </c>
      <c r="L177" s="1827">
        <v>0</v>
      </c>
      <c r="M177" s="1827">
        <v>0</v>
      </c>
      <c r="N177" s="1849" t="s">
        <v>665</v>
      </c>
      <c r="Q177" s="957"/>
    </row>
    <row r="178" spans="1:17">
      <c r="A178" s="1826"/>
      <c r="B178" s="1831"/>
      <c r="C178" s="1831"/>
      <c r="D178" s="1831"/>
      <c r="E178" s="1831"/>
      <c r="F178" s="1831"/>
      <c r="G178" s="1831"/>
      <c r="H178" s="1831"/>
      <c r="I178" s="1831"/>
      <c r="J178" s="1831"/>
      <c r="K178" s="1831"/>
      <c r="L178" s="1831"/>
      <c r="M178" s="1831"/>
      <c r="N178" s="1849"/>
      <c r="Q178" s="957"/>
    </row>
    <row r="179" spans="1:17">
      <c r="A179" s="1826" t="s">
        <v>947</v>
      </c>
      <c r="B179" s="1837">
        <v>45050</v>
      </c>
      <c r="C179" s="1837">
        <v>45050</v>
      </c>
      <c r="D179" s="1837">
        <v>45050</v>
      </c>
      <c r="E179" s="1837">
        <v>45050</v>
      </c>
      <c r="F179" s="1837">
        <v>45050</v>
      </c>
      <c r="G179" s="1837">
        <v>45050</v>
      </c>
      <c r="H179" s="1837">
        <v>88762.39</v>
      </c>
      <c r="I179" s="1837">
        <v>68156.289999999994</v>
      </c>
      <c r="J179" s="1837">
        <v>49023.85</v>
      </c>
      <c r="K179" s="1837">
        <v>49023.86</v>
      </c>
      <c r="L179" s="1837">
        <v>49023.85</v>
      </c>
      <c r="M179" s="1837">
        <v>49023.85</v>
      </c>
      <c r="N179" s="1849"/>
      <c r="Q179" s="957"/>
    </row>
    <row r="180" spans="1:17">
      <c r="A180" s="1826" t="s">
        <v>948</v>
      </c>
      <c r="B180" s="1836">
        <v>163060.06</v>
      </c>
      <c r="C180" s="1836">
        <v>178480.55</v>
      </c>
      <c r="D180" s="1836">
        <v>173696.38</v>
      </c>
      <c r="E180" s="1836">
        <v>172810.8</v>
      </c>
      <c r="F180" s="1836">
        <v>196179.89</v>
      </c>
      <c r="G180" s="1836">
        <v>171848.84</v>
      </c>
      <c r="H180" s="1836">
        <v>239808.61</v>
      </c>
      <c r="I180" s="1836">
        <v>213773.7</v>
      </c>
      <c r="J180" s="1836">
        <v>198228.53</v>
      </c>
      <c r="K180" s="1836">
        <v>195695.47</v>
      </c>
      <c r="L180" s="1836">
        <v>184393.06</v>
      </c>
      <c r="M180" s="1836">
        <v>178093.67</v>
      </c>
      <c r="N180" s="1849"/>
      <c r="Q180" s="957"/>
    </row>
    <row r="181" spans="1:17">
      <c r="A181" s="1826"/>
      <c r="B181" s="1831"/>
      <c r="C181" s="1831"/>
      <c r="D181" s="1831"/>
      <c r="E181" s="1831"/>
      <c r="F181" s="1831"/>
      <c r="G181" s="1831"/>
      <c r="H181" s="1831"/>
      <c r="I181" s="1831"/>
      <c r="J181" s="1831"/>
      <c r="K181" s="1831"/>
      <c r="L181" s="1831"/>
      <c r="M181" s="1831"/>
      <c r="N181" s="1849"/>
      <c r="Q181" s="957"/>
    </row>
    <row r="182" spans="1:17">
      <c r="A182" s="1826" t="s">
        <v>949</v>
      </c>
      <c r="B182" s="1836">
        <v>163060.06</v>
      </c>
      <c r="C182" s="1836">
        <v>178480.55</v>
      </c>
      <c r="D182" s="1836">
        <v>173696.38</v>
      </c>
      <c r="E182" s="1836">
        <v>172810.8</v>
      </c>
      <c r="F182" s="1836">
        <v>196179.89</v>
      </c>
      <c r="G182" s="1836">
        <v>171848.84</v>
      </c>
      <c r="H182" s="1836">
        <v>239808.61</v>
      </c>
      <c r="I182" s="1836">
        <v>213773.7</v>
      </c>
      <c r="J182" s="1836">
        <v>198228.53</v>
      </c>
      <c r="K182" s="1836">
        <v>195695.47</v>
      </c>
      <c r="L182" s="1836">
        <v>184393.06</v>
      </c>
      <c r="M182" s="1836">
        <v>178093.67</v>
      </c>
      <c r="N182" s="1849"/>
      <c r="Q182" s="957"/>
    </row>
    <row r="183" spans="1:17">
      <c r="A183" s="1826"/>
      <c r="B183" s="1831"/>
      <c r="C183" s="1831"/>
      <c r="D183" s="1831"/>
      <c r="E183" s="1831"/>
      <c r="F183" s="1831"/>
      <c r="G183" s="1831"/>
      <c r="H183" s="1831"/>
      <c r="I183" s="1831"/>
      <c r="J183" s="1831"/>
      <c r="K183" s="1831"/>
      <c r="L183" s="1831"/>
      <c r="M183" s="1831"/>
      <c r="N183" s="1849"/>
      <c r="Q183" s="957"/>
    </row>
    <row r="184" spans="1:17">
      <c r="A184" s="1826" t="s">
        <v>950</v>
      </c>
      <c r="B184" s="1836">
        <v>73342.83</v>
      </c>
      <c r="C184" s="1836">
        <v>59085.3</v>
      </c>
      <c r="D184" s="1836">
        <v>77872.62</v>
      </c>
      <c r="E184" s="1836">
        <v>91497.2</v>
      </c>
      <c r="F184" s="1836">
        <v>88797.440000000002</v>
      </c>
      <c r="G184" s="1836">
        <v>108776.56</v>
      </c>
      <c r="H184" s="1836">
        <v>45494.44</v>
      </c>
      <c r="I184" s="1836">
        <v>94162.25</v>
      </c>
      <c r="J184" s="1836">
        <v>145503.04000000001</v>
      </c>
      <c r="K184" s="1836">
        <v>168740.2</v>
      </c>
      <c r="L184" s="1836">
        <v>180353.13</v>
      </c>
      <c r="M184" s="1836">
        <v>194902.91</v>
      </c>
      <c r="N184" s="1849"/>
      <c r="Q184" s="957"/>
    </row>
    <row r="185" spans="1:17">
      <c r="A185" s="1826"/>
      <c r="B185" s="1827"/>
      <c r="C185" s="1827"/>
      <c r="D185" s="1827"/>
      <c r="E185" s="1827"/>
      <c r="F185" s="1827"/>
      <c r="G185" s="1827"/>
      <c r="H185" s="1827"/>
      <c r="I185" s="1827"/>
      <c r="J185" s="1827"/>
      <c r="K185" s="1827"/>
      <c r="L185" s="1827"/>
      <c r="M185" s="1827"/>
      <c r="Q185" s="957"/>
    </row>
    <row r="186" spans="1:17">
      <c r="A186" s="1826"/>
      <c r="B186" s="1828"/>
      <c r="C186" s="1828"/>
      <c r="D186" s="1828"/>
      <c r="E186" s="1828"/>
      <c r="F186" s="1828"/>
      <c r="G186" s="1828"/>
      <c r="H186" s="1828"/>
      <c r="I186" s="1828"/>
      <c r="J186" s="1828"/>
      <c r="K186" s="1828"/>
      <c r="L186" s="1828"/>
      <c r="M186" s="1828"/>
      <c r="Q186" s="957"/>
    </row>
    <row r="187" spans="1:17">
      <c r="A187" s="1826"/>
      <c r="B187" s="1836"/>
      <c r="C187" s="1836"/>
      <c r="D187" s="1836"/>
      <c r="E187" s="1836"/>
      <c r="F187" s="1836"/>
      <c r="G187" s="1836"/>
      <c r="H187" s="1836"/>
      <c r="I187" s="1836"/>
      <c r="J187" s="1836"/>
      <c r="K187" s="1836"/>
      <c r="L187" s="1836"/>
      <c r="M187" s="1836"/>
      <c r="Q187" s="957"/>
    </row>
    <row r="188" spans="1:17">
      <c r="A188" s="1826"/>
      <c r="B188" s="1835"/>
      <c r="C188" s="1835"/>
      <c r="D188" s="1835"/>
      <c r="E188" s="1835"/>
      <c r="F188" s="1835"/>
      <c r="G188" s="1835"/>
      <c r="H188" s="1835"/>
      <c r="I188" s="1835"/>
      <c r="J188" s="1835"/>
      <c r="K188" s="1835"/>
      <c r="L188" s="1835"/>
      <c r="M188" s="1835"/>
      <c r="Q188" s="957"/>
    </row>
    <row r="189" spans="1:17">
      <c r="A189" s="1826"/>
      <c r="B189" s="1827"/>
      <c r="C189" s="1827"/>
      <c r="D189" s="1827"/>
      <c r="E189" s="1827"/>
      <c r="F189" s="1827"/>
      <c r="G189" s="1827"/>
      <c r="H189" s="1827"/>
      <c r="I189" s="1827"/>
      <c r="J189" s="1827"/>
      <c r="K189" s="1827"/>
      <c r="L189" s="1827"/>
      <c r="M189" s="1827"/>
      <c r="Q189" s="957"/>
    </row>
    <row r="190" spans="1:17">
      <c r="A190" s="1826"/>
      <c r="B190" s="1827"/>
      <c r="C190" s="1827"/>
      <c r="D190" s="1827"/>
      <c r="E190" s="1827"/>
      <c r="F190" s="1827"/>
      <c r="G190" s="1827"/>
      <c r="H190" s="1827"/>
      <c r="I190" s="1827"/>
      <c r="J190" s="1827"/>
      <c r="K190" s="1827"/>
      <c r="L190" s="1827"/>
      <c r="M190" s="1827"/>
      <c r="Q190" s="957"/>
    </row>
    <row r="191" spans="1:17">
      <c r="A191" s="1826"/>
      <c r="B191" s="1828"/>
      <c r="C191" s="1828"/>
      <c r="D191" s="1828"/>
      <c r="E191" s="1828"/>
      <c r="F191" s="1828"/>
      <c r="G191" s="1828"/>
      <c r="H191" s="1828"/>
      <c r="I191" s="1828"/>
      <c r="J191" s="1828"/>
      <c r="K191" s="1828"/>
      <c r="L191" s="1828"/>
      <c r="M191" s="1828"/>
      <c r="Q191" s="957"/>
    </row>
    <row r="192" spans="1:17">
      <c r="A192" s="1826"/>
      <c r="B192" s="1836"/>
      <c r="C192" s="1836"/>
      <c r="D192" s="1836"/>
      <c r="E192" s="1836"/>
      <c r="F192" s="1836"/>
      <c r="G192" s="1836"/>
      <c r="H192" s="1836"/>
      <c r="I192" s="1836"/>
      <c r="J192" s="1836"/>
      <c r="K192" s="1836"/>
      <c r="L192" s="1836"/>
      <c r="M192" s="1836"/>
      <c r="Q192" s="957"/>
    </row>
    <row r="193" spans="1:17">
      <c r="A193" s="1826"/>
      <c r="B193" s="1835"/>
      <c r="C193" s="1835"/>
      <c r="D193" s="1835"/>
      <c r="E193" s="1835"/>
      <c r="F193" s="1835"/>
      <c r="G193" s="1835"/>
      <c r="H193" s="1835"/>
      <c r="I193" s="1835"/>
      <c r="J193" s="1835"/>
      <c r="K193" s="1835"/>
      <c r="L193" s="1835"/>
      <c r="M193" s="1835"/>
      <c r="Q193" s="957"/>
    </row>
    <row r="194" spans="1:17">
      <c r="A194" s="1826"/>
      <c r="B194" s="1828"/>
      <c r="C194" s="1828"/>
      <c r="D194" s="1828"/>
      <c r="E194" s="1828"/>
      <c r="F194" s="1828"/>
      <c r="G194" s="1828"/>
      <c r="H194" s="1828"/>
      <c r="I194" s="1828"/>
      <c r="J194" s="1828"/>
      <c r="K194" s="1828"/>
      <c r="L194" s="1828"/>
      <c r="M194" s="1828"/>
      <c r="Q194" s="957"/>
    </row>
    <row r="195" spans="1:17">
      <c r="A195" s="1826"/>
      <c r="B195" s="1837"/>
      <c r="C195" s="1837"/>
      <c r="D195" s="1837"/>
      <c r="E195" s="1837"/>
      <c r="F195" s="1837"/>
      <c r="G195" s="1837"/>
      <c r="H195" s="1837"/>
      <c r="I195" s="1837"/>
      <c r="J195" s="1837"/>
      <c r="K195" s="1837"/>
      <c r="L195" s="1837"/>
      <c r="M195" s="1837"/>
      <c r="Q195" s="957"/>
    </row>
    <row r="196" spans="1:17">
      <c r="A196" s="1825"/>
      <c r="B196" s="1829"/>
      <c r="C196" s="1829"/>
      <c r="D196" s="1829"/>
      <c r="E196" s="1829"/>
      <c r="F196" s="1829"/>
      <c r="G196" s="1829"/>
      <c r="H196" s="1829"/>
      <c r="I196" s="1829"/>
      <c r="J196" s="1829"/>
      <c r="K196" s="1829"/>
      <c r="L196" s="1829"/>
      <c r="M196" s="1829"/>
      <c r="Q196" s="957"/>
    </row>
    <row r="197" spans="1:17">
      <c r="A197" s="1826"/>
      <c r="B197" s="1830"/>
      <c r="C197" s="1830"/>
      <c r="D197" s="1830"/>
      <c r="E197" s="1830"/>
      <c r="F197" s="1830"/>
      <c r="G197" s="1830"/>
      <c r="H197" s="1830"/>
      <c r="I197" s="1830"/>
      <c r="J197" s="1830"/>
      <c r="K197" s="1830"/>
      <c r="L197" s="1830"/>
      <c r="M197" s="1830"/>
      <c r="Q197" s="957"/>
    </row>
    <row r="198" spans="1:17">
      <c r="A198" s="1826"/>
      <c r="B198" s="1832"/>
      <c r="C198" s="1832"/>
      <c r="D198" s="1832"/>
      <c r="E198" s="1832"/>
      <c r="F198" s="1832"/>
      <c r="G198" s="1832"/>
      <c r="H198" s="1832"/>
      <c r="I198" s="1832"/>
      <c r="J198" s="1832"/>
      <c r="K198" s="1832"/>
      <c r="L198" s="1832"/>
      <c r="M198" s="1832"/>
      <c r="Q198" s="957"/>
    </row>
    <row r="199" spans="1:17" ht="18" thickBot="1">
      <c r="A199" s="1825"/>
      <c r="B199" s="1833"/>
      <c r="C199" s="1833"/>
      <c r="D199" s="1833"/>
      <c r="E199" s="1833"/>
      <c r="F199" s="1833"/>
      <c r="G199" s="1833"/>
      <c r="H199" s="1833"/>
      <c r="I199" s="1833"/>
      <c r="J199" s="1833"/>
      <c r="K199" s="1833"/>
      <c r="L199" s="1833"/>
      <c r="M199" s="1833"/>
      <c r="Q199" s="957"/>
    </row>
    <row r="200" spans="1:17" ht="18" thickTop="1">
      <c r="A200" s="1826"/>
      <c r="B200" s="1834"/>
      <c r="C200" s="1834"/>
      <c r="D200" s="1834"/>
      <c r="E200" s="1834"/>
      <c r="F200" s="1834"/>
      <c r="G200" s="1834"/>
      <c r="H200" s="1834"/>
      <c r="I200" s="1834"/>
      <c r="J200" s="1834"/>
      <c r="K200" s="1834"/>
      <c r="L200" s="1834"/>
      <c r="M200" s="1834"/>
      <c r="Q200" s="957"/>
    </row>
    <row r="201" spans="1:17">
      <c r="A201" s="1826"/>
      <c r="B201" s="1832"/>
      <c r="C201" s="1832"/>
      <c r="D201" s="1832"/>
      <c r="E201" s="1832"/>
      <c r="F201" s="1832"/>
      <c r="G201" s="1832"/>
      <c r="H201" s="1832"/>
      <c r="I201" s="1832"/>
      <c r="J201" s="1832"/>
      <c r="K201" s="1832"/>
      <c r="L201" s="1832"/>
      <c r="M201" s="1832"/>
      <c r="Q201" s="957"/>
    </row>
    <row r="202" spans="1:17" ht="18" thickBot="1">
      <c r="A202" s="1826"/>
      <c r="B202" s="1838"/>
      <c r="C202" s="1838"/>
      <c r="D202" s="1838"/>
      <c r="E202" s="1838"/>
      <c r="F202" s="1838"/>
      <c r="G202" s="1838"/>
      <c r="H202" s="1838"/>
      <c r="I202" s="1838"/>
      <c r="J202" s="1838"/>
      <c r="K202" s="1838"/>
      <c r="L202" s="1838"/>
      <c r="M202" s="1838"/>
      <c r="Q202" s="957"/>
    </row>
    <row r="203" spans="1:17" ht="18" thickTop="1">
      <c r="B203" s="1527"/>
      <c r="C203" s="1527"/>
      <c r="D203" s="1527"/>
      <c r="E203" s="1527"/>
      <c r="F203" s="1527"/>
      <c r="G203" s="1527"/>
      <c r="H203" s="1527"/>
      <c r="I203" s="1527"/>
      <c r="J203" s="1527"/>
      <c r="K203" s="1527"/>
      <c r="L203" s="1527"/>
      <c r="M203" s="1527"/>
      <c r="Q203" s="957"/>
    </row>
    <row r="204" spans="1:17">
      <c r="B204" s="1527"/>
      <c r="C204" s="1527"/>
      <c r="D204" s="1527"/>
      <c r="E204" s="1527"/>
      <c r="F204" s="1527"/>
      <c r="G204" s="1527"/>
      <c r="H204" s="1527"/>
      <c r="I204" s="1527"/>
      <c r="J204" s="1527"/>
      <c r="K204" s="1527"/>
      <c r="L204" s="1527"/>
      <c r="M204" s="1527"/>
      <c r="Q204" s="957"/>
    </row>
    <row r="205" spans="1:17">
      <c r="B205" s="1527"/>
      <c r="C205" s="1527"/>
      <c r="D205" s="1527"/>
      <c r="E205" s="1527"/>
      <c r="F205" s="1527"/>
      <c r="G205" s="1527"/>
      <c r="H205" s="1527"/>
      <c r="I205" s="1527"/>
      <c r="J205" s="1527"/>
      <c r="K205" s="1527"/>
      <c r="L205" s="1527"/>
      <c r="M205" s="1527"/>
      <c r="Q205" s="957"/>
    </row>
    <row r="206" spans="1:17">
      <c r="B206" s="1527"/>
      <c r="C206" s="1527"/>
      <c r="D206" s="1527"/>
      <c r="E206" s="1527"/>
      <c r="F206" s="1527"/>
      <c r="G206" s="1527"/>
      <c r="H206" s="1527"/>
      <c r="I206" s="1527"/>
      <c r="J206" s="1527"/>
      <c r="K206" s="1527"/>
      <c r="L206" s="1527"/>
      <c r="M206" s="1527"/>
      <c r="Q206" s="957"/>
    </row>
    <row r="207" spans="1:17">
      <c r="B207" s="1527"/>
      <c r="C207" s="1527"/>
      <c r="D207" s="1527"/>
      <c r="E207" s="1527"/>
      <c r="F207" s="1527"/>
      <c r="G207" s="1527"/>
      <c r="H207" s="1527"/>
      <c r="I207" s="1527"/>
      <c r="J207" s="1527"/>
      <c r="K207" s="1527"/>
      <c r="L207" s="1527"/>
      <c r="M207" s="1527"/>
      <c r="Q207" s="957"/>
    </row>
    <row r="208" spans="1:17">
      <c r="B208" s="1527"/>
      <c r="C208" s="1527"/>
      <c r="D208" s="1527"/>
      <c r="E208" s="1527"/>
      <c r="F208" s="1527"/>
      <c r="G208" s="1527"/>
      <c r="H208" s="1527"/>
      <c r="I208" s="1527"/>
      <c r="J208" s="1527"/>
      <c r="K208" s="1527"/>
      <c r="L208" s="1527"/>
      <c r="M208" s="1527"/>
      <c r="Q208" s="957"/>
    </row>
    <row r="209" spans="2:17">
      <c r="B209" s="1527"/>
      <c r="C209" s="1527"/>
      <c r="D209" s="1527"/>
      <c r="E209" s="1527"/>
      <c r="F209" s="1527"/>
      <c r="G209" s="1527"/>
      <c r="H209" s="1527"/>
      <c r="I209" s="1527"/>
      <c r="J209" s="1527"/>
      <c r="K209" s="1527"/>
      <c r="L209" s="1527"/>
      <c r="M209" s="1527"/>
      <c r="Q209" s="957"/>
    </row>
    <row r="210" spans="2:17">
      <c r="B210" s="1527"/>
      <c r="C210" s="1527"/>
      <c r="D210" s="1527"/>
      <c r="E210" s="1527"/>
      <c r="F210" s="1527"/>
      <c r="G210" s="1527"/>
      <c r="H210" s="1527"/>
      <c r="I210" s="1527"/>
      <c r="J210" s="1527"/>
      <c r="K210" s="1527"/>
      <c r="L210" s="1527"/>
      <c r="M210" s="1527"/>
      <c r="Q210" s="957"/>
    </row>
    <row r="211" spans="2:17">
      <c r="B211" s="1527"/>
      <c r="C211" s="1527"/>
      <c r="D211" s="1527"/>
      <c r="E211" s="1527"/>
      <c r="F211" s="1527"/>
      <c r="G211" s="1527"/>
      <c r="H211" s="1527"/>
      <c r="I211" s="1527"/>
      <c r="J211" s="1527"/>
      <c r="K211" s="1527"/>
      <c r="L211" s="1527"/>
      <c r="M211" s="1527"/>
      <c r="Q211" s="957"/>
    </row>
    <row r="212" spans="2:17">
      <c r="B212" s="1527"/>
      <c r="C212" s="1527"/>
      <c r="D212" s="1527"/>
      <c r="E212" s="1527"/>
      <c r="F212" s="1527"/>
      <c r="G212" s="1527"/>
      <c r="H212" s="1527"/>
      <c r="I212" s="1527"/>
      <c r="J212" s="1527"/>
      <c r="K212" s="1527"/>
      <c r="L212" s="1527"/>
      <c r="M212" s="1527"/>
      <c r="Q212" s="957"/>
    </row>
    <row r="213" spans="2:17">
      <c r="B213" s="1527"/>
      <c r="C213" s="1527"/>
      <c r="D213" s="1527"/>
      <c r="E213" s="1527"/>
      <c r="F213" s="1527"/>
      <c r="G213" s="1527"/>
      <c r="H213" s="1527"/>
      <c r="I213" s="1527"/>
      <c r="J213" s="1527"/>
      <c r="K213" s="1527"/>
      <c r="L213" s="1527"/>
      <c r="M213" s="1527"/>
      <c r="Q213" s="957"/>
    </row>
    <row r="214" spans="2:17">
      <c r="B214" s="1527"/>
      <c r="C214" s="1527"/>
      <c r="D214" s="1527"/>
      <c r="E214" s="1527"/>
      <c r="F214" s="1527"/>
      <c r="G214" s="1527"/>
      <c r="H214" s="1527"/>
      <c r="I214" s="1527"/>
      <c r="J214" s="1527"/>
      <c r="K214" s="1527"/>
      <c r="L214" s="1527"/>
      <c r="M214" s="1527"/>
      <c r="Q214" s="957"/>
    </row>
    <row r="215" spans="2:17">
      <c r="B215" s="1527"/>
      <c r="C215" s="1527"/>
      <c r="D215" s="1527"/>
      <c r="E215" s="1527"/>
      <c r="F215" s="1527"/>
      <c r="G215" s="1527"/>
      <c r="H215" s="1527"/>
      <c r="I215" s="1527"/>
      <c r="J215" s="1527"/>
      <c r="K215" s="1527"/>
      <c r="L215" s="1527"/>
      <c r="M215" s="1527"/>
      <c r="Q215" s="957"/>
    </row>
    <row r="216" spans="2:17">
      <c r="B216" s="1527"/>
      <c r="C216" s="1527"/>
      <c r="D216" s="1527"/>
      <c r="E216" s="1527"/>
      <c r="F216" s="1527"/>
      <c r="G216" s="1527"/>
      <c r="H216" s="1527"/>
      <c r="I216" s="1527"/>
      <c r="J216" s="1527"/>
      <c r="K216" s="1527"/>
      <c r="L216" s="1527"/>
      <c r="M216" s="1527"/>
      <c r="Q216" s="957"/>
    </row>
    <row r="217" spans="2:17">
      <c r="B217" s="1527"/>
      <c r="C217" s="1527"/>
      <c r="D217" s="1527"/>
      <c r="E217" s="1527"/>
      <c r="F217" s="1527"/>
      <c r="G217" s="1527"/>
      <c r="H217" s="1527"/>
      <c r="I217" s="1527"/>
      <c r="J217" s="1527"/>
      <c r="K217" s="1527"/>
      <c r="L217" s="1527"/>
      <c r="M217" s="1527"/>
      <c r="Q217" s="957"/>
    </row>
    <row r="218" spans="2:17">
      <c r="B218" s="1527"/>
      <c r="C218" s="1527"/>
      <c r="D218" s="1527"/>
      <c r="E218" s="1527"/>
      <c r="F218" s="1527"/>
      <c r="G218" s="1527"/>
      <c r="H218" s="1527"/>
      <c r="I218" s="1527"/>
      <c r="J218" s="1527"/>
      <c r="K218" s="1527"/>
      <c r="L218" s="1527"/>
      <c r="M218" s="1527"/>
      <c r="Q218" s="957"/>
    </row>
    <row r="219" spans="2:17">
      <c r="B219" s="1527"/>
      <c r="C219" s="1527"/>
      <c r="D219" s="1527"/>
      <c r="E219" s="1527"/>
      <c r="F219" s="1527"/>
      <c r="G219" s="1527"/>
      <c r="H219" s="1527"/>
      <c r="I219" s="1527"/>
      <c r="J219" s="1527"/>
      <c r="K219" s="1527"/>
      <c r="L219" s="1527"/>
      <c r="M219" s="1527"/>
      <c r="Q219" s="957"/>
    </row>
    <row r="220" spans="2:17">
      <c r="B220" s="1527"/>
      <c r="C220" s="1527"/>
      <c r="D220" s="1527"/>
      <c r="E220" s="1527"/>
      <c r="F220" s="1527"/>
      <c r="G220" s="1527"/>
      <c r="H220" s="1527"/>
      <c r="I220" s="1527"/>
      <c r="J220" s="1527"/>
      <c r="K220" s="1527"/>
      <c r="L220" s="1527"/>
      <c r="M220" s="1527"/>
      <c r="Q220" s="957"/>
    </row>
    <row r="221" spans="2:17">
      <c r="B221" s="1527"/>
      <c r="C221" s="1527"/>
      <c r="D221" s="1527"/>
      <c r="E221" s="1527"/>
      <c r="F221" s="1527"/>
      <c r="G221" s="1527"/>
      <c r="H221" s="1527"/>
      <c r="I221" s="1527"/>
      <c r="J221" s="1527"/>
      <c r="K221" s="1527"/>
      <c r="L221" s="1527"/>
      <c r="M221" s="1527"/>
      <c r="Q221" s="957"/>
    </row>
    <row r="222" spans="2:17">
      <c r="B222" s="1527"/>
      <c r="C222" s="1527"/>
      <c r="D222" s="1527"/>
      <c r="E222" s="1527"/>
      <c r="F222" s="1527"/>
      <c r="G222" s="1527"/>
      <c r="H222" s="1527"/>
      <c r="I222" s="1527"/>
      <c r="J222" s="1527"/>
      <c r="K222" s="1527"/>
      <c r="L222" s="1527"/>
      <c r="M222" s="1527"/>
      <c r="Q222" s="957"/>
    </row>
    <row r="223" spans="2:17">
      <c r="B223" s="1527"/>
      <c r="C223" s="1527"/>
      <c r="D223" s="1527"/>
      <c r="E223" s="1527"/>
      <c r="F223" s="1527"/>
      <c r="G223" s="1527"/>
      <c r="H223" s="1527"/>
      <c r="I223" s="1527"/>
      <c r="J223" s="1527"/>
      <c r="K223" s="1527"/>
      <c r="L223" s="1527"/>
      <c r="M223" s="1527"/>
      <c r="Q223" s="957"/>
    </row>
    <row r="224" spans="2:17">
      <c r="B224" s="1527"/>
      <c r="C224" s="1527"/>
      <c r="D224" s="1527"/>
      <c r="E224" s="1527"/>
      <c r="F224" s="1527"/>
      <c r="G224" s="1527"/>
      <c r="H224" s="1527"/>
      <c r="I224" s="1527"/>
      <c r="J224" s="1527"/>
      <c r="K224" s="1527"/>
      <c r="L224" s="1527"/>
      <c r="M224" s="1527"/>
      <c r="Q224" s="957"/>
    </row>
    <row r="225" spans="2:17">
      <c r="B225" s="1527"/>
      <c r="C225" s="1527"/>
      <c r="D225" s="1527"/>
      <c r="E225" s="1527"/>
      <c r="F225" s="1527"/>
      <c r="G225" s="1527"/>
      <c r="H225" s="1527"/>
      <c r="I225" s="1527"/>
      <c r="J225" s="1527"/>
      <c r="K225" s="1527"/>
      <c r="L225" s="1527"/>
      <c r="M225" s="1527"/>
      <c r="Q225" s="957"/>
    </row>
    <row r="226" spans="2:17">
      <c r="B226" s="1527"/>
      <c r="C226" s="1527"/>
      <c r="D226" s="1527"/>
      <c r="E226" s="1527"/>
      <c r="F226" s="1527"/>
      <c r="G226" s="1527"/>
      <c r="H226" s="1527"/>
      <c r="I226" s="1527"/>
      <c r="J226" s="1527"/>
      <c r="K226" s="1527"/>
      <c r="L226" s="1527"/>
      <c r="M226" s="1527"/>
      <c r="Q226" s="957"/>
    </row>
    <row r="227" spans="2:17">
      <c r="B227" s="1527"/>
      <c r="C227" s="1527"/>
      <c r="D227" s="1527"/>
      <c r="E227" s="1527"/>
      <c r="F227" s="1527"/>
      <c r="G227" s="1527"/>
      <c r="H227" s="1527"/>
      <c r="I227" s="1527"/>
      <c r="J227" s="1527"/>
      <c r="K227" s="1527"/>
      <c r="L227" s="1527"/>
      <c r="M227" s="1527"/>
      <c r="Q227" s="957"/>
    </row>
    <row r="228" spans="2:17">
      <c r="B228" s="1527"/>
      <c r="C228" s="1527"/>
      <c r="D228" s="1527"/>
      <c r="E228" s="1527"/>
      <c r="F228" s="1527"/>
      <c r="G228" s="1527"/>
      <c r="H228" s="1527"/>
      <c r="I228" s="1527"/>
      <c r="J228" s="1527"/>
      <c r="K228" s="1527"/>
      <c r="L228" s="1527"/>
      <c r="M228" s="1527"/>
      <c r="Q228" s="957"/>
    </row>
    <row r="229" spans="2:17">
      <c r="B229" s="1527"/>
      <c r="C229" s="1527"/>
      <c r="D229" s="1527"/>
      <c r="E229" s="1527"/>
      <c r="F229" s="1527"/>
      <c r="G229" s="1527"/>
      <c r="H229" s="1527"/>
      <c r="I229" s="1527"/>
      <c r="J229" s="1527"/>
      <c r="K229" s="1527"/>
      <c r="L229" s="1527"/>
      <c r="M229" s="1527"/>
      <c r="Q229" s="957"/>
    </row>
    <row r="230" spans="2:17">
      <c r="B230" s="1527"/>
      <c r="C230" s="1527"/>
      <c r="D230" s="1527"/>
      <c r="E230" s="1527"/>
      <c r="F230" s="1527"/>
      <c r="G230" s="1527"/>
      <c r="H230" s="1527"/>
      <c r="I230" s="1527"/>
      <c r="J230" s="1527"/>
      <c r="K230" s="1527"/>
      <c r="L230" s="1527"/>
      <c r="M230" s="1527"/>
      <c r="Q230" s="957"/>
    </row>
    <row r="231" spans="2:17">
      <c r="B231" s="1527"/>
      <c r="C231" s="1527"/>
      <c r="D231" s="1527"/>
      <c r="E231" s="1527"/>
      <c r="F231" s="1527"/>
      <c r="G231" s="1527"/>
      <c r="H231" s="1527"/>
      <c r="I231" s="1527"/>
      <c r="J231" s="1527"/>
      <c r="K231" s="1527"/>
      <c r="L231" s="1527"/>
      <c r="M231" s="1527"/>
      <c r="Q231" s="957"/>
    </row>
    <row r="232" spans="2:17">
      <c r="B232" s="1527"/>
      <c r="C232" s="1527"/>
      <c r="D232" s="1527"/>
      <c r="E232" s="1527"/>
      <c r="F232" s="1527"/>
      <c r="G232" s="1527"/>
      <c r="H232" s="1527"/>
      <c r="I232" s="1527"/>
      <c r="J232" s="1527"/>
      <c r="K232" s="1527"/>
      <c r="L232" s="1527"/>
      <c r="M232" s="1527"/>
      <c r="Q232" s="957"/>
    </row>
    <row r="233" spans="2:17">
      <c r="B233" s="1527"/>
      <c r="C233" s="1527"/>
      <c r="D233" s="1527"/>
      <c r="E233" s="1527"/>
      <c r="F233" s="1527"/>
      <c r="G233" s="1527"/>
      <c r="H233" s="1527"/>
      <c r="I233" s="1527"/>
      <c r="J233" s="1527"/>
      <c r="K233" s="1527"/>
      <c r="L233" s="1527"/>
      <c r="M233" s="1527"/>
      <c r="Q233" s="957"/>
    </row>
    <row r="234" spans="2:17">
      <c r="B234" s="1527"/>
      <c r="C234" s="1527"/>
      <c r="D234" s="1527"/>
      <c r="E234" s="1527"/>
      <c r="F234" s="1527"/>
      <c r="G234" s="1527"/>
      <c r="H234" s="1527"/>
      <c r="I234" s="1527"/>
      <c r="J234" s="1527"/>
      <c r="K234" s="1527"/>
      <c r="L234" s="1527"/>
      <c r="M234" s="1527"/>
      <c r="Q234" s="957"/>
    </row>
    <row r="235" spans="2:17">
      <c r="B235" s="1527"/>
      <c r="C235" s="1527"/>
      <c r="D235" s="1527"/>
      <c r="E235" s="1527"/>
      <c r="F235" s="1527"/>
      <c r="G235" s="1527"/>
      <c r="H235" s="1527"/>
      <c r="I235" s="1527"/>
      <c r="J235" s="1527"/>
      <c r="K235" s="1527"/>
      <c r="L235" s="1527"/>
      <c r="M235" s="1527"/>
      <c r="Q235" s="957"/>
    </row>
    <row r="236" spans="2:17">
      <c r="B236" s="1527"/>
      <c r="C236" s="1527"/>
      <c r="D236" s="1527"/>
      <c r="E236" s="1527"/>
      <c r="F236" s="1527"/>
      <c r="G236" s="1527"/>
      <c r="H236" s="1527"/>
      <c r="I236" s="1527"/>
      <c r="J236" s="1527"/>
      <c r="K236" s="1527"/>
      <c r="L236" s="1527"/>
      <c r="M236" s="1527"/>
      <c r="Q236" s="957"/>
    </row>
    <row r="237" spans="2:17">
      <c r="B237" s="1527"/>
      <c r="C237" s="1527"/>
      <c r="D237" s="1527"/>
      <c r="E237" s="1527"/>
      <c r="F237" s="1527"/>
      <c r="G237" s="1527"/>
      <c r="H237" s="1527"/>
      <c r="I237" s="1527"/>
      <c r="J237" s="1527"/>
      <c r="K237" s="1527"/>
      <c r="L237" s="1527"/>
      <c r="M237" s="1527"/>
      <c r="Q237" s="957"/>
    </row>
    <row r="238" spans="2:17">
      <c r="B238" s="1527"/>
      <c r="C238" s="1527"/>
      <c r="D238" s="1527"/>
      <c r="E238" s="1527"/>
      <c r="F238" s="1527"/>
      <c r="G238" s="1527"/>
      <c r="H238" s="1527"/>
      <c r="I238" s="1527"/>
      <c r="J238" s="1527"/>
      <c r="K238" s="1527"/>
      <c r="L238" s="1527"/>
      <c r="M238" s="1527"/>
      <c r="Q238" s="957"/>
    </row>
    <row r="239" spans="2:17">
      <c r="B239" s="1527"/>
      <c r="C239" s="1527"/>
      <c r="D239" s="1527"/>
      <c r="E239" s="1527"/>
      <c r="F239" s="1527"/>
      <c r="G239" s="1527"/>
      <c r="H239" s="1527"/>
      <c r="I239" s="1527"/>
      <c r="J239" s="1527"/>
      <c r="K239" s="1527"/>
      <c r="L239" s="1527"/>
      <c r="M239" s="1527"/>
      <c r="Q239" s="957"/>
    </row>
    <row r="240" spans="2:17">
      <c r="B240" s="1527"/>
      <c r="C240" s="1527"/>
      <c r="D240" s="1527"/>
      <c r="E240" s="1527"/>
      <c r="F240" s="1527"/>
      <c r="G240" s="1527"/>
      <c r="H240" s="1527"/>
      <c r="I240" s="1527"/>
      <c r="J240" s="1527"/>
      <c r="K240" s="1527"/>
      <c r="L240" s="1527"/>
      <c r="M240" s="1527"/>
      <c r="Q240" s="957"/>
    </row>
    <row r="241" spans="2:17">
      <c r="B241" s="1527"/>
      <c r="C241" s="1527"/>
      <c r="D241" s="1527"/>
      <c r="E241" s="1527"/>
      <c r="F241" s="1527"/>
      <c r="G241" s="1527"/>
      <c r="H241" s="1527"/>
      <c r="I241" s="1527"/>
      <c r="J241" s="1527"/>
      <c r="K241" s="1527"/>
      <c r="L241" s="1527"/>
      <c r="M241" s="1527"/>
      <c r="Q241" s="957"/>
    </row>
    <row r="242" spans="2:17">
      <c r="B242" s="1527"/>
      <c r="C242" s="1527"/>
      <c r="D242" s="1527"/>
      <c r="E242" s="1527"/>
      <c r="F242" s="1527"/>
      <c r="G242" s="1527"/>
      <c r="H242" s="1527"/>
      <c r="I242" s="1527"/>
      <c r="J242" s="1527"/>
      <c r="K242" s="1527"/>
      <c r="L242" s="1527"/>
      <c r="M242" s="1527"/>
      <c r="Q242" s="957"/>
    </row>
    <row r="243" spans="2:17">
      <c r="B243" s="1527"/>
      <c r="C243" s="1527"/>
      <c r="D243" s="1527"/>
      <c r="E243" s="1527"/>
      <c r="F243" s="1527"/>
      <c r="G243" s="1527"/>
      <c r="H243" s="1527"/>
      <c r="I243" s="1527"/>
      <c r="J243" s="1527"/>
      <c r="K243" s="1527"/>
      <c r="L243" s="1527"/>
      <c r="M243" s="1527"/>
      <c r="Q243" s="957"/>
    </row>
    <row r="244" spans="2:17">
      <c r="B244" s="1527"/>
      <c r="C244" s="1527"/>
      <c r="D244" s="1527"/>
      <c r="E244" s="1527"/>
      <c r="F244" s="1527"/>
      <c r="G244" s="1527"/>
      <c r="H244" s="1527"/>
      <c r="I244" s="1527"/>
      <c r="J244" s="1527"/>
      <c r="K244" s="1527"/>
      <c r="L244" s="1527"/>
      <c r="M244" s="1527"/>
      <c r="Q244" s="957"/>
    </row>
    <row r="245" spans="2:17">
      <c r="B245" s="1527"/>
      <c r="C245" s="1527"/>
      <c r="D245" s="1527"/>
      <c r="E245" s="1527"/>
      <c r="F245" s="1527"/>
      <c r="G245" s="1527"/>
      <c r="H245" s="1527"/>
      <c r="I245" s="1527"/>
      <c r="J245" s="1527"/>
      <c r="K245" s="1527"/>
      <c r="L245" s="1527"/>
      <c r="M245" s="1527"/>
      <c r="Q245" s="957"/>
    </row>
    <row r="246" spans="2:17">
      <c r="B246" s="1527"/>
      <c r="C246" s="1527"/>
      <c r="D246" s="1527"/>
      <c r="E246" s="1527"/>
      <c r="F246" s="1527"/>
      <c r="G246" s="1527"/>
      <c r="H246" s="1527"/>
      <c r="I246" s="1527"/>
      <c r="J246" s="1527"/>
      <c r="K246" s="1527"/>
      <c r="L246" s="1527"/>
      <c r="M246" s="1527"/>
      <c r="Q246" s="957"/>
    </row>
    <row r="247" spans="2:17">
      <c r="B247" s="1527"/>
      <c r="C247" s="1527"/>
      <c r="D247" s="1527"/>
      <c r="E247" s="1527"/>
      <c r="F247" s="1527"/>
      <c r="G247" s="1527"/>
      <c r="H247" s="1527"/>
      <c r="I247" s="1527"/>
      <c r="J247" s="1527"/>
      <c r="K247" s="1527"/>
      <c r="L247" s="1527"/>
      <c r="M247" s="1527"/>
      <c r="Q247" s="957"/>
    </row>
    <row r="248" spans="2:17">
      <c r="B248" s="1527"/>
      <c r="C248" s="1527"/>
      <c r="D248" s="1527"/>
      <c r="E248" s="1527"/>
      <c r="F248" s="1527"/>
      <c r="G248" s="1527"/>
      <c r="H248" s="1527"/>
      <c r="I248" s="1527"/>
      <c r="J248" s="1527"/>
      <c r="K248" s="1527"/>
      <c r="L248" s="1527"/>
      <c r="M248" s="1527"/>
      <c r="Q248" s="957"/>
    </row>
    <row r="249" spans="2:17">
      <c r="B249" s="1527"/>
      <c r="C249" s="1527"/>
      <c r="D249" s="1527"/>
      <c r="E249" s="1527"/>
      <c r="F249" s="1527"/>
      <c r="G249" s="1527"/>
      <c r="H249" s="1527"/>
      <c r="I249" s="1527"/>
      <c r="J249" s="1527"/>
      <c r="K249" s="1527"/>
      <c r="L249" s="1527"/>
      <c r="M249" s="1527"/>
      <c r="Q249" s="957"/>
    </row>
    <row r="250" spans="2:17">
      <c r="B250" s="1527"/>
      <c r="C250" s="1527"/>
      <c r="D250" s="1527"/>
      <c r="E250" s="1527"/>
      <c r="F250" s="1527"/>
      <c r="G250" s="1527"/>
      <c r="H250" s="1527"/>
      <c r="I250" s="1527"/>
      <c r="J250" s="1527"/>
      <c r="K250" s="1527"/>
      <c r="L250" s="1527"/>
      <c r="M250" s="1527"/>
      <c r="Q250" s="957"/>
    </row>
    <row r="251" spans="2:17">
      <c r="B251" s="1527"/>
      <c r="C251" s="1527"/>
      <c r="D251" s="1527"/>
      <c r="E251" s="1527"/>
      <c r="F251" s="1527"/>
      <c r="G251" s="1527"/>
      <c r="H251" s="1527"/>
      <c r="I251" s="1527"/>
      <c r="J251" s="1527"/>
      <c r="K251" s="1527"/>
      <c r="L251" s="1527"/>
      <c r="M251" s="1527"/>
      <c r="Q251" s="957"/>
    </row>
    <row r="252" spans="2:17">
      <c r="B252" s="1527"/>
      <c r="C252" s="1527"/>
      <c r="D252" s="1527"/>
      <c r="E252" s="1527"/>
      <c r="F252" s="1527"/>
      <c r="G252" s="1527"/>
      <c r="H252" s="1527"/>
      <c r="I252" s="1527"/>
      <c r="J252" s="1527"/>
      <c r="K252" s="1527"/>
      <c r="L252" s="1527"/>
      <c r="M252" s="1527"/>
      <c r="Q252" s="957"/>
    </row>
    <row r="253" spans="2:17">
      <c r="B253" s="1527"/>
      <c r="C253" s="1527"/>
      <c r="D253" s="1527"/>
      <c r="E253" s="1527"/>
      <c r="F253" s="1527"/>
      <c r="G253" s="1527"/>
      <c r="H253" s="1527"/>
      <c r="I253" s="1527"/>
      <c r="J253" s="1527"/>
      <c r="K253" s="1527"/>
      <c r="L253" s="1527"/>
      <c r="M253" s="1527"/>
      <c r="Q253" s="957"/>
    </row>
    <row r="254" spans="2:17">
      <c r="B254" s="1527"/>
      <c r="C254" s="1527"/>
      <c r="D254" s="1527"/>
      <c r="E254" s="1527"/>
      <c r="F254" s="1527"/>
      <c r="G254" s="1527"/>
      <c r="H254" s="1527"/>
      <c r="I254" s="1527"/>
      <c r="J254" s="1527"/>
      <c r="K254" s="1527"/>
      <c r="L254" s="1527"/>
      <c r="M254" s="1527"/>
      <c r="Q254" s="957"/>
    </row>
    <row r="255" spans="2:17">
      <c r="B255" s="1527"/>
      <c r="C255" s="1527"/>
      <c r="D255" s="1527"/>
      <c r="E255" s="1527"/>
      <c r="F255" s="1527"/>
      <c r="G255" s="1527"/>
      <c r="H255" s="1527"/>
      <c r="I255" s="1527"/>
      <c r="J255" s="1527"/>
      <c r="K255" s="1527"/>
      <c r="L255" s="1527"/>
      <c r="M255" s="1527"/>
      <c r="Q255" s="957"/>
    </row>
    <row r="256" spans="2:17">
      <c r="B256" s="1527"/>
      <c r="C256" s="1527"/>
      <c r="D256" s="1527"/>
      <c r="E256" s="1527"/>
      <c r="F256" s="1527"/>
      <c r="G256" s="1527"/>
      <c r="H256" s="1527"/>
      <c r="I256" s="1527"/>
      <c r="J256" s="1527"/>
      <c r="K256" s="1527"/>
      <c r="L256" s="1527"/>
      <c r="M256" s="1527"/>
      <c r="Q256" s="957"/>
    </row>
    <row r="257" spans="2:17">
      <c r="B257" s="1527"/>
      <c r="C257" s="1527"/>
      <c r="D257" s="1527"/>
      <c r="E257" s="1527"/>
      <c r="F257" s="1527"/>
      <c r="G257" s="1527"/>
      <c r="H257" s="1527"/>
      <c r="I257" s="1527"/>
      <c r="J257" s="1527"/>
      <c r="K257" s="1527"/>
      <c r="L257" s="1527"/>
      <c r="M257" s="1527"/>
      <c r="Q257" s="957"/>
    </row>
    <row r="258" spans="2:17">
      <c r="B258" s="1527"/>
      <c r="C258" s="1527"/>
      <c r="D258" s="1527"/>
      <c r="E258" s="1527"/>
      <c r="F258" s="1527"/>
      <c r="G258" s="1527"/>
      <c r="H258" s="1527"/>
      <c r="I258" s="1527"/>
      <c r="J258" s="1527"/>
      <c r="K258" s="1527"/>
      <c r="L258" s="1527"/>
      <c r="M258" s="1527"/>
      <c r="Q258" s="957"/>
    </row>
    <row r="259" spans="2:17">
      <c r="B259" s="1527"/>
      <c r="C259" s="1527"/>
      <c r="D259" s="1527"/>
      <c r="E259" s="1527"/>
      <c r="F259" s="1527"/>
      <c r="G259" s="1527"/>
      <c r="H259" s="1527"/>
      <c r="I259" s="1527"/>
      <c r="J259" s="1527"/>
      <c r="K259" s="1527"/>
      <c r="L259" s="1527"/>
      <c r="M259" s="1527"/>
      <c r="Q259" s="957"/>
    </row>
    <row r="260" spans="2:17">
      <c r="B260" s="1527"/>
      <c r="C260" s="1527"/>
      <c r="D260" s="1527"/>
      <c r="E260" s="1527"/>
      <c r="F260" s="1527"/>
      <c r="G260" s="1527"/>
      <c r="H260" s="1527"/>
      <c r="I260" s="1527"/>
      <c r="J260" s="1527"/>
      <c r="K260" s="1527"/>
      <c r="L260" s="1527"/>
      <c r="M260" s="1527"/>
      <c r="Q260" s="957"/>
    </row>
    <row r="261" spans="2:17">
      <c r="B261" s="1527"/>
      <c r="C261" s="1527"/>
      <c r="D261" s="1527"/>
      <c r="E261" s="1527"/>
      <c r="F261" s="1527"/>
      <c r="G261" s="1527"/>
      <c r="H261" s="1527"/>
      <c r="I261" s="1527"/>
      <c r="J261" s="1527"/>
      <c r="K261" s="1527"/>
      <c r="L261" s="1527"/>
      <c r="M261" s="1527"/>
      <c r="Q261" s="957"/>
    </row>
    <row r="262" spans="2:17">
      <c r="B262" s="1527"/>
      <c r="C262" s="1527"/>
      <c r="D262" s="1527"/>
      <c r="E262" s="1527"/>
      <c r="F262" s="1527"/>
      <c r="G262" s="1527"/>
      <c r="H262" s="1527"/>
      <c r="I262" s="1527"/>
      <c r="J262" s="1527"/>
      <c r="K262" s="1527"/>
      <c r="L262" s="1527"/>
      <c r="M262" s="1527"/>
      <c r="Q262" s="957"/>
    </row>
    <row r="263" spans="2:17">
      <c r="B263" s="1527"/>
      <c r="C263" s="1527"/>
      <c r="D263" s="1527"/>
      <c r="E263" s="1527"/>
      <c r="F263" s="1527"/>
      <c r="G263" s="1527"/>
      <c r="H263" s="1527"/>
      <c r="I263" s="1527"/>
      <c r="J263" s="1527"/>
      <c r="K263" s="1527"/>
      <c r="L263" s="1527"/>
      <c r="M263" s="1527"/>
      <c r="Q263" s="957"/>
    </row>
    <row r="264" spans="2:17">
      <c r="B264" s="1527"/>
      <c r="C264" s="1527"/>
      <c r="D264" s="1527"/>
      <c r="E264" s="1527"/>
      <c r="F264" s="1527"/>
      <c r="G264" s="1527"/>
      <c r="H264" s="1527"/>
      <c r="I264" s="1527"/>
      <c r="J264" s="1527"/>
      <c r="K264" s="1527"/>
      <c r="L264" s="1527"/>
      <c r="M264" s="1527"/>
      <c r="Q264" s="957"/>
    </row>
    <row r="265" spans="2:17">
      <c r="B265" s="1527"/>
      <c r="C265" s="1527"/>
      <c r="D265" s="1527"/>
      <c r="E265" s="1527"/>
      <c r="F265" s="1527"/>
      <c r="G265" s="1527"/>
      <c r="H265" s="1527"/>
      <c r="I265" s="1527"/>
      <c r="J265" s="1527"/>
      <c r="K265" s="1527"/>
      <c r="L265" s="1527"/>
      <c r="M265" s="1527"/>
      <c r="Q265" s="957"/>
    </row>
    <row r="266" spans="2:17">
      <c r="B266" s="1527"/>
      <c r="C266" s="1527"/>
      <c r="D266" s="1527"/>
      <c r="E266" s="1527"/>
      <c r="F266" s="1527"/>
      <c r="G266" s="1527"/>
      <c r="H266" s="1527"/>
      <c r="I266" s="1527"/>
      <c r="J266" s="1527"/>
      <c r="K266" s="1527"/>
      <c r="L266" s="1527"/>
      <c r="M266" s="1527"/>
      <c r="Q266" s="957"/>
    </row>
    <row r="267" spans="2:17">
      <c r="B267" s="1527"/>
      <c r="C267" s="1527"/>
      <c r="D267" s="1527"/>
      <c r="E267" s="1527"/>
      <c r="F267" s="1527"/>
      <c r="G267" s="1527"/>
      <c r="H267" s="1527"/>
      <c r="I267" s="1527"/>
      <c r="J267" s="1527"/>
      <c r="K267" s="1527"/>
      <c r="L267" s="1527"/>
      <c r="M267" s="1527"/>
      <c r="Q267" s="957"/>
    </row>
    <row r="268" spans="2:17">
      <c r="B268" s="1527"/>
      <c r="C268" s="1527"/>
      <c r="D268" s="1527"/>
      <c r="E268" s="1527"/>
      <c r="F268" s="1527"/>
      <c r="G268" s="1527"/>
      <c r="H268" s="1527"/>
      <c r="I268" s="1527"/>
      <c r="J268" s="1527"/>
      <c r="K268" s="1527"/>
      <c r="L268" s="1527"/>
      <c r="M268" s="1527"/>
      <c r="Q268" s="957"/>
    </row>
    <row r="269" spans="2:17">
      <c r="B269" s="1527"/>
      <c r="C269" s="1527"/>
      <c r="D269" s="1527"/>
      <c r="E269" s="1527"/>
      <c r="F269" s="1527"/>
      <c r="G269" s="1527"/>
      <c r="H269" s="1527"/>
      <c r="I269" s="1527"/>
      <c r="J269" s="1527"/>
      <c r="K269" s="1527"/>
      <c r="L269" s="1527"/>
      <c r="M269" s="1527"/>
      <c r="Q269" s="957"/>
    </row>
    <row r="270" spans="2:17">
      <c r="B270" s="1527"/>
      <c r="C270" s="1527"/>
      <c r="D270" s="1527"/>
      <c r="E270" s="1527"/>
      <c r="F270" s="1527"/>
      <c r="G270" s="1527"/>
      <c r="H270" s="1527"/>
      <c r="I270" s="1527"/>
      <c r="J270" s="1527"/>
      <c r="K270" s="1527"/>
      <c r="L270" s="1527"/>
      <c r="M270" s="1527"/>
      <c r="Q270" s="957"/>
    </row>
    <row r="271" spans="2:17">
      <c r="B271" s="1527"/>
      <c r="C271" s="1527"/>
      <c r="D271" s="1527"/>
      <c r="E271" s="1527"/>
      <c r="F271" s="1527"/>
      <c r="G271" s="1527"/>
      <c r="H271" s="1527"/>
      <c r="I271" s="1527"/>
      <c r="J271" s="1527"/>
      <c r="K271" s="1527"/>
      <c r="L271" s="1527"/>
      <c r="M271" s="1527"/>
      <c r="Q271" s="957"/>
    </row>
    <row r="272" spans="2:17">
      <c r="B272" s="1527"/>
      <c r="C272" s="1527"/>
      <c r="D272" s="1527"/>
      <c r="E272" s="1527"/>
      <c r="F272" s="1527"/>
      <c r="G272" s="1527"/>
      <c r="H272" s="1527"/>
      <c r="I272" s="1527"/>
      <c r="J272" s="1527"/>
      <c r="K272" s="1527"/>
      <c r="L272" s="1527"/>
      <c r="M272" s="1527"/>
      <c r="Q272" s="957"/>
    </row>
    <row r="273" spans="2:17">
      <c r="B273" s="1527"/>
      <c r="C273" s="1527"/>
      <c r="D273" s="1527"/>
      <c r="E273" s="1527"/>
      <c r="F273" s="1527"/>
      <c r="G273" s="1527"/>
      <c r="H273" s="1527"/>
      <c r="I273" s="1527"/>
      <c r="J273" s="1527"/>
      <c r="K273" s="1527"/>
      <c r="L273" s="1527"/>
      <c r="M273" s="1527"/>
      <c r="Q273" s="957"/>
    </row>
    <row r="274" spans="2:17">
      <c r="B274" s="1527"/>
      <c r="C274" s="1527"/>
      <c r="D274" s="1527"/>
      <c r="E274" s="1527"/>
      <c r="F274" s="1527"/>
      <c r="G274" s="1527"/>
      <c r="H274" s="1527"/>
      <c r="I274" s="1527"/>
      <c r="J274" s="1527"/>
      <c r="K274" s="1527"/>
      <c r="L274" s="1527"/>
      <c r="M274" s="1527"/>
      <c r="Q274" s="957"/>
    </row>
    <row r="275" spans="2:17">
      <c r="B275" s="1527"/>
      <c r="C275" s="1527"/>
      <c r="D275" s="1527"/>
      <c r="E275" s="1527"/>
      <c r="F275" s="1527"/>
      <c r="G275" s="1527"/>
      <c r="H275" s="1527"/>
      <c r="I275" s="1527"/>
      <c r="J275" s="1527"/>
      <c r="K275" s="1527"/>
      <c r="L275" s="1527"/>
      <c r="M275" s="1527"/>
      <c r="Q275" s="957"/>
    </row>
    <row r="276" spans="2:17">
      <c r="B276" s="1527"/>
      <c r="C276" s="1527"/>
      <c r="D276" s="1527"/>
      <c r="E276" s="1527"/>
      <c r="F276" s="1527"/>
      <c r="G276" s="1527"/>
      <c r="H276" s="1527"/>
      <c r="I276" s="1527"/>
      <c r="J276" s="1527"/>
      <c r="K276" s="1527"/>
      <c r="L276" s="1527"/>
      <c r="M276" s="1527"/>
      <c r="Q276" s="957"/>
    </row>
    <row r="277" spans="2:17">
      <c r="B277" s="1527"/>
      <c r="C277" s="1527"/>
      <c r="D277" s="1527"/>
      <c r="E277" s="1527"/>
      <c r="F277" s="1527"/>
      <c r="G277" s="1527"/>
      <c r="H277" s="1527"/>
      <c r="I277" s="1527"/>
      <c r="J277" s="1527"/>
      <c r="K277" s="1527"/>
      <c r="L277" s="1527"/>
      <c r="M277" s="1527"/>
      <c r="Q277" s="957"/>
    </row>
    <row r="278" spans="2:17">
      <c r="B278" s="1527"/>
      <c r="C278" s="1527"/>
      <c r="D278" s="1527"/>
      <c r="E278" s="1527"/>
      <c r="F278" s="1527"/>
      <c r="G278" s="1527"/>
      <c r="H278" s="1527"/>
      <c r="I278" s="1527"/>
      <c r="J278" s="1527"/>
      <c r="K278" s="1527"/>
      <c r="L278" s="1527"/>
      <c r="M278" s="1527"/>
      <c r="Q278" s="957"/>
    </row>
    <row r="279" spans="2:17">
      <c r="B279" s="1527"/>
      <c r="C279" s="1527"/>
      <c r="D279" s="1527"/>
      <c r="E279" s="1527"/>
      <c r="F279" s="1527"/>
      <c r="G279" s="1527"/>
      <c r="H279" s="1527"/>
      <c r="I279" s="1527"/>
      <c r="J279" s="1527"/>
      <c r="K279" s="1527"/>
      <c r="L279" s="1527"/>
      <c r="M279" s="1527"/>
      <c r="Q279" s="957"/>
    </row>
    <row r="280" spans="2:17">
      <c r="B280" s="1527"/>
      <c r="C280" s="1527"/>
      <c r="D280" s="1527"/>
      <c r="E280" s="1527"/>
      <c r="F280" s="1527"/>
      <c r="G280" s="1527"/>
      <c r="H280" s="1527"/>
      <c r="I280" s="1527"/>
      <c r="J280" s="1527"/>
      <c r="K280" s="1527"/>
      <c r="L280" s="1527"/>
      <c r="M280" s="1527"/>
      <c r="Q280" s="957"/>
    </row>
    <row r="281" spans="2:17">
      <c r="B281" s="1527"/>
      <c r="C281" s="1527"/>
      <c r="D281" s="1527"/>
      <c r="E281" s="1527"/>
      <c r="F281" s="1527"/>
      <c r="G281" s="1527"/>
      <c r="H281" s="1527"/>
      <c r="I281" s="1527"/>
      <c r="J281" s="1527"/>
      <c r="K281" s="1527"/>
      <c r="L281" s="1527"/>
      <c r="M281" s="1527"/>
      <c r="Q281" s="957"/>
    </row>
    <row r="282" spans="2:17">
      <c r="B282" s="1527"/>
      <c r="C282" s="1527"/>
      <c r="D282" s="1527"/>
      <c r="E282" s="1527"/>
      <c r="F282" s="1527"/>
      <c r="G282" s="1527"/>
      <c r="H282" s="1527"/>
      <c r="I282" s="1527"/>
      <c r="J282" s="1527"/>
      <c r="K282" s="1527"/>
      <c r="L282" s="1527"/>
      <c r="M282" s="1527"/>
      <c r="Q282" s="957"/>
    </row>
    <row r="283" spans="2:17">
      <c r="B283" s="1527"/>
      <c r="C283" s="1527"/>
      <c r="D283" s="1527"/>
      <c r="E283" s="1527"/>
      <c r="F283" s="1527"/>
      <c r="G283" s="1527"/>
      <c r="H283" s="1527"/>
      <c r="I283" s="1527"/>
      <c r="J283" s="1527"/>
      <c r="K283" s="1527"/>
      <c r="L283" s="1527"/>
      <c r="M283" s="1527"/>
      <c r="Q283" s="957"/>
    </row>
    <row r="284" spans="2:17">
      <c r="B284" s="1527"/>
      <c r="C284" s="1527"/>
      <c r="D284" s="1527"/>
      <c r="E284" s="1527"/>
      <c r="F284" s="1527"/>
      <c r="G284" s="1527"/>
      <c r="H284" s="1527"/>
      <c r="I284" s="1527"/>
      <c r="J284" s="1527"/>
      <c r="K284" s="1527"/>
      <c r="L284" s="1527"/>
      <c r="M284" s="1527"/>
      <c r="Q284" s="957"/>
    </row>
    <row r="285" spans="2:17">
      <c r="B285" s="1527"/>
      <c r="C285" s="1527"/>
      <c r="D285" s="1527"/>
      <c r="E285" s="1527"/>
      <c r="F285" s="1527"/>
      <c r="G285" s="1527"/>
      <c r="H285" s="1527"/>
      <c r="I285" s="1527"/>
      <c r="J285" s="1527"/>
      <c r="K285" s="1527"/>
      <c r="L285" s="1527"/>
      <c r="M285" s="1527"/>
      <c r="Q285" s="957"/>
    </row>
    <row r="286" spans="2:17">
      <c r="B286" s="1527"/>
      <c r="C286" s="1527"/>
      <c r="D286" s="1527"/>
      <c r="E286" s="1527"/>
      <c r="F286" s="1527"/>
      <c r="G286" s="1527"/>
      <c r="H286" s="1527"/>
      <c r="I286" s="1527"/>
      <c r="J286" s="1527"/>
      <c r="K286" s="1527"/>
      <c r="L286" s="1527"/>
      <c r="M286" s="1527"/>
      <c r="Q286" s="957"/>
    </row>
    <row r="287" spans="2:17">
      <c r="B287" s="1527"/>
      <c r="C287" s="1527"/>
      <c r="D287" s="1527"/>
      <c r="E287" s="1527"/>
      <c r="F287" s="1527"/>
      <c r="G287" s="1527"/>
      <c r="H287" s="1527"/>
      <c r="I287" s="1527"/>
      <c r="J287" s="1527"/>
      <c r="K287" s="1527"/>
      <c r="L287" s="1527"/>
      <c r="M287" s="1527"/>
      <c r="Q287" s="957"/>
    </row>
    <row r="288" spans="2:17">
      <c r="B288" s="1527"/>
      <c r="C288" s="1527"/>
      <c r="D288" s="1527"/>
      <c r="E288" s="1527"/>
      <c r="F288" s="1527"/>
      <c r="G288" s="1527"/>
      <c r="H288" s="1527"/>
      <c r="I288" s="1527"/>
      <c r="J288" s="1527"/>
      <c r="K288" s="1527"/>
      <c r="L288" s="1527"/>
      <c r="M288" s="1527"/>
      <c r="Q288" s="957"/>
    </row>
    <row r="289" spans="2:17">
      <c r="B289" s="1527"/>
      <c r="C289" s="1527"/>
      <c r="D289" s="1527"/>
      <c r="E289" s="1527"/>
      <c r="F289" s="1527"/>
      <c r="G289" s="1527"/>
      <c r="H289" s="1527"/>
      <c r="I289" s="1527"/>
      <c r="J289" s="1527"/>
      <c r="K289" s="1527"/>
      <c r="L289" s="1527"/>
      <c r="M289" s="1527"/>
      <c r="Q289" s="957"/>
    </row>
    <row r="290" spans="2:17">
      <c r="B290" s="1527"/>
      <c r="C290" s="1527"/>
      <c r="D290" s="1527"/>
      <c r="E290" s="1527"/>
      <c r="F290" s="1527"/>
      <c r="G290" s="1527"/>
      <c r="H290" s="1527"/>
      <c r="I290" s="1527"/>
      <c r="J290" s="1527"/>
      <c r="K290" s="1527"/>
      <c r="L290" s="1527"/>
      <c r="M290" s="1527"/>
      <c r="Q290" s="957"/>
    </row>
    <row r="291" spans="2:17">
      <c r="B291" s="1527"/>
      <c r="C291" s="1527"/>
      <c r="D291" s="1527"/>
      <c r="E291" s="1527"/>
      <c r="F291" s="1527"/>
      <c r="G291" s="1527"/>
      <c r="H291" s="1527"/>
      <c r="I291" s="1527"/>
      <c r="J291" s="1527"/>
      <c r="K291" s="1527"/>
      <c r="L291" s="1527"/>
      <c r="M291" s="1527"/>
      <c r="Q291" s="957"/>
    </row>
    <row r="292" spans="2:17">
      <c r="B292" s="1527"/>
      <c r="C292" s="1527"/>
      <c r="D292" s="1527"/>
      <c r="E292" s="1527"/>
      <c r="F292" s="1527"/>
      <c r="G292" s="1527"/>
      <c r="H292" s="1527"/>
      <c r="I292" s="1527"/>
      <c r="J292" s="1527"/>
      <c r="K292" s="1527"/>
      <c r="L292" s="1527"/>
      <c r="M292" s="1527"/>
      <c r="Q292" s="957"/>
    </row>
    <row r="293" spans="2:17">
      <c r="B293" s="1527"/>
      <c r="C293" s="1527"/>
      <c r="D293" s="1527"/>
      <c r="E293" s="1527"/>
      <c r="F293" s="1527"/>
      <c r="G293" s="1527"/>
      <c r="H293" s="1527"/>
      <c r="I293" s="1527"/>
      <c r="J293" s="1527"/>
      <c r="K293" s="1527"/>
      <c r="L293" s="1527"/>
      <c r="M293" s="1527"/>
      <c r="Q293" s="957"/>
    </row>
    <row r="294" spans="2:17">
      <c r="B294" s="1527"/>
      <c r="C294" s="1527"/>
      <c r="D294" s="1527"/>
      <c r="E294" s="1527"/>
      <c r="F294" s="1527"/>
      <c r="G294" s="1527"/>
      <c r="H294" s="1527"/>
      <c r="I294" s="1527"/>
      <c r="J294" s="1527"/>
      <c r="K294" s="1527"/>
      <c r="L294" s="1527"/>
      <c r="M294" s="1527"/>
      <c r="Q294" s="957"/>
    </row>
    <row r="295" spans="2:17">
      <c r="B295" s="1527"/>
      <c r="C295" s="1527"/>
      <c r="D295" s="1527"/>
      <c r="E295" s="1527"/>
      <c r="F295" s="1527"/>
      <c r="G295" s="1527"/>
      <c r="H295" s="1527"/>
      <c r="I295" s="1527"/>
      <c r="J295" s="1527"/>
      <c r="K295" s="1527"/>
      <c r="L295" s="1527"/>
      <c r="M295" s="1527"/>
      <c r="Q295" s="957"/>
    </row>
    <row r="296" spans="2:17">
      <c r="B296" s="1527"/>
      <c r="C296" s="1527"/>
      <c r="D296" s="1527"/>
      <c r="E296" s="1527"/>
      <c r="F296" s="1527"/>
      <c r="G296" s="1527"/>
      <c r="H296" s="1527"/>
      <c r="I296" s="1527"/>
      <c r="J296" s="1527"/>
      <c r="K296" s="1527"/>
      <c r="L296" s="1527"/>
      <c r="M296" s="1527"/>
      <c r="Q296" s="957"/>
    </row>
    <row r="297" spans="2:17">
      <c r="B297" s="1527"/>
      <c r="C297" s="1527"/>
      <c r="D297" s="1527"/>
      <c r="E297" s="1527"/>
      <c r="F297" s="1527"/>
      <c r="G297" s="1527"/>
      <c r="H297" s="1527"/>
      <c r="I297" s="1527"/>
      <c r="J297" s="1527"/>
      <c r="K297" s="1527"/>
      <c r="L297" s="1527"/>
      <c r="M297" s="1527"/>
      <c r="Q297" s="957"/>
    </row>
    <row r="298" spans="2:17">
      <c r="B298" s="1527"/>
      <c r="C298" s="1527"/>
      <c r="D298" s="1527"/>
      <c r="E298" s="1527"/>
      <c r="F298" s="1527"/>
      <c r="G298" s="1527"/>
      <c r="H298" s="1527"/>
      <c r="I298" s="1527"/>
      <c r="J298" s="1527"/>
      <c r="K298" s="1527"/>
      <c r="L298" s="1527"/>
      <c r="M298" s="1527"/>
      <c r="Q298" s="957"/>
    </row>
    <row r="299" spans="2:17">
      <c r="B299" s="1527"/>
      <c r="C299" s="1527"/>
      <c r="D299" s="1527"/>
      <c r="E299" s="1527"/>
      <c r="F299" s="1527"/>
      <c r="G299" s="1527"/>
      <c r="H299" s="1527"/>
      <c r="I299" s="1527"/>
      <c r="J299" s="1527"/>
      <c r="K299" s="1527"/>
      <c r="L299" s="1527"/>
      <c r="M299" s="1527"/>
      <c r="Q299" s="957"/>
    </row>
    <row r="300" spans="2:17">
      <c r="B300" s="1527"/>
      <c r="C300" s="1527"/>
      <c r="D300" s="1527"/>
      <c r="E300" s="1527"/>
      <c r="F300" s="1527"/>
      <c r="G300" s="1527"/>
      <c r="H300" s="1527"/>
      <c r="I300" s="1527"/>
      <c r="J300" s="1527"/>
      <c r="K300" s="1527"/>
      <c r="L300" s="1527"/>
      <c r="M300" s="1527"/>
      <c r="Q300" s="957"/>
    </row>
    <row r="301" spans="2:17">
      <c r="B301" s="1527"/>
      <c r="C301" s="1527"/>
      <c r="D301" s="1527"/>
      <c r="E301" s="1527"/>
      <c r="F301" s="1527"/>
      <c r="G301" s="1527"/>
      <c r="H301" s="1527"/>
      <c r="I301" s="1527"/>
      <c r="J301" s="1527"/>
      <c r="K301" s="1527"/>
      <c r="L301" s="1527"/>
      <c r="M301" s="1527"/>
      <c r="Q301" s="957"/>
    </row>
    <row r="302" spans="2:17">
      <c r="B302" s="1527"/>
      <c r="C302" s="1527"/>
      <c r="D302" s="1527"/>
      <c r="E302" s="1527"/>
      <c r="F302" s="1527"/>
      <c r="G302" s="1527"/>
      <c r="H302" s="1527"/>
      <c r="I302" s="1527"/>
      <c r="J302" s="1527"/>
      <c r="K302" s="1527"/>
      <c r="L302" s="1527"/>
      <c r="M302" s="1527"/>
      <c r="Q302" s="957"/>
    </row>
    <row r="303" spans="2:17">
      <c r="B303" s="1527"/>
      <c r="C303" s="1527"/>
      <c r="D303" s="1527"/>
      <c r="E303" s="1527"/>
      <c r="F303" s="1527"/>
      <c r="G303" s="1527"/>
      <c r="H303" s="1527"/>
      <c r="I303" s="1527"/>
      <c r="J303" s="1527"/>
      <c r="K303" s="1527"/>
      <c r="L303" s="1527"/>
      <c r="M303" s="1527"/>
      <c r="Q303" s="957"/>
    </row>
    <row r="304" spans="2:17">
      <c r="B304" s="1527"/>
      <c r="C304" s="1527"/>
      <c r="D304" s="1527"/>
      <c r="E304" s="1527"/>
      <c r="F304" s="1527"/>
      <c r="G304" s="1527"/>
      <c r="H304" s="1527"/>
      <c r="I304" s="1527"/>
      <c r="J304" s="1527"/>
      <c r="K304" s="1527"/>
      <c r="L304" s="1527"/>
      <c r="M304" s="1527"/>
      <c r="Q304" s="957"/>
    </row>
    <row r="305" spans="2:17">
      <c r="B305" s="1527"/>
      <c r="C305" s="1527"/>
      <c r="D305" s="1527"/>
      <c r="E305" s="1527"/>
      <c r="F305" s="1527"/>
      <c r="G305" s="1527"/>
      <c r="H305" s="1527"/>
      <c r="I305" s="1527"/>
      <c r="J305" s="1527"/>
      <c r="K305" s="1527"/>
      <c r="L305" s="1527"/>
      <c r="M305" s="1527"/>
      <c r="Q305" s="957"/>
    </row>
    <row r="306" spans="2:17">
      <c r="B306" s="1527"/>
      <c r="C306" s="1527"/>
      <c r="D306" s="1527"/>
      <c r="E306" s="1527"/>
      <c r="F306" s="1527"/>
      <c r="G306" s="1527"/>
      <c r="H306" s="1527"/>
      <c r="I306" s="1527"/>
      <c r="J306" s="1527"/>
      <c r="K306" s="1527"/>
      <c r="L306" s="1527"/>
      <c r="M306" s="1527"/>
      <c r="Q306" s="957"/>
    </row>
    <row r="307" spans="2:17">
      <c r="B307" s="1527"/>
      <c r="C307" s="1527"/>
      <c r="D307" s="1527"/>
      <c r="E307" s="1527"/>
      <c r="F307" s="1527"/>
      <c r="G307" s="1527"/>
      <c r="H307" s="1527"/>
      <c r="I307" s="1527"/>
      <c r="J307" s="1527"/>
      <c r="K307" s="1527"/>
      <c r="L307" s="1527"/>
      <c r="M307" s="1527"/>
      <c r="Q307" s="957"/>
    </row>
    <row r="308" spans="2:17">
      <c r="B308" s="1527"/>
      <c r="C308" s="1527"/>
      <c r="D308" s="1527"/>
      <c r="E308" s="1527"/>
      <c r="F308" s="1527"/>
      <c r="G308" s="1527"/>
      <c r="H308" s="1527"/>
      <c r="I308" s="1527"/>
      <c r="J308" s="1527"/>
      <c r="K308" s="1527"/>
      <c r="L308" s="1527"/>
      <c r="M308" s="1527"/>
      <c r="Q308" s="957"/>
    </row>
    <row r="309" spans="2:17">
      <c r="B309" s="1527"/>
      <c r="C309" s="1527"/>
      <c r="D309" s="1527"/>
      <c r="E309" s="1527"/>
      <c r="F309" s="1527"/>
      <c r="G309" s="1527"/>
      <c r="H309" s="1527"/>
      <c r="I309" s="1527"/>
      <c r="J309" s="1527"/>
      <c r="K309" s="1527"/>
      <c r="L309" s="1527"/>
      <c r="M309" s="1527"/>
      <c r="Q309" s="957"/>
    </row>
    <row r="310" spans="2:17">
      <c r="B310" s="1527"/>
      <c r="C310" s="1527"/>
      <c r="D310" s="1527"/>
      <c r="E310" s="1527"/>
      <c r="F310" s="1527"/>
      <c r="G310" s="1527"/>
      <c r="H310" s="1527"/>
      <c r="I310" s="1527"/>
      <c r="J310" s="1527"/>
      <c r="K310" s="1527"/>
      <c r="L310" s="1527"/>
      <c r="M310" s="1527"/>
      <c r="Q310" s="957"/>
    </row>
    <row r="311" spans="2:17">
      <c r="B311" s="1527"/>
      <c r="C311" s="1527"/>
      <c r="D311" s="1527"/>
      <c r="E311" s="1527"/>
      <c r="F311" s="1527"/>
      <c r="G311" s="1527"/>
      <c r="H311" s="1527"/>
      <c r="I311" s="1527"/>
      <c r="J311" s="1527"/>
      <c r="K311" s="1527"/>
      <c r="L311" s="1527"/>
      <c r="M311" s="1527"/>
      <c r="Q311" s="957"/>
    </row>
    <row r="312" spans="2:17">
      <c r="B312" s="1527"/>
      <c r="C312" s="1527"/>
      <c r="D312" s="1527"/>
      <c r="E312" s="1527"/>
      <c r="F312" s="1527"/>
      <c r="G312" s="1527"/>
      <c r="H312" s="1527"/>
      <c r="I312" s="1527"/>
      <c r="J312" s="1527"/>
      <c r="K312" s="1527"/>
      <c r="L312" s="1527"/>
      <c r="M312" s="1527"/>
      <c r="Q312" s="957"/>
    </row>
    <row r="313" spans="2:17">
      <c r="B313" s="1527"/>
      <c r="C313" s="1527"/>
      <c r="D313" s="1527"/>
      <c r="E313" s="1527"/>
      <c r="F313" s="1527"/>
      <c r="G313" s="1527"/>
      <c r="H313" s="1527"/>
      <c r="I313" s="1527"/>
      <c r="J313" s="1527"/>
      <c r="K313" s="1527"/>
      <c r="L313" s="1527"/>
      <c r="M313" s="1527"/>
      <c r="Q313" s="957"/>
    </row>
    <row r="314" spans="2:17">
      <c r="B314" s="1527"/>
      <c r="C314" s="1527"/>
      <c r="D314" s="1527"/>
      <c r="E314" s="1527"/>
      <c r="F314" s="1527"/>
      <c r="G314" s="1527"/>
      <c r="H314" s="1527"/>
      <c r="I314" s="1527"/>
      <c r="J314" s="1527"/>
      <c r="K314" s="1527"/>
      <c r="L314" s="1527"/>
      <c r="M314" s="1527"/>
      <c r="Q314" s="957"/>
    </row>
    <row r="315" spans="2:17">
      <c r="B315" s="1527"/>
      <c r="C315" s="1527"/>
      <c r="D315" s="1527"/>
      <c r="E315" s="1527"/>
      <c r="F315" s="1527"/>
      <c r="G315" s="1527"/>
      <c r="H315" s="1527"/>
      <c r="I315" s="1527"/>
      <c r="J315" s="1527"/>
      <c r="K315" s="1527"/>
      <c r="L315" s="1527"/>
      <c r="M315" s="1527"/>
      <c r="Q315" s="957"/>
    </row>
    <row r="316" spans="2:17">
      <c r="B316" s="1527"/>
      <c r="C316" s="1527"/>
      <c r="D316" s="1527"/>
      <c r="E316" s="1527"/>
      <c r="F316" s="1527"/>
      <c r="G316" s="1527"/>
      <c r="H316" s="1527"/>
      <c r="I316" s="1527"/>
      <c r="J316" s="1527"/>
      <c r="K316" s="1527"/>
      <c r="L316" s="1527"/>
      <c r="M316" s="1527"/>
      <c r="Q316" s="957"/>
    </row>
    <row r="317" spans="2:17">
      <c r="B317" s="1527"/>
      <c r="C317" s="1527"/>
      <c r="D317" s="1527"/>
      <c r="E317" s="1527"/>
      <c r="F317" s="1527"/>
      <c r="G317" s="1527"/>
      <c r="H317" s="1527"/>
      <c r="I317" s="1527"/>
      <c r="J317" s="1527"/>
      <c r="K317" s="1527"/>
      <c r="L317" s="1527"/>
      <c r="M317" s="1527"/>
      <c r="Q317" s="957"/>
    </row>
    <row r="318" spans="2:17">
      <c r="B318" s="1527"/>
      <c r="C318" s="1527"/>
      <c r="D318" s="1527"/>
      <c r="E318" s="1527"/>
      <c r="F318" s="1527"/>
      <c r="G318" s="1527"/>
      <c r="H318" s="1527"/>
      <c r="I318" s="1527"/>
      <c r="J318" s="1527"/>
      <c r="K318" s="1527"/>
      <c r="L318" s="1527"/>
      <c r="M318" s="1527"/>
      <c r="Q318" s="957"/>
    </row>
    <row r="319" spans="2:17">
      <c r="B319" s="1527"/>
      <c r="C319" s="1527"/>
      <c r="D319" s="1527"/>
      <c r="E319" s="1527"/>
      <c r="F319" s="1527"/>
      <c r="G319" s="1527"/>
      <c r="H319" s="1527"/>
      <c r="I319" s="1527"/>
      <c r="J319" s="1527"/>
      <c r="K319" s="1527"/>
      <c r="L319" s="1527"/>
      <c r="M319" s="1527"/>
      <c r="Q319" s="957"/>
    </row>
    <row r="320" spans="2:17">
      <c r="B320" s="1527"/>
      <c r="C320" s="1527"/>
      <c r="D320" s="1527"/>
      <c r="E320" s="1527"/>
      <c r="F320" s="1527"/>
      <c r="G320" s="1527"/>
      <c r="H320" s="1527"/>
      <c r="I320" s="1527"/>
      <c r="J320" s="1527"/>
      <c r="K320" s="1527"/>
      <c r="L320" s="1527"/>
      <c r="M320" s="1527"/>
      <c r="Q320" s="957"/>
    </row>
    <row r="321" spans="2:17">
      <c r="B321" s="1527"/>
      <c r="C321" s="1527"/>
      <c r="D321" s="1527"/>
      <c r="E321" s="1527"/>
      <c r="F321" s="1527"/>
      <c r="G321" s="1527"/>
      <c r="H321" s="1527"/>
      <c r="I321" s="1527"/>
      <c r="J321" s="1527"/>
      <c r="K321" s="1527"/>
      <c r="L321" s="1527"/>
      <c r="M321" s="1527"/>
      <c r="Q321" s="957"/>
    </row>
    <row r="322" spans="2:17">
      <c r="B322" s="1527"/>
      <c r="C322" s="1527"/>
      <c r="D322" s="1527"/>
      <c r="E322" s="1527"/>
      <c r="F322" s="1527"/>
      <c r="G322" s="1527"/>
      <c r="H322" s="1527"/>
      <c r="I322" s="1527"/>
      <c r="J322" s="1527"/>
      <c r="K322" s="1527"/>
      <c r="L322" s="1527"/>
      <c r="M322" s="1527"/>
      <c r="Q322" s="957"/>
    </row>
    <row r="323" spans="2:17">
      <c r="B323" s="1527"/>
      <c r="C323" s="1527"/>
      <c r="D323" s="1527"/>
      <c r="E323" s="1527"/>
      <c r="F323" s="1527"/>
      <c r="G323" s="1527"/>
      <c r="H323" s="1527"/>
      <c r="I323" s="1527"/>
      <c r="J323" s="1527"/>
      <c r="K323" s="1527"/>
      <c r="L323" s="1527"/>
      <c r="M323" s="1527"/>
      <c r="Q323" s="957"/>
    </row>
    <row r="324" spans="2:17">
      <c r="B324" s="1527"/>
      <c r="C324" s="1527"/>
      <c r="D324" s="1527"/>
      <c r="E324" s="1527"/>
      <c r="F324" s="1527"/>
      <c r="G324" s="1527"/>
      <c r="H324" s="1527"/>
      <c r="I324" s="1527"/>
      <c r="J324" s="1527"/>
      <c r="K324" s="1527"/>
      <c r="L324" s="1527"/>
      <c r="M324" s="1527"/>
      <c r="Q324" s="957"/>
    </row>
    <row r="325" spans="2:17">
      <c r="B325" s="1527"/>
      <c r="C325" s="1527"/>
      <c r="D325" s="1527"/>
      <c r="E325" s="1527"/>
      <c r="F325" s="1527"/>
      <c r="G325" s="1527"/>
      <c r="H325" s="1527"/>
      <c r="I325" s="1527"/>
      <c r="J325" s="1527"/>
      <c r="K325" s="1527"/>
      <c r="L325" s="1527"/>
      <c r="M325" s="1527"/>
      <c r="Q325" s="957"/>
    </row>
    <row r="326" spans="2:17">
      <c r="B326" s="1527"/>
      <c r="C326" s="1527"/>
      <c r="D326" s="1527"/>
      <c r="E326" s="1527"/>
      <c r="F326" s="1527"/>
      <c r="G326" s="1527"/>
      <c r="H326" s="1527"/>
      <c r="I326" s="1527"/>
      <c r="J326" s="1527"/>
      <c r="K326" s="1527"/>
      <c r="L326" s="1527"/>
      <c r="M326" s="1527"/>
      <c r="Q326" s="957"/>
    </row>
    <row r="327" spans="2:17">
      <c r="B327" s="1527"/>
      <c r="C327" s="1527"/>
      <c r="D327" s="1527"/>
      <c r="E327" s="1527"/>
      <c r="F327" s="1527"/>
      <c r="G327" s="1527"/>
      <c r="H327" s="1527"/>
      <c r="I327" s="1527"/>
      <c r="J327" s="1527"/>
      <c r="K327" s="1527"/>
      <c r="L327" s="1527"/>
      <c r="M327" s="1527"/>
      <c r="Q327" s="957"/>
    </row>
    <row r="328" spans="2:17">
      <c r="B328" s="1527"/>
      <c r="C328" s="1527"/>
      <c r="D328" s="1527"/>
      <c r="E328" s="1527"/>
      <c r="F328" s="1527"/>
      <c r="G328" s="1527"/>
      <c r="H328" s="1527"/>
      <c r="I328" s="1527"/>
      <c r="J328" s="1527"/>
      <c r="K328" s="1527"/>
      <c r="L328" s="1527"/>
      <c r="M328" s="1527"/>
      <c r="Q328" s="957"/>
    </row>
    <row r="329" spans="2:17">
      <c r="B329" s="1527"/>
      <c r="C329" s="1527"/>
      <c r="D329" s="1527"/>
      <c r="E329" s="1527"/>
      <c r="F329" s="1527"/>
      <c r="G329" s="1527"/>
      <c r="H329" s="1527"/>
      <c r="I329" s="1527"/>
      <c r="J329" s="1527"/>
      <c r="K329" s="1527"/>
      <c r="L329" s="1527"/>
      <c r="M329" s="1527"/>
      <c r="Q329" s="957"/>
    </row>
    <row r="330" spans="2:17">
      <c r="B330" s="1527"/>
      <c r="C330" s="1527"/>
      <c r="D330" s="1527"/>
      <c r="E330" s="1527"/>
      <c r="F330" s="1527"/>
      <c r="G330" s="1527"/>
      <c r="H330" s="1527"/>
      <c r="I330" s="1527"/>
      <c r="J330" s="1527"/>
      <c r="K330" s="1527"/>
      <c r="L330" s="1527"/>
      <c r="M330" s="1527"/>
      <c r="Q330" s="957"/>
    </row>
    <row r="331" spans="2:17">
      <c r="B331" s="1527"/>
      <c r="C331" s="1527"/>
      <c r="D331" s="1527"/>
      <c r="E331" s="1527"/>
      <c r="F331" s="1527"/>
      <c r="G331" s="1527"/>
      <c r="H331" s="1527"/>
      <c r="I331" s="1527"/>
      <c r="J331" s="1527"/>
      <c r="K331" s="1527"/>
      <c r="L331" s="1527"/>
      <c r="M331" s="1527"/>
      <c r="Q331" s="957"/>
    </row>
    <row r="332" spans="2:17">
      <c r="B332" s="1527"/>
      <c r="C332" s="1527"/>
      <c r="D332" s="1527"/>
      <c r="E332" s="1527"/>
      <c r="F332" s="1527"/>
      <c r="G332" s="1527"/>
      <c r="H332" s="1527"/>
      <c r="I332" s="1527"/>
      <c r="J332" s="1527"/>
      <c r="K332" s="1527"/>
      <c r="L332" s="1527"/>
      <c r="M332" s="1527"/>
      <c r="Q332" s="957"/>
    </row>
    <row r="333" spans="2:17">
      <c r="B333" s="1527"/>
      <c r="C333" s="1527"/>
      <c r="D333" s="1527"/>
      <c r="E333" s="1527"/>
      <c r="F333" s="1527"/>
      <c r="G333" s="1527"/>
      <c r="H333" s="1527"/>
      <c r="I333" s="1527"/>
      <c r="J333" s="1527"/>
      <c r="K333" s="1527"/>
      <c r="L333" s="1527"/>
      <c r="M333" s="1527"/>
      <c r="Q333" s="957"/>
    </row>
    <row r="334" spans="2:17">
      <c r="B334" s="1527"/>
      <c r="C334" s="1527"/>
      <c r="D334" s="1527"/>
      <c r="E334" s="1527"/>
      <c r="F334" s="1527"/>
      <c r="G334" s="1527"/>
      <c r="H334" s="1527"/>
      <c r="I334" s="1527"/>
      <c r="J334" s="1527"/>
      <c r="K334" s="1527"/>
      <c r="L334" s="1527"/>
      <c r="M334" s="1527"/>
      <c r="Q334" s="957"/>
    </row>
    <row r="335" spans="2:17">
      <c r="B335" s="1527"/>
      <c r="C335" s="1527"/>
      <c r="D335" s="1527"/>
      <c r="E335" s="1527"/>
      <c r="F335" s="1527"/>
      <c r="G335" s="1527"/>
      <c r="H335" s="1527"/>
      <c r="I335" s="1527"/>
      <c r="J335" s="1527"/>
      <c r="K335" s="1527"/>
      <c r="L335" s="1527"/>
      <c r="M335" s="1527"/>
      <c r="Q335" s="957"/>
    </row>
    <row r="336" spans="2:17">
      <c r="B336" s="1527"/>
      <c r="C336" s="1527"/>
      <c r="D336" s="1527"/>
      <c r="E336" s="1527"/>
      <c r="F336" s="1527"/>
      <c r="G336" s="1527"/>
      <c r="H336" s="1527"/>
      <c r="I336" s="1527"/>
      <c r="J336" s="1527"/>
      <c r="K336" s="1527"/>
      <c r="L336" s="1527"/>
      <c r="M336" s="1527"/>
      <c r="Q336" s="957"/>
    </row>
    <row r="337" spans="2:17">
      <c r="B337" s="1527"/>
      <c r="C337" s="1527"/>
      <c r="D337" s="1527"/>
      <c r="E337" s="1527"/>
      <c r="F337" s="1527"/>
      <c r="G337" s="1527"/>
      <c r="H337" s="1527"/>
      <c r="I337" s="1527"/>
      <c r="J337" s="1527"/>
      <c r="K337" s="1527"/>
      <c r="L337" s="1527"/>
      <c r="M337" s="1527"/>
      <c r="Q337" s="957"/>
    </row>
    <row r="338" spans="2:17">
      <c r="B338" s="1527"/>
      <c r="C338" s="1527"/>
      <c r="D338" s="1527"/>
      <c r="E338" s="1527"/>
      <c r="F338" s="1527"/>
      <c r="G338" s="1527"/>
      <c r="H338" s="1527"/>
      <c r="I338" s="1527"/>
      <c r="J338" s="1527"/>
      <c r="K338" s="1527"/>
      <c r="L338" s="1527"/>
      <c r="M338" s="1527"/>
      <c r="Q338" s="957"/>
    </row>
    <row r="339" spans="2:17">
      <c r="B339" s="1527"/>
      <c r="C339" s="1527"/>
      <c r="D339" s="1527"/>
      <c r="E339" s="1527"/>
      <c r="F339" s="1527"/>
      <c r="G339" s="1527"/>
      <c r="H339" s="1527"/>
      <c r="I339" s="1527"/>
      <c r="J339" s="1527"/>
      <c r="K339" s="1527"/>
      <c r="L339" s="1527"/>
      <c r="M339" s="1527"/>
      <c r="Q339" s="957"/>
    </row>
    <row r="340" spans="2:17">
      <c r="B340" s="1527"/>
      <c r="C340" s="1527"/>
      <c r="D340" s="1527"/>
      <c r="E340" s="1527"/>
      <c r="F340" s="1527"/>
      <c r="G340" s="1527"/>
      <c r="H340" s="1527"/>
      <c r="I340" s="1527"/>
      <c r="J340" s="1527"/>
      <c r="K340" s="1527"/>
      <c r="L340" s="1527"/>
      <c r="M340" s="1527"/>
      <c r="Q340" s="957"/>
    </row>
    <row r="341" spans="2:17">
      <c r="B341" s="1527"/>
      <c r="C341" s="1527"/>
      <c r="D341" s="1527"/>
      <c r="E341" s="1527"/>
      <c r="F341" s="1527"/>
      <c r="G341" s="1527"/>
      <c r="H341" s="1527"/>
      <c r="I341" s="1527"/>
      <c r="J341" s="1527"/>
      <c r="K341" s="1527"/>
      <c r="L341" s="1527"/>
      <c r="M341" s="1527"/>
      <c r="Q341" s="957"/>
    </row>
    <row r="342" spans="2:17">
      <c r="B342" s="1527"/>
      <c r="C342" s="1527"/>
      <c r="D342" s="1527"/>
      <c r="E342" s="1527"/>
      <c r="F342" s="1527"/>
      <c r="G342" s="1527"/>
      <c r="H342" s="1527"/>
      <c r="I342" s="1527"/>
      <c r="J342" s="1527"/>
      <c r="K342" s="1527"/>
      <c r="L342" s="1527"/>
      <c r="M342" s="1527"/>
      <c r="Q342" s="957"/>
    </row>
    <row r="343" spans="2:17">
      <c r="B343" s="1527"/>
      <c r="C343" s="1527"/>
      <c r="D343" s="1527"/>
      <c r="E343" s="1527"/>
      <c r="F343" s="1527"/>
      <c r="G343" s="1527"/>
      <c r="H343" s="1527"/>
      <c r="I343" s="1527"/>
      <c r="J343" s="1527"/>
      <c r="K343" s="1527"/>
      <c r="L343" s="1527"/>
      <c r="M343" s="1527"/>
      <c r="Q343" s="957"/>
    </row>
    <row r="344" spans="2:17">
      <c r="B344" s="1527"/>
      <c r="C344" s="1527"/>
      <c r="D344" s="1527"/>
      <c r="E344" s="1527"/>
      <c r="F344" s="1527"/>
      <c r="G344" s="1527"/>
      <c r="H344" s="1527"/>
      <c r="I344" s="1527"/>
      <c r="J344" s="1527"/>
      <c r="K344" s="1527"/>
      <c r="L344" s="1527"/>
      <c r="M344" s="1527"/>
      <c r="Q344" s="957"/>
    </row>
    <row r="345" spans="2:17">
      <c r="B345" s="1527"/>
      <c r="C345" s="1527"/>
      <c r="D345" s="1527"/>
      <c r="E345" s="1527"/>
      <c r="F345" s="1527"/>
      <c r="G345" s="1527"/>
      <c r="H345" s="1527"/>
      <c r="I345" s="1527"/>
      <c r="J345" s="1527"/>
      <c r="K345" s="1527"/>
      <c r="L345" s="1527"/>
      <c r="M345" s="1527"/>
      <c r="Q345" s="957"/>
    </row>
    <row r="346" spans="2:17">
      <c r="B346" s="1527"/>
      <c r="C346" s="1527"/>
      <c r="D346" s="1527"/>
      <c r="E346" s="1527"/>
      <c r="F346" s="1527"/>
      <c r="G346" s="1527"/>
      <c r="H346" s="1527"/>
      <c r="I346" s="1527"/>
      <c r="J346" s="1527"/>
      <c r="K346" s="1527"/>
      <c r="L346" s="1527"/>
      <c r="M346" s="1527"/>
      <c r="Q346" s="957"/>
    </row>
    <row r="347" spans="2:17">
      <c r="B347" s="1527"/>
      <c r="C347" s="1527"/>
      <c r="D347" s="1527"/>
      <c r="E347" s="1527"/>
      <c r="F347" s="1527"/>
      <c r="G347" s="1527"/>
      <c r="H347" s="1527"/>
      <c r="I347" s="1527"/>
      <c r="J347" s="1527"/>
      <c r="K347" s="1527"/>
      <c r="L347" s="1527"/>
      <c r="M347" s="1527"/>
      <c r="Q347" s="957"/>
    </row>
    <row r="348" spans="2:17">
      <c r="B348" s="1527"/>
      <c r="C348" s="1527"/>
      <c r="D348" s="1527"/>
      <c r="E348" s="1527"/>
      <c r="F348" s="1527"/>
      <c r="G348" s="1527"/>
      <c r="H348" s="1527"/>
      <c r="I348" s="1527"/>
      <c r="J348" s="1527"/>
      <c r="K348" s="1527"/>
      <c r="L348" s="1527"/>
      <c r="M348" s="1527"/>
      <c r="Q348" s="957"/>
    </row>
    <row r="349" spans="2:17">
      <c r="B349" s="1527"/>
      <c r="C349" s="1527"/>
      <c r="D349" s="1527"/>
      <c r="E349" s="1527"/>
      <c r="F349" s="1527"/>
      <c r="G349" s="1527"/>
      <c r="H349" s="1527"/>
      <c r="I349" s="1527"/>
      <c r="J349" s="1527"/>
      <c r="K349" s="1527"/>
      <c r="L349" s="1527"/>
      <c r="M349" s="1527"/>
      <c r="Q349" s="957"/>
    </row>
    <row r="350" spans="2:17">
      <c r="B350" s="1527"/>
      <c r="C350" s="1527"/>
      <c r="D350" s="1527"/>
      <c r="E350" s="1527"/>
      <c r="F350" s="1527"/>
      <c r="G350" s="1527"/>
      <c r="H350" s="1527"/>
      <c r="I350" s="1527"/>
      <c r="J350" s="1527"/>
      <c r="K350" s="1527"/>
      <c r="L350" s="1527"/>
      <c r="M350" s="1527"/>
      <c r="Q350" s="957"/>
    </row>
    <row r="351" spans="2:17">
      <c r="B351" s="1527"/>
      <c r="C351" s="1527"/>
      <c r="D351" s="1527"/>
      <c r="E351" s="1527"/>
      <c r="F351" s="1527"/>
      <c r="G351" s="1527"/>
      <c r="H351" s="1527"/>
      <c r="I351" s="1527"/>
      <c r="J351" s="1527"/>
      <c r="K351" s="1527"/>
      <c r="L351" s="1527"/>
      <c r="M351" s="1527"/>
      <c r="Q351" s="957"/>
    </row>
    <row r="352" spans="2:17">
      <c r="B352" s="1527"/>
      <c r="C352" s="1527"/>
      <c r="D352" s="1527"/>
      <c r="E352" s="1527"/>
      <c r="F352" s="1527"/>
      <c r="G352" s="1527"/>
      <c r="H352" s="1527"/>
      <c r="I352" s="1527"/>
      <c r="J352" s="1527"/>
      <c r="K352" s="1527"/>
      <c r="L352" s="1527"/>
      <c r="M352" s="1527"/>
      <c r="Q352" s="957"/>
    </row>
    <row r="353" spans="2:20">
      <c r="B353" s="1527"/>
      <c r="C353" s="1527"/>
      <c r="D353" s="1527"/>
      <c r="E353" s="1527"/>
      <c r="F353" s="1527"/>
      <c r="G353" s="1527"/>
      <c r="H353" s="1527"/>
      <c r="I353" s="1527"/>
      <c r="J353" s="1527"/>
      <c r="K353" s="1527"/>
      <c r="L353" s="1527"/>
      <c r="M353" s="1527"/>
      <c r="Q353" s="957"/>
    </row>
    <row r="354" spans="2:20">
      <c r="B354" s="1527"/>
      <c r="C354" s="1527"/>
      <c r="D354" s="1527"/>
      <c r="E354" s="1527"/>
      <c r="F354" s="1527"/>
      <c r="G354" s="1527"/>
      <c r="H354" s="1527"/>
      <c r="I354" s="1527"/>
      <c r="J354" s="1527"/>
      <c r="K354" s="1527"/>
      <c r="L354" s="1527"/>
      <c r="M354" s="1527"/>
      <c r="Q354" s="957"/>
    </row>
    <row r="355" spans="2:20">
      <c r="B355" s="1527"/>
      <c r="C355" s="1527"/>
      <c r="D355" s="1527"/>
      <c r="E355" s="1527"/>
      <c r="F355" s="1527"/>
      <c r="G355" s="1527"/>
      <c r="H355" s="1527"/>
      <c r="I355" s="1527"/>
      <c r="J355" s="1527"/>
      <c r="K355" s="1527"/>
      <c r="L355" s="1527"/>
      <c r="M355" s="1527"/>
      <c r="Q355" s="957"/>
    </row>
    <row r="356" spans="2:20">
      <c r="B356" s="1527"/>
      <c r="C356" s="1527"/>
      <c r="D356" s="1527"/>
      <c r="E356" s="1527"/>
      <c r="F356" s="1527"/>
      <c r="G356" s="1527"/>
      <c r="H356" s="1527"/>
      <c r="I356" s="1527"/>
      <c r="J356" s="1527"/>
      <c r="K356" s="1527"/>
      <c r="L356" s="1527"/>
      <c r="M356" s="1527"/>
      <c r="Q356" s="957"/>
    </row>
    <row r="357" spans="2:20">
      <c r="B357" s="1527"/>
      <c r="C357" s="1527"/>
      <c r="D357" s="1527"/>
      <c r="E357" s="1527"/>
      <c r="F357" s="1527"/>
      <c r="G357" s="1527"/>
      <c r="H357" s="1527"/>
      <c r="I357" s="1527"/>
      <c r="J357" s="1527"/>
      <c r="K357" s="1527"/>
      <c r="L357" s="1527"/>
      <c r="M357" s="1527"/>
      <c r="Q357" s="957"/>
      <c r="T357" s="1000"/>
    </row>
    <row r="358" spans="2:20">
      <c r="B358" s="1527"/>
      <c r="C358" s="1527"/>
      <c r="D358" s="1527"/>
      <c r="E358" s="1527"/>
      <c r="F358" s="1527"/>
      <c r="G358" s="1527"/>
      <c r="H358" s="1527"/>
      <c r="I358" s="1527"/>
      <c r="J358" s="1527"/>
      <c r="K358" s="1527"/>
      <c r="L358" s="1527"/>
      <c r="M358" s="1527"/>
      <c r="Q358" s="957"/>
      <c r="T358" s="1000"/>
    </row>
    <row r="359" spans="2:20">
      <c r="B359" s="1527"/>
      <c r="C359" s="1527"/>
      <c r="D359" s="1527"/>
      <c r="E359" s="1527"/>
      <c r="F359" s="1527"/>
      <c r="G359" s="1527"/>
      <c r="H359" s="1527"/>
      <c r="I359" s="1527"/>
      <c r="J359" s="1527"/>
      <c r="K359" s="1527"/>
      <c r="L359" s="1527"/>
      <c r="M359" s="1527"/>
      <c r="Q359" s="957"/>
    </row>
    <row r="360" spans="2:20">
      <c r="B360" s="1527"/>
      <c r="C360" s="1527"/>
      <c r="D360" s="1527"/>
      <c r="E360" s="1527"/>
      <c r="F360" s="1527"/>
      <c r="G360" s="1527"/>
      <c r="H360" s="1527"/>
      <c r="I360" s="1527"/>
      <c r="J360" s="1527"/>
      <c r="K360" s="1527"/>
      <c r="L360" s="1527"/>
      <c r="M360" s="1527"/>
      <c r="Q360" s="957"/>
    </row>
    <row r="361" spans="2:20">
      <c r="B361" s="1527"/>
      <c r="C361" s="1527"/>
      <c r="D361" s="1527"/>
      <c r="E361" s="1527"/>
      <c r="F361" s="1527"/>
      <c r="G361" s="1527"/>
      <c r="H361" s="1527"/>
      <c r="I361" s="1527"/>
      <c r="J361" s="1527"/>
      <c r="K361" s="1527"/>
      <c r="L361" s="1527"/>
      <c r="M361" s="1527"/>
      <c r="Q361" s="957"/>
    </row>
    <row r="362" spans="2:20">
      <c r="B362" s="1527"/>
      <c r="C362" s="1527"/>
      <c r="D362" s="1527"/>
      <c r="E362" s="1527"/>
      <c r="F362" s="1527"/>
      <c r="G362" s="1527"/>
      <c r="H362" s="1527"/>
      <c r="I362" s="1527"/>
      <c r="J362" s="1527"/>
      <c r="K362" s="1527"/>
      <c r="L362" s="1527"/>
      <c r="M362" s="1527"/>
      <c r="Q362" s="957"/>
    </row>
    <row r="363" spans="2:20">
      <c r="B363" s="1527"/>
      <c r="C363" s="1527"/>
      <c r="D363" s="1527"/>
      <c r="E363" s="1527"/>
      <c r="F363" s="1527"/>
      <c r="G363" s="1527"/>
      <c r="H363" s="1527"/>
      <c r="I363" s="1527"/>
      <c r="J363" s="1527"/>
      <c r="K363" s="1527"/>
      <c r="L363" s="1527"/>
      <c r="M363" s="1527"/>
      <c r="Q363" s="957"/>
    </row>
    <row r="364" spans="2:20">
      <c r="B364" s="1527"/>
      <c r="C364" s="1527"/>
      <c r="D364" s="1527"/>
      <c r="E364" s="1527"/>
      <c r="F364" s="1527"/>
      <c r="G364" s="1527"/>
      <c r="H364" s="1527"/>
      <c r="I364" s="1527"/>
      <c r="J364" s="1527"/>
      <c r="K364" s="1527"/>
      <c r="L364" s="1527"/>
      <c r="M364" s="1527"/>
      <c r="Q364" s="957"/>
    </row>
    <row r="365" spans="2:20">
      <c r="B365" s="1527"/>
      <c r="C365" s="1527"/>
      <c r="D365" s="1527"/>
      <c r="E365" s="1527"/>
      <c r="F365" s="1527"/>
      <c r="G365" s="1527"/>
      <c r="H365" s="1527"/>
      <c r="I365" s="1527"/>
      <c r="J365" s="1527"/>
      <c r="K365" s="1527"/>
      <c r="L365" s="1527"/>
      <c r="M365" s="1527"/>
      <c r="Q365" s="957"/>
    </row>
    <row r="366" spans="2:20">
      <c r="B366" s="1527"/>
      <c r="C366" s="1527"/>
      <c r="D366" s="1527"/>
      <c r="E366" s="1527"/>
      <c r="F366" s="1527"/>
      <c r="G366" s="1527"/>
      <c r="H366" s="1527"/>
      <c r="I366" s="1527"/>
      <c r="J366" s="1527"/>
      <c r="K366" s="1527"/>
      <c r="L366" s="1527"/>
      <c r="M366" s="1527"/>
      <c r="Q366" s="957"/>
    </row>
    <row r="367" spans="2:20">
      <c r="B367" s="1527"/>
      <c r="C367" s="1527"/>
      <c r="D367" s="1527"/>
      <c r="E367" s="1527"/>
      <c r="F367" s="1527"/>
      <c r="G367" s="1527"/>
      <c r="H367" s="1527"/>
      <c r="I367" s="1527"/>
      <c r="J367" s="1527"/>
      <c r="K367" s="1527"/>
      <c r="L367" s="1527"/>
      <c r="M367" s="1527"/>
      <c r="Q367" s="957"/>
    </row>
    <row r="368" spans="2:20">
      <c r="B368" s="1527"/>
      <c r="C368" s="1527"/>
      <c r="D368" s="1527"/>
      <c r="E368" s="1527"/>
      <c r="F368" s="1527"/>
      <c r="G368" s="1527"/>
      <c r="H368" s="1527"/>
      <c r="I368" s="1527"/>
      <c r="J368" s="1527"/>
      <c r="K368" s="1527"/>
      <c r="L368" s="1527"/>
      <c r="M368" s="1527"/>
      <c r="Q368" s="957"/>
    </row>
    <row r="369" spans="2:17">
      <c r="B369" s="1527"/>
      <c r="C369" s="1527"/>
      <c r="D369" s="1527"/>
      <c r="E369" s="1527"/>
      <c r="F369" s="1527"/>
      <c r="G369" s="1527"/>
      <c r="H369" s="1527"/>
      <c r="I369" s="1527"/>
      <c r="J369" s="1527"/>
      <c r="K369" s="1527"/>
      <c r="L369" s="1527"/>
      <c r="M369" s="1527"/>
      <c r="Q369" s="957"/>
    </row>
    <row r="370" spans="2:17">
      <c r="B370" s="1527"/>
      <c r="C370" s="1527"/>
      <c r="D370" s="1527"/>
      <c r="E370" s="1527"/>
      <c r="F370" s="1527"/>
      <c r="G370" s="1527"/>
      <c r="H370" s="1527"/>
      <c r="I370" s="1527"/>
      <c r="J370" s="1527"/>
      <c r="K370" s="1527"/>
      <c r="L370" s="1527"/>
      <c r="M370" s="1527"/>
      <c r="Q370" s="957"/>
    </row>
    <row r="371" spans="2:17">
      <c r="B371" s="1527"/>
      <c r="C371" s="1527"/>
      <c r="D371" s="1527"/>
      <c r="E371" s="1527"/>
      <c r="F371" s="1527"/>
      <c r="G371" s="1527"/>
      <c r="H371" s="1527"/>
      <c r="I371" s="1527"/>
      <c r="J371" s="1527"/>
      <c r="K371" s="1527"/>
      <c r="L371" s="1527"/>
      <c r="M371" s="1527"/>
      <c r="Q371" s="957"/>
    </row>
    <row r="372" spans="2:17">
      <c r="B372" s="1527"/>
      <c r="C372" s="1527"/>
      <c r="D372" s="1527"/>
      <c r="E372" s="1527"/>
      <c r="F372" s="1527"/>
      <c r="G372" s="1527"/>
      <c r="H372" s="1527"/>
      <c r="I372" s="1527"/>
      <c r="J372" s="1527"/>
      <c r="K372" s="1527"/>
      <c r="L372" s="1527"/>
      <c r="M372" s="1527"/>
      <c r="Q372" s="957"/>
    </row>
    <row r="373" spans="2:17">
      <c r="B373" s="1527"/>
      <c r="C373" s="1527"/>
      <c r="D373" s="1527"/>
      <c r="E373" s="1527"/>
      <c r="F373" s="1527"/>
      <c r="G373" s="1527"/>
      <c r="H373" s="1527"/>
      <c r="I373" s="1527"/>
      <c r="J373" s="1527"/>
      <c r="K373" s="1527"/>
      <c r="L373" s="1527"/>
      <c r="M373" s="1527"/>
      <c r="Q373" s="957"/>
    </row>
    <row r="374" spans="2:17">
      <c r="B374" s="1527"/>
      <c r="C374" s="1527"/>
      <c r="D374" s="1527"/>
      <c r="E374" s="1527"/>
      <c r="F374" s="1527"/>
      <c r="G374" s="1527"/>
      <c r="H374" s="1527"/>
      <c r="I374" s="1527"/>
      <c r="J374" s="1527"/>
      <c r="K374" s="1527"/>
      <c r="L374" s="1527"/>
      <c r="M374" s="1527"/>
      <c r="Q374" s="957"/>
    </row>
    <row r="375" spans="2:17">
      <c r="B375" s="1527"/>
      <c r="C375" s="1527"/>
      <c r="D375" s="1527"/>
      <c r="E375" s="1527"/>
      <c r="F375" s="1527"/>
      <c r="G375" s="1527"/>
      <c r="H375" s="1527"/>
      <c r="I375" s="1527"/>
      <c r="J375" s="1527"/>
      <c r="K375" s="1527"/>
      <c r="L375" s="1527"/>
      <c r="M375" s="1527"/>
      <c r="Q375" s="957"/>
    </row>
    <row r="376" spans="2:17">
      <c r="B376" s="1527"/>
      <c r="C376" s="1527"/>
      <c r="D376" s="1527"/>
      <c r="E376" s="1527"/>
      <c r="F376" s="1527"/>
      <c r="G376" s="1527"/>
      <c r="H376" s="1527"/>
      <c r="I376" s="1527"/>
      <c r="J376" s="1527"/>
      <c r="K376" s="1527"/>
      <c r="L376" s="1527"/>
      <c r="M376" s="1527"/>
      <c r="Q376" s="957"/>
    </row>
    <row r="377" spans="2:17">
      <c r="B377" s="1527"/>
      <c r="C377" s="1527"/>
      <c r="D377" s="1527"/>
      <c r="E377" s="1527"/>
      <c r="F377" s="1527"/>
      <c r="G377" s="1527"/>
      <c r="H377" s="1527"/>
      <c r="I377" s="1527"/>
      <c r="J377" s="1527"/>
      <c r="K377" s="1527"/>
      <c r="L377" s="1527"/>
      <c r="M377" s="1527"/>
      <c r="Q377" s="957"/>
    </row>
    <row r="378" spans="2:17">
      <c r="B378" s="1527"/>
      <c r="C378" s="1527"/>
      <c r="D378" s="1527"/>
      <c r="E378" s="1527"/>
      <c r="F378" s="1527"/>
      <c r="G378" s="1527"/>
      <c r="H378" s="1527"/>
      <c r="I378" s="1527"/>
      <c r="J378" s="1527"/>
      <c r="K378" s="1527"/>
      <c r="L378" s="1527"/>
      <c r="M378" s="1527"/>
      <c r="Q378" s="957"/>
    </row>
    <row r="379" spans="2:17">
      <c r="B379" s="1527"/>
      <c r="C379" s="1527"/>
      <c r="D379" s="1527"/>
      <c r="E379" s="1527"/>
      <c r="F379" s="1527"/>
      <c r="G379" s="1527"/>
      <c r="H379" s="1527"/>
      <c r="I379" s="1527"/>
      <c r="J379" s="1527"/>
      <c r="K379" s="1527"/>
      <c r="L379" s="1527"/>
      <c r="M379" s="1527"/>
      <c r="Q379" s="957"/>
    </row>
    <row r="380" spans="2:17">
      <c r="B380" s="1527"/>
      <c r="C380" s="1527"/>
      <c r="D380" s="1527"/>
      <c r="E380" s="1527"/>
      <c r="F380" s="1527"/>
      <c r="G380" s="1527"/>
      <c r="H380" s="1527"/>
      <c r="I380" s="1527"/>
      <c r="J380" s="1527"/>
      <c r="K380" s="1527"/>
      <c r="L380" s="1527"/>
      <c r="M380" s="1527"/>
      <c r="Q380" s="957"/>
    </row>
    <row r="381" spans="2:17">
      <c r="B381" s="1527"/>
      <c r="C381" s="1527"/>
      <c r="D381" s="1527"/>
      <c r="E381" s="1527"/>
      <c r="F381" s="1527"/>
      <c r="G381" s="1527"/>
      <c r="H381" s="1527"/>
      <c r="I381" s="1527"/>
      <c r="J381" s="1527"/>
      <c r="K381" s="1527"/>
      <c r="L381" s="1527"/>
      <c r="M381" s="1527"/>
      <c r="Q381" s="957"/>
    </row>
    <row r="382" spans="2:17">
      <c r="B382" s="1527"/>
      <c r="C382" s="1527"/>
      <c r="D382" s="1527"/>
      <c r="E382" s="1527"/>
      <c r="F382" s="1527"/>
      <c r="G382" s="1527"/>
      <c r="H382" s="1527"/>
      <c r="I382" s="1527"/>
      <c r="J382" s="1527"/>
      <c r="K382" s="1527"/>
      <c r="L382" s="1527"/>
      <c r="M382" s="1527"/>
      <c r="Q382" s="957"/>
    </row>
    <row r="383" spans="2:17">
      <c r="B383" s="1527"/>
      <c r="C383" s="1527"/>
      <c r="D383" s="1527"/>
      <c r="E383" s="1527"/>
      <c r="F383" s="1527"/>
      <c r="G383" s="1527"/>
      <c r="H383" s="1527"/>
      <c r="I383" s="1527"/>
      <c r="J383" s="1527"/>
      <c r="K383" s="1527"/>
      <c r="L383" s="1527"/>
      <c r="M383" s="1527"/>
      <c r="Q383" s="957"/>
    </row>
    <row r="384" spans="2:17">
      <c r="B384" s="1527"/>
      <c r="C384" s="1527"/>
      <c r="D384" s="1527"/>
      <c r="E384" s="1527"/>
      <c r="F384" s="1527"/>
      <c r="G384" s="1527"/>
      <c r="H384" s="1527"/>
      <c r="I384" s="1527"/>
      <c r="J384" s="1527"/>
      <c r="K384" s="1527"/>
      <c r="L384" s="1527"/>
      <c r="M384" s="1527"/>
      <c r="Q384" s="957"/>
    </row>
    <row r="385" spans="2:17">
      <c r="B385" s="1527"/>
      <c r="C385" s="1527"/>
      <c r="D385" s="1527"/>
      <c r="E385" s="1527"/>
      <c r="F385" s="1527"/>
      <c r="G385" s="1527"/>
      <c r="H385" s="1527"/>
      <c r="I385" s="1527"/>
      <c r="J385" s="1527"/>
      <c r="K385" s="1527"/>
      <c r="L385" s="1527"/>
      <c r="M385" s="1527"/>
      <c r="Q385" s="957"/>
    </row>
    <row r="386" spans="2:17">
      <c r="B386" s="1527"/>
      <c r="C386" s="1527"/>
      <c r="D386" s="1527"/>
      <c r="E386" s="1527"/>
      <c r="F386" s="1527"/>
      <c r="G386" s="1527"/>
      <c r="H386" s="1527"/>
      <c r="I386" s="1527"/>
      <c r="J386" s="1527"/>
      <c r="K386" s="1527"/>
      <c r="L386" s="1527"/>
      <c r="M386" s="1527"/>
      <c r="Q386" s="957"/>
    </row>
    <row r="387" spans="2:17">
      <c r="B387" s="1527"/>
      <c r="C387" s="1527"/>
      <c r="D387" s="1527"/>
      <c r="E387" s="1527"/>
      <c r="F387" s="1527"/>
      <c r="G387" s="1527"/>
      <c r="H387" s="1527"/>
      <c r="I387" s="1527"/>
      <c r="J387" s="1527"/>
      <c r="K387" s="1527"/>
      <c r="L387" s="1527"/>
      <c r="M387" s="1527"/>
      <c r="Q387" s="957"/>
    </row>
    <row r="388" spans="2:17">
      <c r="B388" s="1527"/>
      <c r="C388" s="1527"/>
      <c r="D388" s="1527"/>
      <c r="E388" s="1527"/>
      <c r="F388" s="1527"/>
      <c r="G388" s="1527"/>
      <c r="H388" s="1527"/>
      <c r="I388" s="1527"/>
      <c r="J388" s="1527"/>
      <c r="K388" s="1527"/>
      <c r="L388" s="1527"/>
      <c r="M388" s="1527"/>
      <c r="Q388" s="957"/>
    </row>
    <row r="389" spans="2:17">
      <c r="B389" s="1527"/>
      <c r="C389" s="1527"/>
      <c r="D389" s="1527"/>
      <c r="E389" s="1527"/>
      <c r="F389" s="1527"/>
      <c r="G389" s="1527"/>
      <c r="H389" s="1527"/>
      <c r="I389" s="1527"/>
      <c r="J389" s="1527"/>
      <c r="K389" s="1527"/>
      <c r="L389" s="1527"/>
      <c r="M389" s="1527"/>
      <c r="Q389" s="957"/>
    </row>
    <row r="390" spans="2:17">
      <c r="B390" s="1527"/>
      <c r="C390" s="1527"/>
      <c r="D390" s="1527"/>
      <c r="E390" s="1527"/>
      <c r="F390" s="1527"/>
      <c r="G390" s="1527"/>
      <c r="H390" s="1527"/>
      <c r="I390" s="1527"/>
      <c r="J390" s="1527"/>
      <c r="K390" s="1527"/>
      <c r="L390" s="1527"/>
      <c r="M390" s="1527"/>
      <c r="Q390" s="957"/>
    </row>
    <row r="391" spans="2:17">
      <c r="B391" s="1527"/>
      <c r="C391" s="1527"/>
      <c r="D391" s="1527"/>
      <c r="E391" s="1527"/>
      <c r="F391" s="1527"/>
      <c r="G391" s="1527"/>
      <c r="H391" s="1527"/>
      <c r="I391" s="1527"/>
      <c r="J391" s="1527"/>
      <c r="K391" s="1527"/>
      <c r="L391" s="1527"/>
      <c r="M391" s="1527"/>
      <c r="Q391" s="957"/>
    </row>
    <row r="392" spans="2:17">
      <c r="B392" s="1527"/>
      <c r="C392" s="1527"/>
      <c r="D392" s="1527"/>
      <c r="E392" s="1527"/>
      <c r="F392" s="1527"/>
      <c r="G392" s="1527"/>
      <c r="H392" s="1527"/>
      <c r="I392" s="1527"/>
      <c r="J392" s="1527"/>
      <c r="K392" s="1527"/>
      <c r="L392" s="1527"/>
      <c r="M392" s="1527"/>
      <c r="Q392" s="957"/>
    </row>
    <row r="393" spans="2:17">
      <c r="B393" s="1527"/>
      <c r="C393" s="1527"/>
      <c r="D393" s="1527"/>
      <c r="E393" s="1527"/>
      <c r="F393" s="1527"/>
      <c r="G393" s="1527"/>
      <c r="H393" s="1527"/>
      <c r="I393" s="1527"/>
      <c r="J393" s="1527"/>
      <c r="K393" s="1527"/>
      <c r="L393" s="1527"/>
      <c r="M393" s="1527"/>
      <c r="Q393" s="957"/>
    </row>
    <row r="394" spans="2:17">
      <c r="B394" s="1527"/>
      <c r="C394" s="1527"/>
      <c r="D394" s="1527"/>
      <c r="E394" s="1527"/>
      <c r="F394" s="1527"/>
      <c r="G394" s="1527"/>
      <c r="H394" s="1527"/>
      <c r="I394" s="1527"/>
      <c r="J394" s="1527"/>
      <c r="K394" s="1527"/>
      <c r="L394" s="1527"/>
      <c r="M394" s="1527"/>
      <c r="Q394" s="957"/>
    </row>
    <row r="395" spans="2:17">
      <c r="B395" s="1527"/>
      <c r="C395" s="1527"/>
      <c r="D395" s="1527"/>
      <c r="E395" s="1527"/>
      <c r="F395" s="1527"/>
      <c r="G395" s="1527"/>
      <c r="H395" s="1527"/>
      <c r="I395" s="1527"/>
      <c r="J395" s="1527"/>
      <c r="K395" s="1527"/>
      <c r="L395" s="1527"/>
      <c r="M395" s="1527"/>
      <c r="Q395" s="957"/>
    </row>
    <row r="396" spans="2:17">
      <c r="B396" s="1527"/>
      <c r="C396" s="1527"/>
      <c r="D396" s="1527"/>
      <c r="E396" s="1527"/>
      <c r="F396" s="1527"/>
      <c r="G396" s="1527"/>
      <c r="H396" s="1527"/>
      <c r="I396" s="1527"/>
      <c r="J396" s="1527"/>
      <c r="K396" s="1527"/>
      <c r="L396" s="1527"/>
      <c r="M396" s="1527"/>
      <c r="Q396" s="957"/>
    </row>
    <row r="397" spans="2:17">
      <c r="B397" s="1527"/>
      <c r="C397" s="1527"/>
      <c r="D397" s="1527"/>
      <c r="E397" s="1527"/>
      <c r="F397" s="1527"/>
      <c r="G397" s="1527"/>
      <c r="H397" s="1527"/>
      <c r="I397" s="1527"/>
      <c r="J397" s="1527"/>
      <c r="K397" s="1527"/>
      <c r="L397" s="1527"/>
      <c r="M397" s="1527"/>
      <c r="Q397" s="957"/>
    </row>
    <row r="398" spans="2:17">
      <c r="B398" s="1527"/>
      <c r="C398" s="1527"/>
      <c r="D398" s="1527"/>
      <c r="E398" s="1527"/>
      <c r="F398" s="1527"/>
      <c r="G398" s="1527"/>
      <c r="H398" s="1527"/>
      <c r="I398" s="1527"/>
      <c r="J398" s="1527"/>
      <c r="K398" s="1527"/>
      <c r="L398" s="1527"/>
      <c r="M398" s="1527"/>
      <c r="Q398" s="957"/>
    </row>
    <row r="399" spans="2:17">
      <c r="B399" s="1527"/>
      <c r="C399" s="1527"/>
      <c r="D399" s="1527"/>
      <c r="E399" s="1527"/>
      <c r="F399" s="1527"/>
      <c r="G399" s="1527"/>
      <c r="H399" s="1527"/>
      <c r="I399" s="1527"/>
      <c r="J399" s="1527"/>
      <c r="K399" s="1527"/>
      <c r="L399" s="1527"/>
      <c r="M399" s="1527"/>
      <c r="Q399" s="957"/>
    </row>
    <row r="400" spans="2:17">
      <c r="B400" s="1527"/>
      <c r="C400" s="1527"/>
      <c r="D400" s="1527"/>
      <c r="E400" s="1527"/>
      <c r="F400" s="1527"/>
      <c r="G400" s="1527"/>
      <c r="H400" s="1527"/>
      <c r="I400" s="1527"/>
      <c r="J400" s="1527"/>
      <c r="K400" s="1527"/>
      <c r="L400" s="1527"/>
      <c r="M400" s="1527"/>
      <c r="Q400" s="957"/>
    </row>
    <row r="401" spans="2:17">
      <c r="B401" s="1527"/>
      <c r="C401" s="1527"/>
      <c r="D401" s="1527"/>
      <c r="E401" s="1527"/>
      <c r="F401" s="1527"/>
      <c r="G401" s="1527"/>
      <c r="H401" s="1527"/>
      <c r="I401" s="1527"/>
      <c r="J401" s="1527"/>
      <c r="K401" s="1527"/>
      <c r="L401" s="1527"/>
      <c r="M401" s="1527"/>
      <c r="Q401" s="957"/>
    </row>
    <row r="402" spans="2:17">
      <c r="B402" s="1527"/>
      <c r="C402" s="1527"/>
      <c r="D402" s="1527"/>
      <c r="E402" s="1527"/>
      <c r="F402" s="1527"/>
      <c r="G402" s="1527"/>
      <c r="H402" s="1527"/>
      <c r="I402" s="1527"/>
      <c r="J402" s="1527"/>
      <c r="K402" s="1527"/>
      <c r="L402" s="1527"/>
      <c r="M402" s="1527"/>
      <c r="Q402" s="957"/>
    </row>
    <row r="403" spans="2:17">
      <c r="B403" s="1527"/>
      <c r="C403" s="1527"/>
      <c r="D403" s="1527"/>
      <c r="E403" s="1527"/>
      <c r="F403" s="1527"/>
      <c r="G403" s="1527"/>
      <c r="H403" s="1527"/>
      <c r="I403" s="1527"/>
      <c r="J403" s="1527"/>
      <c r="K403" s="1527"/>
      <c r="L403" s="1527"/>
      <c r="M403" s="1527"/>
      <c r="Q403" s="957"/>
    </row>
    <row r="404" spans="2:17">
      <c r="B404" s="1527"/>
      <c r="C404" s="1527"/>
      <c r="D404" s="1527"/>
      <c r="E404" s="1527"/>
      <c r="F404" s="1527"/>
      <c r="G404" s="1527"/>
      <c r="H404" s="1527"/>
      <c r="I404" s="1527"/>
      <c r="J404" s="1527"/>
      <c r="K404" s="1527"/>
      <c r="L404" s="1527"/>
      <c r="M404" s="1527"/>
      <c r="Q404" s="957"/>
    </row>
    <row r="405" spans="2:17">
      <c r="B405" s="1527"/>
      <c r="C405" s="1527"/>
      <c r="D405" s="1527"/>
      <c r="E405" s="1527"/>
      <c r="F405" s="1527"/>
      <c r="G405" s="1527"/>
      <c r="H405" s="1527"/>
      <c r="I405" s="1527"/>
      <c r="J405" s="1527"/>
      <c r="K405" s="1527"/>
      <c r="L405" s="1527"/>
      <c r="M405" s="1527"/>
      <c r="Q405" s="957"/>
    </row>
    <row r="406" spans="2:17">
      <c r="B406" s="1527"/>
      <c r="C406" s="1527"/>
      <c r="D406" s="1527"/>
      <c r="E406" s="1527"/>
      <c r="F406" s="1527"/>
      <c r="G406" s="1527"/>
      <c r="H406" s="1527"/>
      <c r="I406" s="1527"/>
      <c r="J406" s="1527"/>
      <c r="K406" s="1527"/>
      <c r="L406" s="1527"/>
      <c r="M406" s="1527"/>
      <c r="Q406" s="957"/>
    </row>
    <row r="407" spans="2:17">
      <c r="B407" s="1527"/>
      <c r="C407" s="1527"/>
      <c r="D407" s="1527"/>
      <c r="E407" s="1527"/>
      <c r="F407" s="1527"/>
      <c r="G407" s="1527"/>
      <c r="H407" s="1527"/>
      <c r="I407" s="1527"/>
      <c r="J407" s="1527"/>
      <c r="K407" s="1527"/>
      <c r="L407" s="1527"/>
      <c r="M407" s="1527"/>
      <c r="Q407" s="957"/>
    </row>
    <row r="408" spans="2:17">
      <c r="B408" s="1527"/>
      <c r="C408" s="1527"/>
      <c r="D408" s="1527"/>
      <c r="E408" s="1527"/>
      <c r="F408" s="1527"/>
      <c r="G408" s="1527"/>
      <c r="H408" s="1527"/>
      <c r="I408" s="1527"/>
      <c r="J408" s="1527"/>
      <c r="K408" s="1527"/>
      <c r="L408" s="1527"/>
      <c r="M408" s="1527"/>
      <c r="Q408" s="957"/>
    </row>
    <row r="409" spans="2:17">
      <c r="B409" s="1527"/>
      <c r="C409" s="1527"/>
      <c r="D409" s="1527"/>
      <c r="E409" s="1527"/>
      <c r="F409" s="1527"/>
      <c r="G409" s="1527"/>
      <c r="H409" s="1527"/>
      <c r="I409" s="1527"/>
      <c r="J409" s="1527"/>
      <c r="K409" s="1527"/>
      <c r="L409" s="1527"/>
      <c r="M409" s="1527"/>
      <c r="Q409" s="957"/>
    </row>
    <row r="410" spans="2:17">
      <c r="B410" s="1527"/>
      <c r="C410" s="1527"/>
      <c r="D410" s="1527"/>
      <c r="E410" s="1527"/>
      <c r="F410" s="1527"/>
      <c r="G410" s="1527"/>
      <c r="H410" s="1527"/>
      <c r="I410" s="1527"/>
      <c r="J410" s="1527"/>
      <c r="K410" s="1527"/>
      <c r="L410" s="1527"/>
      <c r="M410" s="1527"/>
      <c r="Q410" s="957"/>
    </row>
    <row r="411" spans="2:17">
      <c r="B411" s="1527"/>
      <c r="C411" s="1527"/>
      <c r="D411" s="1527"/>
      <c r="E411" s="1527"/>
      <c r="F411" s="1527"/>
      <c r="G411" s="1527"/>
      <c r="H411" s="1527"/>
      <c r="I411" s="1527"/>
      <c r="J411" s="1527"/>
      <c r="K411" s="1527"/>
      <c r="L411" s="1527"/>
      <c r="M411" s="1527"/>
      <c r="Q411" s="957"/>
    </row>
    <row r="412" spans="2:17">
      <c r="B412" s="1527"/>
      <c r="C412" s="1527"/>
      <c r="D412" s="1527"/>
      <c r="E412" s="1527"/>
      <c r="F412" s="1527"/>
      <c r="G412" s="1527"/>
      <c r="H412" s="1527"/>
      <c r="I412" s="1527"/>
      <c r="J412" s="1527"/>
      <c r="K412" s="1527"/>
      <c r="L412" s="1527"/>
      <c r="M412" s="1527"/>
      <c r="Q412" s="957"/>
    </row>
    <row r="413" spans="2:17">
      <c r="B413" s="1527"/>
      <c r="C413" s="1527"/>
      <c r="D413" s="1527"/>
      <c r="E413" s="1527"/>
      <c r="F413" s="1527"/>
      <c r="G413" s="1527"/>
      <c r="H413" s="1527"/>
      <c r="I413" s="1527"/>
      <c r="J413" s="1527"/>
      <c r="K413" s="1527"/>
      <c r="L413" s="1527"/>
      <c r="M413" s="1527"/>
      <c r="Q413" s="957"/>
    </row>
    <row r="414" spans="2:17">
      <c r="B414" s="1527"/>
      <c r="C414" s="1527"/>
      <c r="D414" s="1527"/>
      <c r="E414" s="1527"/>
      <c r="F414" s="1527"/>
      <c r="G414" s="1527"/>
      <c r="H414" s="1527"/>
      <c r="I414" s="1527"/>
      <c r="J414" s="1527"/>
      <c r="K414" s="1527"/>
      <c r="L414" s="1527"/>
      <c r="M414" s="1527"/>
      <c r="Q414" s="957"/>
    </row>
    <row r="415" spans="2:17">
      <c r="B415" s="1527"/>
      <c r="C415" s="1527"/>
      <c r="D415" s="1527"/>
      <c r="E415" s="1527"/>
      <c r="F415" s="1527"/>
      <c r="G415" s="1527"/>
      <c r="H415" s="1527"/>
      <c r="I415" s="1527"/>
      <c r="J415" s="1527"/>
      <c r="K415" s="1527"/>
      <c r="L415" s="1527"/>
      <c r="M415" s="1527"/>
      <c r="Q415" s="957"/>
    </row>
    <row r="416" spans="2:17">
      <c r="B416" s="1527"/>
      <c r="C416" s="1527"/>
      <c r="D416" s="1527"/>
      <c r="E416" s="1527"/>
      <c r="F416" s="1527"/>
      <c r="G416" s="1527"/>
      <c r="H416" s="1527"/>
      <c r="I416" s="1527"/>
      <c r="J416" s="1527"/>
      <c r="K416" s="1527"/>
      <c r="L416" s="1527"/>
      <c r="M416" s="1527"/>
      <c r="Q416" s="957"/>
    </row>
    <row r="417" spans="2:17">
      <c r="B417" s="1527"/>
      <c r="C417" s="1527"/>
      <c r="D417" s="1527"/>
      <c r="E417" s="1527"/>
      <c r="F417" s="1527"/>
      <c r="G417" s="1527"/>
      <c r="H417" s="1527"/>
      <c r="I417" s="1527"/>
      <c r="J417" s="1527"/>
      <c r="K417" s="1527"/>
      <c r="L417" s="1527"/>
      <c r="M417" s="1527"/>
      <c r="Q417" s="957"/>
    </row>
    <row r="418" spans="2:17">
      <c r="B418" s="1527"/>
      <c r="C418" s="1527"/>
      <c r="D418" s="1527"/>
      <c r="E418" s="1527"/>
      <c r="F418" s="1527"/>
      <c r="G418" s="1527"/>
      <c r="H418" s="1527"/>
      <c r="I418" s="1527"/>
      <c r="J418" s="1527"/>
      <c r="K418" s="1527"/>
      <c r="L418" s="1527"/>
      <c r="M418" s="1527"/>
      <c r="Q418" s="957"/>
    </row>
    <row r="419" spans="2:17">
      <c r="B419" s="1527"/>
      <c r="C419" s="1527"/>
      <c r="D419" s="1527"/>
      <c r="E419" s="1527"/>
      <c r="F419" s="1527"/>
      <c r="G419" s="1527"/>
      <c r="H419" s="1527"/>
      <c r="I419" s="1527"/>
      <c r="J419" s="1527"/>
      <c r="K419" s="1527"/>
      <c r="L419" s="1527"/>
      <c r="M419" s="1527"/>
      <c r="Q419" s="957"/>
    </row>
    <row r="420" spans="2:17">
      <c r="B420" s="1527"/>
      <c r="C420" s="1527"/>
      <c r="D420" s="1527"/>
      <c r="E420" s="1527"/>
      <c r="F420" s="1527"/>
      <c r="G420" s="1527"/>
      <c r="H420" s="1527"/>
      <c r="I420" s="1527"/>
      <c r="J420" s="1527"/>
      <c r="K420" s="1527"/>
      <c r="L420" s="1527"/>
      <c r="M420" s="1527"/>
      <c r="Q420" s="957"/>
    </row>
    <row r="421" spans="2:17">
      <c r="B421" s="1527"/>
      <c r="C421" s="1527"/>
      <c r="D421" s="1527"/>
      <c r="E421" s="1527"/>
      <c r="F421" s="1527"/>
      <c r="G421" s="1527"/>
      <c r="H421" s="1527"/>
      <c r="I421" s="1527"/>
      <c r="J421" s="1527"/>
      <c r="K421" s="1527"/>
      <c r="L421" s="1527"/>
      <c r="M421" s="1527"/>
      <c r="Q421" s="957"/>
    </row>
    <row r="422" spans="2:17">
      <c r="B422" s="1527"/>
      <c r="C422" s="1527"/>
      <c r="D422" s="1527"/>
      <c r="E422" s="1527"/>
      <c r="F422" s="1527"/>
      <c r="G422" s="1527"/>
      <c r="H422" s="1527"/>
      <c r="I422" s="1527"/>
      <c r="J422" s="1527"/>
      <c r="K422" s="1527"/>
      <c r="L422" s="1527"/>
      <c r="M422" s="1527"/>
      <c r="Q422" s="957"/>
    </row>
    <row r="423" spans="2:17">
      <c r="B423" s="1527"/>
      <c r="C423" s="1527"/>
      <c r="D423" s="1527"/>
      <c r="E423" s="1527"/>
      <c r="F423" s="1527"/>
      <c r="G423" s="1527"/>
      <c r="H423" s="1527"/>
      <c r="I423" s="1527"/>
      <c r="J423" s="1527"/>
      <c r="K423" s="1527"/>
      <c r="L423" s="1527"/>
      <c r="M423" s="1527"/>
      <c r="Q423" s="957"/>
    </row>
    <row r="424" spans="2:17">
      <c r="B424" s="1527"/>
      <c r="C424" s="1527"/>
      <c r="D424" s="1527"/>
      <c r="E424" s="1527"/>
      <c r="F424" s="1527"/>
      <c r="G424" s="1527"/>
      <c r="H424" s="1527"/>
      <c r="I424" s="1527"/>
      <c r="J424" s="1527"/>
      <c r="K424" s="1527"/>
      <c r="L424" s="1527"/>
      <c r="M424" s="1527"/>
      <c r="Q424" s="957"/>
    </row>
    <row r="425" spans="2:17">
      <c r="B425" s="1527"/>
      <c r="C425" s="1527"/>
      <c r="D425" s="1527"/>
      <c r="E425" s="1527"/>
      <c r="F425" s="1527"/>
      <c r="G425" s="1527"/>
      <c r="H425" s="1527"/>
      <c r="I425" s="1527"/>
      <c r="J425" s="1527"/>
      <c r="K425" s="1527"/>
      <c r="L425" s="1527"/>
      <c r="M425" s="1527"/>
      <c r="Q425" s="957"/>
    </row>
    <row r="426" spans="2:17">
      <c r="B426" s="1527"/>
      <c r="C426" s="1527"/>
      <c r="D426" s="1527"/>
      <c r="E426" s="1527"/>
      <c r="F426" s="1527"/>
      <c r="G426" s="1527"/>
      <c r="H426" s="1527"/>
      <c r="I426" s="1527"/>
      <c r="J426" s="1527"/>
      <c r="K426" s="1527"/>
      <c r="L426" s="1527"/>
      <c r="M426" s="1527"/>
      <c r="Q426" s="957"/>
    </row>
    <row r="427" spans="2:17">
      <c r="B427" s="1527"/>
      <c r="C427" s="1527"/>
      <c r="D427" s="1527"/>
      <c r="E427" s="1527"/>
      <c r="F427" s="1527"/>
      <c r="G427" s="1527"/>
      <c r="H427" s="1527"/>
      <c r="I427" s="1527"/>
      <c r="J427" s="1527"/>
      <c r="K427" s="1527"/>
      <c r="L427" s="1527"/>
      <c r="M427" s="1527"/>
      <c r="Q427" s="957"/>
    </row>
    <row r="428" spans="2:17">
      <c r="B428" s="1527"/>
      <c r="C428" s="1527"/>
      <c r="D428" s="1527"/>
      <c r="E428" s="1527"/>
      <c r="F428" s="1527"/>
      <c r="G428" s="1527"/>
      <c r="H428" s="1527"/>
      <c r="I428" s="1527"/>
      <c r="J428" s="1527"/>
      <c r="K428" s="1527"/>
      <c r="L428" s="1527"/>
      <c r="M428" s="1527"/>
      <c r="Q428" s="957"/>
    </row>
    <row r="429" spans="2:17">
      <c r="B429" s="1527"/>
      <c r="C429" s="1527"/>
      <c r="D429" s="1527"/>
      <c r="E429" s="1527"/>
      <c r="F429" s="1527"/>
      <c r="G429" s="1527"/>
      <c r="H429" s="1527"/>
      <c r="I429" s="1527"/>
      <c r="J429" s="1527"/>
      <c r="K429" s="1527"/>
      <c r="L429" s="1527"/>
      <c r="M429" s="1527"/>
      <c r="Q429" s="957"/>
    </row>
    <row r="430" spans="2:17">
      <c r="B430" s="1527"/>
      <c r="C430" s="1527"/>
      <c r="D430" s="1527"/>
      <c r="E430" s="1527"/>
      <c r="F430" s="1527"/>
      <c r="G430" s="1527"/>
      <c r="H430" s="1527"/>
      <c r="I430" s="1527"/>
      <c r="J430" s="1527"/>
      <c r="K430" s="1527"/>
      <c r="L430" s="1527"/>
      <c r="M430" s="1527"/>
      <c r="Q430" s="957"/>
    </row>
    <row r="431" spans="2:17">
      <c r="B431" s="1527"/>
      <c r="C431" s="1527"/>
      <c r="D431" s="1527"/>
      <c r="E431" s="1527"/>
      <c r="F431" s="1527"/>
      <c r="G431" s="1527"/>
      <c r="H431" s="1527"/>
      <c r="I431" s="1527"/>
      <c r="J431" s="1527"/>
      <c r="K431" s="1527"/>
      <c r="L431" s="1527"/>
      <c r="M431" s="1527"/>
      <c r="Q431" s="957"/>
    </row>
    <row r="432" spans="2:17">
      <c r="B432" s="1527"/>
      <c r="C432" s="1527"/>
      <c r="D432" s="1527"/>
      <c r="E432" s="1527"/>
      <c r="F432" s="1527"/>
      <c r="G432" s="1527"/>
      <c r="H432" s="1527"/>
      <c r="I432" s="1527"/>
      <c r="J432" s="1527"/>
      <c r="K432" s="1527"/>
      <c r="L432" s="1527"/>
      <c r="M432" s="1527"/>
      <c r="Q432" s="957"/>
    </row>
    <row r="433" spans="2:17">
      <c r="B433" s="1527"/>
      <c r="C433" s="1527"/>
      <c r="D433" s="1527"/>
      <c r="E433" s="1527"/>
      <c r="F433" s="1527"/>
      <c r="G433" s="1527"/>
      <c r="H433" s="1527"/>
      <c r="I433" s="1527"/>
      <c r="J433" s="1527"/>
      <c r="K433" s="1527"/>
      <c r="L433" s="1527"/>
      <c r="M433" s="1527"/>
      <c r="Q433" s="957"/>
    </row>
    <row r="434" spans="2:17">
      <c r="B434" s="1527"/>
      <c r="C434" s="1527"/>
      <c r="D434" s="1527"/>
      <c r="E434" s="1527"/>
      <c r="F434" s="1527"/>
      <c r="G434" s="1527"/>
      <c r="H434" s="1527"/>
      <c r="I434" s="1527"/>
      <c r="J434" s="1527"/>
      <c r="K434" s="1527"/>
      <c r="L434" s="1527"/>
      <c r="M434" s="1527"/>
      <c r="Q434" s="957"/>
    </row>
    <row r="435" spans="2:17">
      <c r="B435" s="1527"/>
      <c r="C435" s="1527"/>
      <c r="D435" s="1527"/>
      <c r="E435" s="1527"/>
      <c r="F435" s="1527"/>
      <c r="G435" s="1527"/>
      <c r="H435" s="1527"/>
      <c r="I435" s="1527"/>
      <c r="J435" s="1527"/>
      <c r="K435" s="1527"/>
      <c r="L435" s="1527"/>
      <c r="M435" s="1527"/>
      <c r="Q435" s="957"/>
    </row>
    <row r="436" spans="2:17">
      <c r="B436" s="1527"/>
      <c r="C436" s="1527"/>
      <c r="D436" s="1527"/>
      <c r="E436" s="1527"/>
      <c r="F436" s="1527"/>
      <c r="G436" s="1527"/>
      <c r="H436" s="1527"/>
      <c r="I436" s="1527"/>
      <c r="J436" s="1527"/>
      <c r="K436" s="1527"/>
      <c r="L436" s="1527"/>
      <c r="M436" s="1527"/>
      <c r="Q436" s="957"/>
    </row>
    <row r="437" spans="2:17">
      <c r="B437" s="1527"/>
      <c r="C437" s="1527"/>
      <c r="D437" s="1527"/>
      <c r="E437" s="1527"/>
      <c r="F437" s="1527"/>
      <c r="G437" s="1527"/>
      <c r="H437" s="1527"/>
      <c r="I437" s="1527"/>
      <c r="J437" s="1527"/>
      <c r="K437" s="1527"/>
      <c r="L437" s="1527"/>
      <c r="M437" s="1527"/>
      <c r="Q437" s="957"/>
    </row>
    <row r="438" spans="2:17">
      <c r="B438" s="1527"/>
      <c r="C438" s="1527"/>
      <c r="D438" s="1527"/>
      <c r="E438" s="1527"/>
      <c r="F438" s="1527"/>
      <c r="G438" s="1527"/>
      <c r="H438" s="1527"/>
      <c r="I438" s="1527"/>
      <c r="J438" s="1527"/>
      <c r="K438" s="1527"/>
      <c r="L438" s="1527"/>
      <c r="M438" s="1527"/>
      <c r="Q438" s="957"/>
    </row>
    <row r="439" spans="2:17">
      <c r="B439" s="1527"/>
      <c r="C439" s="1527"/>
      <c r="D439" s="1527"/>
      <c r="E439" s="1527"/>
      <c r="F439" s="1527"/>
      <c r="G439" s="1527"/>
      <c r="H439" s="1527"/>
      <c r="I439" s="1527"/>
      <c r="J439" s="1527"/>
      <c r="K439" s="1527"/>
      <c r="L439" s="1527"/>
      <c r="M439" s="1527"/>
      <c r="Q439" s="957"/>
    </row>
    <row r="440" spans="2:17">
      <c r="B440" s="1527"/>
      <c r="C440" s="1527"/>
      <c r="D440" s="1527"/>
      <c r="E440" s="1527"/>
      <c r="F440" s="1527"/>
      <c r="G440" s="1527"/>
      <c r="H440" s="1527"/>
      <c r="I440" s="1527"/>
      <c r="J440" s="1527"/>
      <c r="K440" s="1527"/>
      <c r="L440" s="1527"/>
      <c r="M440" s="1527"/>
      <c r="Q440" s="957"/>
    </row>
    <row r="441" spans="2:17">
      <c r="B441" s="1527"/>
      <c r="C441" s="1527"/>
      <c r="D441" s="1527"/>
      <c r="E441" s="1527"/>
      <c r="F441" s="1527"/>
      <c r="G441" s="1527"/>
      <c r="H441" s="1527"/>
      <c r="I441" s="1527"/>
      <c r="J441" s="1527"/>
      <c r="K441" s="1527"/>
      <c r="L441" s="1527"/>
      <c r="M441" s="1527"/>
      <c r="Q441" s="957"/>
    </row>
    <row r="442" spans="2:17">
      <c r="B442" s="1527"/>
      <c r="C442" s="1527"/>
      <c r="D442" s="1527"/>
      <c r="E442" s="1527"/>
      <c r="F442" s="1527"/>
      <c r="G442" s="1527"/>
      <c r="H442" s="1527"/>
      <c r="I442" s="1527"/>
      <c r="J442" s="1527"/>
      <c r="K442" s="1527"/>
      <c r="L442" s="1527"/>
      <c r="M442" s="1527"/>
      <c r="Q442" s="957"/>
    </row>
    <row r="443" spans="2:17">
      <c r="B443" s="1527"/>
      <c r="C443" s="1527"/>
      <c r="D443" s="1527"/>
      <c r="E443" s="1527"/>
      <c r="F443" s="1527"/>
      <c r="G443" s="1527"/>
      <c r="H443" s="1527"/>
      <c r="I443" s="1527"/>
      <c r="J443" s="1527"/>
      <c r="K443" s="1527"/>
      <c r="L443" s="1527"/>
      <c r="M443" s="1527"/>
      <c r="Q443" s="957"/>
    </row>
    <row r="444" spans="2:17">
      <c r="B444" s="1527"/>
      <c r="C444" s="1527"/>
      <c r="D444" s="1527"/>
      <c r="E444" s="1527"/>
      <c r="F444" s="1527"/>
      <c r="G444" s="1527"/>
      <c r="H444" s="1527"/>
      <c r="I444" s="1527"/>
      <c r="J444" s="1527"/>
      <c r="K444" s="1527"/>
      <c r="L444" s="1527"/>
      <c r="M444" s="1527"/>
      <c r="Q444" s="957"/>
    </row>
    <row r="445" spans="2:17">
      <c r="B445" s="1527"/>
      <c r="C445" s="1527"/>
      <c r="D445" s="1527"/>
      <c r="E445" s="1527"/>
      <c r="F445" s="1527"/>
      <c r="G445" s="1527"/>
      <c r="H445" s="1527"/>
      <c r="I445" s="1527"/>
      <c r="J445" s="1527"/>
      <c r="K445" s="1527"/>
      <c r="L445" s="1527"/>
      <c r="M445" s="1527"/>
      <c r="Q445" s="957"/>
    </row>
    <row r="446" spans="2:17">
      <c r="B446" s="1527"/>
      <c r="C446" s="1527"/>
      <c r="D446" s="1527"/>
      <c r="E446" s="1527"/>
      <c r="F446" s="1527"/>
      <c r="G446" s="1527"/>
      <c r="H446" s="1527"/>
      <c r="I446" s="1527"/>
      <c r="J446" s="1527"/>
      <c r="K446" s="1527"/>
      <c r="L446" s="1527"/>
      <c r="M446" s="1527"/>
      <c r="Q446" s="957"/>
    </row>
    <row r="447" spans="2:17">
      <c r="B447" s="1527"/>
      <c r="C447" s="1527"/>
      <c r="D447" s="1527"/>
      <c r="E447" s="1527"/>
      <c r="F447" s="1527"/>
      <c r="G447" s="1527"/>
      <c r="H447" s="1527"/>
      <c r="I447" s="1527"/>
      <c r="J447" s="1527"/>
      <c r="K447" s="1527"/>
      <c r="L447" s="1527"/>
      <c r="M447" s="1527"/>
      <c r="Q447" s="957"/>
    </row>
    <row r="448" spans="2:17">
      <c r="B448" s="1527"/>
      <c r="C448" s="1527"/>
      <c r="D448" s="1527"/>
      <c r="E448" s="1527"/>
      <c r="F448" s="1527"/>
      <c r="G448" s="1527"/>
      <c r="H448" s="1527"/>
      <c r="I448" s="1527"/>
      <c r="J448" s="1527"/>
      <c r="K448" s="1527"/>
      <c r="L448" s="1527"/>
      <c r="M448" s="1527"/>
      <c r="Q448" s="957"/>
    </row>
    <row r="449" spans="2:17">
      <c r="B449" s="1527"/>
      <c r="C449" s="1527"/>
      <c r="D449" s="1527"/>
      <c r="E449" s="1527"/>
      <c r="F449" s="1527"/>
      <c r="G449" s="1527"/>
      <c r="H449" s="1527"/>
      <c r="I449" s="1527"/>
      <c r="J449" s="1527"/>
      <c r="K449" s="1527"/>
      <c r="L449" s="1527"/>
      <c r="M449" s="1527"/>
      <c r="Q449" s="957"/>
    </row>
    <row r="450" spans="2:17">
      <c r="B450" s="1527"/>
      <c r="C450" s="1527"/>
      <c r="D450" s="1527"/>
      <c r="E450" s="1527"/>
      <c r="F450" s="1527"/>
      <c r="G450" s="1527"/>
      <c r="H450" s="1527"/>
      <c r="I450" s="1527"/>
      <c r="J450" s="1527"/>
      <c r="K450" s="1527"/>
      <c r="L450" s="1527"/>
      <c r="M450" s="1527"/>
      <c r="Q450" s="957"/>
    </row>
    <row r="451" spans="2:17">
      <c r="B451" s="1527"/>
      <c r="C451" s="1527"/>
      <c r="D451" s="1527"/>
      <c r="E451" s="1527"/>
      <c r="F451" s="1527"/>
      <c r="G451" s="1527"/>
      <c r="H451" s="1527"/>
      <c r="I451" s="1527"/>
      <c r="J451" s="1527"/>
      <c r="K451" s="1527"/>
      <c r="L451" s="1527"/>
      <c r="M451" s="1527"/>
      <c r="Q451" s="957"/>
    </row>
    <row r="452" spans="2:17">
      <c r="B452" s="1527"/>
      <c r="C452" s="1527"/>
      <c r="D452" s="1527"/>
      <c r="E452" s="1527"/>
      <c r="F452" s="1527"/>
      <c r="G452" s="1527"/>
      <c r="H452" s="1527"/>
      <c r="I452" s="1527"/>
      <c r="J452" s="1527"/>
      <c r="K452" s="1527"/>
      <c r="L452" s="1527"/>
      <c r="M452" s="1527"/>
      <c r="Q452" s="957"/>
    </row>
    <row r="453" spans="2:17">
      <c r="B453" s="1527"/>
      <c r="C453" s="1527"/>
      <c r="D453" s="1527"/>
      <c r="E453" s="1527"/>
      <c r="F453" s="1527"/>
      <c r="G453" s="1527"/>
      <c r="H453" s="1527"/>
      <c r="I453" s="1527"/>
      <c r="J453" s="1527"/>
      <c r="K453" s="1527"/>
      <c r="L453" s="1527"/>
      <c r="M453" s="1527"/>
      <c r="Q453" s="957"/>
    </row>
    <row r="454" spans="2:17">
      <c r="B454" s="1527"/>
      <c r="C454" s="1527"/>
      <c r="D454" s="1527"/>
      <c r="E454" s="1527"/>
      <c r="F454" s="1527"/>
      <c r="G454" s="1527"/>
      <c r="H454" s="1527"/>
      <c r="I454" s="1527"/>
      <c r="J454" s="1527"/>
      <c r="K454" s="1527"/>
      <c r="L454" s="1527"/>
      <c r="M454" s="1527"/>
      <c r="Q454" s="957"/>
    </row>
    <row r="455" spans="2:17">
      <c r="B455" s="1527"/>
      <c r="C455" s="1527"/>
      <c r="D455" s="1527"/>
      <c r="E455" s="1527"/>
      <c r="F455" s="1527"/>
      <c r="G455" s="1527"/>
      <c r="H455" s="1527"/>
      <c r="I455" s="1527"/>
      <c r="J455" s="1527"/>
      <c r="K455" s="1527"/>
      <c r="L455" s="1527"/>
      <c r="M455" s="1527"/>
      <c r="Q455" s="957"/>
    </row>
    <row r="456" spans="2:17">
      <c r="B456" s="1527"/>
      <c r="C456" s="1527"/>
      <c r="D456" s="1527"/>
      <c r="E456" s="1527"/>
      <c r="F456" s="1527"/>
      <c r="G456" s="1527"/>
      <c r="H456" s="1527"/>
      <c r="I456" s="1527"/>
      <c r="J456" s="1527"/>
      <c r="K456" s="1527"/>
      <c r="L456" s="1527"/>
      <c r="M456" s="1527"/>
      <c r="Q456" s="957"/>
    </row>
    <row r="457" spans="2:17">
      <c r="B457" s="1527"/>
      <c r="C457" s="1527"/>
      <c r="D457" s="1527"/>
      <c r="E457" s="1527"/>
      <c r="F457" s="1527"/>
      <c r="G457" s="1527"/>
      <c r="H457" s="1527"/>
      <c r="I457" s="1527"/>
      <c r="J457" s="1527"/>
      <c r="K457" s="1527"/>
      <c r="L457" s="1527"/>
      <c r="M457" s="1527"/>
      <c r="Q457" s="957"/>
    </row>
    <row r="458" spans="2:17">
      <c r="B458" s="1527"/>
      <c r="C458" s="1527"/>
      <c r="D458" s="1527"/>
      <c r="E458" s="1527"/>
      <c r="F458" s="1527"/>
      <c r="G458" s="1527"/>
      <c r="H458" s="1527"/>
      <c r="I458" s="1527"/>
      <c r="J458" s="1527"/>
      <c r="K458" s="1527"/>
      <c r="L458" s="1527"/>
      <c r="M458" s="1527"/>
      <c r="Q458" s="957"/>
    </row>
    <row r="459" spans="2:17">
      <c r="B459" s="1527"/>
      <c r="C459" s="1527"/>
      <c r="D459" s="1527"/>
      <c r="E459" s="1527"/>
      <c r="F459" s="1527"/>
      <c r="G459" s="1527"/>
      <c r="H459" s="1527"/>
      <c r="I459" s="1527"/>
      <c r="J459" s="1527"/>
      <c r="K459" s="1527"/>
      <c r="L459" s="1527"/>
      <c r="M459" s="1527"/>
      <c r="Q459" s="957"/>
    </row>
    <row r="460" spans="2:17">
      <c r="B460" s="1527"/>
      <c r="C460" s="1527"/>
      <c r="D460" s="1527"/>
      <c r="E460" s="1527"/>
      <c r="F460" s="1527"/>
      <c r="G460" s="1527"/>
      <c r="H460" s="1527"/>
      <c r="I460" s="1527"/>
      <c r="J460" s="1527"/>
      <c r="K460" s="1527"/>
      <c r="L460" s="1527"/>
      <c r="M460" s="1527"/>
      <c r="Q460" s="957"/>
    </row>
    <row r="461" spans="2:17">
      <c r="B461" s="1527"/>
      <c r="C461" s="1527"/>
      <c r="D461" s="1527"/>
      <c r="E461" s="1527"/>
      <c r="F461" s="1527"/>
      <c r="G461" s="1527"/>
      <c r="H461" s="1527"/>
      <c r="I461" s="1527"/>
      <c r="J461" s="1527"/>
      <c r="K461" s="1527"/>
      <c r="L461" s="1527"/>
      <c r="M461" s="1527"/>
      <c r="Q461" s="957"/>
    </row>
    <row r="462" spans="2:17">
      <c r="B462" s="1527"/>
      <c r="C462" s="1527"/>
      <c r="D462" s="1527"/>
      <c r="E462" s="1527"/>
      <c r="F462" s="1527"/>
      <c r="G462" s="1527"/>
      <c r="H462" s="1527"/>
      <c r="I462" s="1527"/>
      <c r="J462" s="1527"/>
      <c r="K462" s="1527"/>
      <c r="L462" s="1527"/>
      <c r="M462" s="1527"/>
      <c r="Q462" s="957"/>
    </row>
    <row r="463" spans="2:17">
      <c r="B463" s="1527"/>
      <c r="C463" s="1527"/>
      <c r="D463" s="1527"/>
      <c r="E463" s="1527"/>
      <c r="F463" s="1527"/>
      <c r="G463" s="1527"/>
      <c r="H463" s="1527"/>
      <c r="I463" s="1527"/>
      <c r="J463" s="1527"/>
      <c r="K463" s="1527"/>
      <c r="L463" s="1527"/>
      <c r="M463" s="1527"/>
      <c r="Q463" s="957"/>
    </row>
    <row r="464" spans="2:17">
      <c r="B464" s="1527"/>
      <c r="C464" s="1527"/>
      <c r="D464" s="1527"/>
      <c r="E464" s="1527"/>
      <c r="F464" s="1527"/>
      <c r="G464" s="1527"/>
      <c r="H464" s="1527"/>
      <c r="I464" s="1527"/>
      <c r="J464" s="1527"/>
      <c r="K464" s="1527"/>
      <c r="L464" s="1527"/>
      <c r="M464" s="1527"/>
      <c r="Q464" s="957"/>
    </row>
    <row r="465" spans="2:17">
      <c r="B465" s="1527"/>
      <c r="C465" s="1527"/>
      <c r="D465" s="1527"/>
      <c r="E465" s="1527"/>
      <c r="F465" s="1527"/>
      <c r="G465" s="1527"/>
      <c r="H465" s="1527"/>
      <c r="I465" s="1527"/>
      <c r="J465" s="1527"/>
      <c r="K465" s="1527"/>
      <c r="L465" s="1527"/>
      <c r="M465" s="1527"/>
      <c r="Q465" s="957"/>
    </row>
    <row r="466" spans="2:17">
      <c r="B466" s="1527"/>
      <c r="C466" s="1527"/>
      <c r="D466" s="1527"/>
      <c r="E466" s="1527"/>
      <c r="F466" s="1527"/>
      <c r="G466" s="1527"/>
      <c r="H466" s="1527"/>
      <c r="I466" s="1527"/>
      <c r="J466" s="1527"/>
      <c r="K466" s="1527"/>
      <c r="L466" s="1527"/>
      <c r="M466" s="1527"/>
      <c r="Q466" s="957"/>
    </row>
    <row r="467" spans="2:17">
      <c r="B467" s="1527"/>
      <c r="C467" s="1527"/>
      <c r="D467" s="1527"/>
      <c r="E467" s="1527"/>
      <c r="F467" s="1527"/>
      <c r="G467" s="1527"/>
      <c r="H467" s="1527"/>
      <c r="I467" s="1527"/>
      <c r="J467" s="1527"/>
      <c r="K467" s="1527"/>
      <c r="L467" s="1527"/>
      <c r="M467" s="1527"/>
      <c r="Q467" s="957"/>
    </row>
    <row r="468" spans="2:17">
      <c r="B468" s="1527"/>
      <c r="C468" s="1527"/>
      <c r="D468" s="1527"/>
      <c r="E468" s="1527"/>
      <c r="F468" s="1527"/>
      <c r="G468" s="1527"/>
      <c r="H468" s="1527"/>
      <c r="I468" s="1527"/>
      <c r="J468" s="1527"/>
      <c r="K468" s="1527"/>
      <c r="L468" s="1527"/>
      <c r="M468" s="1527"/>
      <c r="Q468" s="957"/>
    </row>
    <row r="469" spans="2:17">
      <c r="B469" s="1527"/>
      <c r="C469" s="1527"/>
      <c r="D469" s="1527"/>
      <c r="E469" s="1527"/>
      <c r="F469" s="1527"/>
      <c r="G469" s="1527"/>
      <c r="H469" s="1527"/>
      <c r="I469" s="1527"/>
      <c r="J469" s="1527"/>
      <c r="K469" s="1527"/>
      <c r="L469" s="1527"/>
      <c r="M469" s="1527"/>
      <c r="Q469" s="957"/>
    </row>
    <row r="470" spans="2:17">
      <c r="B470" s="1527"/>
      <c r="C470" s="1527"/>
      <c r="D470" s="1527"/>
      <c r="E470" s="1527"/>
      <c r="F470" s="1527"/>
      <c r="G470" s="1527"/>
      <c r="H470" s="1527"/>
      <c r="I470" s="1527"/>
      <c r="J470" s="1527"/>
      <c r="K470" s="1527"/>
      <c r="L470" s="1527"/>
      <c r="M470" s="1527"/>
      <c r="Q470" s="957"/>
    </row>
    <row r="471" spans="2:17">
      <c r="B471" s="1527"/>
      <c r="C471" s="1527"/>
      <c r="D471" s="1527"/>
      <c r="E471" s="1527"/>
      <c r="F471" s="1527"/>
      <c r="G471" s="1527"/>
      <c r="H471" s="1527"/>
      <c r="I471" s="1527"/>
      <c r="J471" s="1527"/>
      <c r="K471" s="1527"/>
      <c r="L471" s="1527"/>
      <c r="M471" s="1527"/>
      <c r="Q471" s="957"/>
    </row>
    <row r="472" spans="2:17">
      <c r="B472" s="1527"/>
      <c r="C472" s="1527"/>
      <c r="D472" s="1527"/>
      <c r="E472" s="1527"/>
      <c r="F472" s="1527"/>
      <c r="G472" s="1527"/>
      <c r="H472" s="1527"/>
      <c r="I472" s="1527"/>
      <c r="J472" s="1527"/>
      <c r="K472" s="1527"/>
      <c r="L472" s="1527"/>
      <c r="M472" s="1527"/>
      <c r="Q472" s="957"/>
    </row>
    <row r="473" spans="2:17">
      <c r="B473" s="1527"/>
      <c r="C473" s="1527"/>
      <c r="D473" s="1527"/>
      <c r="E473" s="1527"/>
      <c r="F473" s="1527"/>
      <c r="G473" s="1527"/>
      <c r="H473" s="1527"/>
      <c r="I473" s="1527"/>
      <c r="J473" s="1527"/>
      <c r="K473" s="1527"/>
      <c r="L473" s="1527"/>
      <c r="M473" s="1527"/>
      <c r="Q473" s="957"/>
    </row>
    <row r="474" spans="2:17">
      <c r="B474" s="1527"/>
      <c r="C474" s="1527"/>
      <c r="D474" s="1527"/>
      <c r="E474" s="1527"/>
      <c r="F474" s="1527"/>
      <c r="G474" s="1527"/>
      <c r="H474" s="1527"/>
      <c r="I474" s="1527"/>
      <c r="J474" s="1527"/>
      <c r="K474" s="1527"/>
      <c r="L474" s="1527"/>
      <c r="M474" s="1527"/>
      <c r="Q474" s="957"/>
    </row>
    <row r="475" spans="2:17">
      <c r="B475" s="1527"/>
      <c r="C475" s="1527"/>
      <c r="D475" s="1527"/>
      <c r="E475" s="1527"/>
      <c r="F475" s="1527"/>
      <c r="G475" s="1527"/>
      <c r="H475" s="1527"/>
      <c r="I475" s="1527"/>
      <c r="J475" s="1527"/>
      <c r="K475" s="1527"/>
      <c r="L475" s="1527"/>
      <c r="M475" s="1527"/>
      <c r="Q475" s="957"/>
    </row>
    <row r="476" spans="2:17">
      <c r="B476" s="1527"/>
      <c r="C476" s="1527"/>
      <c r="D476" s="1527"/>
      <c r="E476" s="1527"/>
      <c r="F476" s="1527"/>
      <c r="G476" s="1527"/>
      <c r="H476" s="1527"/>
      <c r="I476" s="1527"/>
      <c r="J476" s="1527"/>
      <c r="K476" s="1527"/>
      <c r="L476" s="1527"/>
      <c r="M476" s="1527"/>
      <c r="Q476" s="957"/>
    </row>
    <row r="477" spans="2:17">
      <c r="B477" s="1527"/>
      <c r="C477" s="1527"/>
      <c r="D477" s="1527"/>
      <c r="E477" s="1527"/>
      <c r="F477" s="1527"/>
      <c r="G477" s="1527"/>
      <c r="H477" s="1527"/>
      <c r="I477" s="1527"/>
      <c r="J477" s="1527"/>
      <c r="K477" s="1527"/>
      <c r="L477" s="1527"/>
      <c r="M477" s="1527"/>
      <c r="Q477" s="957"/>
    </row>
    <row r="478" spans="2:17">
      <c r="B478" s="1527"/>
      <c r="C478" s="1527"/>
      <c r="D478" s="1527"/>
      <c r="E478" s="1527"/>
      <c r="F478" s="1527"/>
      <c r="G478" s="1527"/>
      <c r="H478" s="1527"/>
      <c r="I478" s="1527"/>
      <c r="J478" s="1527"/>
      <c r="K478" s="1527"/>
      <c r="L478" s="1527"/>
      <c r="M478" s="1527"/>
      <c r="Q478" s="957"/>
    </row>
    <row r="479" spans="2:17">
      <c r="B479" s="1527"/>
      <c r="C479" s="1527"/>
      <c r="D479" s="1527"/>
      <c r="E479" s="1527"/>
      <c r="F479" s="1527"/>
      <c r="G479" s="1527"/>
      <c r="H479" s="1527"/>
      <c r="I479" s="1527"/>
      <c r="J479" s="1527"/>
      <c r="K479" s="1527"/>
      <c r="L479" s="1527"/>
      <c r="M479" s="1527"/>
      <c r="Q479" s="957"/>
    </row>
    <row r="480" spans="2:17">
      <c r="B480" s="1527"/>
      <c r="C480" s="1527"/>
      <c r="D480" s="1527"/>
      <c r="E480" s="1527"/>
      <c r="F480" s="1527"/>
      <c r="G480" s="1527"/>
      <c r="H480" s="1527"/>
      <c r="I480" s="1527"/>
      <c r="J480" s="1527"/>
      <c r="K480" s="1527"/>
      <c r="L480" s="1527"/>
      <c r="M480" s="1527"/>
      <c r="Q480" s="957"/>
    </row>
    <row r="481" spans="2:17">
      <c r="B481" s="1527"/>
      <c r="C481" s="1527"/>
      <c r="D481" s="1527"/>
      <c r="E481" s="1527"/>
      <c r="F481" s="1527"/>
      <c r="G481" s="1527"/>
      <c r="H481" s="1527"/>
      <c r="I481" s="1527"/>
      <c r="J481" s="1527"/>
      <c r="K481" s="1527"/>
      <c r="L481" s="1527"/>
      <c r="M481" s="1527"/>
      <c r="Q481" s="957"/>
    </row>
    <row r="482" spans="2:17">
      <c r="B482" s="1527"/>
      <c r="C482" s="1527"/>
      <c r="D482" s="1527"/>
      <c r="E482" s="1527"/>
      <c r="F482" s="1527"/>
      <c r="G482" s="1527"/>
      <c r="H482" s="1527"/>
      <c r="I482" s="1527"/>
      <c r="J482" s="1527"/>
      <c r="K482" s="1527"/>
      <c r="L482" s="1527"/>
      <c r="M482" s="1527"/>
      <c r="Q482" s="957"/>
    </row>
    <row r="483" spans="2:17">
      <c r="B483" s="1527"/>
      <c r="C483" s="1527"/>
      <c r="D483" s="1527"/>
      <c r="E483" s="1527"/>
      <c r="F483" s="1527"/>
      <c r="G483" s="1527"/>
      <c r="H483" s="1527"/>
      <c r="I483" s="1527"/>
      <c r="J483" s="1527"/>
      <c r="K483" s="1527"/>
      <c r="L483" s="1527"/>
      <c r="M483" s="1527"/>
      <c r="Q483" s="957"/>
    </row>
    <row r="484" spans="2:17">
      <c r="B484" s="1527"/>
      <c r="C484" s="1527"/>
      <c r="D484" s="1527"/>
      <c r="E484" s="1527"/>
      <c r="F484" s="1527"/>
      <c r="G484" s="1527"/>
      <c r="H484" s="1527"/>
      <c r="I484" s="1527"/>
      <c r="J484" s="1527"/>
      <c r="K484" s="1527"/>
      <c r="L484" s="1527"/>
      <c r="M484" s="1527"/>
      <c r="Q484" s="957"/>
    </row>
    <row r="485" spans="2:17">
      <c r="B485" s="1527"/>
      <c r="C485" s="1527"/>
      <c r="D485" s="1527"/>
      <c r="E485" s="1527"/>
      <c r="F485" s="1527"/>
      <c r="G485" s="1527"/>
      <c r="H485" s="1527"/>
      <c r="I485" s="1527"/>
      <c r="J485" s="1527"/>
      <c r="K485" s="1527"/>
      <c r="L485" s="1527"/>
      <c r="M485" s="1527"/>
      <c r="Q485" s="957"/>
    </row>
    <row r="486" spans="2:17">
      <c r="B486" s="1527"/>
      <c r="C486" s="1527"/>
      <c r="D486" s="1527"/>
      <c r="E486" s="1527"/>
      <c r="F486" s="1527"/>
      <c r="G486" s="1527"/>
      <c r="H486" s="1527"/>
      <c r="I486" s="1527"/>
      <c r="J486" s="1527"/>
      <c r="K486" s="1527"/>
      <c r="L486" s="1527"/>
      <c r="M486" s="1527"/>
      <c r="Q486" s="957"/>
    </row>
    <row r="487" spans="2:17">
      <c r="B487" s="1527"/>
      <c r="C487" s="1527"/>
      <c r="D487" s="1527"/>
      <c r="E487" s="1527"/>
      <c r="F487" s="1527"/>
      <c r="G487" s="1527"/>
      <c r="H487" s="1527"/>
      <c r="I487" s="1527"/>
      <c r="J487" s="1527"/>
      <c r="K487" s="1527"/>
      <c r="L487" s="1527"/>
      <c r="M487" s="1527"/>
      <c r="Q487" s="957"/>
    </row>
    <row r="488" spans="2:17">
      <c r="B488" s="1527"/>
      <c r="C488" s="1527"/>
      <c r="D488" s="1527"/>
      <c r="E488" s="1527"/>
      <c r="F488" s="1527"/>
      <c r="G488" s="1527"/>
      <c r="H488" s="1527"/>
      <c r="I488" s="1527"/>
      <c r="J488" s="1527"/>
      <c r="K488" s="1527"/>
      <c r="L488" s="1527"/>
      <c r="M488" s="1527"/>
      <c r="Q488" s="957"/>
    </row>
    <row r="489" spans="2:17">
      <c r="B489" s="1527"/>
      <c r="C489" s="1527"/>
      <c r="D489" s="1527"/>
      <c r="E489" s="1527"/>
      <c r="F489" s="1527"/>
      <c r="G489" s="1527"/>
      <c r="H489" s="1527"/>
      <c r="I489" s="1527"/>
      <c r="J489" s="1527"/>
      <c r="K489" s="1527"/>
      <c r="L489" s="1527"/>
      <c r="M489" s="1527"/>
      <c r="Q489" s="957"/>
    </row>
    <row r="490" spans="2:17">
      <c r="B490" s="1527"/>
      <c r="C490" s="1527"/>
      <c r="D490" s="1527"/>
      <c r="E490" s="1527"/>
      <c r="F490" s="1527"/>
      <c r="G490" s="1527"/>
      <c r="H490" s="1527"/>
      <c r="I490" s="1527"/>
      <c r="J490" s="1527"/>
      <c r="K490" s="1527"/>
      <c r="L490" s="1527"/>
      <c r="M490" s="1527"/>
      <c r="Q490" s="957"/>
    </row>
    <row r="491" spans="2:17">
      <c r="B491" s="1527"/>
      <c r="C491" s="1527"/>
      <c r="D491" s="1527"/>
      <c r="E491" s="1527"/>
      <c r="F491" s="1527"/>
      <c r="G491" s="1527"/>
      <c r="H491" s="1527"/>
      <c r="I491" s="1527"/>
      <c r="J491" s="1527"/>
      <c r="K491" s="1527"/>
      <c r="L491" s="1527"/>
      <c r="M491" s="1527"/>
      <c r="Q491" s="957"/>
    </row>
    <row r="492" spans="2:17">
      <c r="B492" s="1527"/>
      <c r="C492" s="1527"/>
      <c r="D492" s="1527"/>
      <c r="E492" s="1527"/>
      <c r="F492" s="1527"/>
      <c r="G492" s="1527"/>
      <c r="H492" s="1527"/>
      <c r="I492" s="1527"/>
      <c r="J492" s="1527"/>
      <c r="K492" s="1527"/>
      <c r="L492" s="1527"/>
      <c r="M492" s="1527"/>
      <c r="Q492" s="957"/>
    </row>
    <row r="493" spans="2:17">
      <c r="B493" s="1527"/>
      <c r="C493" s="1527"/>
      <c r="D493" s="1527"/>
      <c r="E493" s="1527"/>
      <c r="F493" s="1527"/>
      <c r="G493" s="1527"/>
      <c r="H493" s="1527"/>
      <c r="I493" s="1527"/>
      <c r="J493" s="1527"/>
      <c r="K493" s="1527"/>
      <c r="L493" s="1527"/>
      <c r="M493" s="1527"/>
      <c r="Q493" s="957"/>
    </row>
    <row r="494" spans="2:17">
      <c r="B494" s="1527"/>
      <c r="C494" s="1527"/>
      <c r="D494" s="1527"/>
      <c r="E494" s="1527"/>
      <c r="F494" s="1527"/>
      <c r="G494" s="1527"/>
      <c r="H494" s="1527"/>
      <c r="I494" s="1527"/>
      <c r="J494" s="1527"/>
      <c r="K494" s="1527"/>
      <c r="L494" s="1527"/>
      <c r="M494" s="1527"/>
      <c r="Q494" s="957"/>
    </row>
    <row r="495" spans="2:17">
      <c r="B495" s="1527"/>
      <c r="C495" s="1527"/>
      <c r="D495" s="1527"/>
      <c r="E495" s="1527"/>
      <c r="F495" s="1527"/>
      <c r="G495" s="1527"/>
      <c r="H495" s="1527"/>
      <c r="I495" s="1527"/>
      <c r="J495" s="1527"/>
      <c r="K495" s="1527"/>
      <c r="L495" s="1527"/>
      <c r="M495" s="1527"/>
      <c r="Q495" s="957"/>
    </row>
    <row r="496" spans="2:17">
      <c r="B496" s="1527"/>
      <c r="C496" s="1527"/>
      <c r="D496" s="1527"/>
      <c r="E496" s="1527"/>
      <c r="F496" s="1527"/>
      <c r="G496" s="1527"/>
      <c r="H496" s="1527"/>
      <c r="I496" s="1527"/>
      <c r="J496" s="1527"/>
      <c r="K496" s="1527"/>
      <c r="L496" s="1527"/>
      <c r="M496" s="1527"/>
      <c r="Q496" s="957"/>
    </row>
    <row r="497" spans="2:17">
      <c r="B497" s="1527"/>
      <c r="C497" s="1527"/>
      <c r="D497" s="1527"/>
      <c r="E497" s="1527"/>
      <c r="F497" s="1527"/>
      <c r="G497" s="1527"/>
      <c r="H497" s="1527"/>
      <c r="I497" s="1527"/>
      <c r="J497" s="1527"/>
      <c r="K497" s="1527"/>
      <c r="L497" s="1527"/>
      <c r="M497" s="1527"/>
      <c r="Q497" s="957"/>
    </row>
    <row r="498" spans="2:17">
      <c r="B498" s="1527"/>
      <c r="C498" s="1527"/>
      <c r="D498" s="1527"/>
      <c r="E498" s="1527"/>
      <c r="F498" s="1527"/>
      <c r="G498" s="1527"/>
      <c r="H498" s="1527"/>
      <c r="I498" s="1527"/>
      <c r="J498" s="1527"/>
      <c r="K498" s="1527"/>
      <c r="L498" s="1527"/>
      <c r="M498" s="1527"/>
      <c r="Q498" s="957"/>
    </row>
    <row r="499" spans="2:17">
      <c r="B499" s="1527"/>
      <c r="C499" s="1527"/>
      <c r="D499" s="1527"/>
      <c r="E499" s="1527"/>
      <c r="F499" s="1527"/>
      <c r="G499" s="1527"/>
      <c r="H499" s="1527"/>
      <c r="I499" s="1527"/>
      <c r="J499" s="1527"/>
      <c r="K499" s="1527"/>
      <c r="L499" s="1527"/>
      <c r="M499" s="1527"/>
      <c r="Q499" s="957"/>
    </row>
    <row r="500" spans="2:17">
      <c r="B500" s="1527"/>
      <c r="C500" s="1527"/>
      <c r="D500" s="1527"/>
      <c r="E500" s="1527"/>
      <c r="F500" s="1527"/>
      <c r="G500" s="1527"/>
      <c r="H500" s="1527"/>
      <c r="I500" s="1527"/>
      <c r="J500" s="1527"/>
      <c r="K500" s="1527"/>
      <c r="L500" s="1527"/>
      <c r="M500" s="1527"/>
      <c r="Q500" s="957"/>
    </row>
    <row r="501" spans="2:17">
      <c r="B501" s="1527"/>
      <c r="C501" s="1527"/>
      <c r="D501" s="1527"/>
      <c r="E501" s="1527"/>
      <c r="F501" s="1527"/>
      <c r="G501" s="1527"/>
      <c r="H501" s="1527"/>
      <c r="I501" s="1527"/>
      <c r="J501" s="1527"/>
      <c r="K501" s="1527"/>
      <c r="L501" s="1527"/>
      <c r="M501" s="1527"/>
      <c r="Q501" s="957"/>
    </row>
    <row r="502" spans="2:17">
      <c r="B502" s="1527"/>
      <c r="C502" s="1527"/>
      <c r="D502" s="1527"/>
      <c r="E502" s="1527"/>
      <c r="F502" s="1527"/>
      <c r="G502" s="1527"/>
      <c r="H502" s="1527"/>
      <c r="I502" s="1527"/>
      <c r="J502" s="1527"/>
      <c r="K502" s="1527"/>
      <c r="L502" s="1527"/>
      <c r="M502" s="1527"/>
      <c r="Q502" s="957"/>
    </row>
    <row r="503" spans="2:17">
      <c r="B503" s="1527"/>
      <c r="C503" s="1527"/>
      <c r="D503" s="1527"/>
      <c r="E503" s="1527"/>
      <c r="F503" s="1527"/>
      <c r="G503" s="1527"/>
      <c r="H503" s="1527"/>
      <c r="I503" s="1527"/>
      <c r="J503" s="1527"/>
      <c r="K503" s="1527"/>
      <c r="L503" s="1527"/>
      <c r="M503" s="1527"/>
      <c r="Q503" s="957"/>
    </row>
    <row r="504" spans="2:17">
      <c r="B504" s="1527"/>
      <c r="C504" s="1527"/>
      <c r="D504" s="1527"/>
      <c r="E504" s="1527"/>
      <c r="F504" s="1527"/>
      <c r="G504" s="1527"/>
      <c r="H504" s="1527"/>
      <c r="I504" s="1527"/>
      <c r="J504" s="1527"/>
      <c r="K504" s="1527"/>
      <c r="L504" s="1527"/>
      <c r="M504" s="1527"/>
      <c r="Q504" s="957"/>
    </row>
    <row r="505" spans="2:17">
      <c r="B505" s="1527"/>
      <c r="C505" s="1527"/>
      <c r="D505" s="1527"/>
      <c r="E505" s="1527"/>
      <c r="F505" s="1527"/>
      <c r="G505" s="1527"/>
      <c r="H505" s="1527"/>
      <c r="I505" s="1527"/>
      <c r="J505" s="1527"/>
      <c r="K505" s="1527"/>
      <c r="L505" s="1527"/>
      <c r="M505" s="1527"/>
      <c r="Q505" s="957"/>
    </row>
    <row r="506" spans="2:17">
      <c r="B506" s="1527"/>
      <c r="C506" s="1527"/>
      <c r="D506" s="1527"/>
      <c r="E506" s="1527"/>
      <c r="F506" s="1527"/>
      <c r="G506" s="1527"/>
      <c r="H506" s="1527"/>
      <c r="I506" s="1527"/>
      <c r="J506" s="1527"/>
      <c r="K506" s="1527"/>
      <c r="L506" s="1527"/>
      <c r="M506" s="1527"/>
      <c r="Q506" s="957"/>
    </row>
    <row r="507" spans="2:17">
      <c r="B507" s="1527"/>
      <c r="C507" s="1527"/>
      <c r="D507" s="1527"/>
      <c r="E507" s="1527"/>
      <c r="F507" s="1527"/>
      <c r="G507" s="1527"/>
      <c r="H507" s="1527"/>
      <c r="I507" s="1527"/>
      <c r="J507" s="1527"/>
      <c r="K507" s="1527"/>
      <c r="L507" s="1527"/>
      <c r="M507" s="1527"/>
      <c r="Q507" s="957"/>
    </row>
    <row r="508" spans="2:17">
      <c r="B508" s="1527"/>
      <c r="C508" s="1527"/>
      <c r="D508" s="1527"/>
      <c r="E508" s="1527"/>
      <c r="F508" s="1527"/>
      <c r="G508" s="1527"/>
      <c r="H508" s="1527"/>
      <c r="I508" s="1527"/>
      <c r="J508" s="1527"/>
      <c r="K508" s="1527"/>
      <c r="L508" s="1527"/>
      <c r="M508" s="1527"/>
      <c r="Q508" s="957"/>
    </row>
    <row r="509" spans="2:17">
      <c r="B509" s="1527"/>
      <c r="C509" s="1527"/>
      <c r="D509" s="1527"/>
      <c r="E509" s="1527"/>
      <c r="F509" s="1527"/>
      <c r="G509" s="1527"/>
      <c r="H509" s="1527"/>
      <c r="I509" s="1527"/>
      <c r="J509" s="1527"/>
      <c r="K509" s="1527"/>
      <c r="L509" s="1527"/>
      <c r="M509" s="1527"/>
      <c r="Q509" s="957"/>
    </row>
    <row r="510" spans="2:17">
      <c r="B510" s="1527"/>
      <c r="C510" s="1527"/>
      <c r="D510" s="1527"/>
      <c r="E510" s="1527"/>
      <c r="F510" s="1527"/>
      <c r="G510" s="1527"/>
      <c r="H510" s="1527"/>
      <c r="I510" s="1527"/>
      <c r="J510" s="1527"/>
      <c r="K510" s="1527"/>
      <c r="L510" s="1527"/>
      <c r="M510" s="1527"/>
      <c r="Q510" s="957"/>
    </row>
    <row r="511" spans="2:17">
      <c r="B511" s="1527"/>
      <c r="C511" s="1527"/>
      <c r="D511" s="1527"/>
      <c r="E511" s="1527"/>
      <c r="F511" s="1527"/>
      <c r="G511" s="1527"/>
      <c r="H511" s="1527"/>
      <c r="I511" s="1527"/>
      <c r="J511" s="1527"/>
      <c r="K511" s="1527"/>
      <c r="L511" s="1527"/>
      <c r="M511" s="1527"/>
      <c r="Q511" s="957"/>
    </row>
    <row r="512" spans="2:17">
      <c r="B512" s="1527"/>
      <c r="C512" s="1527"/>
      <c r="D512" s="1527"/>
      <c r="E512" s="1527"/>
      <c r="F512" s="1527"/>
      <c r="G512" s="1527"/>
      <c r="H512" s="1527"/>
      <c r="I512" s="1527"/>
      <c r="J512" s="1527"/>
      <c r="K512" s="1527"/>
      <c r="L512" s="1527"/>
      <c r="M512" s="1527"/>
      <c r="Q512" s="957"/>
    </row>
    <row r="513" spans="2:17">
      <c r="B513" s="1527"/>
      <c r="C513" s="1527"/>
      <c r="D513" s="1527"/>
      <c r="E513" s="1527"/>
      <c r="F513" s="1527"/>
      <c r="G513" s="1527"/>
      <c r="H513" s="1527"/>
      <c r="I513" s="1527"/>
      <c r="J513" s="1527"/>
      <c r="K513" s="1527"/>
      <c r="L513" s="1527"/>
      <c r="M513" s="1527"/>
      <c r="Q513" s="957"/>
    </row>
    <row r="514" spans="2:17">
      <c r="B514" s="1527"/>
      <c r="C514" s="1527"/>
      <c r="D514" s="1527"/>
      <c r="E514" s="1527"/>
      <c r="F514" s="1527"/>
      <c r="G514" s="1527"/>
      <c r="H514" s="1527"/>
      <c r="I514" s="1527"/>
      <c r="J514" s="1527"/>
      <c r="K514" s="1527"/>
      <c r="L514" s="1527"/>
      <c r="M514" s="1527"/>
      <c r="Q514" s="957"/>
    </row>
    <row r="515" spans="2:17">
      <c r="B515" s="1527"/>
      <c r="C515" s="1527"/>
      <c r="D515" s="1527"/>
      <c r="E515" s="1527"/>
      <c r="F515" s="1527"/>
      <c r="G515" s="1527"/>
      <c r="H515" s="1527"/>
      <c r="I515" s="1527"/>
      <c r="J515" s="1527"/>
      <c r="K515" s="1527"/>
      <c r="L515" s="1527"/>
      <c r="M515" s="1527"/>
      <c r="Q515" s="957"/>
    </row>
    <row r="516" spans="2:17">
      <c r="B516" s="1527"/>
      <c r="C516" s="1527"/>
      <c r="D516" s="1527"/>
      <c r="E516" s="1527"/>
      <c r="F516" s="1527"/>
      <c r="G516" s="1527"/>
      <c r="H516" s="1527"/>
      <c r="I516" s="1527"/>
      <c r="J516" s="1527"/>
      <c r="K516" s="1527"/>
      <c r="L516" s="1527"/>
      <c r="M516" s="1527"/>
      <c r="Q516" s="957"/>
    </row>
    <row r="517" spans="2:17">
      <c r="B517" s="1527"/>
      <c r="C517" s="1527"/>
      <c r="D517" s="1527"/>
      <c r="E517" s="1527"/>
      <c r="F517" s="1527"/>
      <c r="G517" s="1527"/>
      <c r="H517" s="1527"/>
      <c r="I517" s="1527"/>
      <c r="J517" s="1527"/>
      <c r="K517" s="1527"/>
      <c r="L517" s="1527"/>
      <c r="M517" s="1527"/>
      <c r="Q517" s="957"/>
    </row>
    <row r="518" spans="2:17">
      <c r="B518" s="1527"/>
      <c r="C518" s="1527"/>
      <c r="D518" s="1527"/>
      <c r="E518" s="1527"/>
      <c r="F518" s="1527"/>
      <c r="G518" s="1527"/>
      <c r="H518" s="1527"/>
      <c r="I518" s="1527"/>
      <c r="J518" s="1527"/>
      <c r="K518" s="1527"/>
      <c r="L518" s="1527"/>
      <c r="M518" s="1527"/>
      <c r="Q518" s="957"/>
    </row>
    <row r="519" spans="2:17">
      <c r="B519" s="1527"/>
      <c r="C519" s="1527"/>
      <c r="D519" s="1527"/>
      <c r="E519" s="1527"/>
      <c r="F519" s="1527"/>
      <c r="G519" s="1527"/>
      <c r="H519" s="1527"/>
      <c r="I519" s="1527"/>
      <c r="J519" s="1527"/>
      <c r="K519" s="1527"/>
      <c r="L519" s="1527"/>
      <c r="M519" s="1527"/>
      <c r="Q519" s="957"/>
    </row>
    <row r="520" spans="2:17">
      <c r="B520" s="1527"/>
      <c r="C520" s="1527"/>
      <c r="D520" s="1527"/>
      <c r="E520" s="1527"/>
      <c r="F520" s="1527"/>
      <c r="G520" s="1527"/>
      <c r="H520" s="1527"/>
      <c r="I520" s="1527"/>
      <c r="J520" s="1527"/>
      <c r="K520" s="1527"/>
      <c r="L520" s="1527"/>
      <c r="M520" s="1527"/>
      <c r="Q520" s="957"/>
    </row>
    <row r="521" spans="2:17">
      <c r="B521" s="1527"/>
      <c r="C521" s="1527"/>
      <c r="D521" s="1527"/>
      <c r="E521" s="1527"/>
      <c r="F521" s="1527"/>
      <c r="G521" s="1527"/>
      <c r="H521" s="1527"/>
      <c r="I521" s="1527"/>
      <c r="J521" s="1527"/>
      <c r="K521" s="1527"/>
      <c r="L521" s="1527"/>
      <c r="M521" s="1527"/>
      <c r="Q521" s="957"/>
    </row>
    <row r="522" spans="2:17">
      <c r="B522" s="1527"/>
      <c r="C522" s="1527"/>
      <c r="D522" s="1527"/>
      <c r="E522" s="1527"/>
      <c r="F522" s="1527"/>
      <c r="G522" s="1527"/>
      <c r="H522" s="1527"/>
      <c r="I522" s="1527"/>
      <c r="J522" s="1527"/>
      <c r="K522" s="1527"/>
      <c r="L522" s="1527"/>
      <c r="M522" s="1527"/>
      <c r="Q522" s="957"/>
    </row>
    <row r="523" spans="2:17">
      <c r="B523" s="1527"/>
      <c r="C523" s="1527"/>
      <c r="D523" s="1527"/>
      <c r="E523" s="1527"/>
      <c r="F523" s="1527"/>
      <c r="G523" s="1527"/>
      <c r="H523" s="1527"/>
      <c r="I523" s="1527"/>
      <c r="J523" s="1527"/>
      <c r="K523" s="1527"/>
      <c r="L523" s="1527"/>
      <c r="M523" s="1527"/>
      <c r="Q523" s="957"/>
    </row>
    <row r="524" spans="2:17">
      <c r="B524" s="1527"/>
      <c r="C524" s="1527"/>
      <c r="D524" s="1527"/>
      <c r="E524" s="1527"/>
      <c r="F524" s="1527"/>
      <c r="G524" s="1527"/>
      <c r="H524" s="1527"/>
      <c r="I524" s="1527"/>
      <c r="J524" s="1527"/>
      <c r="K524" s="1527"/>
      <c r="L524" s="1527"/>
      <c r="M524" s="1527"/>
      <c r="Q524" s="957"/>
    </row>
    <row r="525" spans="2:17">
      <c r="B525" s="1527"/>
      <c r="C525" s="1527"/>
      <c r="D525" s="1527"/>
      <c r="E525" s="1527"/>
      <c r="F525" s="1527"/>
      <c r="G525" s="1527"/>
      <c r="H525" s="1527"/>
      <c r="I525" s="1527"/>
      <c r="J525" s="1527"/>
      <c r="K525" s="1527"/>
      <c r="L525" s="1527"/>
      <c r="M525" s="1527"/>
      <c r="Q525" s="957"/>
    </row>
    <row r="526" spans="2:17">
      <c r="B526" s="1527"/>
      <c r="C526" s="1527"/>
      <c r="D526" s="1527"/>
      <c r="E526" s="1527"/>
      <c r="F526" s="1527"/>
      <c r="G526" s="1527"/>
      <c r="H526" s="1527"/>
      <c r="I526" s="1527"/>
      <c r="J526" s="1527"/>
      <c r="K526" s="1527"/>
      <c r="L526" s="1527"/>
      <c r="M526" s="1527"/>
      <c r="Q526" s="957"/>
    </row>
    <row r="527" spans="2:17">
      <c r="B527" s="1527"/>
      <c r="C527" s="1527"/>
      <c r="D527" s="1527"/>
      <c r="E527" s="1527"/>
      <c r="F527" s="1527"/>
      <c r="G527" s="1527"/>
      <c r="H527" s="1527"/>
      <c r="I527" s="1527"/>
      <c r="J527" s="1527"/>
      <c r="K527" s="1527"/>
      <c r="L527" s="1527"/>
      <c r="M527" s="1527"/>
      <c r="Q527" s="957"/>
    </row>
    <row r="528" spans="2:17">
      <c r="B528" s="1527"/>
      <c r="C528" s="1527"/>
      <c r="D528" s="1527"/>
      <c r="E528" s="1527"/>
      <c r="F528" s="1527"/>
      <c r="G528" s="1527"/>
      <c r="H528" s="1527"/>
      <c r="I528" s="1527"/>
      <c r="J528" s="1527"/>
      <c r="K528" s="1527"/>
      <c r="L528" s="1527"/>
      <c r="M528" s="1527"/>
      <c r="Q528" s="957"/>
    </row>
    <row r="529" spans="2:13">
      <c r="B529" s="1527"/>
      <c r="C529" s="1527"/>
      <c r="D529" s="1527"/>
      <c r="E529" s="1527"/>
      <c r="F529" s="1527"/>
      <c r="G529" s="1527"/>
      <c r="H529" s="1527"/>
      <c r="I529" s="1527"/>
      <c r="J529" s="1527"/>
      <c r="K529" s="1527"/>
      <c r="L529" s="1527"/>
      <c r="M529" s="1527"/>
    </row>
  </sheetData>
  <mergeCells count="5">
    <mergeCell ref="A1:M1"/>
    <mergeCell ref="A2:M2"/>
    <mergeCell ref="A3:M3"/>
    <mergeCell ref="AI6:AK6"/>
    <mergeCell ref="AO5:AQ5"/>
  </mergeCells>
  <conditionalFormatting sqref="B9:M9">
    <cfRule type="cellIs" dxfId="6" priority="3" operator="lessThan">
      <formula>0.9</formula>
    </cfRule>
  </conditionalFormatting>
  <conditionalFormatting sqref="B12:M12">
    <cfRule type="cellIs" dxfId="5" priority="2" operator="greaterThan">
      <formula>0.05</formula>
    </cfRule>
  </conditionalFormatting>
  <conditionalFormatting sqref="B10:M10">
    <cfRule type="cellIs" dxfId="4" priority="1" operator="greaterThan">
      <formula>0.05</formula>
    </cfRule>
  </conditionalFormatting>
  <dataValidations count="4">
    <dataValidation type="list" allowBlank="1" showInputMessage="1" showErrorMessage="1" sqref="P8:P1048576" xr:uid="{00000000-0002-0000-0C00-000000000000}">
      <formula1>$AI$8:$AI$74</formula1>
    </dataValidation>
    <dataValidation type="list" allowBlank="1" showInputMessage="1" showErrorMessage="1" sqref="N235:N1048576 N8:N15 N18:N167" xr:uid="{00000000-0002-0000-0C00-000001000000}">
      <formula1>$T$8:$T$42</formula1>
    </dataValidation>
    <dataValidation type="list" allowBlank="1" showInputMessage="1" showErrorMessage="1" sqref="N185:N234 N16:N17" xr:uid="{0B4E5516-7CA5-435F-A117-7D0CCA59B777}">
      <formula1>$T$8:$T$43</formula1>
    </dataValidation>
    <dataValidation type="list" allowBlank="1" showInputMessage="1" showErrorMessage="1" sqref="N168:N184" xr:uid="{54145DC4-7474-468C-A30F-989A39E158E3}">
      <formula1>$T$8:$T$44</formula1>
    </dataValidation>
  </dataValidations>
  <pageMargins left="0.7" right="0.7" top="0.75" bottom="0.75" header="0.3" footer="0.3"/>
  <pageSetup orientation="portrait" r:id="rId1"/>
  <ignoredErrors>
    <ignoredError sqref="W25:AC42"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theme="4" tint="9.9978637043366805E-2"/>
  </sheetPr>
  <dimension ref="A1:U20"/>
  <sheetViews>
    <sheetView showGridLines="0" topLeftCell="F1" zoomScale="70" zoomScaleNormal="70" workbookViewId="0">
      <selection activeCell="P8" sqref="P8"/>
    </sheetView>
  </sheetViews>
  <sheetFormatPr defaultColWidth="9.1796875" defaultRowHeight="19"/>
  <cols>
    <col min="1" max="1" width="4.1796875" style="247" customWidth="1"/>
    <col min="2" max="2" width="20.26953125" style="247" bestFit="1" customWidth="1"/>
    <col min="3" max="3" width="20.7265625" style="247" customWidth="1"/>
    <col min="4" max="4" width="14.81640625" style="362" customWidth="1"/>
    <col min="5" max="5" width="14.81640625" style="247" bestFit="1" customWidth="1"/>
    <col min="6" max="6" width="15.54296875" style="247" bestFit="1" customWidth="1"/>
    <col min="7" max="7" width="19.81640625" style="247" bestFit="1" customWidth="1"/>
    <col min="8" max="8" width="27" style="247" bestFit="1" customWidth="1"/>
    <col min="9" max="9" width="20.26953125" style="247" bestFit="1" customWidth="1"/>
    <col min="10" max="10" width="23.26953125" style="247" bestFit="1" customWidth="1"/>
    <col min="11" max="11" width="3.7265625" style="247" customWidth="1"/>
    <col min="12" max="12" width="12.1796875" style="247" bestFit="1" customWidth="1"/>
    <col min="13" max="13" width="11.54296875" style="247" customWidth="1"/>
    <col min="14" max="14" width="3.7265625" style="247" customWidth="1"/>
    <col min="15" max="15" width="29.54296875" style="247" bestFit="1" customWidth="1"/>
    <col min="16" max="16" width="29" style="247" bestFit="1" customWidth="1"/>
    <col min="17" max="17" width="15.26953125" style="247" customWidth="1"/>
    <col min="18" max="18" width="31.26953125" style="247" bestFit="1" customWidth="1"/>
    <col min="19" max="19" width="9.1796875" style="247"/>
    <col min="20" max="20" width="20.81640625" style="247" customWidth="1"/>
    <col min="21" max="21" width="9.1796875" style="247"/>
    <col min="22" max="16384" width="9.1796875" style="96"/>
  </cols>
  <sheetData>
    <row r="1" spans="2:20" ht="24.5">
      <c r="B1" s="320" t="str">
        <f>'Inputs and Assumptions'!property_name</f>
        <v>The Winchester</v>
      </c>
      <c r="D1" s="247"/>
    </row>
    <row r="2" spans="2:20">
      <c r="B2" s="102" t="s">
        <v>951</v>
      </c>
      <c r="D2" s="247"/>
    </row>
    <row r="3" spans="2:20">
      <c r="D3" s="247"/>
    </row>
    <row r="4" spans="2:20">
      <c r="B4" s="321" t="s">
        <v>952</v>
      </c>
      <c r="C4" s="322"/>
      <c r="D4" s="322"/>
      <c r="E4" s="323" t="e">
        <f>E6/D6-1</f>
        <v>#DIV/0!</v>
      </c>
      <c r="F4" s="323" t="e">
        <f>F6/E6-1</f>
        <v>#DIV/0!</v>
      </c>
      <c r="G4" s="323" t="e">
        <f>G6/F6-1</f>
        <v>#DIV/0!</v>
      </c>
      <c r="H4" s="323">
        <f>H6/G6-1</f>
        <v>-0.18498523996169303</v>
      </c>
      <c r="O4"/>
      <c r="P4"/>
      <c r="Q4"/>
    </row>
    <row r="5" spans="2:20">
      <c r="B5" s="324"/>
      <c r="C5" s="324"/>
      <c r="D5" s="325">
        <f>E5-1</f>
        <v>2022</v>
      </c>
      <c r="E5" s="325">
        <f>F5-1</f>
        <v>2023</v>
      </c>
      <c r="F5" s="325">
        <f>G5-1</f>
        <v>2024</v>
      </c>
      <c r="G5" s="325">
        <v>2025</v>
      </c>
      <c r="H5" s="325" t="s">
        <v>953</v>
      </c>
      <c r="I5" s="326"/>
      <c r="J5" s="327" t="s">
        <v>954</v>
      </c>
      <c r="L5" s="328" t="s">
        <v>955</v>
      </c>
      <c r="M5" s="328" t="s">
        <v>48</v>
      </c>
      <c r="O5" s="328" t="s">
        <v>956</v>
      </c>
      <c r="P5" s="96"/>
      <c r="Q5"/>
      <c r="R5" s="173" t="s">
        <v>3</v>
      </c>
      <c r="S5" s="173"/>
      <c r="T5" s="173"/>
    </row>
    <row r="6" spans="2:20">
      <c r="B6" s="247" t="s">
        <v>957</v>
      </c>
      <c r="D6" s="329"/>
      <c r="E6" s="330"/>
      <c r="F6" s="330"/>
      <c r="G6" s="330">
        <v>50643500</v>
      </c>
      <c r="H6" s="331">
        <v>41275200</v>
      </c>
      <c r="I6" s="332"/>
      <c r="J6" s="333">
        <v>0.2</v>
      </c>
      <c r="K6" s="334"/>
      <c r="L6" s="335" t="s">
        <v>958</v>
      </c>
      <c r="M6" s="336">
        <v>5.8000000000000003E-2</v>
      </c>
      <c r="O6" s="797">
        <f>+H9*(1+'Sponsor Pro Forma'!$M$34)^(('Inputs and Assumptions'!P6-48)/12)</f>
        <v>8255040</v>
      </c>
      <c r="P6" s="821">
        <f>O6/H6-1</f>
        <v>-0.8</v>
      </c>
      <c r="Q6"/>
      <c r="R6" s="106" t="s">
        <v>139</v>
      </c>
      <c r="S6" s="110"/>
      <c r="T6" s="145">
        <f>'Inputs and Assumptions'!P19</f>
        <v>48</v>
      </c>
    </row>
    <row r="7" spans="2:20">
      <c r="B7" s="247" t="s">
        <v>959</v>
      </c>
      <c r="D7" s="337"/>
      <c r="E7" s="337"/>
      <c r="F7" s="337"/>
      <c r="G7" s="337">
        <v>0.2</v>
      </c>
      <c r="H7" s="338">
        <v>0.2</v>
      </c>
      <c r="I7" s="339"/>
      <c r="L7" s="335" t="s">
        <v>960</v>
      </c>
      <c r="M7" s="336">
        <v>0</v>
      </c>
      <c r="O7" s="1689">
        <v>1.1200000000000001</v>
      </c>
      <c r="P7" s="96" t="s">
        <v>1200</v>
      </c>
      <c r="Q7"/>
      <c r="R7" s="106" t="s">
        <v>570</v>
      </c>
      <c r="S7" s="110"/>
      <c r="T7" s="145" t="str">
        <f>'Inputs and Assumptions'!P20</f>
        <v>PREFERRED RETURN</v>
      </c>
    </row>
    <row r="8" spans="2:20">
      <c r="D8" s="247"/>
      <c r="H8" s="340"/>
      <c r="I8" s="1688"/>
      <c r="L8" s="335" t="s">
        <v>961</v>
      </c>
      <c r="M8" s="336">
        <v>0</v>
      </c>
      <c r="O8" s="799"/>
      <c r="P8" s="96"/>
      <c r="Q8"/>
      <c r="R8" s="106" t="s">
        <v>8</v>
      </c>
      <c r="S8" s="110"/>
      <c r="T8" s="127">
        <f ca="1">'Inputs and Assumptions'!P21</f>
        <v>0.15896270871162421</v>
      </c>
    </row>
    <row r="9" spans="2:20">
      <c r="B9" s="247" t="s">
        <v>962</v>
      </c>
      <c r="D9" s="330"/>
      <c r="E9" s="330"/>
      <c r="F9" s="330"/>
      <c r="G9" s="330">
        <f>G6*G7</f>
        <v>10128700</v>
      </c>
      <c r="H9" s="341">
        <f>H7*H6</f>
        <v>8255040</v>
      </c>
      <c r="I9" s="1681"/>
      <c r="L9" s="335" t="s">
        <v>963</v>
      </c>
      <c r="M9" s="336">
        <v>0</v>
      </c>
      <c r="O9" s="800">
        <f>O6*O7</f>
        <v>9245644.8000000007</v>
      </c>
      <c r="P9" s="96"/>
      <c r="Q9"/>
      <c r="R9" s="106" t="s">
        <v>150</v>
      </c>
      <c r="S9" s="110"/>
      <c r="T9" s="152">
        <f ca="1">'Inputs and Assumptions'!P22</f>
        <v>1.7175438528726268</v>
      </c>
    </row>
    <row r="10" spans="2:20">
      <c r="D10" s="247"/>
      <c r="H10" s="340"/>
      <c r="I10" s="1687"/>
      <c r="L10" s="335" t="s">
        <v>964</v>
      </c>
      <c r="M10" s="336">
        <v>0</v>
      </c>
      <c r="O10" s="798">
        <v>0.03</v>
      </c>
      <c r="P10" s="805" t="s">
        <v>607</v>
      </c>
      <c r="Q10"/>
      <c r="R10" s="106" t="s">
        <v>153</v>
      </c>
      <c r="S10" s="110"/>
      <c r="T10" s="127">
        <f ca="1">'Inputs and Assumptions'!P23</f>
        <v>0.14791656136512762</v>
      </c>
    </row>
    <row r="11" spans="2:20">
      <c r="B11" s="247" t="s">
        <v>965</v>
      </c>
      <c r="D11" s="342"/>
      <c r="E11" s="342"/>
      <c r="F11" s="342"/>
      <c r="G11" s="342">
        <f>+M16</f>
        <v>5.8000000000000003E-2</v>
      </c>
      <c r="H11" s="343">
        <f>+G11*(1+I10)</f>
        <v>5.8000000000000003E-2</v>
      </c>
      <c r="I11" s="326"/>
      <c r="L11" s="335" t="s">
        <v>966</v>
      </c>
      <c r="M11" s="336">
        <v>0</v>
      </c>
      <c r="O11" s="801">
        <f>+H11</f>
        <v>5.8000000000000003E-2</v>
      </c>
      <c r="P11" s="804"/>
      <c r="Q11"/>
      <c r="R11" s="106" t="s">
        <v>155</v>
      </c>
      <c r="S11" s="110"/>
      <c r="T11" s="152">
        <f ca="1">'Inputs and Assumptions'!P24</f>
        <v>1.6564057454439265</v>
      </c>
    </row>
    <row r="12" spans="2:20" ht="19.5" thickBot="1">
      <c r="D12" s="247"/>
      <c r="G12" s="344"/>
      <c r="H12" s="340"/>
      <c r="I12" s="326"/>
      <c r="J12" s="327" t="s">
        <v>640</v>
      </c>
      <c r="L12" s="335" t="s">
        <v>966</v>
      </c>
      <c r="M12" s="336">
        <v>0</v>
      </c>
      <c r="O12" s="799"/>
      <c r="P12" s="804"/>
      <c r="Q12"/>
      <c r="R12" s="106" t="s">
        <v>158</v>
      </c>
      <c r="S12" s="110"/>
      <c r="T12" s="127" t="e">
        <f ca="1">'Inputs and Assumptions'!P25</f>
        <v>#NUM!</v>
      </c>
    </row>
    <row r="13" spans="2:20" ht="19.5" thickBot="1">
      <c r="B13" s="345" t="s">
        <v>967</v>
      </c>
      <c r="C13" s="345"/>
      <c r="D13" s="346"/>
      <c r="E13" s="346"/>
      <c r="F13" s="346">
        <f>F9*F11</f>
        <v>0</v>
      </c>
      <c r="G13" s="346">
        <f>G9*G11</f>
        <v>587464.6</v>
      </c>
      <c r="H13" s="1821">
        <f>H11*H9</f>
        <v>478792.32</v>
      </c>
      <c r="I13" s="1822" t="s">
        <v>968</v>
      </c>
      <c r="J13" s="348">
        <f>'T12'!U36</f>
        <v>623314.08999999985</v>
      </c>
      <c r="L13" s="335" t="s">
        <v>966</v>
      </c>
      <c r="M13" s="336">
        <v>0</v>
      </c>
      <c r="O13" s="802">
        <f>O9*O11</f>
        <v>536247.39840000006</v>
      </c>
      <c r="P13" s="804"/>
      <c r="R13" s="106" t="s">
        <v>161</v>
      </c>
      <c r="S13" s="110"/>
      <c r="T13" s="152" t="e">
        <f ca="1">'Inputs and Assumptions'!P26</f>
        <v>#DIV/0!</v>
      </c>
    </row>
    <row r="14" spans="2:20" ht="19.5" thickBot="1">
      <c r="B14" s="321" t="s">
        <v>969</v>
      </c>
      <c r="C14" s="351"/>
      <c r="D14" s="351"/>
      <c r="E14" s="352" t="e">
        <f>E13/D13-1</f>
        <v>#DIV/0!</v>
      </c>
      <c r="F14" s="352" t="e">
        <f>F13/E13-1</f>
        <v>#DIV/0!</v>
      </c>
      <c r="G14" s="352" t="e" cm="1">
        <f t="array" ref="G14">G13F13-1</f>
        <v>#NAME?</v>
      </c>
      <c r="H14" s="352">
        <f>H13/G13-1</f>
        <v>-0.18498523996169292</v>
      </c>
      <c r="L14" s="335" t="s">
        <v>970</v>
      </c>
      <c r="M14" s="336">
        <v>0</v>
      </c>
      <c r="O14" s="803">
        <f>O13/12</f>
        <v>44687.283200000005</v>
      </c>
      <c r="P14" s="805" t="s">
        <v>971</v>
      </c>
      <c r="R14" s="106" t="s">
        <v>164</v>
      </c>
      <c r="S14" s="110"/>
      <c r="T14" s="127">
        <f ca="1">'Inputs and Assumptions'!P27</f>
        <v>6.45499467725692E-2</v>
      </c>
    </row>
    <row r="15" spans="2:20" ht="19.5" thickBot="1">
      <c r="B15" s="347"/>
      <c r="C15" s="347"/>
      <c r="D15" s="347"/>
      <c r="E15" s="347"/>
      <c r="F15" s="347"/>
      <c r="G15" s="347"/>
      <c r="H15" s="347"/>
      <c r="I15" s="347"/>
      <c r="L15" s="349" t="s">
        <v>958</v>
      </c>
      <c r="M15" s="350">
        <v>0</v>
      </c>
      <c r="R15" s="106" t="s">
        <v>167</v>
      </c>
      <c r="S15" s="110"/>
      <c r="T15" s="127">
        <f ca="1">'Inputs and Assumptions'!P28</f>
        <v>6.9454478801679945E-2</v>
      </c>
    </row>
    <row r="16" spans="2:20" ht="20" thickTop="1" thickBot="1">
      <c r="D16" s="247"/>
      <c r="E16" s="1917"/>
      <c r="F16" s="1917"/>
      <c r="G16" s="1917"/>
      <c r="H16" s="1917"/>
      <c r="L16" s="353" t="s">
        <v>595</v>
      </c>
      <c r="M16" s="354">
        <f>SUM(M6:M15)</f>
        <v>5.8000000000000003E-2</v>
      </c>
      <c r="R16" s="141" t="s">
        <v>170</v>
      </c>
      <c r="S16" s="142"/>
      <c r="T16" s="156">
        <f ca="1">'Inputs and Assumptions'!P29</f>
        <v>5.5563583041343956E-2</v>
      </c>
    </row>
    <row r="17" spans="2:8">
      <c r="B17" s="355" t="s">
        <v>972</v>
      </c>
      <c r="C17" s="356"/>
      <c r="D17" s="357"/>
      <c r="E17" s="1917"/>
      <c r="F17" s="1917"/>
      <c r="G17" s="1917"/>
      <c r="H17" s="1917"/>
    </row>
    <row r="18" spans="2:8">
      <c r="B18" s="355" t="s">
        <v>973</v>
      </c>
      <c r="C18" s="358"/>
      <c r="D18" s="359"/>
      <c r="E18" s="1917"/>
      <c r="F18" s="1917"/>
      <c r="G18" s="1917"/>
      <c r="H18" s="1917"/>
    </row>
    <row r="19" spans="2:8">
      <c r="B19" s="128"/>
      <c r="C19" s="360"/>
      <c r="D19" s="361"/>
      <c r="E19" s="1917"/>
      <c r="F19" s="1917"/>
      <c r="G19" s="1917"/>
      <c r="H19" s="1917"/>
    </row>
    <row r="20" spans="2:8">
      <c r="E20" s="1917"/>
      <c r="F20" s="1917"/>
      <c r="G20" s="1917"/>
      <c r="H20" s="1917"/>
    </row>
  </sheetData>
  <mergeCells count="1">
    <mergeCell ref="E16:H20"/>
  </mergeCells>
  <pageMargins left="0.7" right="0.7" top="0.75" bottom="0.75" header="0.3" footer="0.3"/>
  <pageSetup scale="51"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theme="4"/>
    <pageSetUpPr fitToPage="1"/>
  </sheetPr>
  <dimension ref="B2:AB93"/>
  <sheetViews>
    <sheetView showGridLines="0" view="pageBreakPreview" zoomScale="85" zoomScaleNormal="100" zoomScaleSheetLayoutView="85" workbookViewId="0">
      <selection activeCell="Z31" sqref="Z31"/>
    </sheetView>
  </sheetViews>
  <sheetFormatPr defaultColWidth="9.1796875" defaultRowHeight="15.5" outlineLevelRow="1"/>
  <cols>
    <col min="1" max="1" width="9.1796875" style="1063"/>
    <col min="2" max="2" width="2.453125" style="1063" customWidth="1"/>
    <col min="3" max="3" width="11.26953125" style="1063" customWidth="1"/>
    <col min="4" max="4" width="10.1796875" style="1063" customWidth="1"/>
    <col min="5" max="5" width="10.453125" style="1063" customWidth="1"/>
    <col min="6" max="6" width="3.453125" style="1063" customWidth="1"/>
    <col min="7" max="7" width="15.7265625" style="1063" customWidth="1"/>
    <col min="8" max="8" width="2" style="1063" customWidth="1"/>
    <col min="9" max="9" width="15.7265625" style="1063" customWidth="1"/>
    <col min="10" max="10" width="0.81640625" style="1063" customWidth="1"/>
    <col min="11" max="11" width="15.7265625" style="1063" customWidth="1"/>
    <col min="12" max="12" width="2" style="1063" bestFit="1" customWidth="1"/>
    <col min="13" max="13" width="15.7265625" style="1063" customWidth="1"/>
    <col min="14" max="14" width="0.81640625" style="1063" customWidth="1"/>
    <col min="15" max="15" width="15.7265625" style="1063" customWidth="1"/>
    <col min="16" max="16" width="2" style="1063" customWidth="1"/>
    <col min="17" max="17" width="15.7265625" style="1063" customWidth="1"/>
    <col min="18" max="18" width="0.81640625" style="1063" customWidth="1"/>
    <col min="19" max="19" width="15.7265625" style="1063" customWidth="1"/>
    <col min="20" max="20" width="2" style="1063" bestFit="1" customWidth="1"/>
    <col min="21" max="21" width="15.7265625" style="1063" customWidth="1"/>
    <col min="22" max="22" width="0.81640625" style="1063" customWidth="1"/>
    <col min="23" max="23" width="15.54296875" style="1063" customWidth="1"/>
    <col min="24" max="24" width="2" style="1063" customWidth="1"/>
    <col min="25" max="25" width="9" style="1063" customWidth="1"/>
    <col min="26" max="27" width="18.54296875" style="1064" customWidth="1"/>
    <col min="28" max="28" width="18.54296875" style="1063" customWidth="1"/>
    <col min="29" max="16384" width="9.1796875" style="1063"/>
  </cols>
  <sheetData>
    <row r="2" spans="2:28">
      <c r="B2" s="1341"/>
      <c r="C2" s="1341"/>
      <c r="D2" s="1341"/>
      <c r="E2" s="1341"/>
      <c r="F2" s="1341"/>
      <c r="G2" s="1341"/>
      <c r="H2" s="1341"/>
      <c r="I2" s="1341"/>
      <c r="J2" s="1341"/>
      <c r="K2" s="1341"/>
      <c r="L2" s="1341"/>
      <c r="M2" s="1341"/>
      <c r="N2" s="1341"/>
      <c r="O2" s="1341"/>
      <c r="P2" s="1341"/>
      <c r="Q2" s="1341"/>
      <c r="R2" s="1341"/>
      <c r="S2" s="1341"/>
      <c r="T2" s="1341"/>
      <c r="U2" s="1341"/>
      <c r="V2" s="1341"/>
      <c r="W2" s="1341"/>
      <c r="X2" s="1341"/>
      <c r="Y2" s="1341"/>
    </row>
    <row r="3" spans="2:28" ht="28">
      <c r="B3" s="1341"/>
      <c r="C3" s="1342" t="str">
        <f>'Inputs and Assumptions'!property_name</f>
        <v>The Winchester</v>
      </c>
      <c r="D3" s="1341"/>
      <c r="E3" s="1341"/>
      <c r="F3" s="1341"/>
      <c r="G3" s="1341"/>
      <c r="H3" s="1341"/>
      <c r="I3" s="1341"/>
      <c r="J3" s="1341"/>
      <c r="K3" s="1341"/>
      <c r="L3" s="1341"/>
      <c r="M3" s="1341"/>
      <c r="N3" s="1341"/>
      <c r="O3" s="1341"/>
      <c r="P3" s="1341"/>
      <c r="Q3" s="1341"/>
      <c r="R3" s="1341"/>
      <c r="S3" s="1341"/>
      <c r="T3" s="1341"/>
      <c r="U3" s="1341"/>
      <c r="V3" s="1341"/>
      <c r="W3" s="1341"/>
      <c r="X3" s="1341"/>
      <c r="Y3" s="1341"/>
    </row>
    <row r="4" spans="2:28" ht="17.5">
      <c r="B4" s="1341"/>
      <c r="C4" s="1343" t="str">
        <f>'Inputs and Assumptions'!D7</f>
        <v>4450 Friends Xing NE, Huntsville, AL</v>
      </c>
      <c r="D4" s="1341"/>
      <c r="E4" s="1341"/>
      <c r="F4" s="1341"/>
      <c r="G4" s="1341"/>
      <c r="H4" s="1341"/>
      <c r="I4" s="1341"/>
      <c r="J4" s="1341"/>
      <c r="K4" s="1341"/>
      <c r="L4" s="1341"/>
      <c r="M4" s="1341"/>
      <c r="N4" s="1341"/>
      <c r="O4" s="1341"/>
      <c r="P4" s="1341"/>
      <c r="Q4" s="1341"/>
      <c r="R4" s="1341"/>
      <c r="S4" s="1341"/>
      <c r="T4" s="1341"/>
      <c r="U4" s="1341"/>
      <c r="V4" s="1341"/>
      <c r="W4" s="1341"/>
      <c r="X4" s="1341"/>
      <c r="Y4" s="1341"/>
    </row>
    <row r="5" spans="2:28" ht="17.5">
      <c r="B5" s="1341"/>
      <c r="C5" s="1344" t="str">
        <f>units&amp; " Units"</f>
        <v>264 Units</v>
      </c>
      <c r="D5" s="1341"/>
      <c r="E5" s="1341"/>
      <c r="F5" s="1341"/>
      <c r="G5" s="1341"/>
      <c r="H5" s="1341"/>
      <c r="I5" s="1341"/>
      <c r="J5" s="1341"/>
      <c r="K5" s="1341"/>
      <c r="L5" s="1341"/>
      <c r="M5" s="1341"/>
      <c r="N5" s="1341"/>
      <c r="O5" s="1341"/>
      <c r="P5" s="1341"/>
      <c r="Q5" s="1341"/>
      <c r="R5" s="1341"/>
      <c r="S5" s="1341"/>
      <c r="T5" s="1341"/>
      <c r="U5" s="1341"/>
      <c r="V5" s="1341"/>
      <c r="W5" s="1341"/>
      <c r="X5" s="1341"/>
      <c r="Y5" s="1341"/>
    </row>
    <row r="6" spans="2:28" ht="28">
      <c r="B6" s="1341"/>
      <c r="C6" s="1342" t="s">
        <v>974</v>
      </c>
      <c r="D6" s="1341"/>
      <c r="E6" s="1341"/>
      <c r="F6" s="1341"/>
      <c r="G6" s="1341"/>
      <c r="H6" s="1341"/>
      <c r="I6" s="1341"/>
      <c r="J6" s="1341"/>
      <c r="K6" s="1341"/>
      <c r="L6" s="1341"/>
      <c r="M6" s="1341"/>
      <c r="N6" s="1341"/>
      <c r="O6" s="1341"/>
      <c r="P6" s="1341"/>
      <c r="Q6" s="1341"/>
      <c r="R6" s="1341"/>
      <c r="S6" s="1341"/>
      <c r="T6" s="1341"/>
      <c r="U6" s="1341"/>
      <c r="V6" s="1341"/>
      <c r="W6" s="1341"/>
      <c r="X6" s="1341"/>
      <c r="Y6" s="1341"/>
    </row>
    <row r="7" spans="2:28">
      <c r="B7" s="1341"/>
      <c r="C7" s="1341"/>
      <c r="D7" s="1341"/>
      <c r="E7" s="1341"/>
      <c r="F7" s="1341"/>
      <c r="G7" s="1341"/>
      <c r="H7" s="1341"/>
      <c r="I7" s="1341"/>
      <c r="J7" s="1341"/>
      <c r="K7" s="1341"/>
      <c r="L7" s="1341"/>
      <c r="M7" s="1341"/>
      <c r="N7" s="1341"/>
      <c r="O7" s="1341"/>
      <c r="P7" s="1341"/>
      <c r="Q7" s="1341"/>
      <c r="R7" s="1341"/>
      <c r="S7" s="1341"/>
      <c r="T7" s="1341"/>
      <c r="U7" s="1341"/>
      <c r="V7" s="1341"/>
      <c r="W7" s="1341"/>
      <c r="X7" s="1341"/>
      <c r="Y7" s="1341"/>
    </row>
    <row r="9" spans="2:28">
      <c r="C9" s="1065"/>
      <c r="D9" s="1065"/>
      <c r="E9" s="1065"/>
      <c r="F9" s="1065"/>
      <c r="G9" s="1920"/>
      <c r="H9" s="1920"/>
      <c r="I9" s="1920"/>
      <c r="J9" s="1065"/>
      <c r="K9" s="1065"/>
      <c r="L9" s="1065"/>
      <c r="M9" s="1065"/>
      <c r="N9" s="1065"/>
      <c r="O9" s="1065"/>
      <c r="P9" s="1065"/>
      <c r="Q9" s="1065"/>
      <c r="R9" s="1065"/>
      <c r="S9" s="1065"/>
      <c r="T9" s="1065"/>
      <c r="U9" s="1065"/>
      <c r="V9" s="1065"/>
      <c r="W9" s="1065"/>
      <c r="AA9" s="1065"/>
    </row>
    <row r="10" spans="2:28" ht="19">
      <c r="C10" s="1190" t="s">
        <v>975</v>
      </c>
      <c r="D10" s="1921">
        <f ca="1">TODAY()</f>
        <v>46085</v>
      </c>
      <c r="E10" s="1921"/>
      <c r="F10" s="1093"/>
      <c r="G10" s="1922"/>
      <c r="H10" s="1923"/>
      <c r="I10" s="1923"/>
      <c r="J10" s="1191"/>
      <c r="K10" s="1923"/>
      <c r="L10" s="1923"/>
      <c r="M10" s="1923"/>
      <c r="N10" s="1066"/>
      <c r="O10" s="1923"/>
      <c r="P10" s="1923"/>
      <c r="Q10" s="1923"/>
      <c r="R10" s="1066"/>
      <c r="S10" s="1923"/>
      <c r="T10" s="1923"/>
      <c r="U10" s="1923"/>
      <c r="V10" s="1066"/>
      <c r="W10" s="1926"/>
      <c r="X10" s="1926"/>
      <c r="Y10" s="1926"/>
      <c r="Z10" s="1521"/>
      <c r="AA10" s="1522"/>
      <c r="AB10" s="1523"/>
    </row>
    <row r="11" spans="2:28" ht="19.5" thickBot="1">
      <c r="B11" s="1067"/>
      <c r="C11" s="1136" t="s">
        <v>976</v>
      </c>
      <c r="D11" s="1136"/>
      <c r="E11" s="1136"/>
      <c r="F11" s="1185"/>
      <c r="G11" s="1924" t="s">
        <v>88</v>
      </c>
      <c r="H11" s="1924"/>
      <c r="I11" s="1924"/>
      <c r="J11" s="1186"/>
      <c r="K11" s="1924" t="s">
        <v>88</v>
      </c>
      <c r="L11" s="1924"/>
      <c r="M11" s="1924"/>
      <c r="N11" s="1068"/>
      <c r="O11" s="1924" t="s">
        <v>977</v>
      </c>
      <c r="P11" s="1924"/>
      <c r="Q11" s="1924"/>
      <c r="R11" s="1066"/>
      <c r="S11" s="1924" t="s">
        <v>978</v>
      </c>
      <c r="T11" s="1924"/>
      <c r="U11" s="1924"/>
      <c r="V11" s="1066"/>
      <c r="W11" s="1926"/>
      <c r="X11" s="1926"/>
      <c r="Y11" s="1926"/>
      <c r="Z11" s="1521"/>
      <c r="AA11" s="1524"/>
      <c r="AB11" s="1525"/>
    </row>
    <row r="12" spans="2:28" ht="19">
      <c r="B12" s="1067"/>
      <c r="C12" s="1139" t="s">
        <v>979</v>
      </c>
      <c r="D12" s="1139"/>
      <c r="E12" s="1139"/>
      <c r="F12" s="1187"/>
      <c r="G12" s="1927">
        <f>ROUND(-PV(G20/12,G22*12,$Q$71/G15/12),-4)</f>
        <v>22250000</v>
      </c>
      <c r="H12" s="1927"/>
      <c r="I12" s="1927"/>
      <c r="J12" s="1801"/>
      <c r="K12" s="1927">
        <f>ROUND(-PV(K20/12,K22*12,$Q$71/K15/12),-4)</f>
        <v>22010000</v>
      </c>
      <c r="L12" s="1927"/>
      <c r="M12" s="1927"/>
      <c r="N12" s="1802"/>
      <c r="O12" s="1927" t="s">
        <v>980</v>
      </c>
      <c r="P12" s="1927"/>
      <c r="Q12" s="1927"/>
      <c r="R12" s="1802"/>
      <c r="S12" s="1927" t="s">
        <v>980</v>
      </c>
      <c r="T12" s="1927"/>
      <c r="U12" s="1927"/>
      <c r="V12" s="1070"/>
      <c r="W12" s="1925"/>
      <c r="X12" s="1925"/>
      <c r="Y12" s="1925"/>
      <c r="Z12" s="1521"/>
      <c r="AA12" s="1524"/>
      <c r="AB12" s="1525"/>
    </row>
    <row r="13" spans="2:28" ht="19" hidden="1" outlineLevel="1">
      <c r="B13" s="1067"/>
      <c r="C13" s="1139" t="s">
        <v>981</v>
      </c>
      <c r="D13" s="1139"/>
      <c r="E13" s="1139"/>
      <c r="F13" s="1187"/>
      <c r="G13" s="1918">
        <f>G12/'Inputs and Assumptions'!$D$11</f>
        <v>0.41203703703703703</v>
      </c>
      <c r="H13" s="1918"/>
      <c r="I13" s="1918"/>
      <c r="J13" s="1188"/>
      <c r="K13" s="1918">
        <f>K12/'Inputs and Assumptions'!$D$11</f>
        <v>0.40759259259259262</v>
      </c>
      <c r="L13" s="1918"/>
      <c r="M13" s="1918"/>
      <c r="N13" s="1070"/>
      <c r="O13" s="1918">
        <v>0.7</v>
      </c>
      <c r="P13" s="1918"/>
      <c r="Q13" s="1918"/>
      <c r="R13" s="1070"/>
      <c r="S13" s="1918">
        <v>0.7</v>
      </c>
      <c r="T13" s="1918"/>
      <c r="U13" s="1918"/>
      <c r="V13" s="1072"/>
      <c r="W13" s="1931"/>
      <c r="X13" s="1931"/>
      <c r="Y13" s="1931"/>
      <c r="Z13" s="1071"/>
      <c r="AA13" s="1065"/>
    </row>
    <row r="14" spans="2:28" ht="19" collapsed="1">
      <c r="B14" s="1067"/>
      <c r="C14" s="1139" t="s">
        <v>982</v>
      </c>
      <c r="D14" s="1139"/>
      <c r="E14" s="1139"/>
      <c r="F14" s="1139"/>
      <c r="G14" s="1919" t="s">
        <v>983</v>
      </c>
      <c r="H14" s="1918"/>
      <c r="I14" s="1918"/>
      <c r="J14" s="1369"/>
      <c r="K14" s="1919" t="s">
        <v>983</v>
      </c>
      <c r="L14" s="1918"/>
      <c r="M14" s="1918"/>
      <c r="N14" s="1072"/>
      <c r="O14" s="1919" t="s">
        <v>984</v>
      </c>
      <c r="P14" s="1918"/>
      <c r="Q14" s="1918"/>
      <c r="R14" s="1072"/>
      <c r="S14" s="1919" t="s">
        <v>985</v>
      </c>
      <c r="T14" s="1918"/>
      <c r="U14" s="1918"/>
      <c r="V14" s="1073"/>
      <c r="W14" s="1930"/>
      <c r="X14" s="1930"/>
      <c r="Y14" s="1930"/>
      <c r="Z14" s="1071"/>
      <c r="AA14" s="1065"/>
    </row>
    <row r="15" spans="2:28" ht="19">
      <c r="B15" s="1067"/>
      <c r="C15" s="1139" t="s">
        <v>986</v>
      </c>
      <c r="D15" s="1139"/>
      <c r="E15" s="1139"/>
      <c r="F15" s="1139"/>
      <c r="G15" s="1929">
        <v>1.25</v>
      </c>
      <c r="H15" s="1929"/>
      <c r="I15" s="1929"/>
      <c r="J15" s="1373"/>
      <c r="K15" s="1929">
        <v>1.25</v>
      </c>
      <c r="L15" s="1929"/>
      <c r="M15" s="1929"/>
      <c r="N15" s="1374"/>
      <c r="O15" s="1929" t="s">
        <v>987</v>
      </c>
      <c r="P15" s="1929"/>
      <c r="Q15" s="1929"/>
      <c r="R15" s="1374"/>
      <c r="S15" s="1929">
        <v>1.05</v>
      </c>
      <c r="T15" s="1929"/>
      <c r="U15" s="1929"/>
      <c r="V15" s="1074"/>
      <c r="W15" s="1928"/>
      <c r="X15" s="1928"/>
      <c r="Y15" s="1928"/>
      <c r="Z15" s="1491"/>
      <c r="AA15" s="1526"/>
      <c r="AB15" s="1525"/>
    </row>
    <row r="16" spans="2:28" ht="19">
      <c r="B16" s="1067"/>
      <c r="C16" s="1139" t="s">
        <v>17</v>
      </c>
      <c r="D16" s="1139"/>
      <c r="E16" s="1139"/>
      <c r="F16" s="1139"/>
      <c r="G16" s="1923" t="s">
        <v>988</v>
      </c>
      <c r="H16" s="1923"/>
      <c r="I16" s="1923"/>
      <c r="J16" s="1191"/>
      <c r="K16" s="1923" t="s">
        <v>988</v>
      </c>
      <c r="L16" s="1923"/>
      <c r="M16" s="1923"/>
      <c r="N16" s="1066"/>
      <c r="O16" s="1923" t="s">
        <v>989</v>
      </c>
      <c r="P16" s="1923"/>
      <c r="Q16" s="1923"/>
      <c r="R16" s="1066"/>
      <c r="S16" s="1923" t="s">
        <v>990</v>
      </c>
      <c r="T16" s="1923"/>
      <c r="U16" s="1923"/>
      <c r="V16" s="1074"/>
      <c r="W16" s="1074"/>
      <c r="X16" s="1074"/>
      <c r="Y16" s="1074"/>
      <c r="Z16" s="1491"/>
      <c r="AA16" s="1526"/>
      <c r="AB16" s="1525"/>
    </row>
    <row r="17" spans="2:28" ht="19">
      <c r="B17" s="1067"/>
      <c r="C17" s="1139" t="s">
        <v>991</v>
      </c>
      <c r="D17" s="1139"/>
      <c r="E17" s="1139"/>
      <c r="F17" s="1139"/>
      <c r="G17" s="1951" t="s">
        <v>12</v>
      </c>
      <c r="H17" s="1951"/>
      <c r="I17" s="1951"/>
      <c r="J17" s="1357"/>
      <c r="K17" s="1951" t="s">
        <v>16</v>
      </c>
      <c r="L17" s="1951"/>
      <c r="M17" s="1951"/>
      <c r="N17" s="1076"/>
      <c r="O17" s="1951" t="s">
        <v>16</v>
      </c>
      <c r="P17" s="1951"/>
      <c r="Q17" s="1951"/>
      <c r="R17" s="1076"/>
      <c r="S17" s="1951" t="s">
        <v>992</v>
      </c>
      <c r="T17" s="1951"/>
      <c r="U17" s="1951"/>
      <c r="V17" s="1069"/>
      <c r="W17" s="1069"/>
      <c r="Z17" s="1491"/>
      <c r="AA17" s="1526"/>
      <c r="AB17" s="1525"/>
    </row>
    <row r="18" spans="2:28" s="1235" customFormat="1" ht="18.75" customHeight="1" outlineLevel="1">
      <c r="B18" s="1229"/>
      <c r="C18" s="1189" t="s">
        <v>993</v>
      </c>
      <c r="D18" s="1189"/>
      <c r="E18" s="1189"/>
      <c r="F18" s="1189"/>
      <c r="G18" s="1947">
        <v>3.7999999999999999E-2</v>
      </c>
      <c r="H18" s="1947"/>
      <c r="I18" s="1948"/>
      <c r="J18" s="1380"/>
      <c r="K18" s="1947">
        <v>3.5000000000000003E-2</v>
      </c>
      <c r="L18" s="1947"/>
      <c r="M18" s="1948"/>
      <c r="N18" s="1232"/>
      <c r="O18" s="1947">
        <v>0.04</v>
      </c>
      <c r="P18" s="1947"/>
      <c r="Q18" s="1948"/>
      <c r="R18" s="1232"/>
      <c r="S18" s="1947">
        <v>7.0000000000000007E-2</v>
      </c>
      <c r="T18" s="1947"/>
      <c r="U18" s="1948"/>
      <c r="V18" s="1230"/>
      <c r="W18" s="1231"/>
      <c r="X18" s="1232"/>
      <c r="Y18" s="1230"/>
      <c r="Z18" s="1233"/>
      <c r="AA18" s="1234"/>
    </row>
    <row r="19" spans="2:28" s="1235" customFormat="1" ht="18.75" customHeight="1" outlineLevel="1">
      <c r="B19" s="1229"/>
      <c r="C19" s="1189" t="s">
        <v>994</v>
      </c>
      <c r="D19" s="1189"/>
      <c r="E19" s="1189"/>
      <c r="F19" s="1189"/>
      <c r="G19" s="1381">
        <v>1.7000000000000001E-2</v>
      </c>
      <c r="H19" s="1380" t="s">
        <v>995</v>
      </c>
      <c r="I19" s="1382">
        <v>1.9E-2</v>
      </c>
      <c r="J19" s="1383"/>
      <c r="K19" s="1381">
        <v>2.1000000000000001E-2</v>
      </c>
      <c r="L19" s="1380" t="s">
        <v>995</v>
      </c>
      <c r="M19" s="1382">
        <v>2.3E-2</v>
      </c>
      <c r="N19" s="1230"/>
      <c r="O19" s="1381">
        <v>3.85E-2</v>
      </c>
      <c r="P19" s="1380" t="s">
        <v>995</v>
      </c>
      <c r="Q19" s="1382">
        <v>4.1500000000000002E-2</v>
      </c>
      <c r="R19" s="1230"/>
      <c r="S19" s="1381">
        <v>0</v>
      </c>
      <c r="T19" s="1380" t="s">
        <v>995</v>
      </c>
      <c r="U19" s="1382">
        <v>5.0000000000000001E-3</v>
      </c>
      <c r="V19" s="1230"/>
      <c r="W19" s="1231"/>
      <c r="X19" s="1232"/>
      <c r="Y19" s="1230"/>
      <c r="Z19" s="1233"/>
      <c r="AA19" s="1234"/>
    </row>
    <row r="20" spans="2:28" ht="19">
      <c r="B20" s="1067"/>
      <c r="C20" s="1139" t="s">
        <v>996</v>
      </c>
      <c r="D20" s="1139"/>
      <c r="E20" s="1139"/>
      <c r="F20" s="1139"/>
      <c r="G20" s="1362">
        <f>G18+G19</f>
        <v>5.5E-2</v>
      </c>
      <c r="H20" s="1363" t="s">
        <v>995</v>
      </c>
      <c r="I20" s="1364">
        <f>G18+I19</f>
        <v>5.6999999999999995E-2</v>
      </c>
      <c r="J20" s="1365"/>
      <c r="K20" s="1362">
        <f>K18+K19</f>
        <v>5.6000000000000008E-2</v>
      </c>
      <c r="L20" s="1363" t="s">
        <v>995</v>
      </c>
      <c r="M20" s="1364">
        <f>K18+M19</f>
        <v>5.8000000000000003E-2</v>
      </c>
      <c r="N20" s="1366"/>
      <c r="O20" s="1362">
        <f>O18+O19</f>
        <v>7.85E-2</v>
      </c>
      <c r="P20" s="1363" t="s">
        <v>995</v>
      </c>
      <c r="Q20" s="1364">
        <f>O18+Q19</f>
        <v>8.1500000000000003E-2</v>
      </c>
      <c r="R20" s="1366"/>
      <c r="S20" s="1362">
        <f>S18+S19</f>
        <v>7.0000000000000007E-2</v>
      </c>
      <c r="T20" s="1363" t="s">
        <v>995</v>
      </c>
      <c r="U20" s="1364">
        <f>S18+U19</f>
        <v>7.5000000000000011E-2</v>
      </c>
      <c r="V20" s="1075"/>
      <c r="W20" s="1949"/>
      <c r="X20" s="1949"/>
      <c r="Y20" s="1949"/>
      <c r="Z20" s="1071"/>
      <c r="AA20" s="1065"/>
    </row>
    <row r="21" spans="2:28" ht="19">
      <c r="B21" s="1067"/>
      <c r="C21" s="1139" t="s">
        <v>997</v>
      </c>
      <c r="D21" s="1139"/>
      <c r="E21" s="1139"/>
      <c r="F21" s="1139"/>
      <c r="G21" s="1932" t="s">
        <v>998</v>
      </c>
      <c r="H21" s="1932"/>
      <c r="I21" s="1932"/>
      <c r="J21" s="1367"/>
      <c r="K21" s="1932" t="s">
        <v>998</v>
      </c>
      <c r="L21" s="1932"/>
      <c r="M21" s="1932"/>
      <c r="N21" s="1368"/>
      <c r="O21" s="1932" t="s">
        <v>999</v>
      </c>
      <c r="P21" s="1932"/>
      <c r="Q21" s="1932"/>
      <c r="R21" s="1368"/>
      <c r="S21" s="1932" t="s">
        <v>998</v>
      </c>
      <c r="T21" s="1932"/>
      <c r="U21" s="1932"/>
      <c r="V21" s="1066"/>
      <c r="W21" s="1926"/>
      <c r="X21" s="1926"/>
      <c r="Y21" s="1926"/>
      <c r="Z21" s="1071"/>
      <c r="AA21" s="1065"/>
    </row>
    <row r="22" spans="2:28" ht="19">
      <c r="B22" s="1067"/>
      <c r="C22" s="1139" t="s">
        <v>1000</v>
      </c>
      <c r="D22" s="1139"/>
      <c r="E22" s="1139"/>
      <c r="F22" s="1139"/>
      <c r="G22" s="1933">
        <v>30</v>
      </c>
      <c r="H22" s="1934"/>
      <c r="I22" s="1934"/>
      <c r="J22" s="1487"/>
      <c r="K22" s="1933">
        <v>30</v>
      </c>
      <c r="L22" s="1934"/>
      <c r="M22" s="1934"/>
      <c r="N22" s="1066"/>
      <c r="O22" s="1935" t="s">
        <v>987</v>
      </c>
      <c r="P22" s="1923"/>
      <c r="Q22" s="1923"/>
      <c r="R22" s="1066"/>
      <c r="S22" s="1935" t="s">
        <v>1001</v>
      </c>
      <c r="T22" s="1923"/>
      <c r="U22" s="1923"/>
      <c r="V22" s="1072"/>
      <c r="W22" s="1926"/>
      <c r="X22" s="1926"/>
      <c r="Y22" s="1926"/>
      <c r="Z22" s="1071"/>
      <c r="AA22" s="1065"/>
    </row>
    <row r="23" spans="2:28" ht="19">
      <c r="B23" s="1067"/>
      <c r="C23" s="1139" t="s">
        <v>1002</v>
      </c>
      <c r="D23" s="1139"/>
      <c r="E23" s="1139"/>
      <c r="F23" s="1139"/>
      <c r="G23" s="1950" t="s">
        <v>1003</v>
      </c>
      <c r="H23" s="1951"/>
      <c r="I23" s="1951"/>
      <c r="J23" s="1357"/>
      <c r="K23" s="1950" t="s">
        <v>1004</v>
      </c>
      <c r="L23" s="1951"/>
      <c r="M23" s="1951"/>
      <c r="N23" s="1076"/>
      <c r="O23" s="1950" t="s">
        <v>1005</v>
      </c>
      <c r="P23" s="1951"/>
      <c r="Q23" s="1951"/>
      <c r="R23" s="1076"/>
      <c r="S23" s="1950" t="s">
        <v>1006</v>
      </c>
      <c r="T23" s="1951"/>
      <c r="U23" s="1951"/>
      <c r="V23" s="1066"/>
      <c r="W23" s="1926"/>
      <c r="X23" s="1926"/>
      <c r="Y23" s="1926"/>
      <c r="Z23" s="1071"/>
      <c r="AA23" s="1065"/>
    </row>
    <row r="24" spans="2:28" ht="19">
      <c r="B24" s="1067"/>
      <c r="C24" s="1139" t="s">
        <v>1007</v>
      </c>
      <c r="D24" s="1139"/>
      <c r="E24" s="1139"/>
      <c r="F24" s="1139"/>
      <c r="G24" s="1923" t="s">
        <v>1008</v>
      </c>
      <c r="H24" s="1923"/>
      <c r="I24" s="1923"/>
      <c r="J24" s="1191"/>
      <c r="K24" s="1923" t="s">
        <v>1009</v>
      </c>
      <c r="L24" s="1923"/>
      <c r="M24" s="1923"/>
      <c r="N24" s="1066"/>
      <c r="O24" s="1923" t="s">
        <v>1008</v>
      </c>
      <c r="P24" s="1923"/>
      <c r="Q24" s="1923"/>
      <c r="R24" s="1066"/>
      <c r="S24" s="1923" t="s">
        <v>1010</v>
      </c>
      <c r="T24" s="1923"/>
      <c r="U24" s="1923"/>
      <c r="V24" s="1066"/>
      <c r="W24" s="1926"/>
      <c r="X24" s="1926"/>
      <c r="Y24" s="1926"/>
      <c r="Z24" s="1071"/>
      <c r="AA24" s="1077"/>
    </row>
    <row r="25" spans="2:28" ht="6" customHeight="1" thickBot="1">
      <c r="B25" s="1067"/>
      <c r="C25" s="1069"/>
      <c r="D25" s="1069"/>
      <c r="E25" s="1069"/>
      <c r="F25" s="1069"/>
      <c r="G25" s="1066"/>
      <c r="H25" s="1066"/>
      <c r="I25" s="1066"/>
      <c r="J25" s="1066"/>
      <c r="K25" s="1066"/>
      <c r="L25" s="1066"/>
      <c r="M25" s="1066"/>
      <c r="N25" s="1066"/>
      <c r="O25" s="101"/>
      <c r="P25" s="101"/>
      <c r="Q25" s="101"/>
      <c r="R25" s="1069"/>
      <c r="S25" s="1069"/>
      <c r="T25" s="1069"/>
      <c r="U25" s="1069"/>
      <c r="V25" s="1069"/>
      <c r="W25" s="1069"/>
      <c r="Z25" s="1071"/>
      <c r="AA25" s="1077"/>
    </row>
    <row r="26" spans="2:28" ht="18.75" customHeight="1" thickBot="1">
      <c r="B26" s="1067"/>
      <c r="C26" s="1069"/>
      <c r="D26" s="1069"/>
      <c r="E26" s="1069"/>
      <c r="F26" s="1069"/>
      <c r="G26" s="1944" t="s">
        <v>1011</v>
      </c>
      <c r="H26" s="1945"/>
      <c r="I26" s="1945"/>
      <c r="J26" s="1945"/>
      <c r="K26" s="1945"/>
      <c r="L26" s="1945"/>
      <c r="M26" s="1946"/>
      <c r="N26"/>
      <c r="O26" s="1375"/>
      <c r="P26" s="1375"/>
      <c r="Q26" s="1375"/>
      <c r="R26" s="1375"/>
      <c r="S26" s="1375"/>
      <c r="T26" s="1375"/>
      <c r="U26" s="1375"/>
      <c r="V26" s="1069"/>
      <c r="W26" s="1069"/>
      <c r="Z26" s="1071"/>
      <c r="AA26" s="1077"/>
    </row>
    <row r="27" spans="2:28" ht="9" customHeight="1">
      <c r="B27" s="1067"/>
      <c r="C27" s="1069"/>
      <c r="D27" s="1069"/>
      <c r="E27" s="1069"/>
      <c r="F27" s="1069"/>
      <c r="G27" s="1066"/>
      <c r="H27" s="1066"/>
      <c r="I27" s="1066"/>
      <c r="J27" s="1066"/>
      <c r="K27" s="1066"/>
      <c r="L27" s="1066"/>
      <c r="M27" s="1066"/>
      <c r="N27" s="1066"/>
      <c r="O27" s="101"/>
      <c r="P27" s="101"/>
      <c r="Q27" s="101"/>
      <c r="R27" s="1069"/>
      <c r="S27" s="1069"/>
      <c r="T27" s="1069"/>
      <c r="U27" s="1069"/>
      <c r="V27" s="1069"/>
      <c r="W27" s="1069"/>
      <c r="Z27" s="1071"/>
      <c r="AA27" s="1077"/>
    </row>
    <row r="28" spans="2:28" ht="19">
      <c r="B28" s="1067"/>
      <c r="C28" s="1356" t="s">
        <v>1012</v>
      </c>
      <c r="D28" s="1069"/>
      <c r="E28" s="1069"/>
      <c r="F28" s="1069"/>
      <c r="G28" s="1359"/>
      <c r="H28" s="1360"/>
      <c r="I28" s="1361"/>
      <c r="J28" s="1066"/>
      <c r="K28" s="1359"/>
      <c r="L28" s="1360"/>
      <c r="M28" s="1361"/>
      <c r="N28" s="1066"/>
      <c r="O28" s="1359"/>
      <c r="P28" s="1360"/>
      <c r="Q28" s="1361"/>
      <c r="R28" s="1069"/>
      <c r="S28" s="1359"/>
      <c r="T28" s="1360"/>
      <c r="U28" s="1361"/>
      <c r="V28" s="1069"/>
      <c r="W28" s="1069"/>
      <c r="Z28" s="1071"/>
      <c r="AA28" s="1077"/>
    </row>
    <row r="29" spans="2:28">
      <c r="B29" s="1067"/>
      <c r="C29" s="1356" t="s">
        <v>1013</v>
      </c>
      <c r="D29" s="1067"/>
      <c r="E29" s="1067"/>
      <c r="F29" s="1067"/>
      <c r="G29" s="1067"/>
      <c r="H29" s="1067"/>
      <c r="I29" s="1067"/>
      <c r="J29" s="1067"/>
      <c r="K29" s="1067"/>
      <c r="L29" s="1067"/>
      <c r="M29" s="1067"/>
      <c r="N29" s="1067"/>
      <c r="P29" s="1078"/>
      <c r="Q29" s="1079"/>
      <c r="R29" s="1079"/>
      <c r="S29" s="1079"/>
      <c r="T29" s="1078"/>
      <c r="U29" s="1078"/>
      <c r="V29" s="1078"/>
      <c r="W29" s="1078"/>
      <c r="Z29" s="1080"/>
      <c r="AA29" s="1077"/>
    </row>
    <row r="30" spans="2:28" s="1235" customFormat="1" outlineLevel="1">
      <c r="B30" s="1229"/>
      <c r="C30" s="1370" t="s">
        <v>1014</v>
      </c>
      <c r="D30" s="1229"/>
      <c r="E30" s="1229"/>
      <c r="F30" s="1229"/>
      <c r="G30" s="1229"/>
      <c r="H30" s="1229"/>
      <c r="I30" s="1229"/>
      <c r="J30" s="1229"/>
      <c r="K30" s="1229"/>
      <c r="L30" s="1229"/>
      <c r="M30" s="1229"/>
      <c r="N30" s="1229"/>
      <c r="P30" s="1376"/>
      <c r="Q30" s="1377"/>
      <c r="R30" s="1377"/>
      <c r="S30" s="1377"/>
      <c r="T30" s="1376"/>
      <c r="U30" s="1376"/>
      <c r="V30" s="1376"/>
      <c r="W30" s="1376"/>
      <c r="Z30" s="1378"/>
      <c r="AA30" s="1379"/>
    </row>
    <row r="31" spans="2:28" s="1235" customFormat="1" outlineLevel="1">
      <c r="B31" s="1229"/>
      <c r="C31" s="1370" t="s">
        <v>1015</v>
      </c>
      <c r="D31" s="1229"/>
      <c r="E31" s="1229"/>
      <c r="F31" s="1229"/>
      <c r="G31" s="1229"/>
      <c r="H31" s="1229"/>
      <c r="I31" s="1229"/>
      <c r="J31" s="1229"/>
      <c r="K31" s="1229"/>
      <c r="L31" s="1229"/>
      <c r="M31" s="1229"/>
      <c r="N31" s="1229"/>
      <c r="P31" s="1376"/>
      <c r="Q31" s="1377"/>
      <c r="R31" s="1377"/>
      <c r="S31" s="1377"/>
      <c r="T31" s="1376"/>
      <c r="U31" s="1376"/>
      <c r="V31" s="1376"/>
      <c r="W31" s="1376"/>
      <c r="Z31" s="1378"/>
      <c r="AA31" s="1379"/>
    </row>
    <row r="32" spans="2:28">
      <c r="B32" s="1067"/>
      <c r="C32" s="1356"/>
      <c r="D32" s="1067"/>
      <c r="E32" s="1067"/>
      <c r="F32" s="1067"/>
      <c r="G32" s="1067"/>
      <c r="H32" s="1067"/>
      <c r="I32" s="1067"/>
      <c r="J32" s="1067"/>
      <c r="K32" s="1067"/>
      <c r="L32" s="1067"/>
      <c r="M32" s="1067"/>
      <c r="N32" s="1067"/>
      <c r="P32" s="1078"/>
      <c r="Q32" s="1079"/>
      <c r="R32" s="1079"/>
      <c r="S32" s="1079"/>
      <c r="T32" s="1078"/>
      <c r="U32" s="1078"/>
      <c r="V32" s="1078"/>
      <c r="W32" s="1078"/>
      <c r="Z32" s="1080"/>
      <c r="AA32" s="1077"/>
    </row>
    <row r="33" spans="2:27">
      <c r="B33" s="1067"/>
      <c r="C33" s="1356"/>
      <c r="D33" s="1067"/>
      <c r="E33" s="1067"/>
      <c r="F33" s="1067"/>
      <c r="G33" s="1067"/>
      <c r="H33" s="1067"/>
      <c r="I33" s="1067"/>
      <c r="J33" s="1067"/>
      <c r="K33" s="1067"/>
      <c r="L33" s="1067"/>
      <c r="M33" s="1067"/>
      <c r="N33" s="1067"/>
      <c r="P33" s="1078"/>
      <c r="Q33" s="1079"/>
      <c r="R33" s="1079"/>
      <c r="S33" s="1079"/>
      <c r="T33" s="1078"/>
      <c r="U33" s="1078"/>
      <c r="V33" s="1078"/>
      <c r="W33" s="1078"/>
      <c r="Z33" s="1080"/>
      <c r="AA33" s="1077"/>
    </row>
    <row r="34" spans="2:27" s="1093" customFormat="1" ht="19.5" thickBot="1">
      <c r="C34" s="1136" t="s">
        <v>1016</v>
      </c>
      <c r="D34" s="1096"/>
      <c r="E34" s="1096"/>
      <c r="F34" s="1096"/>
      <c r="G34" s="1096"/>
      <c r="H34" s="1096"/>
      <c r="I34" s="1096"/>
      <c r="J34" s="1096"/>
      <c r="K34" s="1096"/>
      <c r="L34" s="1096"/>
      <c r="M34" s="1096"/>
      <c r="N34" s="1096"/>
      <c r="O34" s="1096"/>
      <c r="P34" s="1096"/>
      <c r="Q34" s="1137"/>
      <c r="R34" s="1137"/>
      <c r="S34" s="1096"/>
      <c r="T34" s="1096"/>
      <c r="U34" s="1096"/>
      <c r="V34" s="1096"/>
      <c r="W34" s="1096"/>
      <c r="X34" s="1096"/>
      <c r="Y34" s="1096"/>
      <c r="Z34" s="1095"/>
      <c r="AA34" s="1095"/>
    </row>
    <row r="35" spans="2:27" s="1093" customFormat="1" ht="19">
      <c r="C35" s="1139" t="str">
        <f>'Inputs and Assumptions'!property_name</f>
        <v>The Winchester</v>
      </c>
      <c r="D35" s="1138"/>
      <c r="E35" s="1138"/>
      <c r="F35" s="1138"/>
      <c r="G35" s="1138"/>
      <c r="H35" s="1138"/>
      <c r="I35" s="1138"/>
      <c r="J35" s="1138"/>
      <c r="K35" s="1358" t="s">
        <v>1017</v>
      </c>
      <c r="L35" s="1138"/>
      <c r="M35" s="1138"/>
      <c r="N35" s="1138"/>
      <c r="O35" s="1138"/>
      <c r="P35" s="1138"/>
      <c r="Q35" s="1138"/>
      <c r="R35" s="1138"/>
      <c r="S35" s="1138"/>
      <c r="T35" s="1138"/>
      <c r="U35" s="1138"/>
      <c r="V35" s="1138"/>
      <c r="W35" s="1138"/>
      <c r="Z35" s="1095"/>
      <c r="AA35" s="1095"/>
    </row>
    <row r="36" spans="2:27" s="1093" customFormat="1" ht="17.5">
      <c r="C36" s="1227">
        <f>'Inputs and Assumptions'!D8</f>
        <v>2024</v>
      </c>
      <c r="D36" s="1228" t="s">
        <v>104</v>
      </c>
      <c r="G36" s="1941">
        <f>EOMONTH('T12'!M6,0)</f>
        <v>46022</v>
      </c>
      <c r="H36" s="1941"/>
      <c r="I36" s="1941"/>
      <c r="J36" s="1140"/>
      <c r="K36" s="1941">
        <f>EOMONTH('T12'!M6,0)</f>
        <v>46022</v>
      </c>
      <c r="L36" s="1941"/>
      <c r="M36" s="1941"/>
      <c r="N36" s="1140"/>
      <c r="Q36" s="1942" t="s">
        <v>1018</v>
      </c>
      <c r="R36" s="1942"/>
      <c r="S36" s="1942"/>
      <c r="T36" s="1141"/>
      <c r="Z36" s="1095"/>
      <c r="AA36" s="1095"/>
    </row>
    <row r="37" spans="2:27" s="1093" customFormat="1" ht="17.5">
      <c r="C37" s="1142">
        <f>units</f>
        <v>264</v>
      </c>
      <c r="D37" s="1143" t="s">
        <v>111</v>
      </c>
      <c r="E37" s="1144"/>
      <c r="F37" s="1144"/>
      <c r="G37" s="1943" t="s">
        <v>1019</v>
      </c>
      <c r="H37" s="1943"/>
      <c r="I37" s="1943"/>
      <c r="J37" s="1145"/>
      <c r="K37" s="1943" t="str">
        <f>K35&amp;" Annualized"</f>
        <v>T-3 Annualized</v>
      </c>
      <c r="L37" s="1943"/>
      <c r="M37" s="1943"/>
      <c r="N37" s="1145"/>
      <c r="O37" s="1144"/>
      <c r="P37" s="1144"/>
      <c r="Q37" s="1943" t="s">
        <v>1020</v>
      </c>
      <c r="R37" s="1943"/>
      <c r="S37" s="1943"/>
      <c r="T37" s="1141"/>
      <c r="U37" s="1141"/>
      <c r="V37" s="1141"/>
      <c r="Z37" s="1095"/>
      <c r="AA37" s="1095"/>
    </row>
    <row r="38" spans="2:27" s="1146" customFormat="1">
      <c r="D38" s="1147"/>
      <c r="E38" s="1147"/>
      <c r="F38" s="1147"/>
      <c r="G38" s="1147"/>
      <c r="H38" s="1147"/>
      <c r="I38" s="1147" t="s">
        <v>971</v>
      </c>
      <c r="J38" s="1147"/>
      <c r="K38" s="1147"/>
      <c r="L38" s="1147"/>
      <c r="M38" s="1147" t="s">
        <v>971</v>
      </c>
      <c r="N38" s="1147"/>
      <c r="O38" s="1147"/>
      <c r="P38" s="1147"/>
      <c r="Q38" s="1147"/>
      <c r="R38" s="1147"/>
      <c r="S38" s="1147" t="s">
        <v>971</v>
      </c>
      <c r="T38" s="1147"/>
      <c r="U38" s="1147"/>
      <c r="V38" s="1147"/>
      <c r="W38" s="1149" t="s">
        <v>629</v>
      </c>
      <c r="X38" s="1147"/>
      <c r="Y38" s="1147"/>
      <c r="Z38" s="1148"/>
      <c r="AA38" s="1148"/>
    </row>
    <row r="39" spans="2:27" s="1097" customFormat="1">
      <c r="D39" s="1097" t="str">
        <f>'Debt Sizing'!A8</f>
        <v>Gross Potential Rent</v>
      </c>
      <c r="G39" s="1150">
        <f>'Debt Sizing'!B8</f>
        <v>4204998</v>
      </c>
      <c r="H39" s="1150"/>
      <c r="I39" s="1150">
        <f>G39/12</f>
        <v>350416.5</v>
      </c>
      <c r="J39" s="1150"/>
      <c r="K39" s="1150">
        <f>IF($K$35="T-3",'T12'!Y9,'T12'!AC9)</f>
        <v>4372656</v>
      </c>
      <c r="L39" s="1150"/>
      <c r="M39" s="1150">
        <f>K39/12</f>
        <v>364388</v>
      </c>
      <c r="N39" s="1150"/>
      <c r="O39" s="1151"/>
      <c r="P39" s="1151"/>
      <c r="Q39" s="1150">
        <f>'Debt Sizing'!N8</f>
        <v>4150512</v>
      </c>
      <c r="R39" s="1150"/>
      <c r="S39" s="1150">
        <f>Q39/12</f>
        <v>345876</v>
      </c>
      <c r="T39" s="1108"/>
      <c r="U39" s="1100"/>
      <c r="V39" s="1100"/>
      <c r="W39" s="1112" t="str">
        <f>'Debt Sizing'!X8</f>
        <v>Current Rent Roll</v>
      </c>
      <c r="Z39" s="1098"/>
      <c r="AA39" s="1098"/>
    </row>
    <row r="40" spans="2:27" s="1130" customFormat="1">
      <c r="D40" s="1097" t="str">
        <f>'Debt Sizing'!A10</f>
        <v>Vacancy</v>
      </c>
      <c r="G40" s="1150">
        <f>'Debt Sizing'!B10</f>
        <v>-799229.20000000019</v>
      </c>
      <c r="H40" s="1150"/>
      <c r="I40" s="1152">
        <f>-G40/G39</f>
        <v>0.19006648754648639</v>
      </c>
      <c r="J40" s="1153"/>
      <c r="K40" s="1150">
        <f>IF($K$35="T-3",'T12'!Y11,'T12'!AC11)</f>
        <v>-110921.31999999999</v>
      </c>
      <c r="L40" s="1150"/>
      <c r="M40" s="1152">
        <f>-K40/K39</f>
        <v>2.5367035504279319E-2</v>
      </c>
      <c r="N40" s="1152"/>
      <c r="O40" s="1150"/>
      <c r="P40" s="1150"/>
      <c r="Q40" s="1150">
        <f>'Debt Sizing'!N10</f>
        <v>-207525.6</v>
      </c>
      <c r="R40" s="1150"/>
      <c r="S40" s="1152">
        <f>-Q40/Q39</f>
        <v>0.05</v>
      </c>
      <c r="T40" s="1131"/>
      <c r="U40" s="1111"/>
      <c r="V40" s="1111"/>
      <c r="W40" s="1112" t="str">
        <f>'Debt Sizing'!X10</f>
        <v>Minimum Vacancy 5%</v>
      </c>
      <c r="Z40" s="1132"/>
      <c r="AA40" s="1132"/>
    </row>
    <row r="41" spans="2:27" s="1130" customFormat="1">
      <c r="D41" s="1097" t="str">
        <f>'Debt Sizing'!A11</f>
        <v>Concessions</v>
      </c>
      <c r="G41" s="1150">
        <f>'Debt Sizing'!B11</f>
        <v>-385795.18</v>
      </c>
      <c r="H41" s="1150"/>
      <c r="I41" s="1152">
        <f>-G41/G39</f>
        <v>9.1746816526428784E-2</v>
      </c>
      <c r="J41" s="1152"/>
      <c r="K41" s="1150">
        <f>IF($K$35="T-3",'T12'!Y12,'T12'!AC12)</f>
        <v>-216876</v>
      </c>
      <c r="L41" s="1150"/>
      <c r="M41" s="1152">
        <f>-K41/K39</f>
        <v>4.9598230457644048E-2</v>
      </c>
      <c r="N41" s="1152"/>
      <c r="O41" s="1150"/>
      <c r="P41" s="1150"/>
      <c r="Q41" s="1150">
        <f>'Debt Sizing'!N11</f>
        <v>-385795.18</v>
      </c>
      <c r="R41" s="1150"/>
      <c r="S41" s="1152">
        <f>-Q41/Q39</f>
        <v>9.2951226258350769E-2</v>
      </c>
      <c r="T41" s="1131"/>
      <c r="U41" s="1111"/>
      <c r="V41" s="1111"/>
      <c r="W41" s="1112" t="str">
        <f>'Debt Sizing'!X11</f>
        <v>T12</v>
      </c>
      <c r="Z41" s="1132"/>
      <c r="AA41" s="1132"/>
    </row>
    <row r="42" spans="2:27" s="1130" customFormat="1">
      <c r="D42" s="1097" t="str">
        <f>'Debt Sizing'!A12</f>
        <v>Models/Non-Rev Units</v>
      </c>
      <c r="G42" s="1150">
        <f>'Debt Sizing'!B12</f>
        <v>-36838.389999999992</v>
      </c>
      <c r="H42" s="1150"/>
      <c r="I42" s="1152">
        <f>-G42/G39</f>
        <v>8.7606201001760274E-3</v>
      </c>
      <c r="J42" s="1152"/>
      <c r="K42" s="1150">
        <f>IF($K$35="T-3",'T12'!Y13,'T12'!AC13)</f>
        <v>-37925</v>
      </c>
      <c r="L42" s="1150"/>
      <c r="M42" s="1152">
        <f>-K42/K39</f>
        <v>8.6732182911255767E-3</v>
      </c>
      <c r="N42" s="1152"/>
      <c r="O42" s="1150"/>
      <c r="P42" s="1150"/>
      <c r="Q42" s="1150">
        <f>'Debt Sizing'!N12</f>
        <v>-36838.389999999992</v>
      </c>
      <c r="R42" s="1150"/>
      <c r="S42" s="1152">
        <f>-Q42/Q39</f>
        <v>8.8756254650028694E-3</v>
      </c>
      <c r="T42" s="1131"/>
      <c r="U42" s="1111"/>
      <c r="V42" s="1111"/>
      <c r="W42" s="1112" t="str">
        <f>'Debt Sizing'!X12</f>
        <v>T12</v>
      </c>
      <c r="Z42" s="1132"/>
      <c r="AA42" s="1132"/>
    </row>
    <row r="43" spans="2:27" s="1130" customFormat="1">
      <c r="D43" s="1097" t="str">
        <f>'Debt Sizing'!A13</f>
        <v>Bad Debt</v>
      </c>
      <c r="G43" s="1150">
        <f>'Debt Sizing'!B13</f>
        <v>-128985.43</v>
      </c>
      <c r="H43" s="1150"/>
      <c r="I43" s="1152">
        <f>-G43/G39</f>
        <v>3.0674314232729715E-2</v>
      </c>
      <c r="J43" s="1152"/>
      <c r="K43" s="1150">
        <f>IF($K$35="T-3",'T12'!Y14,'T12'!AC14)</f>
        <v>-172668.32</v>
      </c>
      <c r="L43" s="1150"/>
      <c r="M43" s="1152">
        <f>-K43/K39</f>
        <v>3.9488201221408684E-2</v>
      </c>
      <c r="N43" s="1152"/>
      <c r="O43" s="1150"/>
      <c r="P43" s="1150"/>
      <c r="Q43" s="1150">
        <f>'Debt Sizing'!N13</f>
        <v>-128985.43</v>
      </c>
      <c r="R43" s="1150"/>
      <c r="S43" s="1152">
        <f>-Q43/Q39</f>
        <v>3.1076992428885879E-2</v>
      </c>
      <c r="T43" s="1131"/>
      <c r="U43" s="1111"/>
      <c r="V43" s="1111"/>
      <c r="W43" s="1112" t="str">
        <f>'Debt Sizing'!X13</f>
        <v>T12</v>
      </c>
      <c r="Z43" s="1132"/>
      <c r="AA43" s="1132"/>
    </row>
    <row r="44" spans="2:27" s="1097" customFormat="1">
      <c r="D44" s="1125" t="s">
        <v>674</v>
      </c>
      <c r="E44" s="1126"/>
      <c r="F44" s="1126"/>
      <c r="G44" s="1154">
        <f>'Debt Sizing'!B14</f>
        <v>2937137.53</v>
      </c>
      <c r="H44" s="1154"/>
      <c r="I44" s="1154">
        <f>G44/12</f>
        <v>244761.46083333332</v>
      </c>
      <c r="J44" s="1154"/>
      <c r="K44" s="1154">
        <f>SUM(K39:K43)</f>
        <v>3834265.36</v>
      </c>
      <c r="L44" s="1154"/>
      <c r="M44" s="1154">
        <f>K44/12</f>
        <v>319522.11333333334</v>
      </c>
      <c r="N44" s="1155"/>
      <c r="O44" s="1156"/>
      <c r="P44" s="1156"/>
      <c r="Q44" s="1154">
        <f>'Debt Sizing'!N14</f>
        <v>3474355.13</v>
      </c>
      <c r="R44" s="1154"/>
      <c r="S44" s="1154">
        <f>Q44/12</f>
        <v>289529.59416666668</v>
      </c>
      <c r="T44" s="1133"/>
      <c r="U44" s="1134"/>
      <c r="V44" s="1134"/>
      <c r="W44" s="1135"/>
      <c r="X44" s="1126"/>
      <c r="Y44" s="1126"/>
      <c r="Z44" s="1116"/>
      <c r="AA44" s="1098"/>
    </row>
    <row r="45" spans="2:27">
      <c r="B45" s="1067"/>
      <c r="C45" s="1067"/>
      <c r="D45" s="1085"/>
      <c r="E45" s="1067"/>
      <c r="F45" s="1067"/>
      <c r="G45" s="1157"/>
      <c r="H45" s="1157"/>
      <c r="I45" s="1157"/>
      <c r="J45" s="1157"/>
      <c r="K45" s="1157"/>
      <c r="L45" s="1157"/>
      <c r="M45" s="1157"/>
      <c r="N45" s="1158"/>
      <c r="O45" s="1159"/>
      <c r="P45" s="1159"/>
      <c r="Q45" s="1157"/>
      <c r="R45" s="1157"/>
      <c r="S45" s="1157"/>
      <c r="T45" s="1082"/>
      <c r="U45" s="1081"/>
      <c r="V45" s="1081"/>
      <c r="W45" s="1086"/>
      <c r="Z45" s="1084"/>
    </row>
    <row r="46" spans="2:27" s="1217" customFormat="1">
      <c r="G46" s="1218"/>
      <c r="H46" s="1218"/>
      <c r="I46" s="1219" t="s">
        <v>79</v>
      </c>
      <c r="J46" s="1219"/>
      <c r="K46" s="1218"/>
      <c r="L46" s="1218"/>
      <c r="M46" s="1219"/>
      <c r="N46" s="1219"/>
      <c r="O46" s="1146"/>
      <c r="P46" s="1146"/>
      <c r="Q46" s="1218"/>
      <c r="R46" s="1218"/>
      <c r="S46" s="1219" t="s">
        <v>79</v>
      </c>
      <c r="T46" s="1220"/>
      <c r="U46" s="1221"/>
      <c r="V46" s="1221"/>
      <c r="W46" s="1222"/>
      <c r="Z46" s="1223"/>
      <c r="AA46" s="1224"/>
    </row>
    <row r="47" spans="2:27" s="1097" customFormat="1" hidden="1" outlineLevel="1">
      <c r="D47" s="1097" t="str">
        <f>'Debt Sizing'!A17</f>
        <v>Commercial Income</v>
      </c>
      <c r="G47" s="1150">
        <f>'Debt Sizing'!B17</f>
        <v>0</v>
      </c>
      <c r="H47" s="1150"/>
      <c r="I47" s="1150">
        <f>G47/$C$37</f>
        <v>0</v>
      </c>
      <c r="J47" s="1160"/>
      <c r="K47" s="1161"/>
      <c r="L47" s="1161"/>
      <c r="M47" s="1160"/>
      <c r="N47" s="1160"/>
      <c r="O47" s="1151"/>
      <c r="P47" s="1151"/>
      <c r="Q47" s="1150">
        <f>'Debt Sizing'!N17</f>
        <v>0</v>
      </c>
      <c r="R47" s="1150"/>
      <c r="S47" s="1150">
        <f>Q47/$C$37</f>
        <v>0</v>
      </c>
      <c r="T47" s="1109"/>
      <c r="U47" s="1111"/>
      <c r="V47" s="1111"/>
      <c r="W47" s="1112" t="str">
        <f>'Debt Sizing'!X17</f>
        <v>T12</v>
      </c>
      <c r="Z47" s="1113"/>
      <c r="AA47" s="1098"/>
    </row>
    <row r="48" spans="2:27" s="1097" customFormat="1" collapsed="1">
      <c r="D48" s="1097" t="str">
        <f>'Debt Sizing'!A18</f>
        <v>RUBS Income</v>
      </c>
      <c r="G48" s="1150">
        <f>'Debt Sizing'!B18</f>
        <v>393202.91999999993</v>
      </c>
      <c r="H48" s="1150"/>
      <c r="I48" s="1150">
        <f>G48/$C$37</f>
        <v>1489.4049999999997</v>
      </c>
      <c r="J48" s="1150"/>
      <c r="K48" s="1150"/>
      <c r="L48" s="1150"/>
      <c r="M48" s="1162"/>
      <c r="N48" s="1162"/>
      <c r="O48" s="1151"/>
      <c r="P48" s="1151"/>
      <c r="Q48" s="1150">
        <f>'Debt Sizing'!N18</f>
        <v>393202.91999999993</v>
      </c>
      <c r="R48" s="1150"/>
      <c r="S48" s="1150">
        <f>Q48/$C$37</f>
        <v>1489.4049999999997</v>
      </c>
      <c r="T48" s="1108"/>
      <c r="U48" s="1100"/>
      <c r="V48" s="1100"/>
      <c r="W48" s="1112" t="str">
        <f>'Debt Sizing'!X18</f>
        <v>T12</v>
      </c>
      <c r="Z48" s="1115"/>
      <c r="AA48" s="1098"/>
    </row>
    <row r="49" spans="4:27" s="1097" customFormat="1">
      <c r="D49" s="1097" t="str">
        <f>'Debt Sizing'!A19</f>
        <v>Other Income</v>
      </c>
      <c r="G49" s="1150">
        <f>'Debt Sizing'!B19</f>
        <v>264257.02999999985</v>
      </c>
      <c r="H49" s="1150"/>
      <c r="I49" s="1150">
        <f>G49/$C$37</f>
        <v>1000.9735984848479</v>
      </c>
      <c r="J49" s="1150"/>
      <c r="K49" s="1150"/>
      <c r="L49" s="1150"/>
      <c r="M49" s="1162"/>
      <c r="N49" s="1162"/>
      <c r="O49" s="1151"/>
      <c r="P49" s="1151"/>
      <c r="Q49" s="1150">
        <f>'Debt Sizing'!N19</f>
        <v>264257.02999999985</v>
      </c>
      <c r="R49" s="1150"/>
      <c r="S49" s="1150">
        <f t="shared" ref="S49:S50" si="0">Q49/$C$37</f>
        <v>1000.9735984848479</v>
      </c>
      <c r="T49" s="1108"/>
      <c r="U49" s="1100"/>
      <c r="V49" s="1100"/>
      <c r="W49" s="1112" t="str">
        <f>'Debt Sizing'!X19</f>
        <v>T12</v>
      </c>
      <c r="Z49" s="1098"/>
      <c r="AA49" s="1116"/>
    </row>
    <row r="50" spans="4:27" s="1097" customFormat="1">
      <c r="D50" s="1117" t="s">
        <v>608</v>
      </c>
      <c r="G50" s="1163">
        <f>'Debt Sizing'!B20</f>
        <v>657459.94999999972</v>
      </c>
      <c r="H50" s="1163"/>
      <c r="I50" s="1163">
        <f>G50/$C$37</f>
        <v>2490.3785984848473</v>
      </c>
      <c r="J50" s="1150"/>
      <c r="K50" s="1150"/>
      <c r="L50" s="1150"/>
      <c r="M50" s="1162"/>
      <c r="N50" s="1162"/>
      <c r="O50" s="1151"/>
      <c r="P50" s="1151"/>
      <c r="Q50" s="1163">
        <f>'Debt Sizing'!N20</f>
        <v>657459.94999999972</v>
      </c>
      <c r="R50" s="1163"/>
      <c r="S50" s="1163">
        <f t="shared" si="0"/>
        <v>2490.3785984848473</v>
      </c>
      <c r="T50" s="1108"/>
      <c r="U50" s="1100"/>
      <c r="V50" s="1100"/>
      <c r="W50" s="1118">
        <f>S50/12</f>
        <v>207.53154987373728</v>
      </c>
      <c r="Z50" s="1098"/>
      <c r="AA50" s="1116"/>
    </row>
    <row r="51" spans="4:27" s="1097" customFormat="1" ht="16" thickBot="1">
      <c r="D51" s="1103" t="s">
        <v>1021</v>
      </c>
      <c r="E51" s="1104"/>
      <c r="F51" s="1104"/>
      <c r="G51" s="1164">
        <f>'Debt Sizing'!B21</f>
        <v>3594597.4799999995</v>
      </c>
      <c r="H51" s="1164"/>
      <c r="I51" s="1164">
        <f>G51/$C$37</f>
        <v>13615.899545454544</v>
      </c>
      <c r="J51" s="1165"/>
      <c r="K51" s="1165"/>
      <c r="L51" s="1165"/>
      <c r="M51" s="1166"/>
      <c r="N51" s="1166"/>
      <c r="O51" s="1167"/>
      <c r="P51" s="1167"/>
      <c r="Q51" s="1164">
        <f>'Debt Sizing'!N21</f>
        <v>4131815.0799999996</v>
      </c>
      <c r="R51" s="1164"/>
      <c r="S51" s="1164">
        <f>Q51/$C$37</f>
        <v>15650.814696969695</v>
      </c>
      <c r="T51" s="1119"/>
      <c r="U51" s="1120"/>
      <c r="V51" s="1120"/>
      <c r="W51" s="1120"/>
      <c r="X51" s="1120"/>
      <c r="Y51" s="1120"/>
      <c r="Z51" s="1115"/>
      <c r="AA51" s="1098"/>
    </row>
    <row r="52" spans="4:27" s="1097" customFormat="1" ht="16" thickTop="1">
      <c r="G52" s="1150"/>
      <c r="H52" s="1150"/>
      <c r="I52" s="1151"/>
      <c r="J52" s="1151"/>
      <c r="K52" s="1168"/>
      <c r="L52" s="1168"/>
      <c r="M52" s="1151"/>
      <c r="N52" s="1151"/>
      <c r="O52" s="1151"/>
      <c r="P52" s="1151"/>
      <c r="Q52" s="1151"/>
      <c r="R52" s="1151"/>
      <c r="S52" s="1151"/>
      <c r="T52" s="1121"/>
      <c r="Z52" s="1115"/>
      <c r="AA52" s="1115"/>
    </row>
    <row r="53" spans="4:27" s="1097" customFormat="1">
      <c r="D53" s="1117" t="s">
        <v>610</v>
      </c>
      <c r="G53" s="1150"/>
      <c r="H53" s="1150"/>
      <c r="I53" s="1151"/>
      <c r="J53" s="1151"/>
      <c r="K53" s="1168"/>
      <c r="L53" s="1168"/>
      <c r="M53" s="1151"/>
      <c r="N53" s="1151"/>
      <c r="O53" s="1151"/>
      <c r="P53" s="1151"/>
      <c r="Q53" s="1151"/>
      <c r="R53" s="1151"/>
      <c r="S53" s="1151"/>
      <c r="T53" s="1121"/>
      <c r="Z53" s="1098"/>
      <c r="AA53" s="1098"/>
    </row>
    <row r="54" spans="4:27" s="1097" customFormat="1">
      <c r="D54" s="1097" t="str">
        <f>'Debt Sizing'!A24</f>
        <v>Repairs &amp; Maint</v>
      </c>
      <c r="G54" s="1150">
        <f>'Debt Sizing'!B24</f>
        <v>77136.06</v>
      </c>
      <c r="H54" s="1150"/>
      <c r="I54" s="1162">
        <f t="shared" ref="I54:I60" si="1">G54/$C$37</f>
        <v>292.18204545454546</v>
      </c>
      <c r="J54" s="1162"/>
      <c r="K54" s="1150"/>
      <c r="L54" s="1150"/>
      <c r="M54" s="1150"/>
      <c r="N54" s="1150"/>
      <c r="O54" s="1151"/>
      <c r="P54" s="1151"/>
      <c r="Q54" s="1150">
        <f>'Debt Sizing'!N24</f>
        <v>73920</v>
      </c>
      <c r="R54" s="1150"/>
      <c r="S54" s="1162">
        <f t="shared" ref="S54:S60" si="2">Q54/$C$37</f>
        <v>280</v>
      </c>
      <c r="T54" s="1114"/>
      <c r="U54" s="1111"/>
      <c r="V54" s="1111"/>
      <c r="W54" s="1112" t="str">
        <f>'Debt Sizing'!X24</f>
        <v>Pro Forma</v>
      </c>
      <c r="Z54" s="1098"/>
      <c r="AA54" s="1098"/>
    </row>
    <row r="55" spans="4:27" s="1097" customFormat="1">
      <c r="D55" s="1097" t="str">
        <f>'Debt Sizing'!A25</f>
        <v>Contract Services</v>
      </c>
      <c r="G55" s="1150">
        <f>'Debt Sizing'!B25</f>
        <v>45632.900000000009</v>
      </c>
      <c r="H55" s="1150"/>
      <c r="I55" s="1162">
        <f t="shared" si="1"/>
        <v>172.85189393939396</v>
      </c>
      <c r="J55" s="1162"/>
      <c r="K55" s="1150"/>
      <c r="L55" s="1150"/>
      <c r="M55" s="1150"/>
      <c r="N55" s="1150"/>
      <c r="O55" s="1151"/>
      <c r="P55" s="1151"/>
      <c r="Q55" s="1150">
        <f>'Debt Sizing'!N25</f>
        <v>46728</v>
      </c>
      <c r="R55" s="1150"/>
      <c r="S55" s="1162">
        <f t="shared" si="2"/>
        <v>177</v>
      </c>
      <c r="T55" s="1114"/>
      <c r="U55" s="1122"/>
      <c r="V55" s="1122"/>
      <c r="W55" s="1112" t="str">
        <f>'Debt Sizing'!X25</f>
        <v>Pro Forma</v>
      </c>
      <c r="Z55" s="1098"/>
      <c r="AA55" s="1116"/>
    </row>
    <row r="56" spans="4:27" s="1097" customFormat="1" outlineLevel="1">
      <c r="D56" s="1097" t="str">
        <f>'Debt Sizing'!A26</f>
        <v>Turnover</v>
      </c>
      <c r="G56" s="1150">
        <f>'Debt Sizing'!B26</f>
        <v>69162.34</v>
      </c>
      <c r="H56" s="1150"/>
      <c r="I56" s="1162">
        <f t="shared" si="1"/>
        <v>261.97856060606057</v>
      </c>
      <c r="J56" s="1162"/>
      <c r="K56" s="1150"/>
      <c r="L56" s="1150"/>
      <c r="M56" s="1150"/>
      <c r="N56" s="1150"/>
      <c r="O56" s="1151"/>
      <c r="P56" s="1151"/>
      <c r="Q56" s="1150">
        <f>'Debt Sizing'!N26</f>
        <v>82896</v>
      </c>
      <c r="R56" s="1150"/>
      <c r="S56" s="1162">
        <f t="shared" si="2"/>
        <v>314</v>
      </c>
      <c r="T56" s="1114"/>
      <c r="U56" s="1122"/>
      <c r="V56" s="1122"/>
      <c r="W56" s="1112" t="str">
        <f>'Debt Sizing'!X26</f>
        <v>Pro Forma</v>
      </c>
      <c r="Y56" s="1122"/>
      <c r="Z56" s="1123"/>
      <c r="AA56" s="1098"/>
    </row>
    <row r="57" spans="4:27" s="1097" customFormat="1">
      <c r="D57" s="1097" t="str">
        <f>'Debt Sizing'!A27</f>
        <v>Payroll</v>
      </c>
      <c r="G57" s="1150">
        <f>'Debt Sizing'!B27</f>
        <v>493485.87000000029</v>
      </c>
      <c r="H57" s="1150"/>
      <c r="I57" s="1162">
        <f t="shared" si="1"/>
        <v>1869.2646590909101</v>
      </c>
      <c r="J57" s="1162"/>
      <c r="K57" s="1150"/>
      <c r="L57" s="1150"/>
      <c r="M57" s="1150"/>
      <c r="N57" s="1150"/>
      <c r="O57" s="1151"/>
      <c r="P57" s="1151"/>
      <c r="Q57" s="1150">
        <f>'Debt Sizing'!N27</f>
        <v>537240</v>
      </c>
      <c r="R57" s="1150"/>
      <c r="S57" s="1162">
        <f t="shared" si="2"/>
        <v>2035</v>
      </c>
      <c r="T57" s="1114"/>
      <c r="U57" s="1122"/>
      <c r="V57" s="1122"/>
      <c r="W57" s="1112" t="str">
        <f>'Debt Sizing'!X27</f>
        <v>Pro Forma</v>
      </c>
      <c r="Z57" s="1098"/>
      <c r="AA57" s="1098"/>
    </row>
    <row r="58" spans="4:27" s="1097" customFormat="1">
      <c r="D58" s="1097" t="str">
        <f>'Debt Sizing'!A28</f>
        <v>Marketing</v>
      </c>
      <c r="G58" s="1150">
        <f>'Debt Sizing'!B28</f>
        <v>144095.60999999996</v>
      </c>
      <c r="H58" s="1150"/>
      <c r="I58" s="1162">
        <f t="shared" si="1"/>
        <v>545.8167045454544</v>
      </c>
      <c r="J58" s="1162"/>
      <c r="K58" s="1150"/>
      <c r="L58" s="1150"/>
      <c r="M58" s="1150"/>
      <c r="N58" s="1150"/>
      <c r="O58" s="1151"/>
      <c r="P58" s="1151"/>
      <c r="Q58" s="1150">
        <f>'Debt Sizing'!N28</f>
        <v>155496</v>
      </c>
      <c r="R58" s="1150"/>
      <c r="S58" s="1162">
        <f t="shared" si="2"/>
        <v>589</v>
      </c>
      <c r="T58" s="1114"/>
      <c r="U58" s="1122"/>
      <c r="V58" s="1122"/>
      <c r="W58" s="1112" t="str">
        <f>'Debt Sizing'!X28</f>
        <v>Pro Forma</v>
      </c>
      <c r="Z58" s="1098"/>
      <c r="AA58" s="1098"/>
    </row>
    <row r="59" spans="4:27" s="1097" customFormat="1">
      <c r="D59" s="1097" t="str">
        <f>'Debt Sizing'!A29</f>
        <v>General &amp; Admin</v>
      </c>
      <c r="G59" s="1150">
        <f>'Debt Sizing'!B29</f>
        <v>153695.04999999999</v>
      </c>
      <c r="H59" s="1150"/>
      <c r="I59" s="1162">
        <f t="shared" si="1"/>
        <v>582.17821969696968</v>
      </c>
      <c r="J59" s="1162"/>
      <c r="K59" s="1150"/>
      <c r="L59" s="1150"/>
      <c r="M59" s="1150"/>
      <c r="N59" s="1150"/>
      <c r="O59" s="1151"/>
      <c r="P59" s="1151"/>
      <c r="Q59" s="1150">
        <f>'Debt Sizing'!N29</f>
        <v>149952</v>
      </c>
      <c r="R59" s="1150"/>
      <c r="S59" s="1162">
        <f t="shared" si="2"/>
        <v>568</v>
      </c>
      <c r="T59" s="1114"/>
      <c r="U59" s="1122"/>
      <c r="V59" s="1122"/>
      <c r="W59" s="1112" t="str">
        <f>'Debt Sizing'!X29</f>
        <v>Pro Forma</v>
      </c>
      <c r="Z59" s="1098"/>
      <c r="AA59" s="1098"/>
    </row>
    <row r="60" spans="4:27" s="1097" customFormat="1">
      <c r="D60" s="1097" t="str">
        <f>'Debt Sizing'!A30</f>
        <v>Utilities</v>
      </c>
      <c r="G60" s="1150">
        <f>'Debt Sizing'!B30</f>
        <v>411474.28999999969</v>
      </c>
      <c r="H60" s="1150"/>
      <c r="I60" s="1162">
        <f t="shared" si="1"/>
        <v>1558.6147348484837</v>
      </c>
      <c r="J60" s="1162"/>
      <c r="K60" s="1150"/>
      <c r="L60" s="1150"/>
      <c r="M60" s="1150"/>
      <c r="N60" s="1150"/>
      <c r="O60" s="1151"/>
      <c r="P60" s="1151"/>
      <c r="Q60" s="1150">
        <f>'Debt Sizing'!N30</f>
        <v>404448</v>
      </c>
      <c r="R60" s="1150"/>
      <c r="S60" s="1162">
        <f t="shared" si="2"/>
        <v>1532</v>
      </c>
      <c r="T60" s="1114"/>
      <c r="U60" s="1122"/>
      <c r="V60" s="1122"/>
      <c r="W60" s="1112" t="str">
        <f>'Debt Sizing'!X30</f>
        <v>Pro Forma</v>
      </c>
      <c r="Z60" s="1098"/>
      <c r="AA60" s="1098"/>
    </row>
    <row r="61" spans="4:27" s="1097" customFormat="1">
      <c r="D61" s="1117" t="s">
        <v>611</v>
      </c>
      <c r="G61" s="1163">
        <f>'Debt Sizing'!B31</f>
        <v>1394682.12</v>
      </c>
      <c r="H61" s="1163"/>
      <c r="I61" s="1169">
        <f>G61/$C$37</f>
        <v>5282.8868181818189</v>
      </c>
      <c r="J61" s="1160"/>
      <c r="K61" s="1150"/>
      <c r="L61" s="1150"/>
      <c r="M61" s="1150"/>
      <c r="N61" s="1150"/>
      <c r="O61" s="1168"/>
      <c r="P61" s="1168"/>
      <c r="Q61" s="1163">
        <f>'Debt Sizing'!N31</f>
        <v>1450680</v>
      </c>
      <c r="R61" s="1163"/>
      <c r="S61" s="1169">
        <f>Q61/$C$37</f>
        <v>5495</v>
      </c>
      <c r="T61" s="1109"/>
      <c r="U61" s="1122"/>
      <c r="V61" s="1122"/>
      <c r="W61" s="1112"/>
      <c r="Z61" s="1098"/>
      <c r="AA61" s="1098"/>
    </row>
    <row r="62" spans="4:27" s="1097" customFormat="1">
      <c r="G62" s="1150"/>
      <c r="H62" s="1150"/>
      <c r="I62" s="1162"/>
      <c r="J62" s="1162"/>
      <c r="K62" s="1150"/>
      <c r="L62" s="1150"/>
      <c r="M62" s="1150"/>
      <c r="N62" s="1150"/>
      <c r="O62" s="1168"/>
      <c r="P62" s="1168"/>
      <c r="Q62" s="1150"/>
      <c r="R62" s="1150"/>
      <c r="S62" s="1162"/>
      <c r="T62" s="1114"/>
      <c r="U62" s="1122"/>
      <c r="V62" s="1122"/>
      <c r="W62" s="1112"/>
      <c r="Z62" s="1098"/>
      <c r="AA62" s="1098"/>
    </row>
    <row r="63" spans="4:27" s="1097" customFormat="1">
      <c r="D63" s="1097" t="str">
        <f>'Debt Sizing'!A33</f>
        <v>Insurance</v>
      </c>
      <c r="G63" s="1150">
        <f>'Debt Sizing'!B33</f>
        <v>133981.79</v>
      </c>
      <c r="H63" s="1150"/>
      <c r="I63" s="1162">
        <f t="shared" ref="I63:I69" si="3">G63/$C$37</f>
        <v>507.50678030303033</v>
      </c>
      <c r="J63" s="1162"/>
      <c r="K63" s="1150"/>
      <c r="L63" s="1150"/>
      <c r="M63" s="1150"/>
      <c r="N63" s="1150"/>
      <c r="O63" s="1168"/>
      <c r="P63" s="1168"/>
      <c r="Q63" s="1150">
        <f>'Debt Sizing'!N33</f>
        <v>117480</v>
      </c>
      <c r="R63" s="1150"/>
      <c r="S63" s="1162">
        <f t="shared" ref="S63:S69" si="4">Q63/$C$37</f>
        <v>445</v>
      </c>
      <c r="T63" s="1114"/>
      <c r="U63" s="1122"/>
      <c r="V63" s="1122"/>
      <c r="W63" s="1112" t="str">
        <f>'Debt Sizing'!X33</f>
        <v>Pro Forma</v>
      </c>
      <c r="Z63" s="1098"/>
      <c r="AA63" s="1098"/>
    </row>
    <row r="64" spans="4:27" s="1097" customFormat="1">
      <c r="D64" s="1097" t="str">
        <f>'Debt Sizing'!A34</f>
        <v xml:space="preserve">Property Management </v>
      </c>
      <c r="G64" s="1150">
        <f>'Debt Sizing'!B34</f>
        <v>114091.56000000001</v>
      </c>
      <c r="H64" s="1150"/>
      <c r="I64" s="1225">
        <f>G64/$G$51</f>
        <v>3.1739731815535584E-2</v>
      </c>
      <c r="J64" s="1162"/>
      <c r="K64" s="1150"/>
      <c r="L64" s="1150"/>
      <c r="M64" s="1150"/>
      <c r="N64" s="1150"/>
      <c r="O64" s="1168"/>
      <c r="P64" s="1168"/>
      <c r="Q64" s="1150">
        <f>'Debt Sizing'!N34</f>
        <v>123954.45239999998</v>
      </c>
      <c r="R64" s="1150"/>
      <c r="S64" s="1225">
        <f>Q64/$Q$51</f>
        <v>0.03</v>
      </c>
      <c r="T64" s="1114"/>
      <c r="U64" s="1122"/>
      <c r="V64" s="1122"/>
      <c r="W64" s="1936">
        <f>'Debt Sizing'!X34</f>
        <v>0.03</v>
      </c>
      <c r="X64" s="1936"/>
      <c r="Y64" s="1936"/>
      <c r="Z64" s="1098"/>
      <c r="AA64" s="1098"/>
    </row>
    <row r="65" spans="2:27" s="1097" customFormat="1">
      <c r="D65" s="1097" t="str">
        <f>'Debt Sizing'!A35</f>
        <v>Real Estate Taxes</v>
      </c>
      <c r="G65" s="1150">
        <f>'Debt Sizing'!B35</f>
        <v>623314.08999999985</v>
      </c>
      <c r="H65" s="1150"/>
      <c r="I65" s="1162">
        <f t="shared" si="3"/>
        <v>2361.038219696969</v>
      </c>
      <c r="J65" s="1162"/>
      <c r="K65" s="1150"/>
      <c r="L65" s="1150"/>
      <c r="M65" s="1150"/>
      <c r="N65" s="1150"/>
      <c r="O65" s="1151"/>
      <c r="P65" s="1151"/>
      <c r="Q65" s="1150">
        <f>'Debt Sizing'!N35</f>
        <v>478792.32</v>
      </c>
      <c r="R65" s="1150"/>
      <c r="S65" s="1162">
        <f t="shared" si="4"/>
        <v>1813.6072727272729</v>
      </c>
      <c r="T65" s="1114"/>
      <c r="U65" s="1122"/>
      <c r="V65" s="1122"/>
      <c r="W65" s="1937" t="str">
        <f>'Debt Sizing'!X35</f>
        <v>2025 AV, 2024 Millage Rate</v>
      </c>
      <c r="X65" s="1937"/>
      <c r="Y65" s="1937"/>
      <c r="Z65" s="1098"/>
      <c r="AA65" s="1098"/>
    </row>
    <row r="66" spans="2:27" s="1097" customFormat="1" outlineLevel="1">
      <c r="D66" s="1097" t="str">
        <f>'Debt Sizing'!A36</f>
        <v>Franchise Taxes</v>
      </c>
      <c r="G66" s="1150">
        <f>'Debt Sizing'!B36</f>
        <v>0</v>
      </c>
      <c r="H66" s="1161"/>
      <c r="I66" s="1162">
        <f t="shared" si="3"/>
        <v>0</v>
      </c>
      <c r="J66" s="1161"/>
      <c r="K66" s="1161"/>
      <c r="L66" s="1161"/>
      <c r="M66" s="1161"/>
      <c r="N66" s="1161"/>
      <c r="O66" s="1151"/>
      <c r="P66" s="1151"/>
      <c r="Q66" s="1150">
        <f>'Debt Sizing'!N36</f>
        <v>0</v>
      </c>
      <c r="R66" s="1161"/>
      <c r="S66" s="1162">
        <f t="shared" si="4"/>
        <v>0</v>
      </c>
      <c r="T66" s="1124"/>
      <c r="U66" s="1110"/>
      <c r="V66" s="1110"/>
      <c r="W66" s="1112" t="str">
        <f>'Debt Sizing'!X36</f>
        <v>0.331% of EGI</v>
      </c>
      <c r="Z66" s="1098"/>
      <c r="AA66" s="1098"/>
    </row>
    <row r="67" spans="2:27" s="1097" customFormat="1">
      <c r="D67" s="1097" t="str">
        <f>'Debt Sizing'!A37</f>
        <v>Replacement Reserves</v>
      </c>
      <c r="G67" s="1150">
        <f>'Debt Sizing'!B37</f>
        <v>0</v>
      </c>
      <c r="H67" s="1161"/>
      <c r="I67" s="1162">
        <f t="shared" si="3"/>
        <v>0</v>
      </c>
      <c r="J67" s="1161"/>
      <c r="K67" s="1161"/>
      <c r="L67" s="1161"/>
      <c r="M67" s="1161"/>
      <c r="N67" s="1161"/>
      <c r="O67" s="1151"/>
      <c r="P67" s="1151"/>
      <c r="Q67" s="1150">
        <f>'Debt Sizing'!N37</f>
        <v>66000</v>
      </c>
      <c r="R67" s="1161"/>
      <c r="S67" s="1162">
        <f t="shared" si="4"/>
        <v>250</v>
      </c>
      <c r="T67" s="1124"/>
      <c r="U67" s="1110"/>
      <c r="V67" s="1110"/>
      <c r="W67" s="1938">
        <f>'Debt Sizing'!X37</f>
        <v>250</v>
      </c>
      <c r="X67" s="1938"/>
      <c r="Y67" s="1938"/>
      <c r="Z67" s="1098"/>
      <c r="AA67" s="1098"/>
    </row>
    <row r="68" spans="2:27" s="1097" customFormat="1">
      <c r="D68" s="1117" t="s">
        <v>612</v>
      </c>
      <c r="G68" s="1163">
        <f>'Debt Sizing'!B38</f>
        <v>871387.44</v>
      </c>
      <c r="H68" s="1170"/>
      <c r="I68" s="1169">
        <f t="shared" si="3"/>
        <v>3300.7099999999996</v>
      </c>
      <c r="J68" s="1161"/>
      <c r="K68" s="1161"/>
      <c r="L68" s="1161"/>
      <c r="M68" s="1161"/>
      <c r="N68" s="1161"/>
      <c r="O68" s="1151"/>
      <c r="P68" s="1151"/>
      <c r="Q68" s="1163">
        <f>'Debt Sizing'!N38</f>
        <v>786226.77240000002</v>
      </c>
      <c r="R68" s="1170"/>
      <c r="S68" s="1169">
        <f t="shared" si="4"/>
        <v>2978.1317136363637</v>
      </c>
      <c r="T68" s="1124"/>
      <c r="U68" s="1110"/>
      <c r="V68" s="1110"/>
      <c r="W68" s="1112"/>
      <c r="Z68" s="1098"/>
      <c r="AA68" s="1098"/>
    </row>
    <row r="69" spans="2:27" s="1097" customFormat="1">
      <c r="D69" s="1125" t="s">
        <v>40</v>
      </c>
      <c r="E69" s="1126"/>
      <c r="F69" s="1126"/>
      <c r="G69" s="1154">
        <f>'Debt Sizing'!B39</f>
        <v>2266069.56</v>
      </c>
      <c r="H69" s="1171"/>
      <c r="I69" s="1172">
        <f t="shared" si="3"/>
        <v>8583.5968181818189</v>
      </c>
      <c r="J69" s="1173"/>
      <c r="K69" s="1173"/>
      <c r="L69" s="1173"/>
      <c r="M69" s="1173"/>
      <c r="N69" s="1173"/>
      <c r="O69" s="1156"/>
      <c r="P69" s="1156"/>
      <c r="Q69" s="1154">
        <f>'Debt Sizing'!N39</f>
        <v>2236906.7724000001</v>
      </c>
      <c r="R69" s="1171"/>
      <c r="S69" s="1172">
        <f t="shared" si="4"/>
        <v>8473.131713636365</v>
      </c>
      <c r="T69" s="1127"/>
      <c r="U69" s="1128"/>
      <c r="V69" s="1128"/>
      <c r="W69" s="1129"/>
      <c r="X69" s="1129"/>
      <c r="Y69" s="1129"/>
      <c r="Z69" s="1098"/>
      <c r="AA69" s="1098"/>
    </row>
    <row r="70" spans="2:27" s="1177" customFormat="1">
      <c r="D70" s="1177" t="s">
        <v>42</v>
      </c>
      <c r="G70" s="1178"/>
      <c r="H70" s="1179"/>
      <c r="I70" s="1226">
        <f>'Debt Sizing'!C40</f>
        <v>0.63040982268757406</v>
      </c>
      <c r="J70" s="1179"/>
      <c r="K70" s="1179"/>
      <c r="L70" s="1179"/>
      <c r="M70" s="1179"/>
      <c r="N70" s="1179"/>
      <c r="O70" s="1180"/>
      <c r="P70" s="1180"/>
      <c r="Q70" s="1178"/>
      <c r="R70" s="1179"/>
      <c r="S70" s="1226">
        <f>'Debt Sizing'!O40</f>
        <v>0.54138598390516557</v>
      </c>
      <c r="T70" s="1181"/>
      <c r="U70" s="1182"/>
      <c r="V70" s="1182"/>
      <c r="W70" s="1183"/>
      <c r="X70" s="1183"/>
      <c r="Y70" s="1183"/>
      <c r="Z70" s="1184"/>
      <c r="AA70" s="1184"/>
    </row>
    <row r="71" spans="2:27" s="1097" customFormat="1" ht="16" thickBot="1">
      <c r="D71" s="1103" t="s">
        <v>613</v>
      </c>
      <c r="E71" s="1104"/>
      <c r="F71" s="1104"/>
      <c r="G71" s="1164">
        <f>'Debt Sizing'!B41</f>
        <v>1328527.9199999995</v>
      </c>
      <c r="H71" s="1174"/>
      <c r="I71" s="1175">
        <f>G71/$C$37</f>
        <v>5032.302727272725</v>
      </c>
      <c r="J71" s="1176"/>
      <c r="K71" s="1176"/>
      <c r="L71" s="1176"/>
      <c r="M71" s="1176"/>
      <c r="N71" s="1176"/>
      <c r="O71" s="1167"/>
      <c r="P71" s="1167"/>
      <c r="Q71" s="1164">
        <f>'Debt Sizing'!N41</f>
        <v>1894908.3075999995</v>
      </c>
      <c r="R71" s="1174"/>
      <c r="S71" s="1175">
        <f>Q71/$C$37</f>
        <v>7177.6829833333313</v>
      </c>
      <c r="T71" s="1105"/>
      <c r="U71" s="1106"/>
      <c r="V71" s="1106"/>
      <c r="W71" s="1107"/>
      <c r="X71" s="1107"/>
      <c r="Y71" s="1107"/>
      <c r="Z71" s="1098"/>
      <c r="AA71" s="1098"/>
    </row>
    <row r="72" spans="2:27" ht="16" thickTop="1">
      <c r="B72" s="1067"/>
      <c r="C72" s="1067"/>
      <c r="D72" s="1067"/>
      <c r="E72" s="1067"/>
      <c r="F72" s="1067"/>
      <c r="G72" s="1087"/>
      <c r="H72" s="1087"/>
      <c r="I72" s="1089"/>
      <c r="J72" s="1089"/>
      <c r="K72" s="1087"/>
      <c r="L72" s="1087"/>
      <c r="M72" s="1089"/>
      <c r="N72" s="1089"/>
      <c r="O72" s="1067"/>
      <c r="P72" s="1067"/>
      <c r="Q72" s="1087"/>
      <c r="R72" s="1087"/>
      <c r="S72" s="1089"/>
      <c r="T72" s="1089"/>
      <c r="U72" s="1087"/>
      <c r="V72" s="1087"/>
      <c r="W72" s="1083"/>
    </row>
    <row r="73" spans="2:27" s="1097" customFormat="1">
      <c r="D73" s="1099" t="s">
        <v>1022</v>
      </c>
      <c r="G73" s="1100"/>
      <c r="H73" s="1100"/>
      <c r="I73" s="1101"/>
      <c r="J73" s="1101"/>
      <c r="K73" s="1100"/>
      <c r="L73" s="1100"/>
      <c r="Q73" s="1100"/>
      <c r="R73" s="1100"/>
      <c r="S73" s="1101"/>
      <c r="T73" s="1101"/>
      <c r="U73" s="1101"/>
      <c r="V73" s="1101"/>
      <c r="Z73" s="1098"/>
      <c r="AA73" s="1102"/>
    </row>
    <row r="74" spans="2:27" s="1097" customFormat="1">
      <c r="D74" s="1099"/>
      <c r="G74" s="1100"/>
      <c r="H74" s="1100"/>
      <c r="I74" s="1101"/>
      <c r="J74" s="1101"/>
      <c r="K74" s="1100"/>
      <c r="L74" s="1100"/>
      <c r="Q74" s="1100"/>
      <c r="R74" s="1100"/>
      <c r="S74" s="1101"/>
      <c r="T74" s="1101"/>
      <c r="U74" s="1101"/>
      <c r="V74" s="1101"/>
      <c r="Z74" s="1098"/>
      <c r="AA74" s="1102"/>
    </row>
    <row r="75" spans="2:27" s="1097" customFormat="1">
      <c r="D75" s="1099"/>
      <c r="G75" s="1100"/>
      <c r="H75" s="1100"/>
      <c r="I75" s="1101"/>
      <c r="J75" s="1101"/>
      <c r="K75" s="1100"/>
      <c r="L75" s="1100"/>
      <c r="Q75" s="1100"/>
      <c r="R75" s="1100"/>
      <c r="S75" s="1101"/>
      <c r="T75" s="1101"/>
      <c r="U75" s="1101"/>
      <c r="V75" s="1101"/>
      <c r="Z75" s="1098"/>
      <c r="AA75" s="1102"/>
    </row>
    <row r="76" spans="2:27" s="1097" customFormat="1">
      <c r="D76" s="1099"/>
      <c r="G76" s="1100"/>
      <c r="H76" s="1100"/>
      <c r="I76" s="1101"/>
      <c r="J76" s="1101"/>
      <c r="K76" s="1100"/>
      <c r="L76" s="1100"/>
      <c r="Q76" s="1100"/>
      <c r="R76" s="1100"/>
      <c r="S76" s="1101"/>
      <c r="T76" s="1101"/>
      <c r="U76" s="1101"/>
      <c r="V76" s="1101"/>
      <c r="Z76" s="1098"/>
      <c r="AA76" s="1102"/>
    </row>
    <row r="77" spans="2:27" s="1097" customFormat="1">
      <c r="D77" s="1099"/>
      <c r="G77" s="1100"/>
      <c r="H77" s="1100"/>
      <c r="I77" s="1101"/>
      <c r="J77" s="1101"/>
      <c r="K77" s="1100"/>
      <c r="L77" s="1100"/>
      <c r="Q77" s="1100"/>
      <c r="R77" s="1100"/>
      <c r="S77" s="1101"/>
      <c r="T77" s="1101"/>
      <c r="U77" s="1101"/>
      <c r="V77" s="1101"/>
      <c r="Z77" s="1098"/>
      <c r="AA77" s="1102"/>
    </row>
    <row r="78" spans="2:27" s="1097" customFormat="1">
      <c r="D78" s="1099"/>
      <c r="G78" s="1100"/>
      <c r="H78" s="1100"/>
      <c r="I78" s="1101"/>
      <c r="J78" s="1101"/>
      <c r="K78" s="1100"/>
      <c r="L78" s="1100"/>
      <c r="Q78" s="1100"/>
      <c r="R78" s="1100"/>
      <c r="S78" s="1101"/>
      <c r="T78" s="1101"/>
      <c r="U78" s="1101"/>
      <c r="V78" s="1101"/>
      <c r="Z78" s="1098"/>
      <c r="AA78" s="1102"/>
    </row>
    <row r="79" spans="2:27" s="1097" customFormat="1">
      <c r="D79" s="1099"/>
      <c r="G79" s="1100"/>
      <c r="H79" s="1100"/>
      <c r="I79" s="1101"/>
      <c r="J79" s="1101"/>
      <c r="K79" s="1100"/>
      <c r="L79" s="1100"/>
      <c r="Q79" s="1100"/>
      <c r="R79" s="1100"/>
      <c r="S79" s="1101"/>
      <c r="T79" s="1101"/>
      <c r="U79" s="1101"/>
      <c r="V79" s="1101"/>
      <c r="Z79" s="1098"/>
      <c r="AA79" s="1102"/>
    </row>
    <row r="80" spans="2:27" s="1093" customFormat="1" ht="18" thickBot="1">
      <c r="C80" s="1096" t="s">
        <v>1023</v>
      </c>
      <c r="D80" s="1096"/>
      <c r="E80" s="1096"/>
      <c r="F80" s="1096"/>
      <c r="G80" s="1096"/>
      <c r="H80" s="1096"/>
      <c r="I80" s="1096"/>
      <c r="J80" s="1096"/>
      <c r="K80" s="1096"/>
      <c r="L80" s="1096"/>
      <c r="M80" s="1096"/>
      <c r="N80" s="1096"/>
      <c r="O80" s="1096"/>
      <c r="P80" s="1096"/>
      <c r="Q80" s="1096"/>
      <c r="R80" s="1096"/>
      <c r="S80" s="1096"/>
      <c r="T80" s="1096"/>
      <c r="U80" s="1096"/>
      <c r="V80" s="1096"/>
      <c r="W80" s="1096"/>
      <c r="X80" s="1096"/>
      <c r="Y80" s="1096"/>
      <c r="Z80" s="1095"/>
      <c r="AA80" s="1095"/>
    </row>
    <row r="81" spans="2:27" s="1097" customFormat="1">
      <c r="C81" s="1939" t="s">
        <v>1024</v>
      </c>
      <c r="D81" s="1939"/>
      <c r="E81" s="1939"/>
      <c r="F81" s="1939"/>
      <c r="G81" s="1939"/>
      <c r="H81" s="1939"/>
      <c r="I81" s="1939"/>
      <c r="J81" s="1939"/>
      <c r="K81" s="1939"/>
      <c r="L81" s="1939"/>
      <c r="M81" s="1939"/>
      <c r="N81" s="1939"/>
      <c r="O81" s="1939"/>
      <c r="P81" s="1939"/>
      <c r="Q81" s="1939"/>
      <c r="R81" s="1939"/>
      <c r="S81" s="1939"/>
      <c r="T81" s="1939"/>
      <c r="U81" s="1939"/>
      <c r="V81" s="1939"/>
      <c r="W81" s="1939"/>
      <c r="X81" s="1939"/>
      <c r="Y81" s="1939"/>
      <c r="Z81" s="1098"/>
      <c r="AA81" s="1098"/>
    </row>
    <row r="82" spans="2:27" s="1097" customFormat="1">
      <c r="C82" s="1940"/>
      <c r="D82" s="1940"/>
      <c r="E82" s="1940"/>
      <c r="F82" s="1940"/>
      <c r="G82" s="1940"/>
      <c r="H82" s="1940"/>
      <c r="I82" s="1940"/>
      <c r="J82" s="1940"/>
      <c r="K82" s="1940"/>
      <c r="L82" s="1940"/>
      <c r="M82" s="1940"/>
      <c r="N82" s="1940"/>
      <c r="O82" s="1940"/>
      <c r="P82" s="1940"/>
      <c r="Q82" s="1940"/>
      <c r="R82" s="1940"/>
      <c r="S82" s="1940"/>
      <c r="T82" s="1940"/>
      <c r="U82" s="1940"/>
      <c r="V82" s="1940"/>
      <c r="W82" s="1940"/>
      <c r="X82" s="1940"/>
      <c r="Y82" s="1940"/>
      <c r="Z82" s="1098"/>
      <c r="AA82" s="1098"/>
    </row>
    <row r="83" spans="2:27" s="1097" customFormat="1">
      <c r="Z83" s="1098"/>
      <c r="AA83" s="1098"/>
    </row>
    <row r="84" spans="2:27" s="1093" customFormat="1">
      <c r="C84" s="1094" t="s">
        <v>1025</v>
      </c>
      <c r="Z84" s="1095"/>
      <c r="AA84" s="1095"/>
    </row>
    <row r="87" spans="2:27" ht="17.5">
      <c r="B87" s="1090"/>
      <c r="C87" s="1091"/>
      <c r="D87" s="1091"/>
      <c r="E87" s="1091"/>
      <c r="F87" s="1091"/>
      <c r="G87" s="1091"/>
      <c r="H87" s="1091"/>
      <c r="I87" s="1091"/>
      <c r="J87" s="1091"/>
      <c r="K87" s="1091"/>
      <c r="L87" s="1091"/>
      <c r="M87" s="1091"/>
      <c r="N87" s="1091"/>
      <c r="O87" s="1091"/>
      <c r="P87" s="1091"/>
      <c r="Q87" s="1091"/>
      <c r="R87" s="1091"/>
      <c r="S87" s="1091"/>
      <c r="T87" s="1091"/>
      <c r="U87" s="1091"/>
      <c r="V87" s="1091"/>
      <c r="W87" s="1091"/>
      <c r="X87" s="1091"/>
    </row>
    <row r="88" spans="2:27">
      <c r="B88" s="1088"/>
      <c r="C88" s="1088"/>
      <c r="D88" s="1088"/>
      <c r="E88" s="1088"/>
      <c r="F88" s="1088"/>
      <c r="G88" s="1088"/>
      <c r="H88" s="1088"/>
      <c r="I88" s="1088"/>
      <c r="J88" s="1088"/>
      <c r="K88" s="1088"/>
      <c r="L88" s="1088"/>
      <c r="M88" s="1088"/>
      <c r="N88" s="1088"/>
      <c r="O88" s="1088"/>
      <c r="P88" s="1088"/>
      <c r="Q88" s="1088"/>
      <c r="R88" s="1088"/>
      <c r="S88" s="1088"/>
      <c r="T88" s="1088"/>
      <c r="U88" s="1088"/>
      <c r="V88" s="1088"/>
      <c r="W88" s="1088"/>
      <c r="X88" s="1088"/>
    </row>
    <row r="89" spans="2:27">
      <c r="B89" s="1088"/>
      <c r="C89" s="1088"/>
      <c r="D89" s="1088"/>
      <c r="E89" s="1088"/>
      <c r="F89" s="1088"/>
      <c r="G89" s="1088"/>
      <c r="H89" s="1088"/>
      <c r="I89" s="1088"/>
      <c r="J89" s="1088"/>
      <c r="K89" s="1088"/>
      <c r="L89" s="1088"/>
      <c r="M89" s="1088"/>
      <c r="N89" s="1088"/>
      <c r="O89" s="1088"/>
      <c r="P89" s="1088"/>
      <c r="Q89" s="1088"/>
      <c r="R89" s="1088"/>
      <c r="S89" s="1088"/>
      <c r="T89" s="1088"/>
      <c r="U89" s="1088"/>
      <c r="V89" s="1088"/>
      <c r="W89" s="1088"/>
      <c r="X89" s="1088"/>
    </row>
    <row r="90" spans="2:27">
      <c r="B90" s="1088"/>
      <c r="C90" s="1088"/>
      <c r="D90" s="1088"/>
      <c r="E90" s="1088"/>
      <c r="F90" s="1088"/>
      <c r="G90" s="1088"/>
      <c r="H90" s="1088"/>
      <c r="I90" s="1088"/>
      <c r="J90" s="1088"/>
      <c r="K90" s="1088"/>
      <c r="L90" s="1088"/>
      <c r="M90" s="1088"/>
      <c r="N90" s="1088"/>
      <c r="O90" s="1088"/>
      <c r="P90" s="1088"/>
      <c r="Q90" s="1088"/>
      <c r="R90" s="1088"/>
      <c r="S90" s="1088"/>
      <c r="T90" s="1088"/>
      <c r="U90" s="1088"/>
      <c r="V90" s="1088"/>
      <c r="W90" s="1088"/>
      <c r="X90" s="1088"/>
    </row>
    <row r="92" spans="2:27">
      <c r="B92" s="1092"/>
      <c r="C92" s="1092"/>
      <c r="D92" s="1092"/>
      <c r="E92" s="1092"/>
      <c r="F92" s="1092"/>
      <c r="G92" s="1092"/>
      <c r="H92" s="1092"/>
      <c r="I92" s="1092"/>
      <c r="J92" s="1092"/>
    </row>
    <row r="93" spans="2:27">
      <c r="B93" s="1088"/>
      <c r="C93" s="1088"/>
      <c r="D93" s="1088"/>
      <c r="E93" s="1088"/>
      <c r="F93" s="1088"/>
      <c r="G93" s="1088"/>
      <c r="H93" s="1088"/>
      <c r="I93" s="1088"/>
      <c r="J93" s="1088"/>
      <c r="K93" s="1088"/>
      <c r="L93" s="1088"/>
      <c r="M93" s="1088"/>
      <c r="N93" s="1088"/>
      <c r="O93" s="1088"/>
      <c r="P93" s="1088"/>
      <c r="Q93" s="1088"/>
      <c r="R93" s="1088"/>
      <c r="S93" s="1088"/>
      <c r="T93" s="1088"/>
      <c r="U93" s="1088"/>
      <c r="V93" s="1088"/>
      <c r="W93" s="1088"/>
      <c r="X93" s="1088"/>
    </row>
  </sheetData>
  <mergeCells count="76">
    <mergeCell ref="G16:I16"/>
    <mergeCell ref="K16:M16"/>
    <mergeCell ref="O16:Q16"/>
    <mergeCell ref="S16:U16"/>
    <mergeCell ref="G17:I17"/>
    <mergeCell ref="K17:M17"/>
    <mergeCell ref="O17:Q17"/>
    <mergeCell ref="S17:U17"/>
    <mergeCell ref="G26:M26"/>
    <mergeCell ref="G18:I18"/>
    <mergeCell ref="W20:Y20"/>
    <mergeCell ref="K18:M18"/>
    <mergeCell ref="O18:Q18"/>
    <mergeCell ref="S18:U18"/>
    <mergeCell ref="G24:I24"/>
    <mergeCell ref="K24:M24"/>
    <mergeCell ref="S24:U24"/>
    <mergeCell ref="W24:Y24"/>
    <mergeCell ref="G23:I23"/>
    <mergeCell ref="K23:M23"/>
    <mergeCell ref="S23:U23"/>
    <mergeCell ref="W23:Y23"/>
    <mergeCell ref="O23:Q23"/>
    <mergeCell ref="O24:Q24"/>
    <mergeCell ref="W64:Y64"/>
    <mergeCell ref="W65:Y65"/>
    <mergeCell ref="W67:Y67"/>
    <mergeCell ref="C81:Y82"/>
    <mergeCell ref="G36:I36"/>
    <mergeCell ref="K36:M36"/>
    <mergeCell ref="Q36:S36"/>
    <mergeCell ref="G37:I37"/>
    <mergeCell ref="K37:M37"/>
    <mergeCell ref="Q37:S37"/>
    <mergeCell ref="G21:I21"/>
    <mergeCell ref="K21:M21"/>
    <mergeCell ref="S21:U21"/>
    <mergeCell ref="W21:Y21"/>
    <mergeCell ref="G22:I22"/>
    <mergeCell ref="K22:M22"/>
    <mergeCell ref="S22:U22"/>
    <mergeCell ref="W22:Y22"/>
    <mergeCell ref="O21:Q21"/>
    <mergeCell ref="O22:Q22"/>
    <mergeCell ref="W15:Y15"/>
    <mergeCell ref="G12:I12"/>
    <mergeCell ref="K12:M12"/>
    <mergeCell ref="S12:U12"/>
    <mergeCell ref="G15:I15"/>
    <mergeCell ref="K15:M15"/>
    <mergeCell ref="S15:U15"/>
    <mergeCell ref="O15:Q15"/>
    <mergeCell ref="G14:I14"/>
    <mergeCell ref="K14:M14"/>
    <mergeCell ref="S14:U14"/>
    <mergeCell ref="W14:Y14"/>
    <mergeCell ref="G13:I13"/>
    <mergeCell ref="K13:M13"/>
    <mergeCell ref="S13:U13"/>
    <mergeCell ref="W13:Y13"/>
    <mergeCell ref="W12:Y12"/>
    <mergeCell ref="S10:U10"/>
    <mergeCell ref="W10:Y10"/>
    <mergeCell ref="O12:Q12"/>
    <mergeCell ref="O11:Q11"/>
    <mergeCell ref="S11:U11"/>
    <mergeCell ref="W11:Y11"/>
    <mergeCell ref="O13:Q13"/>
    <mergeCell ref="O14:Q14"/>
    <mergeCell ref="G9:I9"/>
    <mergeCell ref="D10:E10"/>
    <mergeCell ref="G10:I10"/>
    <mergeCell ref="K10:M10"/>
    <mergeCell ref="G11:I11"/>
    <mergeCell ref="K11:M11"/>
    <mergeCell ref="O10:Q10"/>
  </mergeCells>
  <dataValidations count="1">
    <dataValidation type="list" allowBlank="1" showInputMessage="1" showErrorMessage="1" sqref="K35" xr:uid="{5F542EF4-C269-42CD-B763-FDE1B6F8244F}">
      <formula1>"T-3, T-1"</formula1>
    </dataValidation>
  </dataValidations>
  <printOptions horizontalCentered="1"/>
  <pageMargins left="0" right="0" top="0" bottom="0" header="0" footer="0"/>
  <pageSetup scale="50" orientation="portrait" r:id="rId1"/>
  <ignoredErrors>
    <ignoredError sqref="H12:J12" evalError="1"/>
  </ignoredError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DEA74-D3FE-442A-A6F1-5A75DE150D92}">
  <sheetPr codeName="Sheet7"/>
  <dimension ref="B2:K11"/>
  <sheetViews>
    <sheetView view="pageBreakPreview" zoomScale="90" zoomScaleNormal="85" zoomScaleSheetLayoutView="90" workbookViewId="0">
      <selection activeCell="K26" sqref="K26"/>
    </sheetView>
  </sheetViews>
  <sheetFormatPr defaultColWidth="9.1796875" defaultRowHeight="17.5"/>
  <cols>
    <col min="1" max="1" width="6.81640625" style="1453" customWidth="1"/>
    <col min="2" max="2" width="23.81640625" style="1453" customWidth="1"/>
    <col min="3" max="4" width="20.7265625" style="1453" customWidth="1"/>
    <col min="5" max="16384" width="9.1796875" style="1453"/>
  </cols>
  <sheetData>
    <row r="2" spans="2:11" ht="18" thickBot="1"/>
    <row r="3" spans="2:11">
      <c r="B3" s="1454"/>
      <c r="C3" s="1455" t="s">
        <v>1026</v>
      </c>
      <c r="D3" s="1456" t="s">
        <v>620</v>
      </c>
    </row>
    <row r="4" spans="2:11">
      <c r="B4" s="1458" t="s">
        <v>198</v>
      </c>
      <c r="C4" s="1459">
        <f>'Debt Sizing'!P58</f>
        <v>35000000</v>
      </c>
      <c r="D4" s="1460">
        <f>'Debt Sizing'!AQ58</f>
        <v>1000000</v>
      </c>
    </row>
    <row r="5" spans="2:11">
      <c r="B5" s="1461" t="s">
        <v>687</v>
      </c>
      <c r="C5" s="1462">
        <f>'Debt Sizing'!P60/12</f>
        <v>5</v>
      </c>
      <c r="D5" s="1463">
        <f>'Debt Sizing'!AQ60/12</f>
        <v>10</v>
      </c>
    </row>
    <row r="6" spans="2:11">
      <c r="B6" s="1461" t="s">
        <v>21</v>
      </c>
      <c r="C6" s="1462">
        <f>'Debt Sizing'!P61/12</f>
        <v>5</v>
      </c>
      <c r="D6" s="1463">
        <f>'Debt Sizing'!AQ61/12</f>
        <v>5</v>
      </c>
    </row>
    <row r="7" spans="2:11">
      <c r="B7" s="1461" t="s">
        <v>689</v>
      </c>
      <c r="C7" s="1462">
        <f>'Debt Sizing'!P62/12</f>
        <v>30</v>
      </c>
      <c r="D7" s="1463">
        <f>'Debt Sizing'!AQ62/12</f>
        <v>30</v>
      </c>
    </row>
    <row r="8" spans="2:11">
      <c r="B8" s="1461" t="s">
        <v>43</v>
      </c>
      <c r="C8" s="1462" t="s">
        <v>12</v>
      </c>
      <c r="D8" s="1463" t="s">
        <v>12</v>
      </c>
    </row>
    <row r="9" spans="2:11">
      <c r="B9" s="1461" t="s">
        <v>693</v>
      </c>
      <c r="C9" s="1464">
        <f>'Debt Sizing'!P64</f>
        <v>3.5700000000000003E-2</v>
      </c>
      <c r="D9" s="1465">
        <f>'Debt Sizing'!AQ64</f>
        <v>3.7999999999999999E-2</v>
      </c>
      <c r="K9" s="1471"/>
    </row>
    <row r="10" spans="2:11">
      <c r="B10" s="1466" t="s">
        <v>690</v>
      </c>
      <c r="C10" s="1467">
        <f>'Debt Sizing'!P63</f>
        <v>6.6E-3</v>
      </c>
      <c r="D10" s="1468">
        <f>'Debt Sizing'!AQ63</f>
        <v>1.6E-2</v>
      </c>
      <c r="K10" s="1471" t="s">
        <v>12</v>
      </c>
    </row>
    <row r="11" spans="2:11" ht="18" thickBot="1">
      <c r="B11" s="1457" t="s">
        <v>1027</v>
      </c>
      <c r="C11" s="1469">
        <f>C9+C10</f>
        <v>4.2300000000000004E-2</v>
      </c>
      <c r="D11" s="1470">
        <f>D9+D10</f>
        <v>5.3999999999999999E-2</v>
      </c>
      <c r="K11" s="1471" t="s">
        <v>16</v>
      </c>
    </row>
  </sheetData>
  <dataValidations count="1">
    <dataValidation type="list" allowBlank="1" showInputMessage="1" showErrorMessage="1" sqref="C8:D8" xr:uid="{5228A3B4-4B84-4859-8E54-DC9FED08C863}">
      <formula1>$K$9:$K$11</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36358-0D88-4409-A141-8D6DD1E4EC32}">
  <sheetPr codeName="Sheet20">
    <tabColor theme="4"/>
    <pageSetUpPr fitToPage="1"/>
  </sheetPr>
  <dimension ref="B2:AZ58"/>
  <sheetViews>
    <sheetView showGridLines="0" view="pageBreakPreview" zoomScale="85" zoomScaleNormal="100" zoomScaleSheetLayoutView="85" workbookViewId="0"/>
  </sheetViews>
  <sheetFormatPr defaultColWidth="9.1796875" defaultRowHeight="15.5" outlineLevelRow="1" outlineLevelCol="1"/>
  <cols>
    <col min="1" max="1" width="9.1796875" style="1063"/>
    <col min="2" max="2" width="2.453125" style="1063" customWidth="1"/>
    <col min="3" max="3" width="11.26953125" style="1063" customWidth="1"/>
    <col min="4" max="4" width="10.1796875" style="1063" customWidth="1"/>
    <col min="5" max="5" width="10.453125" style="1063" customWidth="1"/>
    <col min="6" max="6" width="3.453125" style="1063" customWidth="1"/>
    <col min="7" max="7" width="14.7265625" style="1063" customWidth="1"/>
    <col min="8" max="8" width="2" style="1063" customWidth="1"/>
    <col min="9" max="9" width="14.7265625" style="1063" customWidth="1"/>
    <col min="10" max="10" width="0.81640625" style="1063" customWidth="1"/>
    <col min="11" max="11" width="14.7265625" style="1063" customWidth="1"/>
    <col min="12" max="12" width="2" style="1063" bestFit="1" customWidth="1"/>
    <col min="13" max="13" width="14.7265625" style="1063" customWidth="1"/>
    <col min="14" max="14" width="0.81640625" style="1063" customWidth="1"/>
    <col min="15" max="15" width="14.7265625" style="1063" customWidth="1"/>
    <col min="16" max="16" width="2" style="1063" customWidth="1"/>
    <col min="17" max="17" width="14.7265625" style="1063" customWidth="1"/>
    <col min="18" max="18" width="0.81640625" style="1063" customWidth="1"/>
    <col min="19" max="19" width="14.7265625" style="1063" customWidth="1"/>
    <col min="20" max="20" width="2" style="1063" bestFit="1" customWidth="1"/>
    <col min="21" max="21" width="14.7265625" style="1063" customWidth="1"/>
    <col min="22" max="22" width="0.81640625" style="1063" customWidth="1"/>
    <col min="23" max="23" width="14.7265625" style="1063" customWidth="1"/>
    <col min="24" max="24" width="2" style="1063" customWidth="1"/>
    <col min="25" max="25" width="14.7265625" style="1063" customWidth="1"/>
    <col min="26" max="26" width="0.81640625" style="1064" customWidth="1"/>
    <col min="27" max="27" width="14.7265625" style="1064" customWidth="1"/>
    <col min="28" max="28" width="2" style="1063" customWidth="1"/>
    <col min="29" max="29" width="14.7265625" style="1063" customWidth="1"/>
    <col min="30" max="30" width="0.81640625" style="1063" customWidth="1"/>
    <col min="31" max="31" width="14.7265625" style="1063" hidden="1" customWidth="1" outlineLevel="1"/>
    <col min="32" max="32" width="2" style="1063" hidden="1" customWidth="1" outlineLevel="1"/>
    <col min="33" max="33" width="14.7265625" style="1063" hidden="1" customWidth="1" outlineLevel="1"/>
    <col min="34" max="34" width="0.81640625" style="1063" hidden="1" customWidth="1" outlineLevel="1"/>
    <col min="35" max="35" width="14.7265625" style="1063" hidden="1" customWidth="1" outlineLevel="1" collapsed="1"/>
    <col min="36" max="36" width="2" style="1063" hidden="1" customWidth="1" outlineLevel="1"/>
    <col min="37" max="37" width="14.7265625" style="1063" hidden="1" customWidth="1" outlineLevel="1"/>
    <col min="38" max="38" width="2.453125" style="1063" customWidth="1" collapsed="1"/>
    <col min="39" max="42" width="9.1796875" style="1063"/>
    <col min="43" max="43" width="16.1796875" style="1063" customWidth="1"/>
    <col min="44" max="16384" width="9.1796875" style="1063"/>
  </cols>
  <sheetData>
    <row r="2" spans="2:52">
      <c r="B2" s="1341"/>
      <c r="C2" s="1341"/>
      <c r="D2" s="1341"/>
      <c r="E2" s="1341"/>
      <c r="F2" s="1341"/>
      <c r="G2" s="1341"/>
      <c r="H2" s="1341"/>
      <c r="I2" s="1341"/>
      <c r="J2" s="1341"/>
      <c r="K2" s="1341"/>
      <c r="L2" s="1341"/>
      <c r="M2" s="1341"/>
      <c r="N2" s="1341"/>
      <c r="O2" s="1341"/>
      <c r="P2" s="1341"/>
      <c r="Q2" s="1341"/>
      <c r="R2" s="1341"/>
      <c r="S2" s="1341"/>
      <c r="T2" s="1341"/>
      <c r="U2" s="1341"/>
      <c r="V2" s="1341"/>
      <c r="W2" s="1341"/>
      <c r="X2" s="1341"/>
      <c r="Y2" s="1341"/>
      <c r="Z2" s="1529"/>
      <c r="AA2" s="1529"/>
      <c r="AB2" s="1341"/>
      <c r="AC2" s="1341"/>
      <c r="AD2" s="1341"/>
      <c r="AE2" s="1341"/>
      <c r="AF2" s="1341"/>
      <c r="AG2" s="1341"/>
      <c r="AH2" s="1341"/>
      <c r="AI2" s="1341"/>
      <c r="AJ2" s="1341"/>
      <c r="AK2" s="1341"/>
      <c r="AL2" s="1341"/>
      <c r="AQ2" s="1530">
        <v>0</v>
      </c>
      <c r="AR2" s="1531">
        <v>2.5000000000000001E-3</v>
      </c>
      <c r="AS2" s="1531">
        <v>5.0000000000000001E-3</v>
      </c>
      <c r="AT2" s="1531">
        <v>7.4999999999999997E-3</v>
      </c>
      <c r="AU2" s="1531">
        <v>0.01</v>
      </c>
      <c r="AV2" s="1531">
        <v>1.2500000000000001E-2</v>
      </c>
      <c r="AW2" s="1531">
        <v>1.4999999999999999E-2</v>
      </c>
      <c r="AX2" s="1531">
        <v>1.7500000000000002E-2</v>
      </c>
      <c r="AY2" s="1531">
        <v>0.02</v>
      </c>
      <c r="AZ2" s="1063" t="s">
        <v>987</v>
      </c>
    </row>
    <row r="3" spans="2:52" ht="28">
      <c r="B3" s="1341"/>
      <c r="C3" s="1342" t="str">
        <f>'Inputs and Assumptions'!B2</f>
        <v>The Winchester</v>
      </c>
      <c r="D3" s="1341"/>
      <c r="E3" s="1341"/>
      <c r="F3" s="1341"/>
      <c r="G3" s="1341"/>
      <c r="H3" s="1341"/>
      <c r="I3" s="1341"/>
      <c r="J3" s="1341"/>
      <c r="K3" s="1341"/>
      <c r="L3" s="1341"/>
      <c r="M3" s="1341"/>
      <c r="N3" s="1341"/>
      <c r="O3" s="1341"/>
      <c r="P3" s="1341"/>
      <c r="Q3" s="1341"/>
      <c r="R3" s="1341"/>
      <c r="S3" s="1341"/>
      <c r="T3" s="1341"/>
      <c r="U3" s="1341"/>
      <c r="V3" s="1341"/>
      <c r="W3" s="1341"/>
      <c r="X3" s="1341"/>
      <c r="Y3" s="1341"/>
      <c r="Z3" s="1529"/>
      <c r="AA3" s="1529"/>
      <c r="AB3" s="1341"/>
      <c r="AC3" s="1341"/>
      <c r="AD3" s="1341"/>
      <c r="AE3" s="1341"/>
      <c r="AF3" s="1341"/>
      <c r="AG3" s="1341"/>
      <c r="AH3" s="1341"/>
      <c r="AI3" s="1341"/>
      <c r="AJ3" s="1341"/>
      <c r="AK3" s="1341"/>
      <c r="AL3" s="1341"/>
      <c r="AQ3" s="1063" t="s">
        <v>1028</v>
      </c>
      <c r="AR3" s="1532">
        <v>6</v>
      </c>
      <c r="AS3" s="1532">
        <v>11</v>
      </c>
      <c r="AT3" s="1532">
        <v>17</v>
      </c>
      <c r="AU3" s="1532">
        <v>22</v>
      </c>
      <c r="AV3" s="1532">
        <v>28</v>
      </c>
      <c r="AW3" s="1532" t="s">
        <v>995</v>
      </c>
      <c r="AX3" s="1532" t="s">
        <v>995</v>
      </c>
      <c r="AY3" s="1532" t="s">
        <v>995</v>
      </c>
    </row>
    <row r="4" spans="2:52" ht="17.5">
      <c r="B4" s="1341"/>
      <c r="C4" s="1343" t="str">
        <f>'Inputs and Assumptions'!D7</f>
        <v>4450 Friends Xing NE, Huntsville, AL</v>
      </c>
      <c r="D4" s="1341"/>
      <c r="E4" s="1341"/>
      <c r="F4" s="1341"/>
      <c r="G4" s="1341"/>
      <c r="H4" s="1341"/>
      <c r="I4" s="1341"/>
      <c r="J4" s="1341"/>
      <c r="K4" s="1341"/>
      <c r="L4" s="1341"/>
      <c r="M4" s="1341"/>
      <c r="N4" s="1341"/>
      <c r="O4" s="1341"/>
      <c r="P4" s="1341"/>
      <c r="Q4" s="1341"/>
      <c r="R4" s="1341"/>
      <c r="S4" s="1341"/>
      <c r="T4" s="1341"/>
      <c r="U4" s="1341"/>
      <c r="V4" s="1341"/>
      <c r="W4" s="1341"/>
      <c r="X4" s="1341"/>
      <c r="Y4" s="1341"/>
      <c r="Z4" s="1529"/>
      <c r="AA4" s="1529"/>
      <c r="AB4" s="1341"/>
      <c r="AC4" s="1341"/>
      <c r="AD4" s="1341"/>
      <c r="AE4" s="1341"/>
      <c r="AF4" s="1341"/>
      <c r="AG4" s="1341"/>
      <c r="AH4" s="1341"/>
      <c r="AI4" s="1341"/>
      <c r="AJ4" s="1341"/>
      <c r="AK4" s="1341"/>
      <c r="AL4" s="1341"/>
      <c r="AQ4" s="1063" t="s">
        <v>1029</v>
      </c>
      <c r="AR4" s="1532">
        <v>5</v>
      </c>
      <c r="AS4" s="1532">
        <v>11</v>
      </c>
      <c r="AT4" s="1532">
        <v>16</v>
      </c>
      <c r="AU4" s="1532">
        <v>22</v>
      </c>
      <c r="AV4" s="1532">
        <v>28</v>
      </c>
      <c r="AW4" s="1532">
        <v>30</v>
      </c>
      <c r="AX4" s="1532">
        <v>34</v>
      </c>
      <c r="AY4" s="1532">
        <v>38</v>
      </c>
    </row>
    <row r="5" spans="2:52" ht="17.5">
      <c r="B5" s="1341"/>
      <c r="C5" s="1344" t="str">
        <f>'Rent Roll Analysis'!$E$41&amp;" Units"</f>
        <v>264 Units</v>
      </c>
      <c r="D5" s="1341"/>
      <c r="E5" s="1341"/>
      <c r="F5" s="1341"/>
      <c r="G5" s="1341"/>
      <c r="H5" s="1341"/>
      <c r="I5" s="1341"/>
      <c r="J5" s="1341"/>
      <c r="K5" s="1341"/>
      <c r="L5" s="1341"/>
      <c r="M5" s="1341"/>
      <c r="N5" s="1341"/>
      <c r="O5" s="1341"/>
      <c r="P5" s="1341"/>
      <c r="Q5" s="1341"/>
      <c r="R5" s="1341"/>
      <c r="S5" s="1341"/>
      <c r="T5" s="1341"/>
      <c r="U5" s="1341"/>
      <c r="V5" s="1341"/>
      <c r="W5" s="1341"/>
      <c r="X5" s="1341"/>
      <c r="Y5" s="1341"/>
      <c r="Z5" s="1529"/>
      <c r="AA5" s="1529"/>
      <c r="AB5" s="1341"/>
      <c r="AC5" s="1341"/>
      <c r="AD5" s="1341"/>
      <c r="AE5" s="1341"/>
      <c r="AF5" s="1341"/>
      <c r="AG5" s="1341"/>
      <c r="AH5" s="1341"/>
      <c r="AI5" s="1341"/>
      <c r="AJ5" s="1341"/>
      <c r="AK5" s="1341"/>
      <c r="AL5" s="1341"/>
      <c r="AQ5" s="1063" t="s">
        <v>1030</v>
      </c>
      <c r="AR5" s="1532">
        <v>4</v>
      </c>
      <c r="AS5" s="1532">
        <v>8</v>
      </c>
      <c r="AT5" s="1532">
        <v>12</v>
      </c>
      <c r="AU5" s="1532">
        <v>16</v>
      </c>
      <c r="AV5" s="1532">
        <v>20</v>
      </c>
      <c r="AW5" s="1532">
        <v>24</v>
      </c>
      <c r="AX5" s="1532">
        <v>28</v>
      </c>
      <c r="AY5" s="1532" t="s">
        <v>995</v>
      </c>
    </row>
    <row r="6" spans="2:52" ht="28">
      <c r="B6" s="1341"/>
      <c r="C6" s="1342" t="s">
        <v>1031</v>
      </c>
      <c r="D6" s="1341"/>
      <c r="E6" s="1341"/>
      <c r="F6" s="1341"/>
      <c r="G6" s="1341"/>
      <c r="H6" s="1341"/>
      <c r="I6" s="1341"/>
      <c r="J6" s="1341"/>
      <c r="K6" s="1341"/>
      <c r="L6" s="1341"/>
      <c r="M6" s="1341"/>
      <c r="N6" s="1341"/>
      <c r="O6" s="1341"/>
      <c r="P6" s="1341"/>
      <c r="Q6" s="1341"/>
      <c r="R6" s="1341"/>
      <c r="S6" s="1341"/>
      <c r="T6" s="1341"/>
      <c r="U6" s="1341"/>
      <c r="V6" s="1341"/>
      <c r="W6" s="1341"/>
      <c r="X6" s="1341"/>
      <c r="Y6" s="1341"/>
      <c r="Z6" s="1529"/>
      <c r="AA6" s="1529"/>
      <c r="AB6" s="1341"/>
      <c r="AC6" s="1341"/>
      <c r="AD6" s="1341"/>
      <c r="AE6" s="1341"/>
      <c r="AF6" s="1341"/>
      <c r="AG6" s="1341"/>
      <c r="AH6" s="1341"/>
      <c r="AI6" s="1341"/>
      <c r="AJ6" s="1341"/>
      <c r="AK6" s="1341"/>
      <c r="AL6" s="1341"/>
      <c r="AQ6" s="1063" t="s">
        <v>1032</v>
      </c>
      <c r="AR6" s="1532">
        <v>4</v>
      </c>
      <c r="AS6" s="1532">
        <v>9</v>
      </c>
      <c r="AT6" s="1532">
        <v>13</v>
      </c>
      <c r="AU6" s="1532">
        <v>18</v>
      </c>
      <c r="AV6" s="1532">
        <v>20</v>
      </c>
      <c r="AW6" s="1532">
        <v>25</v>
      </c>
      <c r="AX6" s="1532">
        <v>30</v>
      </c>
      <c r="AY6" s="1532">
        <v>34</v>
      </c>
    </row>
    <row r="7" spans="2:52">
      <c r="B7" s="1341"/>
      <c r="C7" s="1341"/>
      <c r="D7" s="1341"/>
      <c r="E7" s="1341"/>
      <c r="F7" s="1341"/>
      <c r="G7" s="1341"/>
      <c r="H7" s="1341"/>
      <c r="I7" s="1341"/>
      <c r="J7" s="1341"/>
      <c r="K7" s="1341"/>
      <c r="L7" s="1341"/>
      <c r="M7" s="1341"/>
      <c r="N7" s="1341"/>
      <c r="O7" s="1341"/>
      <c r="P7" s="1341"/>
      <c r="Q7" s="1341"/>
      <c r="R7" s="1341"/>
      <c r="S7" s="1341"/>
      <c r="T7" s="1341"/>
      <c r="U7" s="1341"/>
      <c r="V7" s="1341"/>
      <c r="W7" s="1341"/>
      <c r="X7" s="1341"/>
      <c r="Y7" s="1341"/>
      <c r="Z7" s="1529"/>
      <c r="AA7" s="1529"/>
      <c r="AB7" s="1341"/>
      <c r="AC7" s="1341"/>
      <c r="AD7" s="1341"/>
      <c r="AE7" s="1341"/>
      <c r="AF7" s="1341"/>
      <c r="AG7" s="1341"/>
      <c r="AH7" s="1341"/>
      <c r="AI7" s="1341"/>
      <c r="AJ7" s="1341"/>
      <c r="AK7" s="1341"/>
      <c r="AL7" s="1341"/>
      <c r="AQ7" s="1063" t="s">
        <v>1033</v>
      </c>
      <c r="AR7" s="1532">
        <v>3</v>
      </c>
      <c r="AS7" s="1532">
        <v>7</v>
      </c>
      <c r="AT7" s="1532">
        <v>10</v>
      </c>
      <c r="AU7" s="1532">
        <v>13</v>
      </c>
      <c r="AV7" s="1532">
        <v>16</v>
      </c>
      <c r="AW7" s="1532">
        <v>20</v>
      </c>
      <c r="AX7" s="1532">
        <v>23</v>
      </c>
      <c r="AY7" s="1532">
        <v>26</v>
      </c>
    </row>
    <row r="8" spans="2:52">
      <c r="AQ8" s="1533" t="s">
        <v>1034</v>
      </c>
      <c r="AR8" s="1534">
        <v>3</v>
      </c>
      <c r="AS8" s="1534">
        <v>6</v>
      </c>
      <c r="AT8" s="1534">
        <v>9</v>
      </c>
      <c r="AU8" s="1534">
        <v>13</v>
      </c>
      <c r="AV8" s="1534">
        <v>14</v>
      </c>
      <c r="AW8" s="1534">
        <v>17</v>
      </c>
      <c r="AX8" s="1534">
        <v>20</v>
      </c>
      <c r="AY8" s="1534">
        <v>25</v>
      </c>
    </row>
    <row r="9" spans="2:52">
      <c r="C9" s="1065"/>
      <c r="D9" s="1065"/>
      <c r="E9" s="1065"/>
      <c r="F9" s="1065"/>
      <c r="G9" s="1920"/>
      <c r="H9" s="1920"/>
      <c r="I9" s="1920"/>
      <c r="J9" s="1065"/>
      <c r="K9" s="1065"/>
      <c r="L9" s="1065"/>
      <c r="M9" s="1065"/>
      <c r="N9" s="1065"/>
      <c r="O9" s="1065"/>
      <c r="P9" s="1065"/>
      <c r="Q9" s="1065"/>
      <c r="R9" s="1065"/>
      <c r="S9" s="1065"/>
      <c r="T9" s="1065"/>
      <c r="U9" s="1065"/>
      <c r="V9" s="1065"/>
      <c r="W9" s="1065"/>
      <c r="AA9" s="1065"/>
      <c r="AQ9" s="1535">
        <v>5</v>
      </c>
      <c r="AR9" s="1063">
        <f t="shared" ref="AR9:AY9" si="0">AVERAGE(AR3:AR4)</f>
        <v>5.5</v>
      </c>
      <c r="AS9" s="1063">
        <f t="shared" si="0"/>
        <v>11</v>
      </c>
      <c r="AT9" s="1063">
        <f t="shared" si="0"/>
        <v>16.5</v>
      </c>
      <c r="AU9" s="1063">
        <f t="shared" si="0"/>
        <v>22</v>
      </c>
      <c r="AV9" s="1063">
        <f t="shared" si="0"/>
        <v>28</v>
      </c>
      <c r="AW9" s="1063">
        <f t="shared" si="0"/>
        <v>30</v>
      </c>
      <c r="AX9" s="1063">
        <f t="shared" si="0"/>
        <v>34</v>
      </c>
      <c r="AY9" s="1063">
        <f t="shared" si="0"/>
        <v>38</v>
      </c>
    </row>
    <row r="10" spans="2:52" ht="18.75" customHeight="1">
      <c r="C10" s="1190" t="s">
        <v>975</v>
      </c>
      <c r="D10" s="1966">
        <f ca="1">TODAY()</f>
        <v>46085</v>
      </c>
      <c r="E10" s="1966"/>
      <c r="F10" s="1093"/>
      <c r="G10" s="1594"/>
      <c r="H10" s="1594"/>
      <c r="I10" s="1594"/>
      <c r="J10" s="1191"/>
      <c r="K10" s="1594"/>
      <c r="L10" s="1594"/>
      <c r="M10" s="1594"/>
      <c r="N10" s="1066"/>
      <c r="O10" s="1594"/>
      <c r="P10" s="1594"/>
      <c r="Q10" s="1594"/>
      <c r="R10" s="1066"/>
      <c r="S10" s="1594"/>
      <c r="T10" s="1594"/>
      <c r="U10" s="1594"/>
      <c r="V10" s="1066"/>
      <c r="W10" s="1594"/>
      <c r="X10" s="1594"/>
      <c r="Y10" s="1594"/>
      <c r="Z10" s="1521"/>
      <c r="AA10" s="1594"/>
      <c r="AB10" s="1594"/>
      <c r="AC10" s="1594"/>
      <c r="AI10" s="1954" t="s">
        <v>1035</v>
      </c>
      <c r="AJ10" s="1954"/>
      <c r="AK10" s="1954"/>
      <c r="AQ10" s="1536">
        <v>7</v>
      </c>
      <c r="AR10" s="1537">
        <f t="shared" ref="AR10:AY10" si="1">AVERAGE(AR5:AR6)</f>
        <v>4</v>
      </c>
      <c r="AS10" s="1537">
        <f t="shared" si="1"/>
        <v>8.5</v>
      </c>
      <c r="AT10" s="1537">
        <f t="shared" si="1"/>
        <v>12.5</v>
      </c>
      <c r="AU10" s="1537">
        <f t="shared" si="1"/>
        <v>17</v>
      </c>
      <c r="AV10" s="1537">
        <f t="shared" si="1"/>
        <v>20</v>
      </c>
      <c r="AW10" s="1537">
        <f t="shared" si="1"/>
        <v>24.5</v>
      </c>
      <c r="AX10" s="1537">
        <f t="shared" si="1"/>
        <v>29</v>
      </c>
      <c r="AY10" s="1537">
        <f t="shared" si="1"/>
        <v>34</v>
      </c>
    </row>
    <row r="11" spans="2:52" ht="28" customHeight="1">
      <c r="C11" s="1190"/>
      <c r="D11" s="1528"/>
      <c r="E11" s="1528"/>
      <c r="F11" s="1093"/>
      <c r="G11" s="1952" t="s">
        <v>1036</v>
      </c>
      <c r="H11" s="1952"/>
      <c r="I11" s="1952"/>
      <c r="J11" s="1191"/>
      <c r="K11" s="1954" t="s">
        <v>1036</v>
      </c>
      <c r="L11" s="1954"/>
      <c r="M11" s="1954"/>
      <c r="N11" s="1066"/>
      <c r="O11" s="1952" t="s">
        <v>1036</v>
      </c>
      <c r="P11" s="1952"/>
      <c r="Q11" s="1952"/>
      <c r="R11" s="1066"/>
      <c r="S11" s="1954" t="s">
        <v>1036</v>
      </c>
      <c r="T11" s="1954"/>
      <c r="U11" s="1954"/>
      <c r="V11" s="1066"/>
      <c r="W11" s="1952" t="s">
        <v>1036</v>
      </c>
      <c r="X11" s="1952"/>
      <c r="Y11" s="1952"/>
      <c r="Z11" s="1066"/>
      <c r="AA11" s="1954" t="s">
        <v>1036</v>
      </c>
      <c r="AB11" s="1954"/>
      <c r="AC11" s="1954"/>
      <c r="AI11" s="1954"/>
      <c r="AJ11" s="1954"/>
      <c r="AK11" s="1954"/>
      <c r="AQ11" s="1536">
        <v>10</v>
      </c>
      <c r="AR11" s="1537">
        <f t="shared" ref="AR11:AY11" si="2">AVERAGE(AR7:AR8)</f>
        <v>3</v>
      </c>
      <c r="AS11" s="1537">
        <f t="shared" si="2"/>
        <v>6.5</v>
      </c>
      <c r="AT11" s="1537">
        <f t="shared" si="2"/>
        <v>9.5</v>
      </c>
      <c r="AU11" s="1537">
        <f t="shared" si="2"/>
        <v>13</v>
      </c>
      <c r="AV11" s="1537">
        <f t="shared" si="2"/>
        <v>15</v>
      </c>
      <c r="AW11" s="1537">
        <f t="shared" si="2"/>
        <v>18.5</v>
      </c>
      <c r="AX11" s="1537">
        <f t="shared" si="2"/>
        <v>21.5</v>
      </c>
      <c r="AY11" s="1537">
        <f t="shared" si="2"/>
        <v>25.5</v>
      </c>
    </row>
    <row r="12" spans="2:52" ht="28" customHeight="1" thickBot="1">
      <c r="B12" s="1067"/>
      <c r="C12" s="1136" t="s">
        <v>976</v>
      </c>
      <c r="D12" s="1136"/>
      <c r="E12" s="1136"/>
      <c r="F12" s="1185"/>
      <c r="G12" s="1953"/>
      <c r="H12" s="1953"/>
      <c r="I12" s="1953"/>
      <c r="J12" s="1186"/>
      <c r="K12" s="1955"/>
      <c r="L12" s="1955"/>
      <c r="M12" s="1955"/>
      <c r="N12" s="1068"/>
      <c r="O12" s="1953"/>
      <c r="P12" s="1953"/>
      <c r="Q12" s="1953"/>
      <c r="R12" s="1068"/>
      <c r="S12" s="1955"/>
      <c r="T12" s="1955"/>
      <c r="U12" s="1955"/>
      <c r="V12" s="1068"/>
      <c r="W12" s="1953"/>
      <c r="X12" s="1953"/>
      <c r="Y12" s="1953"/>
      <c r="Z12" s="1068"/>
      <c r="AA12" s="1955"/>
      <c r="AB12" s="1955"/>
      <c r="AC12" s="1955"/>
      <c r="AD12" s="1186"/>
      <c r="AE12" s="1924" t="s">
        <v>619</v>
      </c>
      <c r="AF12" s="1924"/>
      <c r="AG12" s="1924"/>
      <c r="AH12" s="1538"/>
      <c r="AI12" s="1955"/>
      <c r="AJ12" s="1955"/>
      <c r="AK12" s="1955"/>
    </row>
    <row r="13" spans="2:52" ht="30" hidden="1" customHeight="1" outlineLevel="1">
      <c r="B13" s="1067"/>
      <c r="C13" s="1968" t="s">
        <v>30</v>
      </c>
      <c r="D13" s="1968"/>
      <c r="E13" s="1968"/>
      <c r="F13" s="1187"/>
      <c r="G13" s="1974">
        <f>ROUND(MIN(-PV(G$20/12,G$29*12,G$22/G$25/12),G$23*'Inputs and Assumptions'!$D$11),-4)</f>
        <v>24660000</v>
      </c>
      <c r="H13" s="1974"/>
      <c r="I13" s="1974"/>
      <c r="J13" s="1539"/>
      <c r="K13" s="1972">
        <f>ROUND(MIN(-PV(K$20/12,K$29*12,K$22/K$25/12),K$23*'Inputs and Assumptions'!$D$11),-4)</f>
        <v>24410000</v>
      </c>
      <c r="L13" s="1972"/>
      <c r="M13" s="1972"/>
      <c r="N13" s="1540"/>
      <c r="O13" s="1974">
        <f>ROUND(MIN(-PV(O$20/12,O$29*12,O$22/O$25/12),O$23*'Inputs and Assumptions'!$D$11),-4)</f>
        <v>24170000</v>
      </c>
      <c r="P13" s="1974"/>
      <c r="Q13" s="1974"/>
      <c r="R13" s="1540"/>
      <c r="S13" s="1972">
        <f>ROUND(MIN(-PV(S$20/12,S$29*12,S$22/S$25/12),S$23*'Inputs and Assumptions'!$D$11),-4)</f>
        <v>24320000</v>
      </c>
      <c r="T13" s="1972"/>
      <c r="U13" s="1972"/>
      <c r="V13" s="1540"/>
      <c r="W13" s="1974">
        <f>ROUND(MIN(-PV(W$20/12,W$29*12,W$22/W$25/12),W$23*'Inputs and Assumptions'!$D$11),-4)</f>
        <v>24030000</v>
      </c>
      <c r="X13" s="1974"/>
      <c r="Y13" s="1974"/>
      <c r="Z13" s="1540"/>
      <c r="AA13" s="1972">
        <f>ROUND(MIN(-PV(AA$20/12,AA$29*12,AA$22/AA$25/12),AA$23*'Inputs and Assumptions'!$D$11),-4)</f>
        <v>23810000</v>
      </c>
      <c r="AB13" s="1972"/>
      <c r="AC13" s="1972"/>
      <c r="AD13" s="1540"/>
      <c r="AE13" s="1972"/>
      <c r="AF13" s="1972"/>
      <c r="AG13" s="1972"/>
      <c r="AH13" s="1540"/>
      <c r="AI13" s="2004"/>
      <c r="AJ13" s="2004"/>
      <c r="AK13" s="2004"/>
    </row>
    <row r="14" spans="2:52" ht="30" hidden="1" customHeight="1" outlineLevel="1">
      <c r="B14" s="1067"/>
      <c r="C14" s="1969" t="s">
        <v>33</v>
      </c>
      <c r="D14" s="1969"/>
      <c r="E14" s="1969"/>
      <c r="F14" s="1187"/>
      <c r="G14" s="1975">
        <v>0</v>
      </c>
      <c r="H14" s="1975"/>
      <c r="I14" s="1975"/>
      <c r="J14" s="1562"/>
      <c r="K14" s="1976">
        <v>0</v>
      </c>
      <c r="L14" s="1976"/>
      <c r="M14" s="1976"/>
      <c r="N14" s="1562"/>
      <c r="O14" s="1975">
        <v>0</v>
      </c>
      <c r="P14" s="1975"/>
      <c r="Q14" s="1975"/>
      <c r="R14" s="1562"/>
      <c r="S14" s="1976">
        <v>0</v>
      </c>
      <c r="T14" s="1976"/>
      <c r="U14" s="1976"/>
      <c r="V14" s="1562"/>
      <c r="W14" s="1975">
        <v>0</v>
      </c>
      <c r="X14" s="1975"/>
      <c r="Y14" s="1975"/>
      <c r="Z14" s="1562"/>
      <c r="AA14" s="1976">
        <v>0</v>
      </c>
      <c r="AB14" s="1976"/>
      <c r="AC14" s="1976"/>
      <c r="AD14" s="1562"/>
      <c r="AE14" s="1976"/>
      <c r="AF14" s="1976"/>
      <c r="AG14" s="1976"/>
      <c r="AH14" s="1521"/>
      <c r="AI14" s="1976">
        <v>0</v>
      </c>
      <c r="AJ14" s="1976"/>
      <c r="AK14" s="1976"/>
    </row>
    <row r="15" spans="2:52" ht="30" customHeight="1" collapsed="1">
      <c r="B15" s="1067"/>
      <c r="C15" s="1956" t="s">
        <v>979</v>
      </c>
      <c r="D15" s="1956"/>
      <c r="E15" s="1956"/>
      <c r="F15" s="1596"/>
      <c r="G15" s="1970">
        <f>SUM(G13:I14)</f>
        <v>24660000</v>
      </c>
      <c r="H15" s="1970"/>
      <c r="I15" s="1970"/>
      <c r="J15" s="1597"/>
      <c r="K15" s="1971">
        <f>SUM(K13:M14)</f>
        <v>24410000</v>
      </c>
      <c r="L15" s="1971"/>
      <c r="M15" s="1971"/>
      <c r="N15" s="1597"/>
      <c r="O15" s="1970">
        <f>SUM(O13:Q14)</f>
        <v>24170000</v>
      </c>
      <c r="P15" s="1970"/>
      <c r="Q15" s="1970"/>
      <c r="R15" s="1597"/>
      <c r="S15" s="1971">
        <f>SUM(S13:U14)</f>
        <v>24320000</v>
      </c>
      <c r="T15" s="1971"/>
      <c r="U15" s="1971"/>
      <c r="V15" s="1597"/>
      <c r="W15" s="1970">
        <f>SUM(W13:Y14)</f>
        <v>24030000</v>
      </c>
      <c r="X15" s="1970"/>
      <c r="Y15" s="1970"/>
      <c r="Z15" s="1597"/>
      <c r="AA15" s="1971">
        <f>SUM(AA13:AC14)</f>
        <v>23810000</v>
      </c>
      <c r="AB15" s="1971"/>
      <c r="AC15" s="1971"/>
      <c r="AD15" s="1591"/>
      <c r="AE15" s="1972">
        <f>IFERROR(ROUND('Debt Sizing'!W58,-4),0)</f>
        <v>22000000</v>
      </c>
      <c r="AF15" s="1972"/>
      <c r="AG15" s="1972"/>
      <c r="AH15" s="1540"/>
      <c r="AI15" s="1973">
        <v>0</v>
      </c>
      <c r="AJ15" s="1973"/>
      <c r="AK15" s="1973"/>
    </row>
    <row r="16" spans="2:52" ht="30" customHeight="1">
      <c r="B16" s="1067"/>
      <c r="C16" s="1967">
        <f ca="1">TODAY()</f>
        <v>46085</v>
      </c>
      <c r="D16" s="1967"/>
      <c r="E16" s="1967"/>
      <c r="F16" s="1595"/>
      <c r="G16" s="1957">
        <v>4.0489999999999998E-2</v>
      </c>
      <c r="H16" s="1957"/>
      <c r="I16" s="1957"/>
      <c r="J16" s="1598"/>
      <c r="K16" s="1958">
        <f>+G16</f>
        <v>4.0489999999999998E-2</v>
      </c>
      <c r="L16" s="1958"/>
      <c r="M16" s="1958"/>
      <c r="N16" s="1598"/>
      <c r="O16" s="1957">
        <f>+K16</f>
        <v>4.0489999999999998E-2</v>
      </c>
      <c r="P16" s="1957"/>
      <c r="Q16" s="1957"/>
      <c r="R16" s="1598"/>
      <c r="S16" s="1958">
        <v>4.1500000000000002E-2</v>
      </c>
      <c r="T16" s="1958"/>
      <c r="U16" s="1958"/>
      <c r="V16" s="1598"/>
      <c r="W16" s="1957">
        <f>+S16</f>
        <v>4.1500000000000002E-2</v>
      </c>
      <c r="X16" s="1957"/>
      <c r="Y16" s="1957"/>
      <c r="Z16" s="1598"/>
      <c r="AA16" s="1958">
        <f>+W16</f>
        <v>4.1500000000000002E-2</v>
      </c>
      <c r="AB16" s="1958"/>
      <c r="AC16" s="1958"/>
      <c r="AD16" s="1074"/>
      <c r="AE16" s="1977"/>
      <c r="AF16" s="1977"/>
      <c r="AG16" s="1977"/>
      <c r="AH16" s="1541"/>
      <c r="AI16" s="1977">
        <v>5.2999999999999999E-2</v>
      </c>
      <c r="AJ16" s="1977"/>
      <c r="AK16" s="1977"/>
    </row>
    <row r="17" spans="2:43" ht="30" hidden="1" customHeight="1" outlineLevel="1">
      <c r="B17" s="1067"/>
      <c r="C17" s="1965" t="s">
        <v>1037</v>
      </c>
      <c r="D17" s="1965"/>
      <c r="E17" s="1965"/>
      <c r="F17" s="1599"/>
      <c r="G17" s="1600">
        <v>1.4500000000000001E-2</v>
      </c>
      <c r="H17" s="1601" t="s">
        <v>995</v>
      </c>
      <c r="I17" s="1602">
        <v>1.55E-2</v>
      </c>
      <c r="J17" s="1602"/>
      <c r="K17" s="1600">
        <f>+G17</f>
        <v>1.4500000000000001E-2</v>
      </c>
      <c r="L17" s="1601" t="s">
        <v>995</v>
      </c>
      <c r="M17" s="1602">
        <f>+I17</f>
        <v>1.55E-2</v>
      </c>
      <c r="N17" s="1602"/>
      <c r="O17" s="1600">
        <f>+K17</f>
        <v>1.4500000000000001E-2</v>
      </c>
      <c r="P17" s="1601" t="s">
        <v>995</v>
      </c>
      <c r="Q17" s="1602">
        <f>+M17</f>
        <v>1.55E-2</v>
      </c>
      <c r="R17" s="1602"/>
      <c r="S17" s="1600">
        <v>1.4200000000000001E-2</v>
      </c>
      <c r="T17" s="1601" t="s">
        <v>995</v>
      </c>
      <c r="U17" s="1602">
        <v>1.52E-2</v>
      </c>
      <c r="V17" s="1602"/>
      <c r="W17" s="1600">
        <f>+S17</f>
        <v>1.4200000000000001E-2</v>
      </c>
      <c r="X17" s="1601" t="s">
        <v>995</v>
      </c>
      <c r="Y17" s="1602">
        <f>+U17</f>
        <v>1.52E-2</v>
      </c>
      <c r="Z17" s="1602"/>
      <c r="AA17" s="1600">
        <f>+W17</f>
        <v>1.4200000000000001E-2</v>
      </c>
      <c r="AB17" s="1601" t="s">
        <v>995</v>
      </c>
      <c r="AC17" s="1602">
        <f>+Y17</f>
        <v>1.52E-2</v>
      </c>
      <c r="AD17" s="1366"/>
      <c r="AE17" s="1381"/>
      <c r="AF17" s="1380" t="s">
        <v>995</v>
      </c>
      <c r="AG17" s="1382"/>
      <c r="AH17" s="1382"/>
      <c r="AI17" s="1381">
        <v>2.7E-2</v>
      </c>
      <c r="AJ17" s="1380" t="s">
        <v>995</v>
      </c>
      <c r="AK17" s="1382">
        <v>2.9499999999999998E-2</v>
      </c>
    </row>
    <row r="18" spans="2:43" ht="30" hidden="1" customHeight="1" outlineLevel="1">
      <c r="B18" s="1067"/>
      <c r="C18" s="1965" t="s">
        <v>1038</v>
      </c>
      <c r="D18" s="1965"/>
      <c r="E18" s="1965"/>
      <c r="F18" s="1599"/>
      <c r="G18" s="1600">
        <f>IFERROR(INDEX($AR$9:$AY$11,MATCH(G$27,$AQ$9:$AQ$11,0),MATCH(G$21,$AR$2:$AY$2,0))/10000,0)</f>
        <v>3.8E-3</v>
      </c>
      <c r="H18" s="1601"/>
      <c r="I18" s="1602">
        <f>+G18</f>
        <v>3.8E-3</v>
      </c>
      <c r="J18" s="1602"/>
      <c r="K18" s="1600">
        <f>IFERROR(INDEX($AR$9:$AY$11,MATCH(K$27,$AQ$9:$AQ$11,0),MATCH(K$21,$AR$2:$AY$2,0))/10000,0)</f>
        <v>3.0000000000000001E-3</v>
      </c>
      <c r="L18" s="1601"/>
      <c r="M18" s="1602">
        <f>+K18</f>
        <v>3.0000000000000001E-3</v>
      </c>
      <c r="N18" s="1602"/>
      <c r="O18" s="1600">
        <f>IFERROR(INDEX($AR$9:$AY$11,MATCH(O$27,$AQ$9:$AQ$11,0),MATCH(O$21,$AR$2:$AY$2,0))/10000,0)</f>
        <v>2.2000000000000001E-3</v>
      </c>
      <c r="P18" s="1601"/>
      <c r="Q18" s="1602">
        <f>+O18</f>
        <v>2.2000000000000001E-3</v>
      </c>
      <c r="R18" s="1602"/>
      <c r="S18" s="1600">
        <f>IFERROR(INDEX($AR$9:$AY$11,MATCH(S$27,$AQ$9:$AQ$11,0),MATCH(S$21,$AR$2:$AY$2,0))/10000,0)</f>
        <v>3.3999999999999998E-3</v>
      </c>
      <c r="T18" s="1601"/>
      <c r="U18" s="1602">
        <f>+S18</f>
        <v>3.3999999999999998E-3</v>
      </c>
      <c r="V18" s="1602"/>
      <c r="W18" s="1600">
        <f>IFERROR(INDEX($AR$9:$AY$11,MATCH(W$27,$AQ$9:$AQ$11,0),MATCH(W$21,$AR$2:$AY$2,0))/10000,0)</f>
        <v>2.4499999999999999E-3</v>
      </c>
      <c r="X18" s="1601"/>
      <c r="Y18" s="1602">
        <f>+W18</f>
        <v>2.4499999999999999E-3</v>
      </c>
      <c r="Z18" s="1602"/>
      <c r="AA18" s="1600">
        <f>IFERROR(INDEX($AR$9:$AY$11,MATCH(AA$27,$AQ$9:$AQ$11,0),MATCH(AA$21,$AR$2:$AY$2,0))/10000,0)</f>
        <v>1.6999999999999999E-3</v>
      </c>
      <c r="AB18" s="1601"/>
      <c r="AC18" s="1602">
        <f>+AA18</f>
        <v>1.6999999999999999E-3</v>
      </c>
      <c r="AD18" s="1366"/>
      <c r="AE18" s="1561">
        <f>IFERROR(INDEX($AR$9:$AY$11,MATCH(AE$27,$AQ$9:$AQ$11,0),MATCH(AE$21,$AR$2:$AY$2,0))/10000,0)</f>
        <v>0</v>
      </c>
      <c r="AF18" s="1380"/>
      <c r="AG18" s="1383">
        <f>+AE18</f>
        <v>0</v>
      </c>
      <c r="AH18" s="1230"/>
      <c r="AI18" s="1561">
        <f>IFERROR(INDEX($AR$9:$AY$11,MATCH(AI$27,$AQ$9:$AQ$11,0),MATCH(AI$21,$AR$2:$AY$2,0))/10000,0)</f>
        <v>0</v>
      </c>
      <c r="AJ18" s="1380"/>
      <c r="AK18" s="1383">
        <f>+AI18</f>
        <v>0</v>
      </c>
      <c r="AQ18" s="1535"/>
    </row>
    <row r="19" spans="2:43" ht="30" customHeight="1" collapsed="1">
      <c r="B19" s="1067"/>
      <c r="C19" s="1956" t="s">
        <v>994</v>
      </c>
      <c r="D19" s="1956"/>
      <c r="E19" s="1956"/>
      <c r="F19" s="1595"/>
      <c r="G19" s="1603">
        <f>+G17-G18</f>
        <v>1.0700000000000001E-2</v>
      </c>
      <c r="H19" s="1604" t="s">
        <v>995</v>
      </c>
      <c r="I19" s="1605">
        <f>+I17-I18</f>
        <v>1.17E-2</v>
      </c>
      <c r="J19" s="1606"/>
      <c r="K19" s="1607">
        <f>+K17-K18</f>
        <v>1.15E-2</v>
      </c>
      <c r="L19" s="1608" t="s">
        <v>995</v>
      </c>
      <c r="M19" s="1606">
        <f>+M17-M18</f>
        <v>1.2500000000000001E-2</v>
      </c>
      <c r="N19" s="1606"/>
      <c r="O19" s="1609">
        <f>+O17-O18</f>
        <v>1.23E-2</v>
      </c>
      <c r="P19" s="1610" t="s">
        <v>995</v>
      </c>
      <c r="Q19" s="1611">
        <f>+Q17-Q18</f>
        <v>1.3299999999999999E-2</v>
      </c>
      <c r="R19" s="1606"/>
      <c r="S19" s="1607">
        <f>+S17-S18</f>
        <v>1.0800000000000001E-2</v>
      </c>
      <c r="T19" s="1608" t="s">
        <v>995</v>
      </c>
      <c r="U19" s="1606">
        <f>+U17-U18</f>
        <v>1.18E-2</v>
      </c>
      <c r="V19" s="1606"/>
      <c r="W19" s="1609">
        <f>+W17-W18</f>
        <v>1.175E-2</v>
      </c>
      <c r="X19" s="1610" t="s">
        <v>995</v>
      </c>
      <c r="Y19" s="1611">
        <f>+Y17-Y18</f>
        <v>1.2750000000000001E-2</v>
      </c>
      <c r="Z19" s="1606"/>
      <c r="AA19" s="1607">
        <f>+AA17-AA18</f>
        <v>1.2500000000000001E-2</v>
      </c>
      <c r="AB19" s="1608" t="s">
        <v>995</v>
      </c>
      <c r="AC19" s="1606">
        <f>+AC17-AC18</f>
        <v>1.35E-2</v>
      </c>
      <c r="AD19" s="1592"/>
      <c r="AE19" s="1563">
        <f>+AE17-AE18</f>
        <v>0</v>
      </c>
      <c r="AF19" s="1542" t="s">
        <v>995</v>
      </c>
      <c r="AG19" s="1544">
        <f>+AG17-AG18</f>
        <v>0</v>
      </c>
      <c r="AH19" s="1543"/>
      <c r="AI19" s="1563">
        <f>+AI17-AI18</f>
        <v>2.7E-2</v>
      </c>
      <c r="AJ19" s="1542" t="s">
        <v>995</v>
      </c>
      <c r="AK19" s="1544">
        <f>+AK17-AK18</f>
        <v>2.9499999999999998E-2</v>
      </c>
      <c r="AQ19" s="1535"/>
    </row>
    <row r="20" spans="2:43" ht="30" customHeight="1">
      <c r="B20" s="1067"/>
      <c r="C20" s="1956" t="s">
        <v>996</v>
      </c>
      <c r="D20" s="1956"/>
      <c r="E20" s="1956"/>
      <c r="F20" s="1595"/>
      <c r="G20" s="1612">
        <f>G16+G19</f>
        <v>5.1189999999999999E-2</v>
      </c>
      <c r="H20" s="1613" t="s">
        <v>995</v>
      </c>
      <c r="I20" s="1614">
        <f>G16+I19</f>
        <v>5.219E-2</v>
      </c>
      <c r="J20" s="1615"/>
      <c r="K20" s="1616">
        <f>K16+K19</f>
        <v>5.1989999999999995E-2</v>
      </c>
      <c r="L20" s="1617" t="s">
        <v>995</v>
      </c>
      <c r="M20" s="1618">
        <f>K16+M19</f>
        <v>5.2989999999999995E-2</v>
      </c>
      <c r="N20" s="1615"/>
      <c r="O20" s="1612">
        <f>O16+O19</f>
        <v>5.2789999999999997E-2</v>
      </c>
      <c r="P20" s="1613" t="s">
        <v>995</v>
      </c>
      <c r="Q20" s="1614">
        <f>O16+Q19</f>
        <v>5.3789999999999998E-2</v>
      </c>
      <c r="R20" s="1615"/>
      <c r="S20" s="1616">
        <f>S16+S19</f>
        <v>5.2299999999999999E-2</v>
      </c>
      <c r="T20" s="1617" t="s">
        <v>995</v>
      </c>
      <c r="U20" s="1618">
        <f>S16+U19</f>
        <v>5.33E-2</v>
      </c>
      <c r="V20" s="1615"/>
      <c r="W20" s="1612">
        <f>W16+W19</f>
        <v>5.3250000000000006E-2</v>
      </c>
      <c r="X20" s="1613" t="s">
        <v>995</v>
      </c>
      <c r="Y20" s="1614">
        <f>W16+Y19</f>
        <v>5.4250000000000007E-2</v>
      </c>
      <c r="Z20" s="1615"/>
      <c r="AA20" s="1616">
        <f>AA16+AA19</f>
        <v>5.4000000000000006E-2</v>
      </c>
      <c r="AB20" s="1617" t="s">
        <v>995</v>
      </c>
      <c r="AC20" s="1618">
        <f>AA16+AC19</f>
        <v>5.5E-2</v>
      </c>
      <c r="AD20" s="1366"/>
      <c r="AE20" s="1362">
        <f>'Debt Sizing'!W63</f>
        <v>5.7000000000000002E-2</v>
      </c>
      <c r="AF20" s="1363" t="s">
        <v>995</v>
      </c>
      <c r="AG20" s="1364">
        <f>+AE20+0.0015</f>
        <v>5.8500000000000003E-2</v>
      </c>
      <c r="AH20" s="1366"/>
      <c r="AI20" s="1362">
        <f>AI16+AI17-AI18</f>
        <v>0.08</v>
      </c>
      <c r="AJ20" s="1363" t="s">
        <v>995</v>
      </c>
      <c r="AK20" s="1364">
        <f>AI16+AK17-AK18</f>
        <v>8.249999999999999E-2</v>
      </c>
    </row>
    <row r="21" spans="2:43" ht="30" customHeight="1">
      <c r="B21" s="1067"/>
      <c r="C21" s="1956" t="s">
        <v>1039</v>
      </c>
      <c r="D21" s="1956"/>
      <c r="E21" s="1956"/>
      <c r="F21" s="1596"/>
      <c r="G21" s="1957">
        <v>0.02</v>
      </c>
      <c r="H21" s="1960"/>
      <c r="I21" s="1960"/>
      <c r="J21" s="1619"/>
      <c r="K21" s="1958">
        <v>1.4999999999999999E-2</v>
      </c>
      <c r="L21" s="1962"/>
      <c r="M21" s="1962"/>
      <c r="N21" s="1619"/>
      <c r="O21" s="1957">
        <v>0.01</v>
      </c>
      <c r="P21" s="1960"/>
      <c r="Q21" s="1960"/>
      <c r="R21" s="1619"/>
      <c r="S21" s="1958">
        <v>0.02</v>
      </c>
      <c r="T21" s="1962"/>
      <c r="U21" s="1962"/>
      <c r="V21" s="1619"/>
      <c r="W21" s="1957">
        <v>1.4999999999999999E-2</v>
      </c>
      <c r="X21" s="1960"/>
      <c r="Y21" s="1960"/>
      <c r="Z21" s="1619"/>
      <c r="AA21" s="1958">
        <v>0.01</v>
      </c>
      <c r="AB21" s="1962"/>
      <c r="AC21" s="1962"/>
      <c r="AD21" s="1066"/>
      <c r="AE21" s="1978" t="s">
        <v>987</v>
      </c>
      <c r="AF21" s="1979"/>
      <c r="AG21" s="1979"/>
      <c r="AH21" s="1546"/>
      <c r="AI21" s="1978" t="s">
        <v>987</v>
      </c>
      <c r="AJ21" s="1979"/>
      <c r="AK21" s="1979"/>
    </row>
    <row r="22" spans="2:43" ht="30" customHeight="1">
      <c r="B22" s="1067"/>
      <c r="C22" s="1956" t="s">
        <v>1040</v>
      </c>
      <c r="D22" s="1956"/>
      <c r="E22" s="1956"/>
      <c r="F22" s="1595"/>
      <c r="G22" s="1980">
        <f>IFERROR('Debt Sizing'!$P$44,0)</f>
        <v>1894908.3075999995</v>
      </c>
      <c r="H22" s="1980"/>
      <c r="I22" s="1980"/>
      <c r="J22" s="1620"/>
      <c r="K22" s="1981">
        <f>$G$22</f>
        <v>1894908.3075999995</v>
      </c>
      <c r="L22" s="1981"/>
      <c r="M22" s="1981"/>
      <c r="N22" s="1620"/>
      <c r="O22" s="1980">
        <f>$G$22</f>
        <v>1894908.3075999995</v>
      </c>
      <c r="P22" s="1980"/>
      <c r="Q22" s="1980"/>
      <c r="R22" s="1620"/>
      <c r="S22" s="1981">
        <f>$G$22</f>
        <v>1894908.3075999995</v>
      </c>
      <c r="T22" s="1981"/>
      <c r="U22" s="1981"/>
      <c r="V22" s="1620"/>
      <c r="W22" s="1980">
        <f>$G$22</f>
        <v>1894908.3075999995</v>
      </c>
      <c r="X22" s="1980"/>
      <c r="Y22" s="1980"/>
      <c r="Z22" s="1620"/>
      <c r="AA22" s="1981">
        <f>$G$22</f>
        <v>1894908.3075999995</v>
      </c>
      <c r="AB22" s="1981"/>
      <c r="AC22" s="1981"/>
      <c r="AD22" s="1547"/>
      <c r="AE22" s="1982">
        <f>$G$22</f>
        <v>1894908.3075999995</v>
      </c>
      <c r="AF22" s="1982"/>
      <c r="AG22" s="1982"/>
      <c r="AH22" s="1547"/>
      <c r="AI22" s="1982">
        <f>$G$22</f>
        <v>1894908.3075999995</v>
      </c>
      <c r="AJ22" s="1982"/>
      <c r="AK22" s="1982"/>
    </row>
    <row r="23" spans="2:43" ht="30" customHeight="1">
      <c r="B23" s="1067"/>
      <c r="C23" s="1956" t="s">
        <v>1041</v>
      </c>
      <c r="D23" s="1956"/>
      <c r="E23" s="1956"/>
      <c r="F23" s="1595"/>
      <c r="G23" s="1989">
        <v>0.65434782608695652</v>
      </c>
      <c r="H23" s="1987"/>
      <c r="I23" s="1987"/>
      <c r="J23" s="1621"/>
      <c r="K23" s="1990">
        <v>0.65</v>
      </c>
      <c r="L23" s="1988"/>
      <c r="M23" s="1988"/>
      <c r="N23" s="1622"/>
      <c r="O23" s="1989">
        <v>0.65</v>
      </c>
      <c r="P23" s="1987"/>
      <c r="Q23" s="1987"/>
      <c r="R23" s="1621"/>
      <c r="S23" s="1990">
        <v>0.65</v>
      </c>
      <c r="T23" s="1988"/>
      <c r="U23" s="1988"/>
      <c r="V23" s="1622"/>
      <c r="W23" s="1989">
        <v>0.65</v>
      </c>
      <c r="X23" s="1987"/>
      <c r="Y23" s="1987"/>
      <c r="Z23" s="1621"/>
      <c r="AA23" s="1990">
        <v>0.65</v>
      </c>
      <c r="AB23" s="1988"/>
      <c r="AC23" s="1988"/>
      <c r="AD23" s="1593"/>
      <c r="AE23" s="1983" t="s">
        <v>1042</v>
      </c>
      <c r="AF23" s="1984"/>
      <c r="AG23" s="1984"/>
      <c r="AH23" s="1548"/>
      <c r="AI23" s="1985" t="s">
        <v>1043</v>
      </c>
      <c r="AJ23" s="1986"/>
      <c r="AK23" s="1986"/>
    </row>
    <row r="24" spans="2:43" ht="30" hidden="1" customHeight="1" outlineLevel="1">
      <c r="B24" s="1067"/>
      <c r="C24" s="1956" t="s">
        <v>1044</v>
      </c>
      <c r="D24" s="1956"/>
      <c r="E24" s="1956"/>
      <c r="F24" s="1595"/>
      <c r="G24" s="1987">
        <f>G15/'Inputs and Assumptions'!$D$11</f>
        <v>0.45666666666666667</v>
      </c>
      <c r="H24" s="1987"/>
      <c r="I24" s="1987"/>
      <c r="J24" s="1621"/>
      <c r="K24" s="1988">
        <f>K15/'Inputs and Assumptions'!$D$11</f>
        <v>0.45203703703703701</v>
      </c>
      <c r="L24" s="1988"/>
      <c r="M24" s="1988"/>
      <c r="N24" s="1621"/>
      <c r="O24" s="1987">
        <f>O15/'Inputs and Assumptions'!$D$11</f>
        <v>0.4475925925925926</v>
      </c>
      <c r="P24" s="1987"/>
      <c r="Q24" s="1987"/>
      <c r="R24" s="1621"/>
      <c r="S24" s="1988">
        <f>S15/'Inputs and Assumptions'!$D$11</f>
        <v>0.45037037037037037</v>
      </c>
      <c r="T24" s="1988"/>
      <c r="U24" s="1988"/>
      <c r="V24" s="1622"/>
      <c r="W24" s="1987">
        <f>W15/'Inputs and Assumptions'!$D$11</f>
        <v>0.44500000000000001</v>
      </c>
      <c r="X24" s="1987"/>
      <c r="Y24" s="1987"/>
      <c r="Z24" s="1621"/>
      <c r="AA24" s="1988">
        <f>AA15/'Inputs and Assumptions'!$D$11</f>
        <v>0.44092592592592594</v>
      </c>
      <c r="AB24" s="1988"/>
      <c r="AC24" s="1988"/>
      <c r="AD24" s="1593"/>
      <c r="AE24" s="1550"/>
      <c r="AF24" s="1550"/>
      <c r="AG24" s="1550"/>
      <c r="AH24" s="1548"/>
      <c r="AI24" s="1549"/>
      <c r="AJ24" s="1549"/>
      <c r="AK24" s="1549"/>
    </row>
    <row r="25" spans="2:43" ht="30" customHeight="1" collapsed="1">
      <c r="B25" s="1067"/>
      <c r="C25" s="1956" t="s">
        <v>1045</v>
      </c>
      <c r="D25" s="1956"/>
      <c r="E25" s="1956"/>
      <c r="F25" s="1595"/>
      <c r="G25" s="1993">
        <v>1.25</v>
      </c>
      <c r="H25" s="1993"/>
      <c r="I25" s="1993"/>
      <c r="J25" s="1623"/>
      <c r="K25" s="1994">
        <v>1.25</v>
      </c>
      <c r="L25" s="1994"/>
      <c r="M25" s="1994"/>
      <c r="N25" s="1623"/>
      <c r="O25" s="1993">
        <v>1.25</v>
      </c>
      <c r="P25" s="1993"/>
      <c r="Q25" s="1993"/>
      <c r="R25" s="1623"/>
      <c r="S25" s="1994">
        <v>1.25</v>
      </c>
      <c r="T25" s="1994"/>
      <c r="U25" s="1994"/>
      <c r="V25" s="1623"/>
      <c r="W25" s="1993">
        <v>1.25</v>
      </c>
      <c r="X25" s="1993"/>
      <c r="Y25" s="1993"/>
      <c r="Z25" s="1623"/>
      <c r="AA25" s="1994">
        <v>1.25</v>
      </c>
      <c r="AB25" s="1994"/>
      <c r="AC25" s="1994"/>
      <c r="AD25" s="1073"/>
      <c r="AE25" s="1991" t="s">
        <v>1046</v>
      </c>
      <c r="AF25" s="1991"/>
      <c r="AG25" s="1991"/>
      <c r="AH25" s="1073"/>
      <c r="AI25" s="1992">
        <v>7.0000000000000007E-2</v>
      </c>
      <c r="AJ25" s="1992"/>
      <c r="AK25" s="1992"/>
    </row>
    <row r="26" spans="2:43" ht="30" customHeight="1">
      <c r="B26" s="1067"/>
      <c r="C26" s="1956" t="s">
        <v>991</v>
      </c>
      <c r="D26" s="1956"/>
      <c r="E26" s="1956"/>
      <c r="F26" s="1595"/>
      <c r="G26" s="1960" t="s">
        <v>12</v>
      </c>
      <c r="H26" s="1960"/>
      <c r="I26" s="1960"/>
      <c r="J26" s="1619"/>
      <c r="K26" s="1962" t="s">
        <v>12</v>
      </c>
      <c r="L26" s="1962"/>
      <c r="M26" s="1962"/>
      <c r="N26" s="1619"/>
      <c r="O26" s="1960" t="s">
        <v>12</v>
      </c>
      <c r="P26" s="1960"/>
      <c r="Q26" s="1960"/>
      <c r="R26" s="1619"/>
      <c r="S26" s="1962" t="s">
        <v>12</v>
      </c>
      <c r="T26" s="1962"/>
      <c r="U26" s="1962"/>
      <c r="V26" s="1619"/>
      <c r="W26" s="1960" t="s">
        <v>12</v>
      </c>
      <c r="X26" s="1960"/>
      <c r="Y26" s="1960"/>
      <c r="Z26" s="1619"/>
      <c r="AA26" s="1962" t="s">
        <v>12</v>
      </c>
      <c r="AB26" s="1962"/>
      <c r="AC26" s="1962"/>
      <c r="AD26" s="1066"/>
      <c r="AE26" s="1979" t="s">
        <v>12</v>
      </c>
      <c r="AF26" s="1979"/>
      <c r="AG26" s="1979"/>
      <c r="AH26" s="1545"/>
      <c r="AI26" s="1979" t="s">
        <v>12</v>
      </c>
      <c r="AJ26" s="1979"/>
      <c r="AK26" s="1979"/>
    </row>
    <row r="27" spans="2:43" ht="30" customHeight="1">
      <c r="B27" s="1067"/>
      <c r="C27" s="1956" t="s">
        <v>17</v>
      </c>
      <c r="D27" s="1956"/>
      <c r="E27" s="1956"/>
      <c r="F27" s="1595"/>
      <c r="G27" s="1998">
        <v>5</v>
      </c>
      <c r="H27" s="1998"/>
      <c r="I27" s="1998"/>
      <c r="J27" s="1624"/>
      <c r="K27" s="1999">
        <v>5</v>
      </c>
      <c r="L27" s="1999"/>
      <c r="M27" s="1999"/>
      <c r="N27" s="1624"/>
      <c r="O27" s="1998">
        <v>5</v>
      </c>
      <c r="P27" s="1998"/>
      <c r="Q27" s="1998"/>
      <c r="R27" s="1624"/>
      <c r="S27" s="1999">
        <v>7</v>
      </c>
      <c r="T27" s="1999"/>
      <c r="U27" s="1999"/>
      <c r="V27" s="1619"/>
      <c r="W27" s="1998">
        <v>7</v>
      </c>
      <c r="X27" s="1998"/>
      <c r="Y27" s="1998"/>
      <c r="Z27" s="1624"/>
      <c r="AA27" s="1999">
        <v>7</v>
      </c>
      <c r="AB27" s="1999"/>
      <c r="AC27" s="1999"/>
      <c r="AD27" s="1066"/>
      <c r="AE27" s="1923" t="s">
        <v>1047</v>
      </c>
      <c r="AF27" s="1923"/>
      <c r="AG27" s="1923"/>
      <c r="AH27" s="1066"/>
      <c r="AI27" s="1923" t="s">
        <v>1048</v>
      </c>
      <c r="AJ27" s="1923"/>
      <c r="AK27" s="1923"/>
    </row>
    <row r="28" spans="2:43" ht="30" customHeight="1">
      <c r="B28" s="1067"/>
      <c r="C28" s="1956" t="s">
        <v>997</v>
      </c>
      <c r="D28" s="1956"/>
      <c r="E28" s="1956"/>
      <c r="F28" s="1595"/>
      <c r="G28" s="1995" t="s">
        <v>998</v>
      </c>
      <c r="H28" s="1995"/>
      <c r="I28" s="1995"/>
      <c r="J28" s="1625"/>
      <c r="K28" s="1996" t="s">
        <v>998</v>
      </c>
      <c r="L28" s="1996"/>
      <c r="M28" s="1996"/>
      <c r="N28" s="1625"/>
      <c r="O28" s="1995" t="s">
        <v>998</v>
      </c>
      <c r="P28" s="1995"/>
      <c r="Q28" s="1995"/>
      <c r="R28" s="1625"/>
      <c r="S28" s="1996" t="s">
        <v>1049</v>
      </c>
      <c r="T28" s="1996"/>
      <c r="U28" s="1996"/>
      <c r="V28" s="1625"/>
      <c r="W28" s="1995" t="s">
        <v>1049</v>
      </c>
      <c r="X28" s="1995"/>
      <c r="Y28" s="1995"/>
      <c r="Z28" s="1625"/>
      <c r="AA28" s="1996" t="s">
        <v>1049</v>
      </c>
      <c r="AB28" s="1996"/>
      <c r="AC28" s="1996"/>
      <c r="AD28" s="1075"/>
      <c r="AE28" s="1997" t="s">
        <v>1050</v>
      </c>
      <c r="AF28" s="1997"/>
      <c r="AG28" s="1997"/>
      <c r="AH28" s="1551"/>
      <c r="AI28" s="1997" t="s">
        <v>999</v>
      </c>
      <c r="AJ28" s="1997"/>
      <c r="AK28" s="1997"/>
    </row>
    <row r="29" spans="2:43" ht="30" customHeight="1">
      <c r="C29" s="1956" t="s">
        <v>1000</v>
      </c>
      <c r="D29" s="1956"/>
      <c r="E29" s="1956"/>
      <c r="F29" s="1595"/>
      <c r="G29" s="2000">
        <v>35</v>
      </c>
      <c r="H29" s="2001"/>
      <c r="I29" s="2001"/>
      <c r="J29" s="1626"/>
      <c r="K29" s="2002">
        <v>35</v>
      </c>
      <c r="L29" s="2003"/>
      <c r="M29" s="2003"/>
      <c r="N29" s="1626"/>
      <c r="O29" s="2000">
        <v>35</v>
      </c>
      <c r="P29" s="2001"/>
      <c r="Q29" s="2001"/>
      <c r="R29" s="1626"/>
      <c r="S29" s="2002">
        <v>35</v>
      </c>
      <c r="T29" s="2003"/>
      <c r="U29" s="2003"/>
      <c r="V29" s="1626"/>
      <c r="W29" s="2000">
        <v>35</v>
      </c>
      <c r="X29" s="2001"/>
      <c r="Y29" s="2001"/>
      <c r="Z29" s="1626"/>
      <c r="AA29" s="2002">
        <v>35</v>
      </c>
      <c r="AB29" s="2003"/>
      <c r="AC29" s="2003"/>
      <c r="AD29" s="1066"/>
      <c r="AE29" s="1933">
        <v>35</v>
      </c>
      <c r="AF29" s="1934"/>
      <c r="AG29" s="1934"/>
      <c r="AH29" s="1066"/>
      <c r="AI29" s="1933">
        <v>30</v>
      </c>
      <c r="AJ29" s="1934"/>
      <c r="AK29" s="1934"/>
    </row>
    <row r="30" spans="2:43" ht="30" hidden="1" customHeight="1" outlineLevel="1">
      <c r="B30" s="1067"/>
      <c r="C30" s="1956" t="s">
        <v>1051</v>
      </c>
      <c r="D30" s="1956"/>
      <c r="E30" s="1956"/>
      <c r="F30" s="1595"/>
      <c r="G30" s="1963">
        <f ca="1">$G$30</f>
        <v>0</v>
      </c>
      <c r="H30" s="1963"/>
      <c r="I30" s="1963"/>
      <c r="J30" s="1627"/>
      <c r="K30" s="1964">
        <f ca="1">$G$30</f>
        <v>0</v>
      </c>
      <c r="L30" s="1964"/>
      <c r="M30" s="1964"/>
      <c r="N30" s="1627"/>
      <c r="O30" s="1963">
        <f ca="1">$G$30</f>
        <v>0</v>
      </c>
      <c r="P30" s="1963"/>
      <c r="Q30" s="1963"/>
      <c r="R30" s="1627"/>
      <c r="S30" s="1964">
        <f ca="1">$G$30</f>
        <v>0</v>
      </c>
      <c r="T30" s="1964"/>
      <c r="U30" s="1964"/>
      <c r="V30" s="1627"/>
      <c r="W30" s="1963">
        <f ca="1">$G$30</f>
        <v>0</v>
      </c>
      <c r="X30" s="1963"/>
      <c r="Y30" s="1963"/>
      <c r="Z30" s="1627"/>
      <c r="AA30" s="1964">
        <f ca="1">$G$30</f>
        <v>0</v>
      </c>
      <c r="AB30" s="1964"/>
      <c r="AC30" s="1964"/>
      <c r="AD30" s="1547"/>
      <c r="AE30" s="1973">
        <f ca="1">$G$30</f>
        <v>0</v>
      </c>
      <c r="AF30" s="1973"/>
      <c r="AG30" s="1973"/>
      <c r="AH30" s="1552"/>
      <c r="AI30" s="1973">
        <f ca="1">$G$30</f>
        <v>0</v>
      </c>
      <c r="AJ30" s="1973"/>
      <c r="AK30" s="1973"/>
    </row>
    <row r="31" spans="2:43" ht="30" hidden="1" customHeight="1" outlineLevel="1">
      <c r="B31" s="1067"/>
      <c r="C31" s="1956" t="s">
        <v>1052</v>
      </c>
      <c r="D31" s="1956"/>
      <c r="E31" s="1956"/>
      <c r="F31" s="1595"/>
      <c r="G31" s="1963">
        <f ca="1">G30*G23</f>
        <v>0</v>
      </c>
      <c r="H31" s="1963"/>
      <c r="I31" s="1963"/>
      <c r="J31" s="1615"/>
      <c r="K31" s="1964">
        <f ca="1">K30*K23</f>
        <v>0</v>
      </c>
      <c r="L31" s="1964"/>
      <c r="M31" s="1964"/>
      <c r="N31" s="1615"/>
      <c r="O31" s="1963">
        <f ca="1">O30*O23</f>
        <v>0</v>
      </c>
      <c r="P31" s="1963"/>
      <c r="Q31" s="1963"/>
      <c r="R31" s="1615"/>
      <c r="S31" s="1964">
        <f ca="1">S30*S23</f>
        <v>0</v>
      </c>
      <c r="T31" s="1964"/>
      <c r="U31" s="1964"/>
      <c r="V31" s="1615"/>
      <c r="W31" s="1963">
        <f ca="1">W30*W23</f>
        <v>0</v>
      </c>
      <c r="X31" s="1963"/>
      <c r="Y31" s="1963"/>
      <c r="Z31" s="1615"/>
      <c r="AA31" s="1964">
        <f ca="1">AA30*AA23</f>
        <v>0</v>
      </c>
      <c r="AB31" s="1964"/>
      <c r="AC31" s="1964"/>
      <c r="AD31" s="1547"/>
      <c r="AE31" s="1973" t="e">
        <f ca="1">AE30*AE23</f>
        <v>#VALUE!</v>
      </c>
      <c r="AF31" s="1973"/>
      <c r="AG31" s="1973"/>
      <c r="AH31" s="1553"/>
      <c r="AI31" s="1973" t="e">
        <f ca="1">AI30*AI23</f>
        <v>#VALUE!</v>
      </c>
      <c r="AJ31" s="1973"/>
      <c r="AK31" s="1973"/>
    </row>
    <row r="32" spans="2:43" ht="30" customHeight="1" collapsed="1">
      <c r="B32" s="1067"/>
      <c r="C32" s="1956" t="s">
        <v>1053</v>
      </c>
      <c r="D32" s="1956"/>
      <c r="E32" s="1956"/>
      <c r="F32" s="1595"/>
      <c r="G32" s="1959" t="s">
        <v>1054</v>
      </c>
      <c r="H32" s="1960"/>
      <c r="I32" s="1960"/>
      <c r="J32" s="1615"/>
      <c r="K32" s="1961" t="s">
        <v>1054</v>
      </c>
      <c r="L32" s="1962"/>
      <c r="M32" s="1962"/>
      <c r="N32" s="1615"/>
      <c r="O32" s="1959" t="s">
        <v>1054</v>
      </c>
      <c r="P32" s="1960"/>
      <c r="Q32" s="1960"/>
      <c r="R32" s="1615"/>
      <c r="S32" s="1961" t="s">
        <v>1054</v>
      </c>
      <c r="T32" s="1962"/>
      <c r="U32" s="1962"/>
      <c r="V32" s="1615"/>
      <c r="W32" s="1959" t="s">
        <v>1054</v>
      </c>
      <c r="X32" s="1960"/>
      <c r="Y32" s="1960"/>
      <c r="Z32" s="1615"/>
      <c r="AA32" s="1961" t="s">
        <v>1054</v>
      </c>
      <c r="AB32" s="1962"/>
      <c r="AC32" s="1962"/>
      <c r="AD32" s="1547"/>
      <c r="AE32" s="1973" t="s">
        <v>1055</v>
      </c>
      <c r="AF32" s="1973"/>
      <c r="AG32" s="1973"/>
      <c r="AH32" s="1553"/>
      <c r="AI32" s="1973" t="s">
        <v>1055</v>
      </c>
      <c r="AJ32" s="1973"/>
      <c r="AK32" s="1973"/>
    </row>
    <row r="33" spans="2:51" ht="30" customHeight="1">
      <c r="B33" s="1067"/>
      <c r="C33" s="1956" t="s">
        <v>1002</v>
      </c>
      <c r="D33" s="1956"/>
      <c r="E33" s="1956"/>
      <c r="F33" s="1595"/>
      <c r="G33" s="1959" t="s">
        <v>1056</v>
      </c>
      <c r="H33" s="1960"/>
      <c r="I33" s="1960"/>
      <c r="J33" s="1619"/>
      <c r="K33" s="1961" t="s">
        <v>1056</v>
      </c>
      <c r="L33" s="1962"/>
      <c r="M33" s="1962"/>
      <c r="N33" s="1619"/>
      <c r="O33" s="1959" t="s">
        <v>1056</v>
      </c>
      <c r="P33" s="1960"/>
      <c r="Q33" s="1960"/>
      <c r="R33" s="1619"/>
      <c r="S33" s="1961" t="s">
        <v>1057</v>
      </c>
      <c r="T33" s="1962"/>
      <c r="U33" s="1962"/>
      <c r="V33" s="1619"/>
      <c r="W33" s="1959" t="s">
        <v>1057</v>
      </c>
      <c r="X33" s="1960"/>
      <c r="Y33" s="1960"/>
      <c r="Z33" s="1619"/>
      <c r="AA33" s="1961" t="s">
        <v>1057</v>
      </c>
      <c r="AB33" s="1962"/>
      <c r="AC33" s="1962"/>
      <c r="AD33" s="1066"/>
      <c r="AE33" s="1935" t="s">
        <v>1058</v>
      </c>
      <c r="AF33" s="1923"/>
      <c r="AG33" s="1923"/>
      <c r="AH33" s="1066"/>
      <c r="AI33" s="1935" t="s">
        <v>1059</v>
      </c>
      <c r="AJ33" s="1923"/>
      <c r="AK33" s="1923"/>
    </row>
    <row r="34" spans="2:51" ht="30" customHeight="1">
      <c r="B34" s="1067"/>
      <c r="C34" s="1956" t="s">
        <v>1007</v>
      </c>
      <c r="D34" s="1956"/>
      <c r="E34" s="1956"/>
      <c r="F34" s="1595"/>
      <c r="G34" s="1959" t="s">
        <v>1008</v>
      </c>
      <c r="H34" s="1960"/>
      <c r="I34" s="1960"/>
      <c r="J34" s="1615"/>
      <c r="K34" s="1961" t="s">
        <v>1008</v>
      </c>
      <c r="L34" s="1962"/>
      <c r="M34" s="1962"/>
      <c r="N34" s="1615"/>
      <c r="O34" s="1959" t="s">
        <v>1008</v>
      </c>
      <c r="P34" s="1960"/>
      <c r="Q34" s="1960"/>
      <c r="R34" s="1615"/>
      <c r="S34" s="1961" t="s">
        <v>1008</v>
      </c>
      <c r="T34" s="1962"/>
      <c r="U34" s="1962"/>
      <c r="V34" s="1615"/>
      <c r="W34" s="1959" t="s">
        <v>1008</v>
      </c>
      <c r="X34" s="1960"/>
      <c r="Y34" s="1960"/>
      <c r="Z34" s="1615"/>
      <c r="AA34" s="1961" t="s">
        <v>1008</v>
      </c>
      <c r="AB34" s="1962"/>
      <c r="AC34" s="1962"/>
      <c r="AD34" s="1066"/>
      <c r="AE34" s="1979" t="s">
        <v>1008</v>
      </c>
      <c r="AF34" s="1979"/>
      <c r="AG34" s="1979"/>
      <c r="AH34" s="1545"/>
      <c r="AI34" s="1979" t="s">
        <v>1008</v>
      </c>
      <c r="AJ34" s="1979"/>
      <c r="AK34" s="1979"/>
    </row>
    <row r="35" spans="2:51" ht="6" customHeight="1">
      <c r="B35" s="1067"/>
      <c r="C35" s="1069"/>
      <c r="D35" s="1069"/>
      <c r="E35" s="1069"/>
      <c r="F35" s="1069"/>
      <c r="G35" s="1066"/>
      <c r="H35" s="1066"/>
      <c r="I35" s="1066"/>
      <c r="J35" s="1066"/>
      <c r="K35" s="1066"/>
      <c r="L35" s="1066"/>
      <c r="M35" s="1066"/>
      <c r="N35" s="1066"/>
      <c r="O35" s="101"/>
      <c r="P35" s="101"/>
      <c r="Q35" s="101"/>
      <c r="R35" s="1069"/>
      <c r="S35" s="1069"/>
      <c r="T35" s="1069"/>
      <c r="U35" s="1069"/>
      <c r="V35" s="1069"/>
      <c r="W35" s="1069"/>
      <c r="Z35" s="1071"/>
      <c r="AA35" s="1077"/>
    </row>
    <row r="36" spans="2:51" ht="18.75" customHeight="1">
      <c r="B36" s="1067"/>
      <c r="C36" s="1069"/>
      <c r="D36" s="1069"/>
      <c r="E36" s="1069"/>
      <c r="F36" s="1069"/>
      <c r="G36" s="2005"/>
      <c r="H36" s="2005"/>
      <c r="I36" s="2005"/>
      <c r="J36" s="2005"/>
      <c r="K36" s="2005"/>
      <c r="L36" s="2005"/>
      <c r="M36" s="2005"/>
      <c r="N36"/>
      <c r="O36" s="1375"/>
      <c r="P36" s="1375"/>
      <c r="Q36" s="1375"/>
      <c r="R36" s="1375"/>
      <c r="S36" s="1375"/>
      <c r="T36" s="1375"/>
      <c r="U36" s="1375"/>
      <c r="V36" s="1069"/>
      <c r="W36" s="1069"/>
      <c r="Z36" s="1071"/>
      <c r="AA36" s="1077"/>
    </row>
    <row r="37" spans="2:51" ht="19">
      <c r="B37" s="1067"/>
      <c r="C37" s="1356" t="s">
        <v>1012</v>
      </c>
      <c r="D37" s="1069"/>
      <c r="E37" s="1069"/>
      <c r="F37" s="1069"/>
      <c r="G37" s="1359"/>
      <c r="H37" s="1360"/>
      <c r="I37" s="1361"/>
      <c r="J37" s="1066"/>
      <c r="K37" s="1359"/>
      <c r="L37" s="1360"/>
      <c r="M37" s="1361"/>
      <c r="N37" s="1066"/>
      <c r="O37" s="1359"/>
      <c r="P37" s="1360"/>
      <c r="Q37" s="1361"/>
      <c r="R37" s="1069"/>
      <c r="S37" s="1359"/>
      <c r="T37" s="1360"/>
      <c r="U37" s="1361"/>
      <c r="V37" s="1069"/>
      <c r="W37" s="1069"/>
      <c r="Z37" s="1071"/>
      <c r="AA37" s="1077"/>
      <c r="AQ37" s="1235"/>
      <c r="AR37" s="1235"/>
      <c r="AS37" s="1235"/>
      <c r="AT37" s="1235"/>
      <c r="AU37" s="1235"/>
      <c r="AV37" s="1235"/>
      <c r="AW37" s="1235"/>
      <c r="AX37" s="1235"/>
      <c r="AY37" s="1235"/>
    </row>
    <row r="38" spans="2:51" s="1235" customFormat="1">
      <c r="B38" s="1067"/>
      <c r="C38" s="1356" t="s">
        <v>80</v>
      </c>
      <c r="D38" s="1067"/>
      <c r="E38" s="1067"/>
      <c r="F38" s="1067"/>
      <c r="G38" s="1554"/>
      <c r="H38" s="1067"/>
      <c r="I38" s="1067"/>
      <c r="J38" s="1067"/>
      <c r="K38" s="1067"/>
      <c r="L38" s="1067"/>
      <c r="M38" s="1067"/>
      <c r="N38" s="1067"/>
      <c r="O38" s="1063"/>
      <c r="P38" s="1083"/>
      <c r="Q38" s="1555"/>
      <c r="R38" s="1555"/>
      <c r="S38" s="1555"/>
      <c r="T38" s="1083"/>
      <c r="U38" s="1083"/>
      <c r="V38" s="1083"/>
      <c r="W38" s="1083"/>
      <c r="X38" s="1063"/>
      <c r="Y38" s="1063"/>
      <c r="Z38" s="1556"/>
      <c r="AA38" s="1557"/>
      <c r="AB38" s="1063"/>
      <c r="AC38" s="1063"/>
      <c r="AD38" s="1063"/>
      <c r="AE38" s="1063"/>
      <c r="AF38" s="1063"/>
      <c r="AG38" s="1063"/>
      <c r="AH38" s="1063"/>
      <c r="AI38" s="1063"/>
      <c r="AJ38" s="1063"/>
      <c r="AK38" s="1063"/>
      <c r="AL38" s="1063"/>
    </row>
    <row r="39" spans="2:51" s="1235" customFormat="1" ht="19">
      <c r="B39" s="1067"/>
      <c r="C39" s="1356" t="s">
        <v>1060</v>
      </c>
      <c r="D39" s="1067"/>
      <c r="E39" s="1067"/>
      <c r="F39" s="1067"/>
      <c r="G39" s="1066"/>
      <c r="H39" s="1067"/>
      <c r="I39" s="1067"/>
      <c r="J39" s="1067"/>
      <c r="K39" s="1067"/>
      <c r="L39" s="1067"/>
      <c r="M39" s="1067"/>
      <c r="N39" s="1067"/>
      <c r="O39" s="1063"/>
      <c r="P39" s="1083"/>
      <c r="Q39" s="1555"/>
      <c r="R39" s="1555"/>
      <c r="S39" s="1555"/>
      <c r="T39" s="1083"/>
      <c r="U39" s="1083"/>
      <c r="V39" s="1083"/>
      <c r="W39" s="1083"/>
      <c r="X39" s="1063"/>
      <c r="Y39" s="1063"/>
      <c r="Z39" s="1556"/>
      <c r="AA39" s="1557"/>
      <c r="AB39" s="1063"/>
      <c r="AC39" s="1063"/>
      <c r="AD39" s="1063"/>
      <c r="AE39" s="1063"/>
      <c r="AF39" s="1063"/>
      <c r="AG39" s="1063"/>
      <c r="AH39" s="1063"/>
      <c r="AI39" s="1063"/>
      <c r="AJ39" s="1063"/>
      <c r="AK39" s="1063"/>
      <c r="AL39" s="1063"/>
    </row>
    <row r="40" spans="2:51" s="1235" customFormat="1" outlineLevel="1">
      <c r="B40" s="1067"/>
      <c r="C40" s="2006">
        <f>IFERROR('Debt Sizing'!$P$15,0)</f>
        <v>289529.59416666668</v>
      </c>
      <c r="D40" s="2006"/>
      <c r="E40" s="2006"/>
      <c r="F40" s="2006"/>
      <c r="G40" s="2006"/>
      <c r="H40" s="2006"/>
      <c r="I40" s="2006"/>
      <c r="J40" s="2006"/>
      <c r="K40" s="2006"/>
      <c r="L40" s="2006"/>
      <c r="M40" s="2006"/>
      <c r="N40" s="2006"/>
      <c r="O40" s="2006"/>
      <c r="P40" s="1083"/>
      <c r="Q40" s="1555"/>
      <c r="R40" s="1555"/>
      <c r="S40" s="1555"/>
      <c r="T40" s="1083"/>
      <c r="U40" s="1083"/>
      <c r="V40" s="1083"/>
      <c r="W40" s="1083"/>
      <c r="X40" s="1063"/>
      <c r="Y40" s="1063"/>
      <c r="Z40" s="1556"/>
      <c r="AA40" s="1557"/>
      <c r="AB40" s="1063"/>
      <c r="AC40" s="1063"/>
      <c r="AD40" s="1063"/>
      <c r="AE40" s="1063"/>
      <c r="AF40" s="1063"/>
      <c r="AG40" s="1063"/>
      <c r="AH40" s="1063"/>
      <c r="AI40" s="1063"/>
      <c r="AJ40" s="1063"/>
      <c r="AK40" s="1063"/>
      <c r="AL40" s="1063"/>
    </row>
    <row r="41" spans="2:51" s="1235" customFormat="1" outlineLevel="1">
      <c r="B41" s="1067"/>
      <c r="C41" s="2007">
        <f>IFERROR('Debt Sizing'!$Q$33,0)</f>
        <v>445</v>
      </c>
      <c r="D41" s="2007"/>
      <c r="E41" s="2007"/>
      <c r="F41" s="2007"/>
      <c r="G41" s="2007"/>
      <c r="H41" s="2007"/>
      <c r="I41" s="2007"/>
      <c r="J41" s="2007"/>
      <c r="K41" s="2007"/>
      <c r="L41" s="2007"/>
      <c r="M41" s="2007"/>
      <c r="N41" s="2007"/>
      <c r="O41" s="2007"/>
      <c r="P41" s="1083"/>
      <c r="Q41" s="1555"/>
      <c r="R41" s="1555"/>
      <c r="S41" s="1555"/>
      <c r="T41" s="1083"/>
      <c r="U41" s="1083"/>
      <c r="V41" s="1083"/>
      <c r="W41" s="1083"/>
      <c r="X41" s="1063"/>
      <c r="Y41" s="1063"/>
      <c r="Z41" s="1556"/>
      <c r="AA41" s="1557"/>
      <c r="AB41" s="1063"/>
      <c r="AC41" s="1063"/>
      <c r="AD41" s="1063"/>
      <c r="AE41" s="1063"/>
      <c r="AF41" s="1063"/>
      <c r="AG41" s="1063"/>
      <c r="AH41" s="1063"/>
      <c r="AI41" s="1063"/>
      <c r="AJ41" s="1063"/>
      <c r="AK41" s="1063"/>
      <c r="AL41" s="1063"/>
    </row>
    <row r="42" spans="2:51" s="1235" customFormat="1" outlineLevel="1">
      <c r="B42" s="1067"/>
      <c r="C42" s="1356" t="s">
        <v>1061</v>
      </c>
      <c r="D42" s="1067"/>
      <c r="E42" s="1067"/>
      <c r="F42" s="1067"/>
      <c r="G42" s="1067"/>
      <c r="H42" s="1067"/>
      <c r="I42" s="1067"/>
      <c r="J42" s="1067"/>
      <c r="K42" s="1067"/>
      <c r="L42" s="1067"/>
      <c r="M42" s="1067"/>
      <c r="N42" s="1067"/>
      <c r="O42" s="1063"/>
      <c r="P42" s="1083"/>
      <c r="Q42" s="1555"/>
      <c r="R42" s="1555"/>
      <c r="S42" s="1555"/>
      <c r="T42" s="1083"/>
      <c r="U42" s="1083"/>
      <c r="V42" s="1083"/>
      <c r="W42" s="1083"/>
      <c r="X42" s="1063"/>
      <c r="Y42" s="1063"/>
      <c r="Z42" s="1556"/>
      <c r="AA42" s="1557"/>
      <c r="AB42" s="1063"/>
      <c r="AC42" s="1063"/>
      <c r="AD42" s="1063"/>
      <c r="AE42" s="1063"/>
      <c r="AF42" s="1063"/>
      <c r="AG42" s="1063"/>
      <c r="AH42" s="1063"/>
      <c r="AI42" s="1063"/>
      <c r="AJ42" s="1063"/>
      <c r="AK42" s="1063"/>
      <c r="AL42" s="1063"/>
    </row>
    <row r="43" spans="2:51">
      <c r="B43" s="1067"/>
      <c r="C43" s="1356"/>
      <c r="D43" s="1067"/>
      <c r="E43" s="1067"/>
      <c r="F43" s="1067"/>
      <c r="G43" s="1067"/>
      <c r="H43" s="1067"/>
      <c r="I43" s="1067"/>
      <c r="J43" s="1067"/>
      <c r="K43" s="1067"/>
      <c r="L43" s="1067"/>
      <c r="M43" s="1067"/>
      <c r="N43" s="1067"/>
      <c r="P43" s="1078"/>
      <c r="Q43" s="1079"/>
      <c r="R43" s="1079"/>
      <c r="S43" s="1079"/>
      <c r="T43" s="1078"/>
      <c r="U43" s="1078"/>
      <c r="V43" s="1078"/>
      <c r="W43" s="1078"/>
      <c r="Z43" s="1080"/>
      <c r="AA43" s="1077"/>
      <c r="AQ43" s="1097"/>
      <c r="AR43" s="1097"/>
      <c r="AS43" s="1097"/>
      <c r="AT43" s="1097"/>
      <c r="AU43" s="1097"/>
      <c r="AV43" s="1097"/>
      <c r="AW43" s="1097"/>
      <c r="AX43" s="1097"/>
      <c r="AY43" s="1097"/>
    </row>
    <row r="44" spans="2:51" s="1093" customFormat="1" ht="18" thickBot="1">
      <c r="C44" s="1096" t="s">
        <v>1023</v>
      </c>
      <c r="D44" s="1096"/>
      <c r="E44" s="1096"/>
      <c r="F44" s="1096"/>
      <c r="G44" s="1096"/>
      <c r="H44" s="1096"/>
      <c r="I44" s="1096"/>
      <c r="J44" s="1096"/>
      <c r="K44" s="1096"/>
      <c r="L44" s="1096"/>
      <c r="M44" s="1096"/>
      <c r="N44" s="1096"/>
      <c r="O44" s="1096"/>
      <c r="P44" s="1096"/>
      <c r="Q44" s="1096"/>
      <c r="R44" s="1096"/>
      <c r="S44" s="1096"/>
      <c r="T44" s="1096"/>
      <c r="U44" s="1096"/>
      <c r="V44" s="1096"/>
      <c r="W44" s="1096"/>
      <c r="X44" s="1096"/>
      <c r="Y44" s="1096"/>
      <c r="Z44" s="1558"/>
      <c r="AA44" s="1558"/>
      <c r="AB44" s="1137"/>
      <c r="AC44" s="1137"/>
      <c r="AD44" s="1137"/>
      <c r="AE44" s="1137"/>
      <c r="AF44" s="1137"/>
      <c r="AG44" s="1137"/>
      <c r="AH44" s="1137"/>
      <c r="AI44" s="1137"/>
      <c r="AJ44" s="1137"/>
      <c r="AK44" s="1137"/>
      <c r="AQ44" s="1097"/>
      <c r="AR44" s="1097"/>
      <c r="AS44" s="1097"/>
      <c r="AT44" s="1097"/>
      <c r="AU44" s="1097"/>
      <c r="AV44" s="1097"/>
      <c r="AW44" s="1097"/>
      <c r="AX44" s="1097"/>
      <c r="AY44" s="1097"/>
    </row>
    <row r="45" spans="2:51" s="1097" customFormat="1">
      <c r="C45" s="1940" t="s">
        <v>1024</v>
      </c>
      <c r="D45" s="1940"/>
      <c r="E45" s="1940"/>
      <c r="F45" s="1940"/>
      <c r="G45" s="1940"/>
      <c r="H45" s="1940"/>
      <c r="I45" s="1940"/>
      <c r="J45" s="1940"/>
      <c r="K45" s="1940"/>
      <c r="L45" s="1940"/>
      <c r="M45" s="1940"/>
      <c r="N45" s="1940"/>
      <c r="O45" s="1940"/>
      <c r="P45" s="1940"/>
      <c r="Q45" s="1940"/>
      <c r="R45" s="1940"/>
      <c r="S45" s="1940"/>
      <c r="T45" s="1940"/>
      <c r="U45" s="1940"/>
      <c r="V45" s="1940"/>
      <c r="W45" s="1940"/>
      <c r="X45" s="1940"/>
      <c r="Y45" s="1940"/>
      <c r="Z45" s="1098"/>
      <c r="AA45" s="1098"/>
    </row>
    <row r="46" spans="2:51" s="1097" customFormat="1">
      <c r="C46" s="1940"/>
      <c r="D46" s="1940"/>
      <c r="E46" s="1940"/>
      <c r="F46" s="1940"/>
      <c r="G46" s="1940"/>
      <c r="H46" s="1940"/>
      <c r="I46" s="1940"/>
      <c r="J46" s="1940"/>
      <c r="K46" s="1940"/>
      <c r="L46" s="1940"/>
      <c r="M46" s="1940"/>
      <c r="N46" s="1940"/>
      <c r="O46" s="1940"/>
      <c r="P46" s="1940"/>
      <c r="Q46" s="1940"/>
      <c r="R46" s="1940"/>
      <c r="S46" s="1940"/>
      <c r="T46" s="1940"/>
      <c r="U46" s="1940"/>
      <c r="V46" s="1940"/>
      <c r="W46" s="1940"/>
      <c r="X46" s="1940"/>
      <c r="Y46" s="1940"/>
      <c r="Z46" s="1098"/>
      <c r="AA46" s="1098"/>
      <c r="AQ46" s="1093"/>
      <c r="AR46" s="1093"/>
      <c r="AS46" s="1093"/>
      <c r="AT46" s="1093"/>
      <c r="AU46" s="1093"/>
      <c r="AV46" s="1093"/>
      <c r="AW46" s="1093"/>
      <c r="AX46" s="1093"/>
      <c r="AY46" s="1093"/>
    </row>
    <row r="47" spans="2:51" s="1097" customFormat="1">
      <c r="Z47" s="1098"/>
      <c r="AA47" s="1098"/>
      <c r="AQ47" s="1063"/>
      <c r="AR47" s="1063"/>
      <c r="AS47" s="1063"/>
      <c r="AT47" s="1063"/>
      <c r="AU47" s="1063"/>
      <c r="AV47" s="1063"/>
      <c r="AW47" s="1063"/>
      <c r="AX47" s="1063"/>
      <c r="AY47" s="1063"/>
    </row>
    <row r="48" spans="2:51" s="1093" customFormat="1">
      <c r="C48" s="1094" t="s">
        <v>1025</v>
      </c>
      <c r="Z48" s="1095"/>
      <c r="AA48" s="1095"/>
      <c r="AQ48" s="1063"/>
      <c r="AR48" s="1063"/>
      <c r="AS48" s="1063"/>
      <c r="AT48" s="1063"/>
      <c r="AU48" s="1063"/>
      <c r="AV48" s="1063"/>
      <c r="AW48" s="1063"/>
      <c r="AX48" s="1063"/>
      <c r="AY48" s="1063"/>
    </row>
    <row r="50" spans="2:38" ht="17.5">
      <c r="B50" s="1090"/>
      <c r="C50" s="1091"/>
      <c r="D50" s="1091"/>
      <c r="E50" s="1091"/>
      <c r="F50" s="1091"/>
      <c r="G50" s="1091"/>
      <c r="H50" s="1091"/>
      <c r="I50" s="1091"/>
      <c r="J50" s="1091"/>
      <c r="K50" s="1091"/>
      <c r="L50" s="1091"/>
      <c r="M50" s="1091"/>
      <c r="N50" s="1091"/>
      <c r="O50" s="1091"/>
      <c r="P50" s="1091"/>
      <c r="Q50" s="1091"/>
      <c r="R50" s="1091"/>
      <c r="S50" s="1091"/>
      <c r="T50" s="1091"/>
      <c r="U50" s="1091"/>
      <c r="V50" s="1091"/>
      <c r="W50" s="1091"/>
      <c r="X50" s="1091"/>
    </row>
    <row r="51" spans="2:38">
      <c r="B51" s="1559"/>
      <c r="C51" s="1559"/>
      <c r="D51" s="1559"/>
      <c r="E51" s="1559"/>
      <c r="F51" s="1559"/>
      <c r="G51" s="1559"/>
      <c r="H51" s="1559"/>
      <c r="I51" s="1559"/>
      <c r="J51" s="1559"/>
      <c r="K51" s="1559"/>
      <c r="L51" s="1559"/>
      <c r="M51" s="1559"/>
      <c r="N51" s="1559"/>
      <c r="O51" s="1559"/>
      <c r="P51" s="1559"/>
      <c r="Q51" s="1559"/>
      <c r="R51" s="1559"/>
      <c r="S51" s="1559"/>
      <c r="T51" s="1559"/>
      <c r="U51" s="1559"/>
      <c r="V51" s="1559"/>
      <c r="W51" s="1559"/>
      <c r="X51" s="1559"/>
      <c r="Y51" s="1341"/>
      <c r="Z51" s="1529"/>
      <c r="AA51" s="1529"/>
      <c r="AB51" s="1341"/>
      <c r="AC51" s="1341"/>
      <c r="AD51" s="1341"/>
      <c r="AE51" s="1341"/>
      <c r="AF51" s="1341"/>
      <c r="AG51" s="1341"/>
      <c r="AH51" s="1341"/>
      <c r="AI51" s="1341"/>
      <c r="AJ51" s="1341"/>
      <c r="AK51" s="1341"/>
      <c r="AL51" s="1341"/>
    </row>
    <row r="52" spans="2:38">
      <c r="B52" s="1559"/>
      <c r="C52" s="1559"/>
      <c r="D52" s="1559"/>
      <c r="E52" s="1559"/>
      <c r="F52" s="1559"/>
      <c r="G52" s="1559"/>
      <c r="H52" s="1559"/>
      <c r="I52" s="1559"/>
      <c r="J52" s="1559"/>
      <c r="K52" s="1559"/>
      <c r="L52" s="1559"/>
      <c r="M52" s="1559"/>
      <c r="N52" s="1559"/>
      <c r="O52" s="1559"/>
      <c r="P52" s="1559"/>
      <c r="Q52" s="1559"/>
      <c r="R52" s="1559"/>
      <c r="S52" s="1559"/>
      <c r="T52" s="1559"/>
      <c r="U52" s="1559"/>
      <c r="V52" s="1559"/>
      <c r="W52" s="1559"/>
      <c r="X52" s="1559"/>
      <c r="Y52" s="1341"/>
      <c r="Z52" s="1529"/>
      <c r="AA52" s="1529"/>
      <c r="AB52" s="1341"/>
      <c r="AC52" s="1341"/>
      <c r="AD52" s="1341"/>
      <c r="AE52" s="1341"/>
      <c r="AF52" s="1341"/>
      <c r="AG52" s="1341"/>
      <c r="AH52" s="1341"/>
      <c r="AI52" s="1341"/>
      <c r="AJ52" s="1341"/>
      <c r="AK52" s="1341"/>
      <c r="AL52" s="1341"/>
    </row>
    <row r="53" spans="2:38">
      <c r="B53" s="1559"/>
      <c r="C53" s="1559"/>
      <c r="D53" s="1559"/>
      <c r="E53" s="1559"/>
      <c r="F53" s="1559"/>
      <c r="G53" s="1559"/>
      <c r="H53" s="1559"/>
      <c r="I53" s="1559"/>
      <c r="J53" s="1559"/>
      <c r="K53" s="1559"/>
      <c r="L53" s="1559"/>
      <c r="M53" s="1559"/>
      <c r="N53" s="1559"/>
      <c r="O53" s="1559"/>
      <c r="P53" s="1559"/>
      <c r="Q53" s="1559"/>
      <c r="R53" s="1559"/>
      <c r="S53" s="1559"/>
      <c r="T53" s="1559"/>
      <c r="U53" s="1559"/>
      <c r="V53" s="1559"/>
      <c r="W53" s="1559"/>
      <c r="X53" s="1559"/>
      <c r="Y53" s="1341"/>
      <c r="Z53" s="1529"/>
      <c r="AA53" s="1529"/>
      <c r="AB53" s="1341"/>
      <c r="AC53" s="1341"/>
      <c r="AD53" s="1341"/>
      <c r="AE53" s="1341"/>
      <c r="AF53" s="1341"/>
      <c r="AG53" s="1341"/>
      <c r="AH53" s="1341"/>
      <c r="AI53" s="1341"/>
      <c r="AJ53" s="1341"/>
      <c r="AK53" s="1341"/>
      <c r="AL53" s="1341"/>
    </row>
    <row r="54" spans="2:38">
      <c r="B54" s="1341"/>
      <c r="C54" s="1341"/>
      <c r="D54" s="1341"/>
      <c r="E54" s="1341"/>
      <c r="F54" s="1341"/>
      <c r="G54" s="1341"/>
      <c r="H54" s="1341"/>
      <c r="I54" s="1341"/>
      <c r="J54" s="1341"/>
      <c r="K54" s="1341"/>
      <c r="L54" s="1341"/>
      <c r="M54" s="1341"/>
      <c r="N54" s="1341"/>
      <c r="O54" s="1341"/>
      <c r="P54" s="1341"/>
      <c r="Q54" s="1341"/>
      <c r="R54" s="1341"/>
      <c r="S54" s="1341"/>
      <c r="T54" s="1341"/>
      <c r="U54" s="1341"/>
      <c r="V54" s="1341"/>
      <c r="W54" s="1341"/>
      <c r="X54" s="1341"/>
      <c r="Y54" s="1341"/>
      <c r="Z54" s="1529"/>
      <c r="AA54" s="1529"/>
      <c r="AB54" s="1341"/>
      <c r="AC54" s="1341"/>
      <c r="AD54" s="1341"/>
      <c r="AE54" s="1341"/>
      <c r="AF54" s="1341"/>
      <c r="AG54" s="1341"/>
      <c r="AH54" s="1341"/>
      <c r="AI54" s="1341"/>
      <c r="AJ54" s="1341"/>
      <c r="AK54" s="1341"/>
      <c r="AL54" s="1341"/>
    </row>
    <row r="55" spans="2:38">
      <c r="B55" s="1560"/>
      <c r="C55" s="1560"/>
      <c r="D55" s="1560"/>
      <c r="E55" s="1560"/>
      <c r="F55" s="1560"/>
      <c r="G55" s="1560"/>
      <c r="H55" s="1560"/>
      <c r="I55" s="1560"/>
      <c r="J55" s="1560"/>
      <c r="K55" s="1341"/>
      <c r="L55" s="1341"/>
      <c r="M55" s="1341"/>
      <c r="N55" s="1341"/>
      <c r="O55" s="1341"/>
      <c r="P55" s="1341"/>
      <c r="Q55" s="1341"/>
      <c r="R55" s="1341"/>
      <c r="S55" s="1341"/>
      <c r="T55" s="1341"/>
      <c r="U55" s="1341"/>
      <c r="V55" s="1341"/>
      <c r="W55" s="1341"/>
      <c r="X55" s="1341"/>
      <c r="Y55" s="1341"/>
      <c r="Z55" s="1529"/>
      <c r="AA55" s="1529"/>
      <c r="AB55" s="1341"/>
      <c r="AC55" s="1341"/>
      <c r="AD55" s="1341"/>
      <c r="AE55" s="1341"/>
      <c r="AF55" s="1341"/>
      <c r="AG55" s="1341"/>
      <c r="AH55" s="1341"/>
      <c r="AI55" s="1341"/>
      <c r="AJ55" s="1341"/>
      <c r="AK55" s="1341"/>
      <c r="AL55" s="1341"/>
    </row>
    <row r="56" spans="2:38">
      <c r="B56" s="1559"/>
      <c r="C56" s="1559"/>
      <c r="D56" s="1559"/>
      <c r="E56" s="1559"/>
      <c r="F56" s="1559"/>
      <c r="G56" s="1559"/>
      <c r="H56" s="1559"/>
      <c r="I56" s="1559"/>
      <c r="J56" s="1559"/>
      <c r="K56" s="1559"/>
      <c r="L56" s="1559"/>
      <c r="M56" s="1559"/>
      <c r="N56" s="1559"/>
      <c r="O56" s="1559"/>
      <c r="P56" s="1559"/>
      <c r="Q56" s="1559"/>
      <c r="R56" s="1559"/>
      <c r="S56" s="1559"/>
      <c r="T56" s="1559"/>
      <c r="U56" s="1559"/>
      <c r="V56" s="1559"/>
      <c r="W56" s="1559"/>
      <c r="X56" s="1559"/>
      <c r="Y56" s="1341"/>
      <c r="Z56" s="1529"/>
      <c r="AA56" s="1529"/>
      <c r="AB56" s="1341"/>
      <c r="AC56" s="1341"/>
      <c r="AD56" s="1341"/>
      <c r="AE56" s="1341"/>
      <c r="AF56" s="1341"/>
      <c r="AG56" s="1341"/>
      <c r="AH56" s="1341"/>
      <c r="AI56" s="1341"/>
      <c r="AJ56" s="1341"/>
      <c r="AK56" s="1341"/>
      <c r="AL56" s="1341"/>
    </row>
    <row r="57" spans="2:38">
      <c r="B57" s="1341"/>
      <c r="C57" s="1341"/>
      <c r="D57" s="1341"/>
      <c r="E57" s="1341"/>
      <c r="F57" s="1341"/>
      <c r="G57" s="1341"/>
      <c r="H57" s="1341"/>
      <c r="I57" s="1341"/>
      <c r="J57" s="1341"/>
      <c r="K57" s="1341"/>
      <c r="L57" s="1341"/>
      <c r="M57" s="1341"/>
      <c r="N57" s="1341"/>
      <c r="O57" s="1341"/>
      <c r="P57" s="1341"/>
      <c r="Q57" s="1341"/>
      <c r="R57" s="1341"/>
      <c r="S57" s="1341"/>
      <c r="T57" s="1341"/>
      <c r="U57" s="1341"/>
      <c r="V57" s="1341"/>
      <c r="W57" s="1341"/>
      <c r="X57" s="1341"/>
      <c r="Y57" s="1341"/>
      <c r="Z57" s="1529"/>
      <c r="AA57" s="1529"/>
      <c r="AB57" s="1341"/>
      <c r="AC57" s="1341"/>
      <c r="AD57" s="1341"/>
      <c r="AE57" s="1341"/>
      <c r="AF57" s="1341"/>
      <c r="AG57" s="1341"/>
      <c r="AH57" s="1341"/>
      <c r="AI57" s="1341"/>
      <c r="AJ57" s="1341"/>
      <c r="AK57" s="1341"/>
      <c r="AL57" s="1341"/>
    </row>
    <row r="58" spans="2:38">
      <c r="B58" s="1341"/>
      <c r="C58" s="1341"/>
      <c r="D58" s="1341"/>
      <c r="E58" s="1341"/>
      <c r="F58" s="1341"/>
      <c r="G58" s="1341"/>
      <c r="H58" s="1341"/>
      <c r="I58" s="1341"/>
      <c r="J58" s="1341"/>
      <c r="K58" s="1341"/>
      <c r="L58" s="1341"/>
      <c r="M58" s="1341"/>
      <c r="N58" s="1341"/>
      <c r="O58" s="1341"/>
      <c r="P58" s="1341"/>
      <c r="Q58" s="1341"/>
      <c r="R58" s="1341"/>
      <c r="S58" s="1341"/>
      <c r="T58" s="1341"/>
      <c r="U58" s="1341"/>
      <c r="V58" s="1341"/>
      <c r="W58" s="1341"/>
      <c r="X58" s="1341"/>
      <c r="Y58" s="1341"/>
      <c r="Z58" s="1529"/>
      <c r="AA58" s="1529"/>
      <c r="AB58" s="1341"/>
      <c r="AC58" s="1341"/>
      <c r="AD58" s="1341"/>
      <c r="AE58" s="1341"/>
      <c r="AF58" s="1341"/>
      <c r="AG58" s="1341"/>
      <c r="AH58" s="1341"/>
      <c r="AI58" s="1341"/>
      <c r="AJ58" s="1341"/>
      <c r="AK58" s="1341"/>
      <c r="AL58" s="1341"/>
    </row>
  </sheetData>
  <mergeCells count="178">
    <mergeCell ref="AI14:AK14"/>
    <mergeCell ref="AI13:AK13"/>
    <mergeCell ref="G36:M36"/>
    <mergeCell ref="C40:O40"/>
    <mergeCell ref="C41:O41"/>
    <mergeCell ref="C45:Y46"/>
    <mergeCell ref="AE32:AG32"/>
    <mergeCell ref="AI32:AK32"/>
    <mergeCell ref="AE33:AG33"/>
    <mergeCell ref="AI33:AK33"/>
    <mergeCell ref="G34:I34"/>
    <mergeCell ref="K34:M34"/>
    <mergeCell ref="O34:Q34"/>
    <mergeCell ref="S34:U34"/>
    <mergeCell ref="W34:Y34"/>
    <mergeCell ref="AA34:AC34"/>
    <mergeCell ref="AE34:AG34"/>
    <mergeCell ref="AI34:AK34"/>
    <mergeCell ref="G33:I33"/>
    <mergeCell ref="K33:M33"/>
    <mergeCell ref="O33:Q33"/>
    <mergeCell ref="S33:U33"/>
    <mergeCell ref="AE31:AG31"/>
    <mergeCell ref="AE29:AG29"/>
    <mergeCell ref="AA30:AC30"/>
    <mergeCell ref="AE30:AG30"/>
    <mergeCell ref="AI30:AK30"/>
    <mergeCell ref="G29:I29"/>
    <mergeCell ref="K29:M29"/>
    <mergeCell ref="O29:Q29"/>
    <mergeCell ref="S29:U29"/>
    <mergeCell ref="W29:Y29"/>
    <mergeCell ref="AA29:AC29"/>
    <mergeCell ref="AI31:AK31"/>
    <mergeCell ref="AA31:AC31"/>
    <mergeCell ref="AE27:AG27"/>
    <mergeCell ref="AI27:AK27"/>
    <mergeCell ref="G28:I28"/>
    <mergeCell ref="K28:M28"/>
    <mergeCell ref="O28:Q28"/>
    <mergeCell ref="S28:U28"/>
    <mergeCell ref="W28:Y28"/>
    <mergeCell ref="AA28:AC28"/>
    <mergeCell ref="AE28:AG28"/>
    <mergeCell ref="AI28:AK28"/>
    <mergeCell ref="G27:I27"/>
    <mergeCell ref="K27:M27"/>
    <mergeCell ref="O27:Q27"/>
    <mergeCell ref="S27:U27"/>
    <mergeCell ref="W27:Y27"/>
    <mergeCell ref="AA27:AC27"/>
    <mergeCell ref="AI29:AK29"/>
    <mergeCell ref="G30:I30"/>
    <mergeCell ref="K30:M30"/>
    <mergeCell ref="O30:Q30"/>
    <mergeCell ref="S30:U30"/>
    <mergeCell ref="W30:Y30"/>
    <mergeCell ref="AE25:AG25"/>
    <mergeCell ref="AI25:AK25"/>
    <mergeCell ref="G26:I26"/>
    <mergeCell ref="K26:M26"/>
    <mergeCell ref="O26:Q26"/>
    <mergeCell ref="S26:U26"/>
    <mergeCell ref="W26:Y26"/>
    <mergeCell ref="AA26:AC26"/>
    <mergeCell ref="AE26:AG26"/>
    <mergeCell ref="AI26:AK26"/>
    <mergeCell ref="G25:I25"/>
    <mergeCell ref="K25:M25"/>
    <mergeCell ref="O25:Q25"/>
    <mergeCell ref="S25:U25"/>
    <mergeCell ref="W25:Y25"/>
    <mergeCell ref="AA25:AC25"/>
    <mergeCell ref="AE23:AG23"/>
    <mergeCell ref="AI23:AK23"/>
    <mergeCell ref="G24:I24"/>
    <mergeCell ref="K24:M24"/>
    <mergeCell ref="O24:Q24"/>
    <mergeCell ref="S24:U24"/>
    <mergeCell ref="W24:Y24"/>
    <mergeCell ref="AA24:AC24"/>
    <mergeCell ref="G23:I23"/>
    <mergeCell ref="K23:M23"/>
    <mergeCell ref="O23:Q23"/>
    <mergeCell ref="S23:U23"/>
    <mergeCell ref="W23:Y23"/>
    <mergeCell ref="AA23:AC23"/>
    <mergeCell ref="AE16:AG16"/>
    <mergeCell ref="AI16:AK16"/>
    <mergeCell ref="AE21:AG21"/>
    <mergeCell ref="AI21:AK21"/>
    <mergeCell ref="G22:I22"/>
    <mergeCell ref="K22:M22"/>
    <mergeCell ref="O22:Q22"/>
    <mergeCell ref="S22:U22"/>
    <mergeCell ref="W22:Y22"/>
    <mergeCell ref="AA22:AC22"/>
    <mergeCell ref="AE22:AG22"/>
    <mergeCell ref="AI22:AK22"/>
    <mergeCell ref="G21:I21"/>
    <mergeCell ref="K21:M21"/>
    <mergeCell ref="O21:Q21"/>
    <mergeCell ref="S21:U21"/>
    <mergeCell ref="W21:Y21"/>
    <mergeCell ref="AA21:AC21"/>
    <mergeCell ref="AI10:AK12"/>
    <mergeCell ref="AE12:AG12"/>
    <mergeCell ref="G15:I15"/>
    <mergeCell ref="K15:M15"/>
    <mergeCell ref="O15:Q15"/>
    <mergeCell ref="S15:U15"/>
    <mergeCell ref="W15:Y15"/>
    <mergeCell ref="AA15:AC15"/>
    <mergeCell ref="AE15:AG15"/>
    <mergeCell ref="AI15:AK15"/>
    <mergeCell ref="G13:I13"/>
    <mergeCell ref="K13:M13"/>
    <mergeCell ref="O13:Q13"/>
    <mergeCell ref="S13:U13"/>
    <mergeCell ref="W13:Y13"/>
    <mergeCell ref="AA13:AC13"/>
    <mergeCell ref="G14:I14"/>
    <mergeCell ref="K14:M14"/>
    <mergeCell ref="O14:Q14"/>
    <mergeCell ref="S14:U14"/>
    <mergeCell ref="W14:Y14"/>
    <mergeCell ref="AA14:AC14"/>
    <mergeCell ref="AE13:AG13"/>
    <mergeCell ref="AE14:AG14"/>
    <mergeCell ref="G9:I9"/>
    <mergeCell ref="D10:E10"/>
    <mergeCell ref="C16:E16"/>
    <mergeCell ref="C15:E15"/>
    <mergeCell ref="C17:E17"/>
    <mergeCell ref="G16:I16"/>
    <mergeCell ref="K16:M16"/>
    <mergeCell ref="O16:Q16"/>
    <mergeCell ref="S16:U16"/>
    <mergeCell ref="C13:E13"/>
    <mergeCell ref="C14:E14"/>
    <mergeCell ref="G11:I12"/>
    <mergeCell ref="K11:M12"/>
    <mergeCell ref="O11:Q12"/>
    <mergeCell ref="S11:U12"/>
    <mergeCell ref="C34:E34"/>
    <mergeCell ref="C18:E18"/>
    <mergeCell ref="C20:E20"/>
    <mergeCell ref="C21:E21"/>
    <mergeCell ref="C22:E22"/>
    <mergeCell ref="C23:E23"/>
    <mergeCell ref="C24:E24"/>
    <mergeCell ref="C25:E25"/>
    <mergeCell ref="C26:E26"/>
    <mergeCell ref="C19:E19"/>
    <mergeCell ref="W11:Y12"/>
    <mergeCell ref="AA11:AC12"/>
    <mergeCell ref="C27:E27"/>
    <mergeCell ref="C28:E28"/>
    <mergeCell ref="C29:E29"/>
    <mergeCell ref="C30:E30"/>
    <mergeCell ref="C31:E31"/>
    <mergeCell ref="C32:E32"/>
    <mergeCell ref="C33:E33"/>
    <mergeCell ref="W16:Y16"/>
    <mergeCell ref="AA16:AC16"/>
    <mergeCell ref="W33:Y33"/>
    <mergeCell ref="AA33:AC33"/>
    <mergeCell ref="G32:I32"/>
    <mergeCell ref="K32:M32"/>
    <mergeCell ref="O32:Q32"/>
    <mergeCell ref="S32:U32"/>
    <mergeCell ref="W32:Y32"/>
    <mergeCell ref="AA32:AC32"/>
    <mergeCell ref="G31:I31"/>
    <mergeCell ref="K31:M31"/>
    <mergeCell ref="O31:Q31"/>
    <mergeCell ref="S31:U31"/>
    <mergeCell ref="W31:Y31"/>
  </mergeCells>
  <dataValidations count="2">
    <dataValidation type="list" allowBlank="1" showInputMessage="1" showErrorMessage="1" sqref="G21:AK21" xr:uid="{36E60893-3C86-46F7-AE2E-D43DAC0BCFF7}">
      <formula1>$AQ$2:$AZ$2</formula1>
    </dataValidation>
    <dataValidation type="list" allowBlank="1" showInputMessage="1" showErrorMessage="1" sqref="G29:AC29 AE29:AG29 AI29:AK29" xr:uid="{B85E8F16-AB49-41B5-988A-A704E6F75975}">
      <formula1>"35, 30, 25, 20, 15, 10"</formula1>
    </dataValidation>
  </dataValidations>
  <printOptions horizontalCentered="1"/>
  <pageMargins left="0" right="0" top="0" bottom="0" header="0" footer="0"/>
  <pageSetup scale="54" orientation="landscape" r:id="rId1"/>
  <ignoredErrors>
    <ignoredError sqref="AI28" numberStoredAsText="1"/>
  </ignoredError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0E5C-44A4-4BB0-9350-959793EE100E}">
  <sheetPr codeName="Sheet10">
    <tabColor theme="4" tint="9.9978637043366805E-2"/>
    <pageSetUpPr fitToPage="1"/>
  </sheetPr>
  <dimension ref="B2:S49"/>
  <sheetViews>
    <sheetView showGridLines="0" view="pageBreakPreview" topLeftCell="A32" zoomScale="70" zoomScaleNormal="70" zoomScaleSheetLayoutView="70" workbookViewId="0">
      <selection activeCell="K45" sqref="K45"/>
    </sheetView>
  </sheetViews>
  <sheetFormatPr defaultColWidth="9.1796875" defaultRowHeight="12.5" outlineLevelRow="1" outlineLevelCol="1"/>
  <cols>
    <col min="1" max="1" width="1.7265625" style="7" customWidth="1"/>
    <col min="2" max="2" width="34.7265625" style="7" customWidth="1"/>
    <col min="3" max="4" width="18.7265625" style="7" customWidth="1"/>
    <col min="5" max="6" width="22.7265625" style="7" hidden="1" customWidth="1" outlineLevel="1"/>
    <col min="7" max="7" width="18.7265625" style="7" customWidth="1" collapsed="1"/>
    <col min="8" max="12" width="18.7265625" style="7" customWidth="1"/>
    <col min="13" max="13" width="32.7265625" style="7" customWidth="1"/>
    <col min="14" max="14" width="14.26953125" style="7" customWidth="1"/>
    <col min="15" max="15" width="9.1796875" style="7"/>
    <col min="16" max="19" width="9.1796875" style="7" hidden="1" customWidth="1"/>
    <col min="20" max="20" width="0" style="7" hidden="1" customWidth="1"/>
    <col min="21" max="16384" width="9.1796875" style="7"/>
  </cols>
  <sheetData>
    <row r="2" spans="2:19">
      <c r="B2" s="1667"/>
      <c r="C2" s="1667"/>
      <c r="D2" s="1667"/>
      <c r="E2" s="1667"/>
      <c r="F2" s="1667"/>
      <c r="G2" s="1667"/>
      <c r="H2" s="1667"/>
      <c r="I2" s="1667"/>
      <c r="J2" s="1667"/>
      <c r="K2" s="1667"/>
      <c r="L2" s="1667"/>
      <c r="M2" s="1667"/>
    </row>
    <row r="3" spans="2:19" s="1" customFormat="1" ht="28">
      <c r="B3" s="2009" t="str">
        <f>'Inputs and Assumptions'!property_name</f>
        <v>The Winchester</v>
      </c>
      <c r="C3" s="2009"/>
      <c r="D3" s="2009"/>
      <c r="E3" s="2009"/>
      <c r="F3" s="2009"/>
      <c r="G3" s="2009"/>
      <c r="H3" s="1664"/>
      <c r="I3" s="1664"/>
      <c r="J3" s="1664"/>
      <c r="K3" s="1664"/>
      <c r="L3" s="1664"/>
      <c r="M3" s="1664"/>
      <c r="N3" s="179"/>
    </row>
    <row r="4" spans="2:19" s="1" customFormat="1" ht="18.75" customHeight="1">
      <c r="B4" s="2010" t="str">
        <f>'Inputs and Assumptions'!D7</f>
        <v>4450 Friends Xing NE, Huntsville, AL</v>
      </c>
      <c r="C4" s="2010" t="str">
        <f>'Inputs and Assumptions'!D6</f>
        <v>The Winchester</v>
      </c>
      <c r="D4" s="2010">
        <f>'Inputs and Assumptions'!E6</f>
        <v>0</v>
      </c>
      <c r="E4" s="2010" t="str">
        <f>'Inputs and Assumptions'!F6</f>
        <v>GP Equity</v>
      </c>
      <c r="F4" s="2010">
        <f>'Inputs and Assumptions'!G6</f>
        <v>0</v>
      </c>
      <c r="G4" s="2010">
        <f ca="1">'Inputs and Assumptions'!H6</f>
        <v>0</v>
      </c>
      <c r="H4" s="1664"/>
      <c r="I4" s="1664"/>
      <c r="J4" s="1664"/>
      <c r="K4" s="1664"/>
      <c r="L4" s="1664"/>
      <c r="M4" s="1664"/>
      <c r="N4" s="179"/>
    </row>
    <row r="5" spans="2:19" s="1" customFormat="1" ht="18.75" customHeight="1">
      <c r="B5" s="2011" t="str">
        <f>'Rent Roll Analysis'!$E$41&amp;" Units"</f>
        <v>264 Units</v>
      </c>
      <c r="C5" s="2011" t="str">
        <f>'Rent Roll Analysis'!$E$41&amp;" Units"</f>
        <v>264 Units</v>
      </c>
      <c r="D5" s="2011" t="str">
        <f>'Rent Roll Analysis'!$E$41&amp;" Units"</f>
        <v>264 Units</v>
      </c>
      <c r="E5" s="2011" t="str">
        <f>'Rent Roll Analysis'!$E$41&amp;" Units"</f>
        <v>264 Units</v>
      </c>
      <c r="F5" s="2011" t="str">
        <f>'Rent Roll Analysis'!$E$41&amp;" Units"</f>
        <v>264 Units</v>
      </c>
      <c r="G5" s="2011" t="str">
        <f>'Rent Roll Analysis'!$E$41&amp;" Units"</f>
        <v>264 Units</v>
      </c>
      <c r="H5" s="1664"/>
      <c r="I5" s="1664"/>
      <c r="J5" s="1664"/>
      <c r="K5" s="1664"/>
      <c r="L5" s="1664"/>
      <c r="M5" s="1664"/>
      <c r="N5" s="179"/>
    </row>
    <row r="6" spans="2:19" s="1" customFormat="1" ht="17.25" customHeight="1">
      <c r="B6" s="2012" t="s">
        <v>616</v>
      </c>
      <c r="C6" s="2012"/>
      <c r="D6" s="2012"/>
      <c r="E6" s="2012"/>
      <c r="F6" s="2012"/>
      <c r="G6" s="2012"/>
      <c r="H6" s="1665"/>
      <c r="I6" s="1665"/>
      <c r="J6" s="1665"/>
      <c r="K6" s="1665"/>
      <c r="L6" s="1665"/>
      <c r="M6" s="1666"/>
      <c r="N6" s="179"/>
    </row>
    <row r="7" spans="2:19" s="1" customFormat="1" ht="17.25" customHeight="1">
      <c r="B7" s="1663"/>
      <c r="C7" s="1663"/>
      <c r="D7" s="1663"/>
      <c r="E7" s="1663"/>
      <c r="F7" s="1663"/>
      <c r="G7" s="1663"/>
      <c r="H7" s="1665"/>
      <c r="I7" s="1665"/>
      <c r="J7" s="1665"/>
      <c r="K7" s="1665"/>
      <c r="L7" s="1665"/>
      <c r="M7" s="1666"/>
      <c r="N7" s="179"/>
    </row>
    <row r="8" spans="2:19" s="2" customFormat="1" ht="9" customHeight="1">
      <c r="B8" s="183"/>
      <c r="C8" s="184"/>
      <c r="D8" s="184"/>
      <c r="E8" s="184"/>
      <c r="F8" s="184"/>
      <c r="G8" s="184"/>
      <c r="H8" s="184"/>
      <c r="I8" s="184"/>
      <c r="J8" s="184"/>
      <c r="K8" s="184"/>
      <c r="L8" s="184"/>
      <c r="M8" s="185"/>
      <c r="N8" s="186"/>
    </row>
    <row r="9" spans="2:19" s="3" customFormat="1" ht="38.25" customHeight="1">
      <c r="B9" s="1628" t="s">
        <v>598</v>
      </c>
      <c r="C9" s="2013">
        <f>'T12'!M6</f>
        <v>45992</v>
      </c>
      <c r="D9" s="2013"/>
      <c r="E9" s="2008" t="s">
        <v>621</v>
      </c>
      <c r="F9" s="2008"/>
      <c r="G9" s="2008" t="s">
        <v>622</v>
      </c>
      <c r="H9" s="2008"/>
      <c r="I9" s="2008" t="s">
        <v>623</v>
      </c>
      <c r="J9" s="2008"/>
      <c r="K9" s="2008" t="s">
        <v>627</v>
      </c>
      <c r="L9" s="2008"/>
      <c r="M9" s="1628" t="s">
        <v>629</v>
      </c>
      <c r="N9" s="190"/>
    </row>
    <row r="10" spans="2:19" s="1668" customFormat="1" ht="22" customHeight="1">
      <c r="B10" s="1629"/>
      <c r="C10" s="1630" t="s">
        <v>1062</v>
      </c>
      <c r="D10" s="1631" t="s">
        <v>1063</v>
      </c>
      <c r="E10" s="1632" t="s">
        <v>1062</v>
      </c>
      <c r="F10" s="1631" t="s">
        <v>1063</v>
      </c>
      <c r="G10" s="1632" t="s">
        <v>1062</v>
      </c>
      <c r="H10" s="1631" t="s">
        <v>1063</v>
      </c>
      <c r="I10" s="1632" t="s">
        <v>1062</v>
      </c>
      <c r="J10" s="1650" t="s">
        <v>1063</v>
      </c>
      <c r="K10" s="1632" t="s">
        <v>1062</v>
      </c>
      <c r="L10" s="1631" t="s">
        <v>1063</v>
      </c>
      <c r="M10" s="1633"/>
      <c r="N10" s="1669"/>
    </row>
    <row r="11" spans="2:19" s="87" customFormat="1" ht="22" customHeight="1">
      <c r="B11" s="1634" t="s">
        <v>601</v>
      </c>
      <c r="C11" s="1634"/>
      <c r="D11" s="1635"/>
      <c r="E11" s="1634"/>
      <c r="F11" s="1635"/>
      <c r="G11" s="1634"/>
      <c r="H11" s="1635"/>
      <c r="I11" s="197"/>
      <c r="J11" s="1635"/>
      <c r="K11" s="1634"/>
      <c r="L11" s="1635"/>
      <c r="M11" s="1636"/>
      <c r="N11" s="1670"/>
      <c r="Q11" s="87" t="s">
        <v>634</v>
      </c>
    </row>
    <row r="12" spans="2:19" s="86" customFormat="1" ht="22" customHeight="1">
      <c r="B12" s="1637" t="s">
        <v>635</v>
      </c>
      <c r="C12" s="204">
        <f>'T12'!U9</f>
        <v>4204998</v>
      </c>
      <c r="D12" s="205">
        <f>C12/units/12</f>
        <v>1327.3352272727273</v>
      </c>
      <c r="E12" s="204">
        <f>'T12'!W9</f>
        <v>4280472</v>
      </c>
      <c r="F12" s="205">
        <f>E12/units/12</f>
        <v>1351.1590909090908</v>
      </c>
      <c r="G12" s="204">
        <f>'T12'!Y9</f>
        <v>4372656</v>
      </c>
      <c r="H12" s="205">
        <f>G12/units/12</f>
        <v>1380.2575757575758</v>
      </c>
      <c r="I12" s="204">
        <f>'T12'!AC9</f>
        <v>4481568</v>
      </c>
      <c r="J12" s="205">
        <f>I12/units/12</f>
        <v>1414.6363636363637</v>
      </c>
      <c r="K12" s="204">
        <f>'RRT Summary (Paste)'!$D$1003</f>
        <v>4150512</v>
      </c>
      <c r="L12" s="205">
        <f>K12/units/12</f>
        <v>1310.1363636363637</v>
      </c>
      <c r="M12" s="1697" t="str">
        <f>'Debt Sizing'!X8</f>
        <v>Current Rent Roll</v>
      </c>
      <c r="N12" s="1671"/>
      <c r="Q12" s="86" t="s">
        <v>638</v>
      </c>
      <c r="S12" s="1672" t="s">
        <v>636</v>
      </c>
    </row>
    <row r="13" spans="2:19" s="86" customFormat="1" ht="22" customHeight="1">
      <c r="B13" s="1637" t="s">
        <v>561</v>
      </c>
      <c r="C13" s="204">
        <f>'T12'!U11</f>
        <v>-799229.20000000019</v>
      </c>
      <c r="D13" s="207">
        <f>-C13/C12</f>
        <v>0.19006648754648639</v>
      </c>
      <c r="E13" s="204">
        <f>'T12'!W11</f>
        <v>-214970.42</v>
      </c>
      <c r="F13" s="207">
        <f>-E13/E12</f>
        <v>5.0221195232675278E-2</v>
      </c>
      <c r="G13" s="204">
        <f>'T12'!Y11</f>
        <v>-110921.31999999999</v>
      </c>
      <c r="H13" s="207">
        <f>-G13/G12</f>
        <v>2.5367035504279319E-2</v>
      </c>
      <c r="I13" s="204">
        <f>'T12'!AC11</f>
        <v>-46803.840000000004</v>
      </c>
      <c r="J13" s="207">
        <f>-I13/I12</f>
        <v>1.0443630443630444E-2</v>
      </c>
      <c r="K13" s="204">
        <f>-K12*L13</f>
        <v>-207525.6</v>
      </c>
      <c r="L13" s="207">
        <f>IF('RRT Summary (Paste)'!$A$1004&lt;=0.05, 0.05, 'RRT Summary (Paste)'!$A$1004)</f>
        <v>0.05</v>
      </c>
      <c r="M13" s="1697" t="str">
        <f>'Debt Sizing'!X10</f>
        <v>Minimum Vacancy 5%</v>
      </c>
      <c r="N13" s="1671"/>
      <c r="Q13" s="86" t="s">
        <v>641</v>
      </c>
      <c r="S13" s="1672" t="s">
        <v>642</v>
      </c>
    </row>
    <row r="14" spans="2:19" s="86" customFormat="1" ht="22" customHeight="1">
      <c r="B14" s="1637" t="s">
        <v>643</v>
      </c>
      <c r="C14" s="204">
        <f>'T12'!U12</f>
        <v>-385795.18</v>
      </c>
      <c r="D14" s="208">
        <f>C14/$C$12*-1</f>
        <v>9.1746816526428784E-2</v>
      </c>
      <c r="E14" s="204">
        <f>'T12'!W12</f>
        <v>-472789.04000000004</v>
      </c>
      <c r="F14" s="208">
        <f>E14/$E$12*-1</f>
        <v>0.11045254822365384</v>
      </c>
      <c r="G14" s="204">
        <f>'T12'!Y12</f>
        <v>-216876</v>
      </c>
      <c r="H14" s="208">
        <f>G14/$G$12*-1</f>
        <v>4.9598230457644048E-2</v>
      </c>
      <c r="I14" s="204">
        <f>'T12'!AC12</f>
        <v>-180462</v>
      </c>
      <c r="J14" s="208">
        <f>I14/$G$12*-1</f>
        <v>4.1270568734425944E-2</v>
      </c>
      <c r="K14" s="204">
        <f t="array" ref="K14">INDEX('T12'!$U$9:$AE$38,MATCH('Clean UW'!$B14,'T12'!$T$9:$T$38,0),MATCH('Clean UW'!$M14,'T12'!$U$7:$AE$7,0))</f>
        <v>-385795.18</v>
      </c>
      <c r="L14" s="207">
        <f>K14/-$K$12</f>
        <v>9.2951226258350769E-2</v>
      </c>
      <c r="M14" s="1698" t="str">
        <f>'Debt Sizing'!X11</f>
        <v>T12</v>
      </c>
      <c r="N14" s="1673"/>
      <c r="Q14" s="86" t="s">
        <v>644</v>
      </c>
    </row>
    <row r="15" spans="2:19" s="86" customFormat="1" ht="22" hidden="1" customHeight="1" outlineLevel="1">
      <c r="B15" s="1637" t="s">
        <v>645</v>
      </c>
      <c r="C15" s="204">
        <f>'T12'!U13</f>
        <v>-36838.389999999992</v>
      </c>
      <c r="D15" s="208">
        <f t="shared" ref="D15:D16" si="0">C15/$C$12*-1</f>
        <v>8.7606201001760274E-3</v>
      </c>
      <c r="E15" s="204">
        <f>'T12'!W13</f>
        <v>-37430.9</v>
      </c>
      <c r="F15" s="208">
        <f t="shared" ref="F15:F16" si="1">E15/$E$12*-1</f>
        <v>8.7445730283950002E-3</v>
      </c>
      <c r="G15" s="204">
        <f>'T12'!Y13</f>
        <v>-37925</v>
      </c>
      <c r="H15" s="208">
        <f t="shared" ref="H15:J16" si="2">G15/$G$12*-1</f>
        <v>8.6732182911255767E-3</v>
      </c>
      <c r="I15" s="204">
        <f>'T12'!AC13</f>
        <v>-38821.199999999997</v>
      </c>
      <c r="J15" s="208">
        <f t="shared" si="2"/>
        <v>8.8781738147249625E-3</v>
      </c>
      <c r="K15" s="204">
        <f t="array" ref="K15">INDEX('T12'!$U$9:$AE$38,MATCH('Clean UW'!$B15,'T12'!$T$9:$T$38,0),MATCH('Clean UW'!$M15,'T12'!$U$7:$AE$7,0))</f>
        <v>-36838.389999999992</v>
      </c>
      <c r="L15" s="208">
        <f t="shared" ref="L15:L16" si="3">K15/-$K$12</f>
        <v>8.8756254650028694E-3</v>
      </c>
      <c r="M15" s="1698" t="str">
        <f>'Debt Sizing'!X12</f>
        <v>T12</v>
      </c>
      <c r="N15" s="1674"/>
      <c r="Q15" s="86" t="s">
        <v>646</v>
      </c>
    </row>
    <row r="16" spans="2:19" s="86" customFormat="1" ht="22" customHeight="1" collapsed="1">
      <c r="B16" s="1638" t="s">
        <v>647</v>
      </c>
      <c r="C16" s="204">
        <f>'T12'!U14</f>
        <v>-128985.43</v>
      </c>
      <c r="D16" s="208">
        <f t="shared" si="0"/>
        <v>3.0674314232729715E-2</v>
      </c>
      <c r="E16" s="204">
        <f>'T12'!W14</f>
        <v>-133594.12</v>
      </c>
      <c r="F16" s="208">
        <f t="shared" si="1"/>
        <v>3.1210137573613374E-2</v>
      </c>
      <c r="G16" s="204">
        <f>'T12'!Y14</f>
        <v>-172668.32</v>
      </c>
      <c r="H16" s="208">
        <f t="shared" si="2"/>
        <v>3.9488201221408684E-2</v>
      </c>
      <c r="I16" s="204">
        <f>'T12'!AC14</f>
        <v>-204205.08000000002</v>
      </c>
      <c r="J16" s="208">
        <f t="shared" si="2"/>
        <v>4.6700467633401764E-2</v>
      </c>
      <c r="K16" s="204">
        <f>INDEX('T12'!$U$9:$AE$38,MATCH('Clean UW'!$B16,'T12'!$T$9:$T$38,0),MATCH('Clean UW'!$M16,'T12'!$U$7:$AE$7,0))</f>
        <v>-128985.43</v>
      </c>
      <c r="L16" s="208">
        <f t="shared" si="3"/>
        <v>3.1076992428885879E-2</v>
      </c>
      <c r="M16" s="1698" t="str">
        <f>'Debt Sizing'!X13</f>
        <v>T12</v>
      </c>
      <c r="N16" s="1675"/>
      <c r="Q16" s="86" t="s">
        <v>648</v>
      </c>
    </row>
    <row r="17" spans="2:17" s="87" customFormat="1" ht="22" customHeight="1">
      <c r="B17" s="1639" t="s">
        <v>605</v>
      </c>
      <c r="C17" s="1640">
        <f>SUM(C12:C16)</f>
        <v>2854149.7999999993</v>
      </c>
      <c r="D17" s="1641">
        <f>SUM(D13:D16)</f>
        <v>0.3212482384058209</v>
      </c>
      <c r="E17" s="1640">
        <f>SUM(E12:E16)</f>
        <v>3421687.52</v>
      </c>
      <c r="F17" s="1641">
        <f>SUM(F13:F16)</f>
        <v>0.20062845405833749</v>
      </c>
      <c r="G17" s="1640">
        <f>SUM(G12:G16)</f>
        <v>3834265.36</v>
      </c>
      <c r="H17" s="1641">
        <f>SUM(H13:H16)</f>
        <v>0.12312668547445763</v>
      </c>
      <c r="I17" s="1640">
        <f>SUM(I11:I16)</f>
        <v>4011275.88</v>
      </c>
      <c r="J17" s="1641">
        <f>SUM(J13:J16)</f>
        <v>0.10729284062618312</v>
      </c>
      <c r="K17" s="1640">
        <f>SUM(K12:K16)</f>
        <v>3391367.3999999994</v>
      </c>
      <c r="L17" s="1641">
        <f>SUM(L13:L16)</f>
        <v>0.18290384415223951</v>
      </c>
      <c r="M17" s="1699"/>
      <c r="N17" s="1670"/>
      <c r="Q17" s="87" t="s">
        <v>649</v>
      </c>
    </row>
    <row r="18" spans="2:17" s="86" customFormat="1" ht="22" customHeight="1">
      <c r="B18" s="1642" t="s">
        <v>606</v>
      </c>
      <c r="C18" s="215">
        <f>C17/12</f>
        <v>237845.81666666662</v>
      </c>
      <c r="D18" s="216"/>
      <c r="E18" s="215">
        <f>E17/12</f>
        <v>285140.62666666665</v>
      </c>
      <c r="F18" s="216"/>
      <c r="G18" s="215">
        <f>G17/12</f>
        <v>319522.11333333334</v>
      </c>
      <c r="H18" s="216"/>
      <c r="I18" s="215">
        <f>I17/12</f>
        <v>334272.99</v>
      </c>
      <c r="J18" s="216"/>
      <c r="K18" s="215">
        <f>K17/12</f>
        <v>282613.94999999995</v>
      </c>
      <c r="L18" s="216"/>
      <c r="M18" s="1700"/>
      <c r="N18" s="1676"/>
    </row>
    <row r="19" spans="2:17" s="86" customFormat="1" ht="22" customHeight="1">
      <c r="B19" s="1642"/>
      <c r="C19" s="1643"/>
      <c r="D19" s="218"/>
      <c r="E19" s="1643"/>
      <c r="F19" s="218"/>
      <c r="G19" s="1643"/>
      <c r="H19" s="218"/>
      <c r="I19" s="1643"/>
      <c r="J19" s="218"/>
      <c r="K19" s="1643"/>
      <c r="L19" s="218"/>
      <c r="M19" s="1701"/>
    </row>
    <row r="20" spans="2:17" s="86" customFormat="1" ht="22" hidden="1" customHeight="1" outlineLevel="1">
      <c r="B20" s="1637" t="s">
        <v>651</v>
      </c>
      <c r="C20" s="204">
        <f>'T12'!U18</f>
        <v>0</v>
      </c>
      <c r="D20" s="205">
        <f>C20/units/12</f>
        <v>0</v>
      </c>
      <c r="E20" s="204">
        <f>'T12'!W18</f>
        <v>0</v>
      </c>
      <c r="F20" s="205">
        <f>E20/units/12</f>
        <v>0</v>
      </c>
      <c r="G20" s="204">
        <f>'T12'!Y18</f>
        <v>0</v>
      </c>
      <c r="H20" s="205">
        <f>G20/units/12</f>
        <v>0</v>
      </c>
      <c r="I20" s="204">
        <f>'T12'!AC18</f>
        <v>0</v>
      </c>
      <c r="J20" s="205">
        <f>I20/units/12</f>
        <v>0</v>
      </c>
      <c r="K20" s="204">
        <f t="array" ref="K20">INDEX('T12'!$U$9:$AE$38,MATCH('Clean UW'!$B20,'T12'!$T$9:$T$38,0),MATCH('Clean UW'!$M20,'T12'!$U$7:$AE$7,0))</f>
        <v>0</v>
      </c>
      <c r="L20" s="205">
        <f>K20/units/12</f>
        <v>0</v>
      </c>
      <c r="M20" s="1698" t="str">
        <f>'Debt Sizing'!X17</f>
        <v>T12</v>
      </c>
      <c r="N20" s="1671"/>
    </row>
    <row r="21" spans="2:17" s="86" customFormat="1" ht="22" customHeight="1" collapsed="1">
      <c r="B21" s="1637" t="s">
        <v>652</v>
      </c>
      <c r="C21" s="204">
        <f>'T12'!U19</f>
        <v>393202.91999999993</v>
      </c>
      <c r="D21" s="205">
        <f>C21/units/12</f>
        <v>124.11708333333331</v>
      </c>
      <c r="E21" s="204">
        <f>'T12'!W19</f>
        <v>468875.18</v>
      </c>
      <c r="F21" s="205">
        <f>E21/units/12</f>
        <v>148.00352904040403</v>
      </c>
      <c r="G21" s="204">
        <f>'T12'!Y19</f>
        <v>483928.20000000013</v>
      </c>
      <c r="H21" s="205">
        <f>G21/units/12</f>
        <v>152.75511363636369</v>
      </c>
      <c r="I21" s="204">
        <f>'T12'!AC19</f>
        <v>492468.83999999997</v>
      </c>
      <c r="J21" s="205">
        <f>I21/units/12</f>
        <v>155.45102272727271</v>
      </c>
      <c r="K21" s="204">
        <f t="array" ref="K21">INDEX('T12'!$U$9:$AE$38,MATCH('Clean UW'!$B21,'T12'!$T$9:$T$38,0),MATCH('Clean UW'!$M21,'T12'!$U$7:$AE$7,0))</f>
        <v>393202.91999999993</v>
      </c>
      <c r="L21" s="205">
        <f>K21/units/12</f>
        <v>124.11708333333331</v>
      </c>
      <c r="M21" s="1698" t="str">
        <f>'Debt Sizing'!X18</f>
        <v>T12</v>
      </c>
      <c r="N21" s="1677"/>
    </row>
    <row r="22" spans="2:17" s="86" customFormat="1" ht="22" customHeight="1">
      <c r="B22" s="1637" t="s">
        <v>653</v>
      </c>
      <c r="C22" s="204">
        <f>'T12'!U20</f>
        <v>264257.02999999985</v>
      </c>
      <c r="D22" s="205">
        <f>C22/units/12</f>
        <v>83.414466540403993</v>
      </c>
      <c r="E22" s="204">
        <f>'T12'!W20</f>
        <v>223363.96000000008</v>
      </c>
      <c r="F22" s="205">
        <f>E22/units/12</f>
        <v>70.506300505050532</v>
      </c>
      <c r="G22" s="204">
        <f>'T12'!Y20</f>
        <v>227038.44000000003</v>
      </c>
      <c r="H22" s="205">
        <f>G22/units/12</f>
        <v>71.666174242424248</v>
      </c>
      <c r="I22" s="204">
        <f>'T12'!AC20</f>
        <v>217360.68</v>
      </c>
      <c r="J22" s="205">
        <f>I22/units/12</f>
        <v>68.611325757575756</v>
      </c>
      <c r="K22" s="204">
        <f t="array" ref="K22">INDEX('T12'!$U$9:$AE$38,MATCH('Clean UW'!$B22,'T12'!$T$9:$T$38,0),MATCH('Clean UW'!$M22,'T12'!$U$7:$AE$7,0))</f>
        <v>264257.02999999985</v>
      </c>
      <c r="L22" s="205">
        <f>K22/units/12</f>
        <v>83.414466540403993</v>
      </c>
      <c r="M22" s="1698" t="str">
        <f>'Debt Sizing'!X19</f>
        <v>T12</v>
      </c>
      <c r="N22" s="1671"/>
    </row>
    <row r="23" spans="2:17" s="86" customFormat="1" ht="22" customHeight="1">
      <c r="B23" s="780" t="s">
        <v>608</v>
      </c>
      <c r="C23" s="220">
        <f>SUM(C20:C22)</f>
        <v>657459.94999999972</v>
      </c>
      <c r="D23" s="1644">
        <f>C23/units/12</f>
        <v>207.53154987373728</v>
      </c>
      <c r="E23" s="220">
        <f>SUM(E20:E22)</f>
        <v>692239.14000000013</v>
      </c>
      <c r="F23" s="1644">
        <f>E23/units/12</f>
        <v>218.50982954545461</v>
      </c>
      <c r="G23" s="220">
        <f>SUM(G20:G22)</f>
        <v>710966.64000000013</v>
      </c>
      <c r="H23" s="1644">
        <f>G23/units/12</f>
        <v>224.42128787878792</v>
      </c>
      <c r="I23" s="220">
        <f>SUM(I20:I22)</f>
        <v>709829.52</v>
      </c>
      <c r="J23" s="1644">
        <f>I23/units/12</f>
        <v>224.06234848484848</v>
      </c>
      <c r="K23" s="220">
        <f>SUM(K20:K22)</f>
        <v>657459.94999999972</v>
      </c>
      <c r="L23" s="1644">
        <f>K23/units/12</f>
        <v>207.53154987373728</v>
      </c>
      <c r="M23" s="1698"/>
      <c r="N23" s="1671"/>
    </row>
    <row r="24" spans="2:17" s="87" customFormat="1" ht="22" customHeight="1">
      <c r="B24" s="1645" t="s">
        <v>609</v>
      </c>
      <c r="C24" s="1640">
        <f>C23+C17</f>
        <v>3511609.7499999991</v>
      </c>
      <c r="D24" s="1646">
        <f>C24/units/12</f>
        <v>1108.4626736111109</v>
      </c>
      <c r="E24" s="1640">
        <f>E23+E17</f>
        <v>4113926.66</v>
      </c>
      <c r="F24" s="1646">
        <f>E24/units/12</f>
        <v>1298.5879608585858</v>
      </c>
      <c r="G24" s="1640">
        <f>G23+G17</f>
        <v>4545232</v>
      </c>
      <c r="H24" s="1646">
        <f>G24/units/12</f>
        <v>1434.7323232323233</v>
      </c>
      <c r="I24" s="1640">
        <f>I23+I17</f>
        <v>4721105.4000000004</v>
      </c>
      <c r="J24" s="1646">
        <f>I24/units/12</f>
        <v>1490.2479166666669</v>
      </c>
      <c r="K24" s="1640">
        <f>K23+K17</f>
        <v>4048827.3499999992</v>
      </c>
      <c r="L24" s="1646">
        <f>K24/units/12</f>
        <v>1278.0389362373735</v>
      </c>
      <c r="M24" s="1702"/>
      <c r="N24" s="1678"/>
      <c r="Q24" s="224" t="s">
        <v>640</v>
      </c>
    </row>
    <row r="25" spans="2:17" s="86" customFormat="1" ht="22" customHeight="1">
      <c r="B25" s="1647"/>
      <c r="C25" s="215"/>
      <c r="D25" s="228"/>
      <c r="E25" s="215"/>
      <c r="F25" s="228"/>
      <c r="G25" s="215"/>
      <c r="H25" s="228"/>
      <c r="I25" s="215"/>
      <c r="J25" s="228"/>
      <c r="K25" s="215"/>
      <c r="L25" s="228"/>
      <c r="M25" s="1697"/>
      <c r="N25" s="1671"/>
      <c r="Q25" s="224" t="s">
        <v>621</v>
      </c>
    </row>
    <row r="26" spans="2:17" s="86" customFormat="1" ht="22" customHeight="1">
      <c r="B26" s="1648"/>
      <c r="C26" s="1649" t="s">
        <v>1062</v>
      </c>
      <c r="D26" s="1650" t="s">
        <v>79</v>
      </c>
      <c r="E26" s="1651" t="s">
        <v>1062</v>
      </c>
      <c r="F26" s="1650" t="s">
        <v>79</v>
      </c>
      <c r="G26" s="1651" t="s">
        <v>1062</v>
      </c>
      <c r="H26" s="1650" t="s">
        <v>79</v>
      </c>
      <c r="I26" s="1651" t="s">
        <v>1062</v>
      </c>
      <c r="J26" s="1650" t="s">
        <v>79</v>
      </c>
      <c r="K26" s="1651" t="s">
        <v>1062</v>
      </c>
      <c r="L26" s="1650" t="s">
        <v>79</v>
      </c>
      <c r="M26" s="1697"/>
      <c r="N26" s="1671"/>
      <c r="Q26" s="224"/>
    </row>
    <row r="27" spans="2:17" s="87" customFormat="1" ht="22" customHeight="1">
      <c r="B27" s="1634" t="s">
        <v>610</v>
      </c>
      <c r="C27" s="1216"/>
      <c r="D27" s="1652"/>
      <c r="E27" s="1216"/>
      <c r="F27" s="1652"/>
      <c r="G27" s="1216"/>
      <c r="H27" s="1652"/>
      <c r="I27" s="1216"/>
      <c r="J27" s="1652"/>
      <c r="K27" s="1216"/>
      <c r="L27" s="1652"/>
      <c r="M27" s="1697"/>
      <c r="N27" s="1670"/>
      <c r="Q27" s="224" t="s">
        <v>622</v>
      </c>
    </row>
    <row r="28" spans="2:17" s="86" customFormat="1" ht="22" customHeight="1">
      <c r="B28" s="1637" t="s">
        <v>654</v>
      </c>
      <c r="C28" s="204">
        <f>'T12'!U25</f>
        <v>77136.06</v>
      </c>
      <c r="D28" s="205">
        <f t="shared" ref="D28:J37" si="4">C28/units</f>
        <v>292.18204545454546</v>
      </c>
      <c r="E28" s="204">
        <f>'T12'!W25</f>
        <v>89586.079999999987</v>
      </c>
      <c r="F28" s="205">
        <f t="shared" ref="F28:J35" si="5">E28/units</f>
        <v>339.3412121212121</v>
      </c>
      <c r="G28" s="204">
        <f>'T12'!Y25</f>
        <v>78097.760000000009</v>
      </c>
      <c r="H28" s="205">
        <f t="shared" ref="H28:J34" si="6">G28/units</f>
        <v>295.82484848484853</v>
      </c>
      <c r="I28" s="204">
        <f>'T12'!AC25</f>
        <v>64712.160000000003</v>
      </c>
      <c r="J28" s="205">
        <f t="shared" si="6"/>
        <v>245.12181818181818</v>
      </c>
      <c r="K28" s="204">
        <f t="array" ref="K28">INDEX('T12'!$U$9:$AE$38,MATCH('Clean UW'!$B28,'T12'!$T$9:$T$38,0),MATCH('Clean UW'!$M28,'T12'!$U$7:$AE$7,0))</f>
        <v>73920</v>
      </c>
      <c r="L28" s="205">
        <f t="shared" ref="L28:L35" si="7">K28/units</f>
        <v>280</v>
      </c>
      <c r="M28" s="1698" t="str">
        <f>'Debt Sizing'!X24</f>
        <v>Pro Forma</v>
      </c>
      <c r="N28" s="1671"/>
      <c r="Q28" s="224" t="s">
        <v>632</v>
      </c>
    </row>
    <row r="29" spans="2:17" s="86" customFormat="1" ht="22" customHeight="1">
      <c r="B29" s="1637" t="s">
        <v>656</v>
      </c>
      <c r="C29" s="204">
        <f>'T12'!U26</f>
        <v>45632.900000000009</v>
      </c>
      <c r="D29" s="205">
        <f t="shared" si="4"/>
        <v>172.85189393939396</v>
      </c>
      <c r="E29" s="204">
        <f>'T12'!W26</f>
        <v>46394.01999999999</v>
      </c>
      <c r="F29" s="205">
        <f t="shared" si="5"/>
        <v>175.7349242424242</v>
      </c>
      <c r="G29" s="204">
        <f>'T12'!Y26</f>
        <v>36036.560000000005</v>
      </c>
      <c r="H29" s="205">
        <f t="shared" si="6"/>
        <v>136.50212121212124</v>
      </c>
      <c r="I29" s="204">
        <f>'T12'!AC26</f>
        <v>37199.279999999999</v>
      </c>
      <c r="J29" s="205">
        <f t="shared" si="6"/>
        <v>140.90636363636364</v>
      </c>
      <c r="K29" s="204">
        <f t="array" ref="K29">INDEX('T12'!$U$9:$AE$38,MATCH('Clean UW'!$B29,'T12'!$T$9:$T$38,0),MATCH('Clean UW'!$M29,'T12'!$U$7:$AE$7,0))</f>
        <v>46728</v>
      </c>
      <c r="L29" s="205">
        <f t="shared" si="7"/>
        <v>177</v>
      </c>
      <c r="M29" s="1698" t="str">
        <f>'Debt Sizing'!X25</f>
        <v>Pro Forma</v>
      </c>
      <c r="N29" s="1671"/>
      <c r="Q29" s="224" t="s">
        <v>623</v>
      </c>
    </row>
    <row r="30" spans="2:17" s="86" customFormat="1" ht="22" customHeight="1" outlineLevel="1">
      <c r="B30" s="1637" t="s">
        <v>657</v>
      </c>
      <c r="C30" s="204">
        <f>'T12'!U27</f>
        <v>69162.34</v>
      </c>
      <c r="D30" s="205">
        <f t="shared" si="4"/>
        <v>261.97856060606057</v>
      </c>
      <c r="E30" s="204">
        <f>'T12'!W27</f>
        <v>68653.160000000033</v>
      </c>
      <c r="F30" s="205">
        <f t="shared" si="5"/>
        <v>260.04984848484861</v>
      </c>
      <c r="G30" s="204">
        <f>'T12'!Y27</f>
        <v>37509.839999999997</v>
      </c>
      <c r="H30" s="205">
        <f t="shared" si="6"/>
        <v>142.08272727272725</v>
      </c>
      <c r="I30" s="204">
        <f>'T12'!AC27</f>
        <v>43039.68</v>
      </c>
      <c r="J30" s="205">
        <f t="shared" si="6"/>
        <v>163.02909090909091</v>
      </c>
      <c r="K30" s="204">
        <f t="array" ref="K30">INDEX('T12'!$U$9:$AE$38,MATCH('Clean UW'!$B30,'T12'!$T$9:$T$38,0),MATCH('Clean UW'!$M30,'T12'!$U$7:$AE$7,0))</f>
        <v>82896</v>
      </c>
      <c r="L30" s="205">
        <f t="shared" si="7"/>
        <v>314</v>
      </c>
      <c r="M30" s="1698" t="str">
        <f>'Debt Sizing'!X26</f>
        <v>Pro Forma</v>
      </c>
      <c r="N30" s="1671"/>
      <c r="Q30" s="224" t="s">
        <v>655</v>
      </c>
    </row>
    <row r="31" spans="2:17" s="87" customFormat="1" ht="22" customHeight="1">
      <c r="B31" s="1637" t="s">
        <v>658</v>
      </c>
      <c r="C31" s="204">
        <f>'T12'!U28</f>
        <v>493485.87000000029</v>
      </c>
      <c r="D31" s="205">
        <f t="shared" si="4"/>
        <v>1869.2646590909101</v>
      </c>
      <c r="E31" s="204">
        <f>'T12'!W28</f>
        <v>513711.10000000015</v>
      </c>
      <c r="F31" s="205">
        <f t="shared" si="5"/>
        <v>1945.8753787878793</v>
      </c>
      <c r="G31" s="204">
        <f>'T12'!Y28</f>
        <v>514473.6399999999</v>
      </c>
      <c r="H31" s="205">
        <f t="shared" si="6"/>
        <v>1948.7637878787875</v>
      </c>
      <c r="I31" s="204">
        <f>'T12'!AC28</f>
        <v>507207.3600000001</v>
      </c>
      <c r="J31" s="205">
        <f t="shared" si="6"/>
        <v>1921.2400000000005</v>
      </c>
      <c r="K31" s="204">
        <f t="array" ref="K31">INDEX('T12'!$U$9:$AE$38,MATCH('Clean UW'!$B31,'T12'!$T$9:$T$38,0),MATCH('Clean UW'!$M31,'T12'!$U$7:$AE$7,0))</f>
        <v>537240</v>
      </c>
      <c r="L31" s="205">
        <f t="shared" si="7"/>
        <v>2035</v>
      </c>
      <c r="M31" s="1698" t="str">
        <f>'Debt Sizing'!X27</f>
        <v>Pro Forma</v>
      </c>
      <c r="N31" s="1679"/>
      <c r="Q31" s="233" t="s">
        <v>659</v>
      </c>
    </row>
    <row r="32" spans="2:17" s="86" customFormat="1" ht="22" customHeight="1">
      <c r="B32" s="1637" t="s">
        <v>660</v>
      </c>
      <c r="C32" s="204">
        <f>'T12'!U29</f>
        <v>144095.60999999996</v>
      </c>
      <c r="D32" s="205">
        <f t="shared" si="4"/>
        <v>545.8167045454544</v>
      </c>
      <c r="E32" s="204">
        <f>'T12'!W29</f>
        <v>138012.01999999996</v>
      </c>
      <c r="F32" s="205">
        <f t="shared" si="5"/>
        <v>522.77280303030284</v>
      </c>
      <c r="G32" s="204">
        <f>'T12'!Y29</f>
        <v>130984.59999999996</v>
      </c>
      <c r="H32" s="205">
        <f t="shared" si="6"/>
        <v>496.15378787878774</v>
      </c>
      <c r="I32" s="204">
        <f>'T12'!AC29</f>
        <v>118597.56000000001</v>
      </c>
      <c r="J32" s="205">
        <f t="shared" si="6"/>
        <v>449.23318181818189</v>
      </c>
      <c r="K32" s="204">
        <f t="array" ref="K32">INDEX('T12'!$U$9:$AE$38,MATCH('Clean UW'!$B32,'T12'!$T$9:$T$38,0),MATCH('Clean UW'!$M32,'T12'!$U$7:$AE$7,0))</f>
        <v>155496</v>
      </c>
      <c r="L32" s="205">
        <f t="shared" si="7"/>
        <v>589</v>
      </c>
      <c r="M32" s="1698" t="str">
        <f>'Debt Sizing'!X28</f>
        <v>Pro Forma</v>
      </c>
      <c r="N32" s="1671"/>
    </row>
    <row r="33" spans="2:14" s="86" customFormat="1" ht="22" customHeight="1">
      <c r="B33" s="1637" t="s">
        <v>661</v>
      </c>
      <c r="C33" s="204">
        <f>'T12'!U30</f>
        <v>153695.04999999999</v>
      </c>
      <c r="D33" s="205">
        <f t="shared" si="4"/>
        <v>582.17821969696968</v>
      </c>
      <c r="E33" s="204">
        <f>'T12'!W30</f>
        <v>152906.96000000002</v>
      </c>
      <c r="F33" s="205">
        <f t="shared" si="5"/>
        <v>579.19303030303035</v>
      </c>
      <c r="G33" s="204">
        <f>'T12'!Y30</f>
        <v>165003.76</v>
      </c>
      <c r="H33" s="205">
        <f t="shared" si="6"/>
        <v>625.01424242424241</v>
      </c>
      <c r="I33" s="204">
        <f>'T12'!AC30</f>
        <v>160336.19999999998</v>
      </c>
      <c r="J33" s="205">
        <f t="shared" si="6"/>
        <v>607.33409090909083</v>
      </c>
      <c r="K33" s="204">
        <f t="array" ref="K33">INDEX('T12'!$U$9:$AE$38,MATCH('Clean UW'!$B33,'T12'!$T$9:$T$38,0),MATCH('Clean UW'!$M33,'T12'!$U$7:$AE$7,0))</f>
        <v>149952</v>
      </c>
      <c r="L33" s="205">
        <f t="shared" si="7"/>
        <v>568</v>
      </c>
      <c r="M33" s="1698" t="str">
        <f>'Debt Sizing'!X29</f>
        <v>Pro Forma</v>
      </c>
      <c r="N33" s="1673"/>
    </row>
    <row r="34" spans="2:14" s="86" customFormat="1" ht="22" customHeight="1">
      <c r="B34" s="1637" t="s">
        <v>662</v>
      </c>
      <c r="C34" s="204">
        <f>'T12'!U31</f>
        <v>411474.28999999969</v>
      </c>
      <c r="D34" s="205">
        <f t="shared" si="4"/>
        <v>1558.6147348484837</v>
      </c>
      <c r="E34" s="204">
        <f>'T12'!W31</f>
        <v>432987.22000000003</v>
      </c>
      <c r="F34" s="205">
        <f t="shared" si="5"/>
        <v>1640.1031060606063</v>
      </c>
      <c r="G34" s="204">
        <f>'T12'!Y31</f>
        <v>455721.67999999993</v>
      </c>
      <c r="H34" s="205">
        <f t="shared" si="6"/>
        <v>1726.2184848484846</v>
      </c>
      <c r="I34" s="204">
        <f>'T12'!AC31</f>
        <v>446231.88</v>
      </c>
      <c r="J34" s="205">
        <f t="shared" si="6"/>
        <v>1690.2722727272728</v>
      </c>
      <c r="K34" s="204">
        <f t="array" ref="K34">INDEX('T12'!$U$9:$AE$38,MATCH('Clean UW'!$B34,'T12'!$T$9:$T$38,0),MATCH('Clean UW'!$M34,'T12'!$U$7:$AE$7,0))</f>
        <v>404448</v>
      </c>
      <c r="L34" s="205">
        <f t="shared" si="7"/>
        <v>1532</v>
      </c>
      <c r="M34" s="1698" t="str">
        <f>'Debt Sizing'!X30</f>
        <v>Pro Forma</v>
      </c>
      <c r="N34" s="1671"/>
    </row>
    <row r="35" spans="2:14" s="86" customFormat="1" ht="22" customHeight="1">
      <c r="B35" s="1653" t="s">
        <v>611</v>
      </c>
      <c r="C35" s="234">
        <f>SUM(C28:C34)</f>
        <v>1394682.12</v>
      </c>
      <c r="D35" s="235">
        <f t="shared" si="4"/>
        <v>5282.8868181818189</v>
      </c>
      <c r="E35" s="234">
        <f>SUM(E28:E34)</f>
        <v>1442250.56</v>
      </c>
      <c r="F35" s="235">
        <f t="shared" si="5"/>
        <v>5463.070303030303</v>
      </c>
      <c r="G35" s="234">
        <f>SUM(G28:G34)</f>
        <v>1417827.8399999999</v>
      </c>
      <c r="H35" s="235">
        <f t="shared" si="5"/>
        <v>5370.5599999999995</v>
      </c>
      <c r="I35" s="234">
        <f>SUM(I28:I34)</f>
        <v>1377324.12</v>
      </c>
      <c r="J35" s="235">
        <f t="shared" si="5"/>
        <v>5217.1368181818189</v>
      </c>
      <c r="K35" s="234">
        <f>SUM(K28:K34)</f>
        <v>1450680</v>
      </c>
      <c r="L35" s="235">
        <f t="shared" si="7"/>
        <v>5495</v>
      </c>
      <c r="M35" s="1698"/>
      <c r="N35" s="1671"/>
    </row>
    <row r="36" spans="2:14" s="86" customFormat="1" ht="22" customHeight="1">
      <c r="B36" s="1637"/>
      <c r="C36" s="204"/>
      <c r="D36" s="205"/>
      <c r="E36" s="204"/>
      <c r="F36" s="205"/>
      <c r="G36" s="204"/>
      <c r="H36" s="205"/>
      <c r="I36" s="204"/>
      <c r="J36" s="205"/>
      <c r="K36" s="204"/>
      <c r="L36" s="205"/>
      <c r="M36" s="1698"/>
      <c r="N36" s="1671"/>
    </row>
    <row r="37" spans="2:14" s="86" customFormat="1" ht="22" customHeight="1">
      <c r="B37" s="1637" t="s">
        <v>663</v>
      </c>
      <c r="C37" s="204">
        <f>'T12'!U34</f>
        <v>133981.79</v>
      </c>
      <c r="D37" s="205">
        <f t="shared" si="4"/>
        <v>507.50678030303033</v>
      </c>
      <c r="E37" s="204">
        <f>'T12'!W34</f>
        <v>145990.34000000003</v>
      </c>
      <c r="F37" s="205">
        <f t="shared" si="4"/>
        <v>552.99371212121218</v>
      </c>
      <c r="G37" s="204">
        <f>'T12'!Y34</f>
        <v>88865.64</v>
      </c>
      <c r="H37" s="205">
        <f t="shared" si="4"/>
        <v>336.61227272727274</v>
      </c>
      <c r="I37" s="204">
        <f>'T12'!AC34</f>
        <v>31740.840000000004</v>
      </c>
      <c r="J37" s="205">
        <f t="shared" si="4"/>
        <v>120.23045454545456</v>
      </c>
      <c r="K37" s="204">
        <f t="array" ref="K37">INDEX('T12'!$U$9:$AE$38,MATCH('Clean UW'!$B37,'T12'!$T$9:$T$38,0),MATCH('Clean UW'!$M37,'T12'!$U$7:$AE$7,0))</f>
        <v>117480</v>
      </c>
      <c r="L37" s="205">
        <f>K37/units</f>
        <v>445</v>
      </c>
      <c r="M37" s="1698" t="str">
        <f>'Debt Sizing'!X33</f>
        <v>Pro Forma</v>
      </c>
      <c r="N37" s="1671"/>
    </row>
    <row r="38" spans="2:14" s="86" customFormat="1" ht="22" customHeight="1">
      <c r="B38" s="1637" t="s">
        <v>664</v>
      </c>
      <c r="C38" s="204">
        <f>'T12'!U35</f>
        <v>114091.56000000001</v>
      </c>
      <c r="D38" s="492">
        <f>C38/C24</f>
        <v>3.2489817525993614E-2</v>
      </c>
      <c r="E38" s="204">
        <f>'T12'!W35</f>
        <v>125716.99999999999</v>
      </c>
      <c r="F38" s="492">
        <f>E38/E24</f>
        <v>3.0558882155667787E-2</v>
      </c>
      <c r="G38" s="204">
        <f>'T12'!Y35</f>
        <v>137749.07999999999</v>
      </c>
      <c r="H38" s="492">
        <f>G38/G24</f>
        <v>3.0306281395537121E-2</v>
      </c>
      <c r="I38" s="204">
        <f>'T12'!AC35</f>
        <v>139772.88</v>
      </c>
      <c r="J38" s="492">
        <f>I38/I24</f>
        <v>2.960596473868175E-2</v>
      </c>
      <c r="K38" s="204">
        <f>L38*K24</f>
        <v>121464.82049999997</v>
      </c>
      <c r="L38" s="492">
        <f>'Debt Sizing'!Q34</f>
        <v>0.03</v>
      </c>
      <c r="M38" s="1703">
        <f>'Debt Sizing'!X34</f>
        <v>0.03</v>
      </c>
      <c r="N38" s="1671"/>
    </row>
    <row r="39" spans="2:14" s="86" customFormat="1" ht="22" customHeight="1">
      <c r="B39" s="1637" t="s">
        <v>665</v>
      </c>
      <c r="C39" s="204">
        <f>'T12'!U36</f>
        <v>623314.08999999985</v>
      </c>
      <c r="D39" s="205">
        <f>C39/units</f>
        <v>2361.038219696969</v>
      </c>
      <c r="E39" s="204">
        <f>'T12'!W36</f>
        <v>706028.17999999993</v>
      </c>
      <c r="F39" s="205">
        <f t="shared" ref="F39:F45" si="8">E39/units</f>
        <v>2674.3491666666664</v>
      </c>
      <c r="G39" s="204">
        <f>'T12'!Y36</f>
        <v>588286.24</v>
      </c>
      <c r="H39" s="205">
        <f>G39/units</f>
        <v>2228.3569696969698</v>
      </c>
      <c r="I39" s="204">
        <f>'T12'!AC36</f>
        <v>588286.19999999995</v>
      </c>
      <c r="J39" s="205">
        <f>I39/units</f>
        <v>2228.3568181818182</v>
      </c>
      <c r="K39" s="204">
        <f>Taxes!$H$13</f>
        <v>478792.32</v>
      </c>
      <c r="L39" s="205">
        <f>K39/units</f>
        <v>1813.6072727272729</v>
      </c>
      <c r="M39" s="1704" t="str">
        <f>'Debt Sizing'!X35</f>
        <v>2025 AV, 2024 Millage Rate</v>
      </c>
      <c r="N39" s="1671"/>
    </row>
    <row r="40" spans="2:14" s="86" customFormat="1" ht="22" hidden="1" customHeight="1" outlineLevel="1">
      <c r="B40" s="1637" t="s">
        <v>667</v>
      </c>
      <c r="C40" s="204">
        <f>'T12'!U37</f>
        <v>0</v>
      </c>
      <c r="D40" s="1654">
        <f>C40/C24</f>
        <v>0</v>
      </c>
      <c r="E40" s="204">
        <f>'T12'!W37</f>
        <v>0</v>
      </c>
      <c r="F40" s="1654">
        <f>E40/E24</f>
        <v>0</v>
      </c>
      <c r="G40" s="204">
        <f>'T12'!Y37</f>
        <v>0</v>
      </c>
      <c r="H40" s="1654">
        <f>G40/G24</f>
        <v>0</v>
      </c>
      <c r="I40" s="204">
        <f>'T12'!AC37</f>
        <v>0</v>
      </c>
      <c r="J40" s="1654">
        <f>I40/I24</f>
        <v>0</v>
      </c>
      <c r="K40" s="204">
        <f>L40*K24</f>
        <v>0</v>
      </c>
      <c r="L40" s="1654">
        <f>'Debt Sizing'!Q36</f>
        <v>0</v>
      </c>
      <c r="M40" s="1698" t="str">
        <f>'Debt Sizing'!X36</f>
        <v>0.331% of EGI</v>
      </c>
      <c r="N40" s="1671"/>
    </row>
    <row r="41" spans="2:14" s="86" customFormat="1" ht="22" customHeight="1" collapsed="1">
      <c r="B41" s="1637" t="s">
        <v>669</v>
      </c>
      <c r="C41" s="204">
        <f>'T12'!U38</f>
        <v>0</v>
      </c>
      <c r="D41" s="205">
        <f>C41/units</f>
        <v>0</v>
      </c>
      <c r="E41" s="204">
        <f>'T12'!W38</f>
        <v>0</v>
      </c>
      <c r="F41" s="205">
        <f>E41/units</f>
        <v>0</v>
      </c>
      <c r="G41" s="204">
        <f>'T12'!Y38</f>
        <v>0</v>
      </c>
      <c r="H41" s="205">
        <f>G41/units</f>
        <v>0</v>
      </c>
      <c r="I41" s="204">
        <f>'T12'!AC38</f>
        <v>0</v>
      </c>
      <c r="J41" s="205">
        <f>I41/units</f>
        <v>0</v>
      </c>
      <c r="K41" s="204">
        <f>L41*units</f>
        <v>66000</v>
      </c>
      <c r="L41" s="205">
        <f>'Sponsor Pro Forma'!L36</f>
        <v>250</v>
      </c>
      <c r="M41" s="1705">
        <f>'Debt Sizing'!X37</f>
        <v>250</v>
      </c>
      <c r="N41" s="1671"/>
    </row>
    <row r="42" spans="2:14" s="86" customFormat="1" ht="22" customHeight="1">
      <c r="B42" s="1655" t="s">
        <v>612</v>
      </c>
      <c r="C42" s="220">
        <f>SUM(C37:C41)</f>
        <v>871387.44</v>
      </c>
      <c r="D42" s="1644">
        <f>C42/units</f>
        <v>3300.7099999999996</v>
      </c>
      <c r="E42" s="220">
        <f>SUM(E37:E41)</f>
        <v>977735.52</v>
      </c>
      <c r="F42" s="1644">
        <f>E42/units</f>
        <v>3703.5436363636363</v>
      </c>
      <c r="G42" s="220">
        <f>SUM(G37:G41)</f>
        <v>814900.96</v>
      </c>
      <c r="H42" s="1644">
        <f>G42/units</f>
        <v>3086.7460606060604</v>
      </c>
      <c r="I42" s="220">
        <f>SUM(I37:I41)</f>
        <v>759799.91999999993</v>
      </c>
      <c r="J42" s="1644">
        <f>I42/units</f>
        <v>2878.0299999999997</v>
      </c>
      <c r="K42" s="220">
        <f>SUM(K37:K41)</f>
        <v>783737.14049999998</v>
      </c>
      <c r="L42" s="1644">
        <f>K42/units</f>
        <v>2968.7012897727273</v>
      </c>
      <c r="M42" s="1697"/>
      <c r="N42" s="1671"/>
    </row>
    <row r="43" spans="2:14" s="87" customFormat="1" ht="22" customHeight="1">
      <c r="B43" s="1656" t="s">
        <v>40</v>
      </c>
      <c r="C43" s="1657">
        <f>C35+C42</f>
        <v>2266069.56</v>
      </c>
      <c r="D43" s="1646">
        <f>C43/units</f>
        <v>8583.5968181818189</v>
      </c>
      <c r="E43" s="1657">
        <f>E35+E42</f>
        <v>2419986.08</v>
      </c>
      <c r="F43" s="1646">
        <f>E43/units</f>
        <v>9166.6139393939393</v>
      </c>
      <c r="G43" s="1657">
        <f>G35+G42</f>
        <v>2232728.7999999998</v>
      </c>
      <c r="H43" s="1646">
        <f>G43/units</f>
        <v>8457.3060606060608</v>
      </c>
      <c r="I43" s="1657">
        <f>I35+I42</f>
        <v>2137124.04</v>
      </c>
      <c r="J43" s="1646">
        <f>I43/units</f>
        <v>8095.1668181818186</v>
      </c>
      <c r="K43" s="1657">
        <f>K35+K42</f>
        <v>2234417.1404999997</v>
      </c>
      <c r="L43" s="1646">
        <f>K43/units</f>
        <v>8463.7012897727254</v>
      </c>
      <c r="M43" s="1697"/>
      <c r="N43" s="1670"/>
    </row>
    <row r="44" spans="2:14" s="86" customFormat="1" ht="22" customHeight="1">
      <c r="B44" s="1642" t="s">
        <v>42</v>
      </c>
      <c r="C44" s="1658"/>
      <c r="D44" s="244">
        <f>C43/C24</f>
        <v>0.64530791327253856</v>
      </c>
      <c r="E44" s="1658"/>
      <c r="F44" s="244">
        <f>E43/E24</f>
        <v>0.58824239710680692</v>
      </c>
      <c r="G44" s="1658"/>
      <c r="H44" s="244">
        <f>G43/G24</f>
        <v>0.49122438634595544</v>
      </c>
      <c r="I44" s="1658"/>
      <c r="J44" s="244">
        <f>I43/I24</f>
        <v>0.45267450288231226</v>
      </c>
      <c r="K44" s="1658"/>
      <c r="L44" s="244">
        <f>K43/K24</f>
        <v>0.55186772547858831</v>
      </c>
      <c r="M44" s="1706"/>
      <c r="N44" s="1671"/>
    </row>
    <row r="45" spans="2:14" s="87" customFormat="1" ht="22" customHeight="1">
      <c r="B45" s="1659" t="s">
        <v>613</v>
      </c>
      <c r="C45" s="1660">
        <f>+C24-C43</f>
        <v>1245540.189999999</v>
      </c>
      <c r="D45" s="1661">
        <f>C45/units</f>
        <v>4717.9552651515114</v>
      </c>
      <c r="E45" s="1660">
        <f>+E24-E43</f>
        <v>1693940.58</v>
      </c>
      <c r="F45" s="1661">
        <f t="shared" si="8"/>
        <v>6416.4415909090912</v>
      </c>
      <c r="G45" s="1660">
        <f>+G24-G43</f>
        <v>2312503.2000000002</v>
      </c>
      <c r="H45" s="1661">
        <f>G45/units</f>
        <v>8759.4818181818191</v>
      </c>
      <c r="I45" s="1660">
        <f>+I24-I43</f>
        <v>2583981.3600000003</v>
      </c>
      <c r="J45" s="1661">
        <f>I45/units</f>
        <v>9787.8081818181836</v>
      </c>
      <c r="K45" s="1660">
        <f>+K24-K43</f>
        <v>1814410.2094999994</v>
      </c>
      <c r="L45" s="1661">
        <f>K45/units</f>
        <v>6872.7659450757556</v>
      </c>
      <c r="M45" s="1662"/>
      <c r="N45" s="1679"/>
    </row>
    <row r="46" spans="2:14" s="5" customFormat="1" ht="19">
      <c r="B46" s="1575"/>
      <c r="C46" s="1576"/>
      <c r="D46" s="1577"/>
      <c r="E46" s="1576"/>
      <c r="F46" s="1577"/>
      <c r="G46" s="1576"/>
      <c r="H46" s="1577"/>
      <c r="I46" s="1577"/>
      <c r="J46" s="1577"/>
      <c r="K46" s="1578"/>
      <c r="L46" s="1577"/>
      <c r="M46" s="1579"/>
      <c r="N46" s="194"/>
    </row>
    <row r="47" spans="2:14">
      <c r="C47" s="9"/>
      <c r="D47" s="9"/>
    </row>
    <row r="48" spans="2:14">
      <c r="C48" s="9"/>
      <c r="D48" s="9"/>
    </row>
    <row r="49" spans="3:4">
      <c r="C49" s="9"/>
      <c r="D49" s="9"/>
    </row>
  </sheetData>
  <mergeCells count="9">
    <mergeCell ref="K9:L9"/>
    <mergeCell ref="I9:J9"/>
    <mergeCell ref="B3:G3"/>
    <mergeCell ref="B4:G4"/>
    <mergeCell ref="B5:G5"/>
    <mergeCell ref="B6:G6"/>
    <mergeCell ref="C9:D9"/>
    <mergeCell ref="E9:F9"/>
    <mergeCell ref="G9:H9"/>
  </mergeCells>
  <pageMargins left="0" right="0" top="0" bottom="0" header="0" footer="0"/>
  <pageSetup scale="62" orientation="landscape" r:id="rId1"/>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tabColor theme="3" tint="0.39997558519241921"/>
    <pageSetUpPr fitToPage="1"/>
  </sheetPr>
  <dimension ref="A1:DV163"/>
  <sheetViews>
    <sheetView showGridLines="0" zoomScale="40" zoomScaleNormal="40" workbookViewId="0">
      <pane xSplit="5" ySplit="5" topLeftCell="F81" activePane="bottomRight" state="frozen"/>
      <selection pane="topRight" activeCell="F1" sqref="F1"/>
      <selection pane="bottomLeft" activeCell="A6" sqref="A6"/>
      <selection pane="bottomRight" activeCell="BC90" sqref="BC90"/>
    </sheetView>
  </sheetViews>
  <sheetFormatPr defaultColWidth="9.1796875" defaultRowHeight="15.5" outlineLevelRow="1"/>
  <cols>
    <col min="1" max="1" width="21.81640625" style="294" customWidth="1"/>
    <col min="2" max="2" width="38.1796875" style="294" bestFit="1" customWidth="1"/>
    <col min="3" max="4" width="20.7265625" style="294" customWidth="1"/>
    <col min="5" max="5" width="21.7265625" style="294" customWidth="1"/>
    <col min="6" max="124" width="20.7265625" style="294" customWidth="1"/>
    <col min="125" max="125" width="9.1796875" style="486"/>
    <col min="126" max="126" width="9.1796875" style="294"/>
    <col min="127" max="16384" width="9.1796875" style="7"/>
  </cols>
  <sheetData>
    <row r="1" spans="1:126" s="1" customFormat="1" ht="28">
      <c r="A1" s="180"/>
      <c r="B1" s="320" t="str">
        <f>'Inputs and Assumptions'!property_name</f>
        <v>The Winchester</v>
      </c>
      <c r="C1" s="178"/>
      <c r="D1" s="178"/>
      <c r="E1" s="363"/>
      <c r="F1" s="363"/>
      <c r="G1" s="363"/>
      <c r="H1" s="363"/>
      <c r="I1" s="363"/>
      <c r="J1" s="363"/>
      <c r="K1" s="363"/>
      <c r="L1" s="363"/>
      <c r="M1" s="363"/>
      <c r="N1" s="363"/>
      <c r="O1" s="363"/>
      <c r="P1" s="363"/>
      <c r="Q1" s="363"/>
      <c r="R1" s="363"/>
      <c r="S1" s="363"/>
      <c r="T1" s="363"/>
      <c r="U1" s="363"/>
      <c r="V1" s="363"/>
      <c r="W1" s="363"/>
      <c r="X1" s="363"/>
      <c r="Y1" s="363"/>
      <c r="Z1" s="363"/>
      <c r="AA1" s="363"/>
      <c r="AB1" s="363"/>
      <c r="AC1" s="363"/>
      <c r="AD1" s="363"/>
      <c r="AE1" s="363"/>
      <c r="AF1" s="363"/>
      <c r="AG1" s="363"/>
      <c r="AH1" s="363"/>
      <c r="AI1" s="363"/>
      <c r="AJ1" s="363"/>
      <c r="AK1" s="363"/>
      <c r="AL1" s="363"/>
      <c r="AM1" s="363"/>
      <c r="AN1" s="363"/>
      <c r="AO1" s="363"/>
      <c r="AP1" s="363"/>
      <c r="AQ1" s="363"/>
      <c r="AR1" s="363"/>
      <c r="AS1" s="363"/>
      <c r="AT1" s="363"/>
      <c r="AU1" s="363"/>
      <c r="AV1" s="363"/>
      <c r="AW1" s="363"/>
      <c r="AX1" s="363"/>
      <c r="AY1" s="363"/>
      <c r="AZ1" s="363"/>
      <c r="BA1" s="363"/>
      <c r="BB1" s="363"/>
      <c r="BC1" s="363"/>
      <c r="BD1" s="363"/>
      <c r="BE1" s="363"/>
      <c r="BF1" s="363"/>
      <c r="BG1" s="363"/>
      <c r="BH1" s="363"/>
      <c r="BI1" s="363"/>
      <c r="BJ1" s="363"/>
      <c r="BK1" s="363"/>
      <c r="BL1" s="363"/>
      <c r="BM1" s="363"/>
      <c r="BN1" s="363"/>
      <c r="BO1" s="363"/>
      <c r="BP1" s="363"/>
      <c r="BQ1" s="363"/>
      <c r="BR1" s="363"/>
      <c r="BS1" s="363"/>
      <c r="BT1" s="363"/>
      <c r="BU1" s="363"/>
      <c r="BV1" s="363"/>
      <c r="BW1" s="363"/>
      <c r="BX1" s="363"/>
      <c r="BY1" s="363"/>
      <c r="BZ1" s="363"/>
      <c r="CA1" s="363"/>
      <c r="CB1" s="363"/>
      <c r="CC1" s="363"/>
      <c r="CD1" s="363"/>
      <c r="CE1" s="363"/>
      <c r="CF1" s="363"/>
      <c r="CG1" s="363"/>
      <c r="CH1" s="363"/>
      <c r="CI1" s="363"/>
      <c r="CJ1" s="363"/>
      <c r="CK1" s="363"/>
      <c r="CL1" s="363"/>
      <c r="CM1" s="363"/>
      <c r="CN1" s="363"/>
      <c r="CO1" s="363"/>
      <c r="CP1" s="363"/>
      <c r="CQ1" s="363"/>
      <c r="CR1" s="363"/>
      <c r="CS1" s="363"/>
      <c r="CT1" s="363"/>
      <c r="CU1" s="363"/>
      <c r="CV1" s="363"/>
      <c r="CW1" s="363"/>
      <c r="CX1" s="363"/>
      <c r="CY1" s="363"/>
      <c r="CZ1" s="363"/>
      <c r="DA1" s="363"/>
      <c r="DB1" s="363"/>
      <c r="DC1" s="363"/>
      <c r="DD1" s="363"/>
      <c r="DE1" s="363"/>
      <c r="DF1" s="363"/>
      <c r="DG1" s="363"/>
      <c r="DH1" s="363"/>
      <c r="DI1" s="363"/>
      <c r="DJ1" s="363"/>
      <c r="DK1" s="363"/>
      <c r="DL1" s="363"/>
      <c r="DM1" s="363"/>
      <c r="DN1" s="363"/>
      <c r="DO1" s="363"/>
      <c r="DP1" s="363"/>
      <c r="DQ1" s="363"/>
      <c r="DR1" s="363"/>
      <c r="DS1" s="363"/>
      <c r="DT1" s="364"/>
      <c r="DU1" s="303"/>
      <c r="DV1" s="180"/>
    </row>
    <row r="2" spans="1:126" s="1" customFormat="1" ht="17.25" customHeight="1">
      <c r="A2" s="365" t="s">
        <v>1064</v>
      </c>
      <c r="B2" s="102" t="s">
        <v>1065</v>
      </c>
      <c r="C2" s="182"/>
      <c r="D2" s="182"/>
      <c r="E2" s="363"/>
      <c r="F2" s="1855"/>
      <c r="G2" s="363"/>
      <c r="H2" s="363"/>
      <c r="I2" s="363"/>
      <c r="J2" s="363"/>
      <c r="K2" s="363"/>
      <c r="L2" s="363"/>
      <c r="M2" s="363"/>
      <c r="N2" s="363"/>
      <c r="O2" s="363"/>
      <c r="P2" s="363"/>
      <c r="Q2" s="363"/>
      <c r="R2" s="363"/>
      <c r="S2" s="363"/>
      <c r="T2" s="363"/>
      <c r="U2" s="363"/>
      <c r="V2" s="363"/>
      <c r="W2" s="363"/>
      <c r="X2" s="363"/>
      <c r="Y2" s="363"/>
      <c r="Z2" s="363"/>
      <c r="AA2" s="363"/>
      <c r="AB2" s="363"/>
      <c r="AC2" s="363"/>
      <c r="AD2" s="363"/>
      <c r="AE2" s="363"/>
      <c r="AF2" s="363"/>
      <c r="AG2" s="363"/>
      <c r="AH2" s="363"/>
      <c r="AI2" s="363"/>
      <c r="AJ2" s="363"/>
      <c r="AK2" s="363"/>
      <c r="AL2" s="363"/>
      <c r="AM2" s="363"/>
      <c r="AN2" s="363"/>
      <c r="AO2" s="363"/>
      <c r="AP2" s="363"/>
      <c r="AQ2" s="363"/>
      <c r="AR2" s="363"/>
      <c r="AS2" s="363"/>
      <c r="AT2" s="363"/>
      <c r="AU2" s="363"/>
      <c r="AV2" s="363"/>
      <c r="AW2" s="363"/>
      <c r="AX2" s="363"/>
      <c r="AY2" s="363"/>
      <c r="AZ2" s="363"/>
      <c r="BA2" s="363"/>
      <c r="BB2" s="363"/>
      <c r="BC2" s="363"/>
      <c r="BD2" s="363"/>
      <c r="BE2" s="363"/>
      <c r="BF2" s="363"/>
      <c r="BG2" s="363"/>
      <c r="BH2" s="363"/>
      <c r="BI2" s="363"/>
      <c r="BJ2" s="363"/>
      <c r="BK2" s="363"/>
      <c r="BL2" s="363"/>
      <c r="BM2" s="363"/>
      <c r="BN2" s="363"/>
      <c r="BO2" s="363"/>
      <c r="BP2" s="363"/>
      <c r="BQ2" s="363"/>
      <c r="BR2" s="363"/>
      <c r="BS2" s="363"/>
      <c r="BT2" s="363"/>
      <c r="BU2" s="363"/>
      <c r="BV2" s="363"/>
      <c r="BW2" s="363"/>
      <c r="BX2" s="363"/>
      <c r="BY2" s="363"/>
      <c r="BZ2" s="363"/>
      <c r="CA2" s="363"/>
      <c r="CB2" s="363"/>
      <c r="CC2" s="363"/>
      <c r="CD2" s="363"/>
      <c r="CE2" s="363"/>
      <c r="CF2" s="363"/>
      <c r="CG2" s="363"/>
      <c r="CH2" s="363"/>
      <c r="CI2" s="363"/>
      <c r="CJ2" s="363"/>
      <c r="CK2" s="363"/>
      <c r="CL2" s="363"/>
      <c r="CM2" s="363"/>
      <c r="CN2" s="363"/>
      <c r="CO2" s="363"/>
      <c r="CP2" s="363"/>
      <c r="CQ2" s="363"/>
      <c r="CR2" s="363"/>
      <c r="CS2" s="363"/>
      <c r="CT2" s="363"/>
      <c r="CU2" s="363"/>
      <c r="CV2" s="363"/>
      <c r="CW2" s="363"/>
      <c r="CX2" s="363"/>
      <c r="CY2" s="363"/>
      <c r="CZ2" s="363"/>
      <c r="DA2" s="363"/>
      <c r="DB2" s="363"/>
      <c r="DC2" s="363"/>
      <c r="DD2" s="363"/>
      <c r="DE2" s="363"/>
      <c r="DF2" s="363"/>
      <c r="DG2" s="363"/>
      <c r="DH2" s="363"/>
      <c r="DI2" s="363"/>
      <c r="DJ2" s="363"/>
      <c r="DK2" s="363"/>
      <c r="DL2" s="363"/>
      <c r="DM2" s="363"/>
      <c r="DN2" s="363"/>
      <c r="DO2" s="363"/>
      <c r="DP2" s="363"/>
      <c r="DQ2" s="363"/>
      <c r="DR2" s="363"/>
      <c r="DS2" s="363"/>
      <c r="DT2" s="364"/>
      <c r="DU2" s="303"/>
      <c r="DV2" s="180"/>
    </row>
    <row r="3" spans="1:126" s="3" customFormat="1" ht="20.149999999999999" customHeight="1">
      <c r="A3" s="187" t="s">
        <v>1066</v>
      </c>
      <c r="B3" s="309" t="s">
        <v>598</v>
      </c>
      <c r="C3" s="366"/>
      <c r="D3" s="366">
        <f>'Inputs and Assumptions'!D15</f>
        <v>46082</v>
      </c>
      <c r="E3" s="367">
        <f>EOMONTH(D3,1)-31</f>
        <v>46111</v>
      </c>
      <c r="F3" s="367">
        <f>EOMONTH(E3,1)</f>
        <v>46142</v>
      </c>
      <c r="G3" s="367">
        <f t="shared" ref="G3:BR3" si="0">EOMONTH(F3,1)</f>
        <v>46173</v>
      </c>
      <c r="H3" s="367">
        <f t="shared" si="0"/>
        <v>46203</v>
      </c>
      <c r="I3" s="367">
        <f t="shared" si="0"/>
        <v>46234</v>
      </c>
      <c r="J3" s="367">
        <f t="shared" si="0"/>
        <v>46265</v>
      </c>
      <c r="K3" s="367">
        <f t="shared" si="0"/>
        <v>46295</v>
      </c>
      <c r="L3" s="367">
        <f t="shared" si="0"/>
        <v>46326</v>
      </c>
      <c r="M3" s="367">
        <f t="shared" si="0"/>
        <v>46356</v>
      </c>
      <c r="N3" s="367">
        <f t="shared" si="0"/>
        <v>46387</v>
      </c>
      <c r="O3" s="367">
        <f t="shared" si="0"/>
        <v>46418</v>
      </c>
      <c r="P3" s="367">
        <f t="shared" si="0"/>
        <v>46446</v>
      </c>
      <c r="Q3" s="367">
        <f t="shared" si="0"/>
        <v>46477</v>
      </c>
      <c r="R3" s="367">
        <f t="shared" si="0"/>
        <v>46507</v>
      </c>
      <c r="S3" s="367">
        <f t="shared" si="0"/>
        <v>46538</v>
      </c>
      <c r="T3" s="367">
        <f t="shared" si="0"/>
        <v>46568</v>
      </c>
      <c r="U3" s="367">
        <f t="shared" si="0"/>
        <v>46599</v>
      </c>
      <c r="V3" s="367">
        <f t="shared" si="0"/>
        <v>46630</v>
      </c>
      <c r="W3" s="367">
        <f t="shared" si="0"/>
        <v>46660</v>
      </c>
      <c r="X3" s="367">
        <f t="shared" si="0"/>
        <v>46691</v>
      </c>
      <c r="Y3" s="367">
        <f t="shared" si="0"/>
        <v>46721</v>
      </c>
      <c r="Z3" s="367">
        <f t="shared" si="0"/>
        <v>46752</v>
      </c>
      <c r="AA3" s="367">
        <f t="shared" si="0"/>
        <v>46783</v>
      </c>
      <c r="AB3" s="367">
        <f t="shared" si="0"/>
        <v>46812</v>
      </c>
      <c r="AC3" s="367">
        <f t="shared" si="0"/>
        <v>46843</v>
      </c>
      <c r="AD3" s="367">
        <f t="shared" si="0"/>
        <v>46873</v>
      </c>
      <c r="AE3" s="367">
        <f t="shared" si="0"/>
        <v>46904</v>
      </c>
      <c r="AF3" s="367">
        <f t="shared" si="0"/>
        <v>46934</v>
      </c>
      <c r="AG3" s="367">
        <f t="shared" si="0"/>
        <v>46965</v>
      </c>
      <c r="AH3" s="367">
        <f t="shared" si="0"/>
        <v>46996</v>
      </c>
      <c r="AI3" s="367">
        <f t="shared" si="0"/>
        <v>47026</v>
      </c>
      <c r="AJ3" s="367">
        <f t="shared" si="0"/>
        <v>47057</v>
      </c>
      <c r="AK3" s="367">
        <f t="shared" si="0"/>
        <v>47087</v>
      </c>
      <c r="AL3" s="367">
        <f t="shared" si="0"/>
        <v>47118</v>
      </c>
      <c r="AM3" s="367">
        <f t="shared" si="0"/>
        <v>47149</v>
      </c>
      <c r="AN3" s="367">
        <f t="shared" si="0"/>
        <v>47177</v>
      </c>
      <c r="AO3" s="367">
        <f t="shared" si="0"/>
        <v>47208</v>
      </c>
      <c r="AP3" s="367">
        <f t="shared" si="0"/>
        <v>47238</v>
      </c>
      <c r="AQ3" s="367">
        <f t="shared" si="0"/>
        <v>47269</v>
      </c>
      <c r="AR3" s="367">
        <f t="shared" si="0"/>
        <v>47299</v>
      </c>
      <c r="AS3" s="367">
        <f t="shared" si="0"/>
        <v>47330</v>
      </c>
      <c r="AT3" s="367">
        <f t="shared" si="0"/>
        <v>47361</v>
      </c>
      <c r="AU3" s="367">
        <f t="shared" si="0"/>
        <v>47391</v>
      </c>
      <c r="AV3" s="367">
        <f t="shared" si="0"/>
        <v>47422</v>
      </c>
      <c r="AW3" s="367">
        <f t="shared" si="0"/>
        <v>47452</v>
      </c>
      <c r="AX3" s="367">
        <f t="shared" si="0"/>
        <v>47483</v>
      </c>
      <c r="AY3" s="367">
        <f t="shared" si="0"/>
        <v>47514</v>
      </c>
      <c r="AZ3" s="367">
        <f t="shared" si="0"/>
        <v>47542</v>
      </c>
      <c r="BA3" s="367">
        <f t="shared" si="0"/>
        <v>47573</v>
      </c>
      <c r="BB3" s="367">
        <f t="shared" si="0"/>
        <v>47603</v>
      </c>
      <c r="BC3" s="367">
        <f t="shared" si="0"/>
        <v>47634</v>
      </c>
      <c r="BD3" s="367">
        <f t="shared" si="0"/>
        <v>47664</v>
      </c>
      <c r="BE3" s="367">
        <f t="shared" si="0"/>
        <v>47695</v>
      </c>
      <c r="BF3" s="367">
        <f t="shared" si="0"/>
        <v>47726</v>
      </c>
      <c r="BG3" s="367">
        <f t="shared" si="0"/>
        <v>47756</v>
      </c>
      <c r="BH3" s="367">
        <f t="shared" si="0"/>
        <v>47787</v>
      </c>
      <c r="BI3" s="367">
        <f t="shared" si="0"/>
        <v>47817</v>
      </c>
      <c r="BJ3" s="367">
        <f t="shared" si="0"/>
        <v>47848</v>
      </c>
      <c r="BK3" s="367">
        <f t="shared" si="0"/>
        <v>47879</v>
      </c>
      <c r="BL3" s="367">
        <f t="shared" si="0"/>
        <v>47907</v>
      </c>
      <c r="BM3" s="367">
        <f t="shared" si="0"/>
        <v>47938</v>
      </c>
      <c r="BN3" s="367">
        <f t="shared" si="0"/>
        <v>47968</v>
      </c>
      <c r="BO3" s="367">
        <f t="shared" si="0"/>
        <v>47999</v>
      </c>
      <c r="BP3" s="367">
        <f t="shared" si="0"/>
        <v>48029</v>
      </c>
      <c r="BQ3" s="367">
        <f t="shared" si="0"/>
        <v>48060</v>
      </c>
      <c r="BR3" s="367">
        <f t="shared" si="0"/>
        <v>48091</v>
      </c>
      <c r="BS3" s="367">
        <f t="shared" ref="BS3:DT3" si="1">EOMONTH(BR3,1)</f>
        <v>48121</v>
      </c>
      <c r="BT3" s="367">
        <f t="shared" si="1"/>
        <v>48152</v>
      </c>
      <c r="BU3" s="367">
        <f t="shared" si="1"/>
        <v>48182</v>
      </c>
      <c r="BV3" s="367">
        <f t="shared" si="1"/>
        <v>48213</v>
      </c>
      <c r="BW3" s="367">
        <f t="shared" si="1"/>
        <v>48244</v>
      </c>
      <c r="BX3" s="367">
        <f t="shared" si="1"/>
        <v>48273</v>
      </c>
      <c r="BY3" s="367">
        <f t="shared" si="1"/>
        <v>48304</v>
      </c>
      <c r="BZ3" s="367">
        <f t="shared" si="1"/>
        <v>48334</v>
      </c>
      <c r="CA3" s="367">
        <f t="shared" si="1"/>
        <v>48365</v>
      </c>
      <c r="CB3" s="367">
        <f t="shared" si="1"/>
        <v>48395</v>
      </c>
      <c r="CC3" s="367">
        <f t="shared" si="1"/>
        <v>48426</v>
      </c>
      <c r="CD3" s="367">
        <f t="shared" si="1"/>
        <v>48457</v>
      </c>
      <c r="CE3" s="367">
        <f t="shared" si="1"/>
        <v>48487</v>
      </c>
      <c r="CF3" s="367">
        <f t="shared" si="1"/>
        <v>48518</v>
      </c>
      <c r="CG3" s="367">
        <f t="shared" si="1"/>
        <v>48548</v>
      </c>
      <c r="CH3" s="367">
        <f t="shared" si="1"/>
        <v>48579</v>
      </c>
      <c r="CI3" s="367">
        <f t="shared" si="1"/>
        <v>48610</v>
      </c>
      <c r="CJ3" s="367">
        <f t="shared" si="1"/>
        <v>48638</v>
      </c>
      <c r="CK3" s="367">
        <f t="shared" si="1"/>
        <v>48669</v>
      </c>
      <c r="CL3" s="367">
        <f t="shared" si="1"/>
        <v>48699</v>
      </c>
      <c r="CM3" s="367">
        <f t="shared" si="1"/>
        <v>48730</v>
      </c>
      <c r="CN3" s="367">
        <f t="shared" si="1"/>
        <v>48760</v>
      </c>
      <c r="CO3" s="367">
        <f t="shared" si="1"/>
        <v>48791</v>
      </c>
      <c r="CP3" s="367">
        <f t="shared" si="1"/>
        <v>48822</v>
      </c>
      <c r="CQ3" s="367">
        <f t="shared" si="1"/>
        <v>48852</v>
      </c>
      <c r="CR3" s="367">
        <f t="shared" si="1"/>
        <v>48883</v>
      </c>
      <c r="CS3" s="367">
        <f t="shared" si="1"/>
        <v>48913</v>
      </c>
      <c r="CT3" s="367">
        <f t="shared" si="1"/>
        <v>48944</v>
      </c>
      <c r="CU3" s="367">
        <f t="shared" si="1"/>
        <v>48975</v>
      </c>
      <c r="CV3" s="367">
        <f t="shared" si="1"/>
        <v>49003</v>
      </c>
      <c r="CW3" s="367">
        <f t="shared" si="1"/>
        <v>49034</v>
      </c>
      <c r="CX3" s="367">
        <f t="shared" si="1"/>
        <v>49064</v>
      </c>
      <c r="CY3" s="367">
        <f t="shared" si="1"/>
        <v>49095</v>
      </c>
      <c r="CZ3" s="367">
        <f t="shared" si="1"/>
        <v>49125</v>
      </c>
      <c r="DA3" s="367">
        <f t="shared" si="1"/>
        <v>49156</v>
      </c>
      <c r="DB3" s="367">
        <f t="shared" si="1"/>
        <v>49187</v>
      </c>
      <c r="DC3" s="367">
        <f t="shared" si="1"/>
        <v>49217</v>
      </c>
      <c r="DD3" s="367">
        <f t="shared" si="1"/>
        <v>49248</v>
      </c>
      <c r="DE3" s="367">
        <f t="shared" si="1"/>
        <v>49278</v>
      </c>
      <c r="DF3" s="367">
        <f t="shared" si="1"/>
        <v>49309</v>
      </c>
      <c r="DG3" s="367">
        <f t="shared" si="1"/>
        <v>49340</v>
      </c>
      <c r="DH3" s="367">
        <f t="shared" si="1"/>
        <v>49368</v>
      </c>
      <c r="DI3" s="367">
        <f t="shared" si="1"/>
        <v>49399</v>
      </c>
      <c r="DJ3" s="367">
        <f t="shared" si="1"/>
        <v>49429</v>
      </c>
      <c r="DK3" s="367">
        <f t="shared" si="1"/>
        <v>49460</v>
      </c>
      <c r="DL3" s="367">
        <f t="shared" si="1"/>
        <v>49490</v>
      </c>
      <c r="DM3" s="367">
        <f t="shared" si="1"/>
        <v>49521</v>
      </c>
      <c r="DN3" s="367">
        <f t="shared" si="1"/>
        <v>49552</v>
      </c>
      <c r="DO3" s="367">
        <f t="shared" si="1"/>
        <v>49582</v>
      </c>
      <c r="DP3" s="367">
        <f t="shared" si="1"/>
        <v>49613</v>
      </c>
      <c r="DQ3" s="367">
        <f t="shared" si="1"/>
        <v>49643</v>
      </c>
      <c r="DR3" s="367">
        <f t="shared" si="1"/>
        <v>49674</v>
      </c>
      <c r="DS3" s="367">
        <f t="shared" si="1"/>
        <v>49705</v>
      </c>
      <c r="DT3" s="367">
        <f t="shared" si="1"/>
        <v>49734</v>
      </c>
      <c r="DU3" s="368"/>
      <c r="DV3" s="187"/>
    </row>
    <row r="4" spans="1:126" s="3" customFormat="1" ht="20.149999999999999" customHeight="1">
      <c r="A4" s="187" t="s">
        <v>123</v>
      </c>
      <c r="B4" s="309" t="s">
        <v>1067</v>
      </c>
      <c r="C4" s="369"/>
      <c r="D4" s="370">
        <f>ROUNDUP(D5/12,0)</f>
        <v>0</v>
      </c>
      <c r="E4" s="371">
        <f t="shared" ref="E4:S4" si="2">ROUNDUP(E5/12,0)</f>
        <v>1</v>
      </c>
      <c r="F4" s="371">
        <f t="shared" si="2"/>
        <v>1</v>
      </c>
      <c r="G4" s="371">
        <f t="shared" si="2"/>
        <v>1</v>
      </c>
      <c r="H4" s="371">
        <f t="shared" si="2"/>
        <v>1</v>
      </c>
      <c r="I4" s="371">
        <f t="shared" si="2"/>
        <v>1</v>
      </c>
      <c r="J4" s="371">
        <f t="shared" si="2"/>
        <v>1</v>
      </c>
      <c r="K4" s="371">
        <f t="shared" si="2"/>
        <v>1</v>
      </c>
      <c r="L4" s="371">
        <f t="shared" si="2"/>
        <v>1</v>
      </c>
      <c r="M4" s="371">
        <f t="shared" si="2"/>
        <v>1</v>
      </c>
      <c r="N4" s="371">
        <f t="shared" si="2"/>
        <v>1</v>
      </c>
      <c r="O4" s="371">
        <f t="shared" si="2"/>
        <v>1</v>
      </c>
      <c r="P4" s="371">
        <f t="shared" si="2"/>
        <v>1</v>
      </c>
      <c r="Q4" s="371">
        <f t="shared" si="2"/>
        <v>2</v>
      </c>
      <c r="R4" s="371">
        <f t="shared" si="2"/>
        <v>2</v>
      </c>
      <c r="S4" s="371">
        <f t="shared" si="2"/>
        <v>2</v>
      </c>
      <c r="T4" s="371">
        <f t="shared" ref="T4" si="3">ROUNDUP(T5/12,0)</f>
        <v>2</v>
      </c>
      <c r="U4" s="371">
        <f t="shared" ref="U4" si="4">ROUNDUP(U5/12,0)</f>
        <v>2</v>
      </c>
      <c r="V4" s="371">
        <f t="shared" ref="V4" si="5">ROUNDUP(V5/12,0)</f>
        <v>2</v>
      </c>
      <c r="W4" s="371">
        <f t="shared" ref="W4" si="6">ROUNDUP(W5/12,0)</f>
        <v>2</v>
      </c>
      <c r="X4" s="371">
        <f t="shared" ref="X4" si="7">ROUNDUP(X5/12,0)</f>
        <v>2</v>
      </c>
      <c r="Y4" s="371">
        <f t="shared" ref="Y4" si="8">ROUNDUP(Y5/12,0)</f>
        <v>2</v>
      </c>
      <c r="Z4" s="371">
        <f t="shared" ref="Z4" si="9">ROUNDUP(Z5/12,0)</f>
        <v>2</v>
      </c>
      <c r="AA4" s="371">
        <f t="shared" ref="AA4" si="10">ROUNDUP(AA5/12,0)</f>
        <v>2</v>
      </c>
      <c r="AB4" s="371">
        <f t="shared" ref="AB4" si="11">ROUNDUP(AB5/12,0)</f>
        <v>2</v>
      </c>
      <c r="AC4" s="371">
        <f t="shared" ref="AC4" si="12">ROUNDUP(AC5/12,0)</f>
        <v>3</v>
      </c>
      <c r="AD4" s="371">
        <f t="shared" ref="AD4" si="13">ROUNDUP(AD5/12,0)</f>
        <v>3</v>
      </c>
      <c r="AE4" s="371">
        <f t="shared" ref="AE4" si="14">ROUNDUP(AE5/12,0)</f>
        <v>3</v>
      </c>
      <c r="AF4" s="371">
        <f t="shared" ref="AF4" si="15">ROUNDUP(AF5/12,0)</f>
        <v>3</v>
      </c>
      <c r="AG4" s="371">
        <f t="shared" ref="AG4" si="16">ROUNDUP(AG5/12,0)</f>
        <v>3</v>
      </c>
      <c r="AH4" s="371">
        <f t="shared" ref="AH4" si="17">ROUNDUP(AH5/12,0)</f>
        <v>3</v>
      </c>
      <c r="AI4" s="371">
        <f t="shared" ref="AI4" si="18">ROUNDUP(AI5/12,0)</f>
        <v>3</v>
      </c>
      <c r="AJ4" s="371">
        <f t="shared" ref="AJ4" si="19">ROUNDUP(AJ5/12,0)</f>
        <v>3</v>
      </c>
      <c r="AK4" s="371">
        <f t="shared" ref="AK4" si="20">ROUNDUP(AK5/12,0)</f>
        <v>3</v>
      </c>
      <c r="AL4" s="371">
        <f t="shared" ref="AL4" si="21">ROUNDUP(AL5/12,0)</f>
        <v>3</v>
      </c>
      <c r="AM4" s="371">
        <f t="shared" ref="AM4" si="22">ROUNDUP(AM5/12,0)</f>
        <v>3</v>
      </c>
      <c r="AN4" s="371">
        <f t="shared" ref="AN4" si="23">ROUNDUP(AN5/12,0)</f>
        <v>3</v>
      </c>
      <c r="AO4" s="371">
        <f t="shared" ref="AO4" si="24">ROUNDUP(AO5/12,0)</f>
        <v>4</v>
      </c>
      <c r="AP4" s="371">
        <f t="shared" ref="AP4" si="25">ROUNDUP(AP5/12,0)</f>
        <v>4</v>
      </c>
      <c r="AQ4" s="371">
        <f t="shared" ref="AQ4" si="26">ROUNDUP(AQ5/12,0)</f>
        <v>4</v>
      </c>
      <c r="AR4" s="371">
        <f t="shared" ref="AR4" si="27">ROUNDUP(AR5/12,0)</f>
        <v>4</v>
      </c>
      <c r="AS4" s="371">
        <f t="shared" ref="AS4" si="28">ROUNDUP(AS5/12,0)</f>
        <v>4</v>
      </c>
      <c r="AT4" s="371">
        <f t="shared" ref="AT4" si="29">ROUNDUP(AT5/12,0)</f>
        <v>4</v>
      </c>
      <c r="AU4" s="371">
        <f t="shared" ref="AU4" si="30">ROUNDUP(AU5/12,0)</f>
        <v>4</v>
      </c>
      <c r="AV4" s="371">
        <f t="shared" ref="AV4" si="31">ROUNDUP(AV5/12,0)</f>
        <v>4</v>
      </c>
      <c r="AW4" s="371">
        <f t="shared" ref="AW4" si="32">ROUNDUP(AW5/12,0)</f>
        <v>4</v>
      </c>
      <c r="AX4" s="371">
        <f t="shared" ref="AX4" si="33">ROUNDUP(AX5/12,0)</f>
        <v>4</v>
      </c>
      <c r="AY4" s="371">
        <f t="shared" ref="AY4" si="34">ROUNDUP(AY5/12,0)</f>
        <v>4</v>
      </c>
      <c r="AZ4" s="371">
        <f t="shared" ref="AZ4" si="35">ROUNDUP(AZ5/12,0)</f>
        <v>4</v>
      </c>
      <c r="BA4" s="371">
        <f t="shared" ref="BA4" si="36">ROUNDUP(BA5/12,0)</f>
        <v>5</v>
      </c>
      <c r="BB4" s="371">
        <f t="shared" ref="BB4" si="37">ROUNDUP(BB5/12,0)</f>
        <v>5</v>
      </c>
      <c r="BC4" s="371">
        <f t="shared" ref="BC4" si="38">ROUNDUP(BC5/12,0)</f>
        <v>5</v>
      </c>
      <c r="BD4" s="371">
        <f t="shared" ref="BD4" si="39">ROUNDUP(BD5/12,0)</f>
        <v>5</v>
      </c>
      <c r="BE4" s="371">
        <f t="shared" ref="BE4" si="40">ROUNDUP(BE5/12,0)</f>
        <v>5</v>
      </c>
      <c r="BF4" s="371">
        <f t="shared" ref="BF4" si="41">ROUNDUP(BF5/12,0)</f>
        <v>5</v>
      </c>
      <c r="BG4" s="371">
        <f t="shared" ref="BG4" si="42">ROUNDUP(BG5/12,0)</f>
        <v>5</v>
      </c>
      <c r="BH4" s="371">
        <f t="shared" ref="BH4" si="43">ROUNDUP(BH5/12,0)</f>
        <v>5</v>
      </c>
      <c r="BI4" s="371">
        <f t="shared" ref="BI4" si="44">ROUNDUP(BI5/12,0)</f>
        <v>5</v>
      </c>
      <c r="BJ4" s="371">
        <f t="shared" ref="BJ4" si="45">ROUNDUP(BJ5/12,0)</f>
        <v>5</v>
      </c>
      <c r="BK4" s="371">
        <f t="shared" ref="BK4" si="46">ROUNDUP(BK5/12,0)</f>
        <v>5</v>
      </c>
      <c r="BL4" s="371">
        <f t="shared" ref="BL4" si="47">ROUNDUP(BL5/12,0)</f>
        <v>5</v>
      </c>
      <c r="BM4" s="371">
        <f t="shared" ref="BM4" si="48">ROUNDUP(BM5/12,0)</f>
        <v>6</v>
      </c>
      <c r="BN4" s="371">
        <f t="shared" ref="BN4" si="49">ROUNDUP(BN5/12,0)</f>
        <v>6</v>
      </c>
      <c r="BO4" s="371">
        <f t="shared" ref="BO4" si="50">ROUNDUP(BO5/12,0)</f>
        <v>6</v>
      </c>
      <c r="BP4" s="371">
        <f t="shared" ref="BP4" si="51">ROUNDUP(BP5/12,0)</f>
        <v>6</v>
      </c>
      <c r="BQ4" s="371">
        <f t="shared" ref="BQ4" si="52">ROUNDUP(BQ5/12,0)</f>
        <v>6</v>
      </c>
      <c r="BR4" s="371">
        <f t="shared" ref="BR4" si="53">ROUNDUP(BR5/12,0)</f>
        <v>6</v>
      </c>
      <c r="BS4" s="371">
        <f t="shared" ref="BS4" si="54">ROUNDUP(BS5/12,0)</f>
        <v>6</v>
      </c>
      <c r="BT4" s="371">
        <f t="shared" ref="BT4" si="55">ROUNDUP(BT5/12,0)</f>
        <v>6</v>
      </c>
      <c r="BU4" s="371">
        <f t="shared" ref="BU4" si="56">ROUNDUP(BU5/12,0)</f>
        <v>6</v>
      </c>
      <c r="BV4" s="371">
        <f t="shared" ref="BV4" si="57">ROUNDUP(BV5/12,0)</f>
        <v>6</v>
      </c>
      <c r="BW4" s="371">
        <f t="shared" ref="BW4" si="58">ROUNDUP(BW5/12,0)</f>
        <v>6</v>
      </c>
      <c r="BX4" s="371">
        <f t="shared" ref="BX4" si="59">ROUNDUP(BX5/12,0)</f>
        <v>6</v>
      </c>
      <c r="BY4" s="371">
        <f t="shared" ref="BY4" si="60">ROUNDUP(BY5/12,0)</f>
        <v>7</v>
      </c>
      <c r="BZ4" s="371">
        <f t="shared" ref="BZ4" si="61">ROUNDUP(BZ5/12,0)</f>
        <v>7</v>
      </c>
      <c r="CA4" s="371">
        <f t="shared" ref="CA4" si="62">ROUNDUP(CA5/12,0)</f>
        <v>7</v>
      </c>
      <c r="CB4" s="371">
        <f t="shared" ref="CB4" si="63">ROUNDUP(CB5/12,0)</f>
        <v>7</v>
      </c>
      <c r="CC4" s="371">
        <f t="shared" ref="CC4" si="64">ROUNDUP(CC5/12,0)</f>
        <v>7</v>
      </c>
      <c r="CD4" s="371">
        <f t="shared" ref="CD4" si="65">ROUNDUP(CD5/12,0)</f>
        <v>7</v>
      </c>
      <c r="CE4" s="371">
        <f t="shared" ref="CE4" si="66">ROUNDUP(CE5/12,0)</f>
        <v>7</v>
      </c>
      <c r="CF4" s="371">
        <f t="shared" ref="CF4" si="67">ROUNDUP(CF5/12,0)</f>
        <v>7</v>
      </c>
      <c r="CG4" s="371">
        <f t="shared" ref="CG4" si="68">ROUNDUP(CG5/12,0)</f>
        <v>7</v>
      </c>
      <c r="CH4" s="371">
        <f t="shared" ref="CH4" si="69">ROUNDUP(CH5/12,0)</f>
        <v>7</v>
      </c>
      <c r="CI4" s="371">
        <f t="shared" ref="CI4" si="70">ROUNDUP(CI5/12,0)</f>
        <v>7</v>
      </c>
      <c r="CJ4" s="371">
        <f t="shared" ref="CJ4" si="71">ROUNDUP(CJ5/12,0)</f>
        <v>7</v>
      </c>
      <c r="CK4" s="371">
        <f t="shared" ref="CK4" si="72">ROUNDUP(CK5/12,0)</f>
        <v>8</v>
      </c>
      <c r="CL4" s="371">
        <f t="shared" ref="CL4" si="73">ROUNDUP(CL5/12,0)</f>
        <v>8</v>
      </c>
      <c r="CM4" s="371">
        <f t="shared" ref="CM4" si="74">ROUNDUP(CM5/12,0)</f>
        <v>8</v>
      </c>
      <c r="CN4" s="371">
        <f t="shared" ref="CN4" si="75">ROUNDUP(CN5/12,0)</f>
        <v>8</v>
      </c>
      <c r="CO4" s="371">
        <f t="shared" ref="CO4" si="76">ROUNDUP(CO5/12,0)</f>
        <v>8</v>
      </c>
      <c r="CP4" s="371">
        <f t="shared" ref="CP4" si="77">ROUNDUP(CP5/12,0)</f>
        <v>8</v>
      </c>
      <c r="CQ4" s="371">
        <f t="shared" ref="CQ4" si="78">ROUNDUP(CQ5/12,0)</f>
        <v>8</v>
      </c>
      <c r="CR4" s="371">
        <f t="shared" ref="CR4" si="79">ROUNDUP(CR5/12,0)</f>
        <v>8</v>
      </c>
      <c r="CS4" s="371">
        <f t="shared" ref="CS4" si="80">ROUNDUP(CS5/12,0)</f>
        <v>8</v>
      </c>
      <c r="CT4" s="371">
        <f t="shared" ref="CT4" si="81">ROUNDUP(CT5/12,0)</f>
        <v>8</v>
      </c>
      <c r="CU4" s="371">
        <f t="shared" ref="CU4" si="82">ROUNDUP(CU5/12,0)</f>
        <v>8</v>
      </c>
      <c r="CV4" s="371">
        <f t="shared" ref="CV4" si="83">ROUNDUP(CV5/12,0)</f>
        <v>8</v>
      </c>
      <c r="CW4" s="371">
        <f t="shared" ref="CW4" si="84">ROUNDUP(CW5/12,0)</f>
        <v>9</v>
      </c>
      <c r="CX4" s="371">
        <f t="shared" ref="CX4" si="85">ROUNDUP(CX5/12,0)</f>
        <v>9</v>
      </c>
      <c r="CY4" s="371">
        <f t="shared" ref="CY4" si="86">ROUNDUP(CY5/12,0)</f>
        <v>9</v>
      </c>
      <c r="CZ4" s="371">
        <f t="shared" ref="CZ4" si="87">ROUNDUP(CZ5/12,0)</f>
        <v>9</v>
      </c>
      <c r="DA4" s="371">
        <f t="shared" ref="DA4" si="88">ROUNDUP(DA5/12,0)</f>
        <v>9</v>
      </c>
      <c r="DB4" s="371">
        <f t="shared" ref="DB4" si="89">ROUNDUP(DB5/12,0)</f>
        <v>9</v>
      </c>
      <c r="DC4" s="371">
        <f t="shared" ref="DC4" si="90">ROUNDUP(DC5/12,0)</f>
        <v>9</v>
      </c>
      <c r="DD4" s="371">
        <f t="shared" ref="DD4" si="91">ROUNDUP(DD5/12,0)</f>
        <v>9</v>
      </c>
      <c r="DE4" s="371">
        <f t="shared" ref="DE4" si="92">ROUNDUP(DE5/12,0)</f>
        <v>9</v>
      </c>
      <c r="DF4" s="371">
        <f t="shared" ref="DF4" si="93">ROUNDUP(DF5/12,0)</f>
        <v>9</v>
      </c>
      <c r="DG4" s="371">
        <f t="shared" ref="DG4" si="94">ROUNDUP(DG5/12,0)</f>
        <v>9</v>
      </c>
      <c r="DH4" s="371">
        <f t="shared" ref="DH4" si="95">ROUNDUP(DH5/12,0)</f>
        <v>9</v>
      </c>
      <c r="DI4" s="371">
        <f t="shared" ref="DI4" si="96">ROUNDUP(DI5/12,0)</f>
        <v>10</v>
      </c>
      <c r="DJ4" s="371">
        <f t="shared" ref="DJ4" si="97">ROUNDUP(DJ5/12,0)</f>
        <v>10</v>
      </c>
      <c r="DK4" s="371">
        <f t="shared" ref="DK4" si="98">ROUNDUP(DK5/12,0)</f>
        <v>10</v>
      </c>
      <c r="DL4" s="371">
        <f t="shared" ref="DL4" si="99">ROUNDUP(DL5/12,0)</f>
        <v>10</v>
      </c>
      <c r="DM4" s="371">
        <f t="shared" ref="DM4" si="100">ROUNDUP(DM5/12,0)</f>
        <v>10</v>
      </c>
      <c r="DN4" s="371">
        <f t="shared" ref="DN4" si="101">ROUNDUP(DN5/12,0)</f>
        <v>10</v>
      </c>
      <c r="DO4" s="371">
        <f t="shared" ref="DO4" si="102">ROUNDUP(DO5/12,0)</f>
        <v>10</v>
      </c>
      <c r="DP4" s="371">
        <f t="shared" ref="DP4" si="103">ROUNDUP(DP5/12,0)</f>
        <v>10</v>
      </c>
      <c r="DQ4" s="371">
        <f t="shared" ref="DQ4" si="104">ROUNDUP(DQ5/12,0)</f>
        <v>10</v>
      </c>
      <c r="DR4" s="371">
        <f t="shared" ref="DR4" si="105">ROUNDUP(DR5/12,0)</f>
        <v>10</v>
      </c>
      <c r="DS4" s="371">
        <f t="shared" ref="DS4:DT4" si="106">ROUNDUP(DS5/12,0)</f>
        <v>10</v>
      </c>
      <c r="DT4" s="372">
        <f t="shared" si="106"/>
        <v>10</v>
      </c>
      <c r="DU4" s="368"/>
      <c r="DV4" s="187"/>
    </row>
    <row r="5" spans="1:126" s="3" customFormat="1" ht="20.149999999999999" customHeight="1">
      <c r="A5" s="187" t="s">
        <v>1068</v>
      </c>
      <c r="B5" s="309" t="s">
        <v>203</v>
      </c>
      <c r="C5" s="369"/>
      <c r="D5" s="369">
        <v>0</v>
      </c>
      <c r="E5" s="373">
        <f>D5+1</f>
        <v>1</v>
      </c>
      <c r="F5" s="373">
        <f>E5+1</f>
        <v>2</v>
      </c>
      <c r="G5" s="373">
        <f t="shared" ref="G5:S5" si="107">F5+1</f>
        <v>3</v>
      </c>
      <c r="H5" s="373">
        <f t="shared" si="107"/>
        <v>4</v>
      </c>
      <c r="I5" s="373">
        <f t="shared" si="107"/>
        <v>5</v>
      </c>
      <c r="J5" s="373">
        <f t="shared" si="107"/>
        <v>6</v>
      </c>
      <c r="K5" s="373">
        <f t="shared" si="107"/>
        <v>7</v>
      </c>
      <c r="L5" s="373">
        <f t="shared" si="107"/>
        <v>8</v>
      </c>
      <c r="M5" s="373">
        <f t="shared" si="107"/>
        <v>9</v>
      </c>
      <c r="N5" s="373">
        <f t="shared" si="107"/>
        <v>10</v>
      </c>
      <c r="O5" s="373">
        <f t="shared" si="107"/>
        <v>11</v>
      </c>
      <c r="P5" s="373">
        <f t="shared" si="107"/>
        <v>12</v>
      </c>
      <c r="Q5" s="373">
        <f t="shared" si="107"/>
        <v>13</v>
      </c>
      <c r="R5" s="373">
        <f t="shared" si="107"/>
        <v>14</v>
      </c>
      <c r="S5" s="373">
        <f t="shared" si="107"/>
        <v>15</v>
      </c>
      <c r="T5" s="373">
        <f t="shared" ref="T5:CA5" si="108">S5+1</f>
        <v>16</v>
      </c>
      <c r="U5" s="373">
        <f t="shared" si="108"/>
        <v>17</v>
      </c>
      <c r="V5" s="373">
        <f t="shared" si="108"/>
        <v>18</v>
      </c>
      <c r="W5" s="373">
        <f t="shared" si="108"/>
        <v>19</v>
      </c>
      <c r="X5" s="373">
        <f t="shared" si="108"/>
        <v>20</v>
      </c>
      <c r="Y5" s="373">
        <f t="shared" si="108"/>
        <v>21</v>
      </c>
      <c r="Z5" s="373">
        <f t="shared" si="108"/>
        <v>22</v>
      </c>
      <c r="AA5" s="373">
        <f t="shared" si="108"/>
        <v>23</v>
      </c>
      <c r="AB5" s="373">
        <f t="shared" si="108"/>
        <v>24</v>
      </c>
      <c r="AC5" s="373">
        <f t="shared" si="108"/>
        <v>25</v>
      </c>
      <c r="AD5" s="373">
        <f t="shared" si="108"/>
        <v>26</v>
      </c>
      <c r="AE5" s="373">
        <f t="shared" si="108"/>
        <v>27</v>
      </c>
      <c r="AF5" s="373">
        <f t="shared" si="108"/>
        <v>28</v>
      </c>
      <c r="AG5" s="373">
        <f t="shared" si="108"/>
        <v>29</v>
      </c>
      <c r="AH5" s="373">
        <f t="shared" si="108"/>
        <v>30</v>
      </c>
      <c r="AI5" s="373">
        <f t="shared" si="108"/>
        <v>31</v>
      </c>
      <c r="AJ5" s="373">
        <f t="shared" si="108"/>
        <v>32</v>
      </c>
      <c r="AK5" s="373">
        <f t="shared" si="108"/>
        <v>33</v>
      </c>
      <c r="AL5" s="373">
        <f t="shared" si="108"/>
        <v>34</v>
      </c>
      <c r="AM5" s="373">
        <f t="shared" si="108"/>
        <v>35</v>
      </c>
      <c r="AN5" s="373">
        <f t="shared" si="108"/>
        <v>36</v>
      </c>
      <c r="AO5" s="373">
        <f t="shared" si="108"/>
        <v>37</v>
      </c>
      <c r="AP5" s="373">
        <f t="shared" si="108"/>
        <v>38</v>
      </c>
      <c r="AQ5" s="373">
        <f t="shared" si="108"/>
        <v>39</v>
      </c>
      <c r="AR5" s="373">
        <f t="shared" si="108"/>
        <v>40</v>
      </c>
      <c r="AS5" s="373">
        <f t="shared" si="108"/>
        <v>41</v>
      </c>
      <c r="AT5" s="373">
        <f t="shared" si="108"/>
        <v>42</v>
      </c>
      <c r="AU5" s="373">
        <f t="shared" si="108"/>
        <v>43</v>
      </c>
      <c r="AV5" s="373">
        <f t="shared" si="108"/>
        <v>44</v>
      </c>
      <c r="AW5" s="373">
        <f t="shared" si="108"/>
        <v>45</v>
      </c>
      <c r="AX5" s="373">
        <f t="shared" si="108"/>
        <v>46</v>
      </c>
      <c r="AY5" s="373">
        <f t="shared" si="108"/>
        <v>47</v>
      </c>
      <c r="AZ5" s="373">
        <f t="shared" si="108"/>
        <v>48</v>
      </c>
      <c r="BA5" s="373">
        <f t="shared" si="108"/>
        <v>49</v>
      </c>
      <c r="BB5" s="373">
        <f t="shared" si="108"/>
        <v>50</v>
      </c>
      <c r="BC5" s="373">
        <f t="shared" si="108"/>
        <v>51</v>
      </c>
      <c r="BD5" s="373">
        <f t="shared" si="108"/>
        <v>52</v>
      </c>
      <c r="BE5" s="373">
        <f t="shared" si="108"/>
        <v>53</v>
      </c>
      <c r="BF5" s="373">
        <f t="shared" si="108"/>
        <v>54</v>
      </c>
      <c r="BG5" s="373">
        <f t="shared" si="108"/>
        <v>55</v>
      </c>
      <c r="BH5" s="373">
        <f t="shared" si="108"/>
        <v>56</v>
      </c>
      <c r="BI5" s="373">
        <f t="shared" si="108"/>
        <v>57</v>
      </c>
      <c r="BJ5" s="373">
        <f t="shared" si="108"/>
        <v>58</v>
      </c>
      <c r="BK5" s="373">
        <f t="shared" si="108"/>
        <v>59</v>
      </c>
      <c r="BL5" s="373">
        <f t="shared" si="108"/>
        <v>60</v>
      </c>
      <c r="BM5" s="373">
        <f t="shared" si="108"/>
        <v>61</v>
      </c>
      <c r="BN5" s="373">
        <f t="shared" si="108"/>
        <v>62</v>
      </c>
      <c r="BO5" s="373">
        <f t="shared" si="108"/>
        <v>63</v>
      </c>
      <c r="BP5" s="373">
        <f t="shared" si="108"/>
        <v>64</v>
      </c>
      <c r="BQ5" s="373">
        <f t="shared" si="108"/>
        <v>65</v>
      </c>
      <c r="BR5" s="373">
        <f t="shared" si="108"/>
        <v>66</v>
      </c>
      <c r="BS5" s="373">
        <f t="shared" si="108"/>
        <v>67</v>
      </c>
      <c r="BT5" s="373">
        <f t="shared" si="108"/>
        <v>68</v>
      </c>
      <c r="BU5" s="373">
        <f t="shared" si="108"/>
        <v>69</v>
      </c>
      <c r="BV5" s="373">
        <f t="shared" si="108"/>
        <v>70</v>
      </c>
      <c r="BW5" s="373">
        <f t="shared" si="108"/>
        <v>71</v>
      </c>
      <c r="BX5" s="373">
        <f t="shared" si="108"/>
        <v>72</v>
      </c>
      <c r="BY5" s="373">
        <f t="shared" si="108"/>
        <v>73</v>
      </c>
      <c r="BZ5" s="373">
        <f t="shared" si="108"/>
        <v>74</v>
      </c>
      <c r="CA5" s="373">
        <f t="shared" si="108"/>
        <v>75</v>
      </c>
      <c r="CB5" s="373">
        <f t="shared" ref="CB5:DS5" si="109">CA5+1</f>
        <v>76</v>
      </c>
      <c r="CC5" s="373">
        <f t="shared" si="109"/>
        <v>77</v>
      </c>
      <c r="CD5" s="373">
        <f t="shared" si="109"/>
        <v>78</v>
      </c>
      <c r="CE5" s="373">
        <f t="shared" si="109"/>
        <v>79</v>
      </c>
      <c r="CF5" s="373">
        <f t="shared" si="109"/>
        <v>80</v>
      </c>
      <c r="CG5" s="373">
        <f t="shared" si="109"/>
        <v>81</v>
      </c>
      <c r="CH5" s="373">
        <f t="shared" si="109"/>
        <v>82</v>
      </c>
      <c r="CI5" s="373">
        <f t="shared" si="109"/>
        <v>83</v>
      </c>
      <c r="CJ5" s="373">
        <f t="shared" si="109"/>
        <v>84</v>
      </c>
      <c r="CK5" s="373">
        <f t="shared" si="109"/>
        <v>85</v>
      </c>
      <c r="CL5" s="373">
        <f t="shared" si="109"/>
        <v>86</v>
      </c>
      <c r="CM5" s="373">
        <f t="shared" si="109"/>
        <v>87</v>
      </c>
      <c r="CN5" s="373">
        <f t="shared" si="109"/>
        <v>88</v>
      </c>
      <c r="CO5" s="373">
        <f t="shared" si="109"/>
        <v>89</v>
      </c>
      <c r="CP5" s="373">
        <f t="shared" si="109"/>
        <v>90</v>
      </c>
      <c r="CQ5" s="373">
        <f t="shared" si="109"/>
        <v>91</v>
      </c>
      <c r="CR5" s="373">
        <f t="shared" si="109"/>
        <v>92</v>
      </c>
      <c r="CS5" s="373">
        <f t="shared" si="109"/>
        <v>93</v>
      </c>
      <c r="CT5" s="373">
        <f t="shared" si="109"/>
        <v>94</v>
      </c>
      <c r="CU5" s="373">
        <f t="shared" si="109"/>
        <v>95</v>
      </c>
      <c r="CV5" s="373">
        <f t="shared" si="109"/>
        <v>96</v>
      </c>
      <c r="CW5" s="373">
        <f t="shared" si="109"/>
        <v>97</v>
      </c>
      <c r="CX5" s="373">
        <f t="shared" si="109"/>
        <v>98</v>
      </c>
      <c r="CY5" s="373">
        <f t="shared" si="109"/>
        <v>99</v>
      </c>
      <c r="CZ5" s="373">
        <f t="shared" si="109"/>
        <v>100</v>
      </c>
      <c r="DA5" s="373">
        <f t="shared" si="109"/>
        <v>101</v>
      </c>
      <c r="DB5" s="373">
        <f t="shared" si="109"/>
        <v>102</v>
      </c>
      <c r="DC5" s="373">
        <f t="shared" si="109"/>
        <v>103</v>
      </c>
      <c r="DD5" s="373">
        <f t="shared" si="109"/>
        <v>104</v>
      </c>
      <c r="DE5" s="373">
        <f t="shared" si="109"/>
        <v>105</v>
      </c>
      <c r="DF5" s="373">
        <f t="shared" si="109"/>
        <v>106</v>
      </c>
      <c r="DG5" s="373">
        <f t="shared" si="109"/>
        <v>107</v>
      </c>
      <c r="DH5" s="373">
        <f t="shared" si="109"/>
        <v>108</v>
      </c>
      <c r="DI5" s="373">
        <f t="shared" si="109"/>
        <v>109</v>
      </c>
      <c r="DJ5" s="373">
        <f t="shared" si="109"/>
        <v>110</v>
      </c>
      <c r="DK5" s="373">
        <f t="shared" si="109"/>
        <v>111</v>
      </c>
      <c r="DL5" s="373">
        <f t="shared" si="109"/>
        <v>112</v>
      </c>
      <c r="DM5" s="373">
        <f t="shared" si="109"/>
        <v>113</v>
      </c>
      <c r="DN5" s="373">
        <f t="shared" si="109"/>
        <v>114</v>
      </c>
      <c r="DO5" s="373">
        <f t="shared" si="109"/>
        <v>115</v>
      </c>
      <c r="DP5" s="373">
        <f t="shared" si="109"/>
        <v>116</v>
      </c>
      <c r="DQ5" s="373">
        <f t="shared" si="109"/>
        <v>117</v>
      </c>
      <c r="DR5" s="373">
        <f t="shared" si="109"/>
        <v>118</v>
      </c>
      <c r="DS5" s="373">
        <f t="shared" si="109"/>
        <v>119</v>
      </c>
      <c r="DT5" s="374">
        <f t="shared" ref="DT5" si="110">DS5+1</f>
        <v>120</v>
      </c>
      <c r="DU5" s="368"/>
      <c r="DV5" s="187"/>
    </row>
    <row r="6" spans="1:126" s="92" customFormat="1" ht="20.149999999999999" customHeight="1" outlineLevel="1">
      <c r="A6" s="375"/>
      <c r="B6" s="197"/>
      <c r="C6" s="376"/>
      <c r="D6" s="377"/>
      <c r="E6" s="378"/>
      <c r="F6" s="1861">
        <f>(F8/E8)-1</f>
        <v>6.6666666666665986E-3</v>
      </c>
      <c r="G6" s="1861">
        <f t="shared" ref="G6:BR6" si="111">(G8/F8)-1</f>
        <v>6.6666666666665986E-3</v>
      </c>
      <c r="H6" s="1861">
        <f t="shared" si="111"/>
        <v>6.6666666666665986E-3</v>
      </c>
      <c r="I6" s="1861">
        <f t="shared" si="111"/>
        <v>6.6666666666665986E-3</v>
      </c>
      <c r="J6" s="1861">
        <f t="shared" si="111"/>
        <v>6.6666666666665986E-3</v>
      </c>
      <c r="K6" s="1861">
        <f t="shared" si="111"/>
        <v>6.6666666666665986E-3</v>
      </c>
      <c r="L6" s="1861">
        <f t="shared" si="111"/>
        <v>6.6666666666665986E-3</v>
      </c>
      <c r="M6" s="1861">
        <f t="shared" si="111"/>
        <v>6.6666666666665986E-3</v>
      </c>
      <c r="N6" s="1861">
        <f t="shared" si="111"/>
        <v>6.6666666666665986E-3</v>
      </c>
      <c r="O6" s="1861">
        <f t="shared" si="111"/>
        <v>6.6666666666665986E-3</v>
      </c>
      <c r="P6" s="1861">
        <f t="shared" si="111"/>
        <v>6.6666666666665986E-3</v>
      </c>
      <c r="Q6" s="1861">
        <f t="shared" si="111"/>
        <v>6.2500000000000888E-3</v>
      </c>
      <c r="R6" s="1861">
        <f t="shared" si="111"/>
        <v>6.2500000000000888E-3</v>
      </c>
      <c r="S6" s="1861">
        <f t="shared" si="111"/>
        <v>6.2500000000000888E-3</v>
      </c>
      <c r="T6" s="1861">
        <f t="shared" si="111"/>
        <v>6.2500000000000888E-3</v>
      </c>
      <c r="U6" s="1861">
        <f t="shared" si="111"/>
        <v>6.2500000000000888E-3</v>
      </c>
      <c r="V6" s="1861">
        <f t="shared" si="111"/>
        <v>6.2500000000000888E-3</v>
      </c>
      <c r="W6" s="1861">
        <f t="shared" si="111"/>
        <v>6.2500000000000888E-3</v>
      </c>
      <c r="X6" s="1861">
        <f t="shared" si="111"/>
        <v>6.2500000000000888E-3</v>
      </c>
      <c r="Y6" s="1861">
        <f t="shared" si="111"/>
        <v>6.2500000000000888E-3</v>
      </c>
      <c r="Z6" s="1861">
        <f t="shared" si="111"/>
        <v>6.2500000000000888E-3</v>
      </c>
      <c r="AA6" s="1861">
        <f t="shared" si="111"/>
        <v>6.2500000000000888E-3</v>
      </c>
      <c r="AB6" s="1861">
        <f t="shared" si="111"/>
        <v>6.2500000000000888E-3</v>
      </c>
      <c r="AC6" s="1861">
        <f t="shared" si="111"/>
        <v>3.3333333333334103E-3</v>
      </c>
      <c r="AD6" s="1861">
        <f t="shared" si="111"/>
        <v>3.3333333333334103E-3</v>
      </c>
      <c r="AE6" s="1861">
        <f t="shared" si="111"/>
        <v>3.3333333333334103E-3</v>
      </c>
      <c r="AF6" s="1861">
        <f t="shared" si="111"/>
        <v>3.3333333333334103E-3</v>
      </c>
      <c r="AG6" s="1861">
        <f t="shared" si="111"/>
        <v>3.3333333333334103E-3</v>
      </c>
      <c r="AH6" s="1861">
        <f t="shared" si="111"/>
        <v>3.3333333333334103E-3</v>
      </c>
      <c r="AI6" s="1861">
        <f t="shared" si="111"/>
        <v>3.3333333333334103E-3</v>
      </c>
      <c r="AJ6" s="1861">
        <f t="shared" si="111"/>
        <v>3.3333333333334103E-3</v>
      </c>
      <c r="AK6" s="1861">
        <f t="shared" si="111"/>
        <v>3.3333333333334103E-3</v>
      </c>
      <c r="AL6" s="1861">
        <f t="shared" si="111"/>
        <v>3.3333333333334103E-3</v>
      </c>
      <c r="AM6" s="1861">
        <f t="shared" si="111"/>
        <v>3.3333333333334103E-3</v>
      </c>
      <c r="AN6" s="1861">
        <f t="shared" si="111"/>
        <v>3.3333333333334103E-3</v>
      </c>
      <c r="AO6" s="1861">
        <f t="shared" si="111"/>
        <v>3.3333333333334103E-3</v>
      </c>
      <c r="AP6" s="1861">
        <f t="shared" si="111"/>
        <v>3.3333333333334103E-3</v>
      </c>
      <c r="AQ6" s="1861">
        <f t="shared" si="111"/>
        <v>3.3333333333334103E-3</v>
      </c>
      <c r="AR6" s="1861">
        <f t="shared" si="111"/>
        <v>3.3333333333334103E-3</v>
      </c>
      <c r="AS6" s="1861">
        <f t="shared" si="111"/>
        <v>3.3333333333334103E-3</v>
      </c>
      <c r="AT6" s="1861">
        <f t="shared" si="111"/>
        <v>3.3333333333334103E-3</v>
      </c>
      <c r="AU6" s="1861">
        <f t="shared" si="111"/>
        <v>3.3333333333334103E-3</v>
      </c>
      <c r="AV6" s="1861">
        <f t="shared" si="111"/>
        <v>3.3333333333334103E-3</v>
      </c>
      <c r="AW6" s="1861">
        <f t="shared" si="111"/>
        <v>3.3333333333334103E-3</v>
      </c>
      <c r="AX6" s="1861">
        <f t="shared" si="111"/>
        <v>3.3333333333334103E-3</v>
      </c>
      <c r="AY6" s="1861">
        <f t="shared" si="111"/>
        <v>3.3333333333334103E-3</v>
      </c>
      <c r="AZ6" s="1861">
        <f t="shared" si="111"/>
        <v>3.3333333333334103E-3</v>
      </c>
      <c r="BA6" s="1861">
        <f t="shared" si="111"/>
        <v>3.3333333333334103E-3</v>
      </c>
      <c r="BB6" s="1861">
        <f t="shared" si="111"/>
        <v>3.3333333333334103E-3</v>
      </c>
      <c r="BC6" s="1861">
        <f t="shared" si="111"/>
        <v>3.3333333333334103E-3</v>
      </c>
      <c r="BD6" s="1861">
        <f t="shared" si="111"/>
        <v>3.3333333333334103E-3</v>
      </c>
      <c r="BE6" s="1861">
        <f t="shared" si="111"/>
        <v>3.3333333333334103E-3</v>
      </c>
      <c r="BF6" s="1861">
        <f t="shared" si="111"/>
        <v>3.3333333333334103E-3</v>
      </c>
      <c r="BG6" s="1861">
        <f t="shared" si="111"/>
        <v>3.3333333333334103E-3</v>
      </c>
      <c r="BH6" s="1861">
        <f t="shared" si="111"/>
        <v>3.3333333333334103E-3</v>
      </c>
      <c r="BI6" s="1861">
        <f t="shared" si="111"/>
        <v>3.3333333333334103E-3</v>
      </c>
      <c r="BJ6" s="1861">
        <f t="shared" si="111"/>
        <v>3.3333333333334103E-3</v>
      </c>
      <c r="BK6" s="1861">
        <f t="shared" si="111"/>
        <v>3.3333333333334103E-3</v>
      </c>
      <c r="BL6" s="1861">
        <f t="shared" si="111"/>
        <v>3.3333333333334103E-3</v>
      </c>
      <c r="BM6" s="1861">
        <f t="shared" si="111"/>
        <v>3.3333333333334103E-3</v>
      </c>
      <c r="BN6" s="1861">
        <f t="shared" si="111"/>
        <v>3.3333333333334103E-3</v>
      </c>
      <c r="BO6" s="1861">
        <f t="shared" si="111"/>
        <v>3.3333333333334103E-3</v>
      </c>
      <c r="BP6" s="1861">
        <f t="shared" si="111"/>
        <v>3.3333333333334103E-3</v>
      </c>
      <c r="BQ6" s="1861">
        <f t="shared" si="111"/>
        <v>3.3333333333334103E-3</v>
      </c>
      <c r="BR6" s="1861">
        <f t="shared" si="111"/>
        <v>3.3333333333334103E-3</v>
      </c>
      <c r="BS6" s="1861">
        <f t="shared" ref="BS6:DT6" si="112">(BS8/BR8)-1</f>
        <v>3.3333333333334103E-3</v>
      </c>
      <c r="BT6" s="1861">
        <f t="shared" si="112"/>
        <v>3.3333333333334103E-3</v>
      </c>
      <c r="BU6" s="1861">
        <f t="shared" si="112"/>
        <v>3.3333333333334103E-3</v>
      </c>
      <c r="BV6" s="1861">
        <f t="shared" si="112"/>
        <v>3.3333333333334103E-3</v>
      </c>
      <c r="BW6" s="1861">
        <f t="shared" si="112"/>
        <v>3.3333333333334103E-3</v>
      </c>
      <c r="BX6" s="1861">
        <f t="shared" si="112"/>
        <v>3.3333333333334103E-3</v>
      </c>
      <c r="BY6" s="1861">
        <f t="shared" si="112"/>
        <v>3.3333333333334103E-3</v>
      </c>
      <c r="BZ6" s="1861">
        <f t="shared" si="112"/>
        <v>3.3333333333334103E-3</v>
      </c>
      <c r="CA6" s="1861">
        <f t="shared" si="112"/>
        <v>3.3333333333334103E-3</v>
      </c>
      <c r="CB6" s="1861">
        <f t="shared" si="112"/>
        <v>3.3333333333334103E-3</v>
      </c>
      <c r="CC6" s="1861">
        <f t="shared" si="112"/>
        <v>3.3333333333334103E-3</v>
      </c>
      <c r="CD6" s="1861">
        <f t="shared" si="112"/>
        <v>3.3333333333334103E-3</v>
      </c>
      <c r="CE6" s="1861">
        <f t="shared" si="112"/>
        <v>3.3333333333334103E-3</v>
      </c>
      <c r="CF6" s="1861">
        <f t="shared" si="112"/>
        <v>3.3333333333334103E-3</v>
      </c>
      <c r="CG6" s="1861">
        <f t="shared" si="112"/>
        <v>3.3333333333334103E-3</v>
      </c>
      <c r="CH6" s="1861">
        <f t="shared" si="112"/>
        <v>3.3333333333334103E-3</v>
      </c>
      <c r="CI6" s="1861">
        <f t="shared" si="112"/>
        <v>3.3333333333334103E-3</v>
      </c>
      <c r="CJ6" s="1861">
        <f t="shared" si="112"/>
        <v>3.3333333333334103E-3</v>
      </c>
      <c r="CK6" s="1861">
        <f t="shared" si="112"/>
        <v>3.3333333333334103E-3</v>
      </c>
      <c r="CL6" s="1861">
        <f t="shared" si="112"/>
        <v>3.3333333333334103E-3</v>
      </c>
      <c r="CM6" s="1861">
        <f t="shared" si="112"/>
        <v>3.3333333333334103E-3</v>
      </c>
      <c r="CN6" s="1861">
        <f t="shared" si="112"/>
        <v>3.3333333333334103E-3</v>
      </c>
      <c r="CO6" s="1861">
        <f t="shared" si="112"/>
        <v>3.3333333333334103E-3</v>
      </c>
      <c r="CP6" s="1861">
        <f t="shared" si="112"/>
        <v>3.3333333333334103E-3</v>
      </c>
      <c r="CQ6" s="1861">
        <f t="shared" si="112"/>
        <v>3.3333333333334103E-3</v>
      </c>
      <c r="CR6" s="1861">
        <f t="shared" si="112"/>
        <v>3.3333333333334103E-3</v>
      </c>
      <c r="CS6" s="1861">
        <f t="shared" si="112"/>
        <v>3.3333333333334103E-3</v>
      </c>
      <c r="CT6" s="1861">
        <f t="shared" si="112"/>
        <v>3.3333333333334103E-3</v>
      </c>
      <c r="CU6" s="1861">
        <f t="shared" si="112"/>
        <v>3.3333333333334103E-3</v>
      </c>
      <c r="CV6" s="1861">
        <f t="shared" si="112"/>
        <v>3.3333333333334103E-3</v>
      </c>
      <c r="CW6" s="1861">
        <f t="shared" si="112"/>
        <v>3.3333333333334103E-3</v>
      </c>
      <c r="CX6" s="1861">
        <f t="shared" si="112"/>
        <v>3.3333333333334103E-3</v>
      </c>
      <c r="CY6" s="1861">
        <f t="shared" si="112"/>
        <v>3.3333333333334103E-3</v>
      </c>
      <c r="CZ6" s="1861">
        <f t="shared" si="112"/>
        <v>3.3333333333334103E-3</v>
      </c>
      <c r="DA6" s="1861">
        <f t="shared" si="112"/>
        <v>3.3333333333334103E-3</v>
      </c>
      <c r="DB6" s="1861">
        <f t="shared" si="112"/>
        <v>3.3333333333334103E-3</v>
      </c>
      <c r="DC6" s="1861">
        <f t="shared" si="112"/>
        <v>3.3333333333334103E-3</v>
      </c>
      <c r="DD6" s="1861">
        <f t="shared" si="112"/>
        <v>3.3333333333334103E-3</v>
      </c>
      <c r="DE6" s="1861">
        <f t="shared" si="112"/>
        <v>3.3333333333334103E-3</v>
      </c>
      <c r="DF6" s="1861">
        <f t="shared" si="112"/>
        <v>3.3333333333334103E-3</v>
      </c>
      <c r="DG6" s="1861">
        <f t="shared" si="112"/>
        <v>3.3333333333334103E-3</v>
      </c>
      <c r="DH6" s="1861">
        <f t="shared" si="112"/>
        <v>3.3333333333334103E-3</v>
      </c>
      <c r="DI6" s="1861">
        <f t="shared" si="112"/>
        <v>3.3333333333334103E-3</v>
      </c>
      <c r="DJ6" s="1861">
        <f t="shared" si="112"/>
        <v>3.3333333333334103E-3</v>
      </c>
      <c r="DK6" s="1861">
        <f t="shared" si="112"/>
        <v>3.3333333333334103E-3</v>
      </c>
      <c r="DL6" s="1861">
        <f t="shared" si="112"/>
        <v>3.3333333333334103E-3</v>
      </c>
      <c r="DM6" s="1861">
        <f t="shared" si="112"/>
        <v>3.3333333333334103E-3</v>
      </c>
      <c r="DN6" s="1861">
        <f t="shared" si="112"/>
        <v>3.3333333333334103E-3</v>
      </c>
      <c r="DO6" s="1861">
        <f t="shared" si="112"/>
        <v>3.3333333333334103E-3</v>
      </c>
      <c r="DP6" s="1861">
        <f t="shared" si="112"/>
        <v>3.3333333333334103E-3</v>
      </c>
      <c r="DQ6" s="1861">
        <f t="shared" si="112"/>
        <v>3.3333333333334103E-3</v>
      </c>
      <c r="DR6" s="1861">
        <f t="shared" si="112"/>
        <v>3.3333333333334103E-3</v>
      </c>
      <c r="DS6" s="1861">
        <f t="shared" si="112"/>
        <v>3.3333333333334103E-3</v>
      </c>
      <c r="DT6" s="1862">
        <f t="shared" si="112"/>
        <v>3.3333333333334103E-3</v>
      </c>
      <c r="DU6" s="379"/>
      <c r="DV6" s="375"/>
    </row>
    <row r="7" spans="1:126" s="92" customFormat="1" ht="20.149999999999999" customHeight="1" outlineLevel="1">
      <c r="A7" s="375"/>
      <c r="B7" s="197" t="s">
        <v>1069</v>
      </c>
      <c r="C7" s="1423"/>
      <c r="D7" s="1424" t="s">
        <v>1070</v>
      </c>
      <c r="E7" s="1424"/>
      <c r="F7" s="1425"/>
      <c r="G7" s="380"/>
      <c r="H7" s="380"/>
      <c r="I7" s="380"/>
      <c r="J7" s="380"/>
      <c r="K7" s="380"/>
      <c r="L7" s="380"/>
      <c r="M7" s="380"/>
      <c r="N7" s="380"/>
      <c r="O7" s="380"/>
      <c r="P7" s="380"/>
      <c r="Q7" s="380"/>
      <c r="R7" s="380"/>
      <c r="S7" s="380"/>
      <c r="T7" s="380"/>
      <c r="U7" s="380"/>
      <c r="V7" s="380"/>
      <c r="W7" s="380"/>
      <c r="X7" s="380"/>
      <c r="Y7" s="380"/>
      <c r="Z7" s="380"/>
      <c r="AA7" s="380"/>
      <c r="AB7" s="380"/>
      <c r="AC7" s="380"/>
      <c r="AD7" s="380"/>
      <c r="AE7" s="380"/>
      <c r="AF7" s="380"/>
      <c r="AG7" s="380"/>
      <c r="AH7" s="380"/>
      <c r="AI7" s="380"/>
      <c r="AJ7" s="380"/>
      <c r="AK7" s="380"/>
      <c r="AL7" s="380"/>
      <c r="AM7" s="380"/>
      <c r="AN7" s="380"/>
      <c r="AO7" s="380"/>
      <c r="AP7" s="380"/>
      <c r="AQ7" s="380"/>
      <c r="AR7" s="380"/>
      <c r="AS7" s="380"/>
      <c r="AT7" s="380"/>
      <c r="AU7" s="380"/>
      <c r="AV7" s="380"/>
      <c r="AW7" s="380"/>
      <c r="AX7" s="380"/>
      <c r="AY7" s="380"/>
      <c r="AZ7" s="380"/>
      <c r="BA7" s="380"/>
      <c r="BB7" s="380"/>
      <c r="BC7" s="380"/>
      <c r="BD7" s="380"/>
      <c r="BE7" s="380"/>
      <c r="BF7" s="380"/>
      <c r="BG7" s="380"/>
      <c r="BH7" s="380"/>
      <c r="BI7" s="380"/>
      <c r="BJ7" s="380"/>
      <c r="BK7" s="380"/>
      <c r="BL7" s="380"/>
      <c r="BM7" s="380"/>
      <c r="BN7" s="380"/>
      <c r="BO7" s="380"/>
      <c r="BP7" s="380"/>
      <c r="BQ7" s="380"/>
      <c r="BR7" s="380"/>
      <c r="BS7" s="380"/>
      <c r="BT7" s="380"/>
      <c r="BU7" s="380"/>
      <c r="BV7" s="380"/>
      <c r="BW7" s="380"/>
      <c r="BX7" s="380"/>
      <c r="BY7" s="380"/>
      <c r="BZ7" s="380"/>
      <c r="CA7" s="380"/>
      <c r="CB7" s="380"/>
      <c r="CC7" s="380"/>
      <c r="CD7" s="380"/>
      <c r="CE7" s="380"/>
      <c r="CF7" s="380"/>
      <c r="CG7" s="380"/>
      <c r="CH7" s="380"/>
      <c r="CI7" s="380"/>
      <c r="CJ7" s="380"/>
      <c r="CK7" s="380"/>
      <c r="CL7" s="380"/>
      <c r="CM7" s="380"/>
      <c r="CN7" s="380"/>
      <c r="CO7" s="380"/>
      <c r="CP7" s="380"/>
      <c r="CQ7" s="380"/>
      <c r="CR7" s="380"/>
      <c r="CS7" s="380"/>
      <c r="CT7" s="380"/>
      <c r="CU7" s="380"/>
      <c r="CV7" s="380"/>
      <c r="CW7" s="380"/>
      <c r="CX7" s="380"/>
      <c r="CY7" s="380"/>
      <c r="CZ7" s="380"/>
      <c r="DA7" s="380"/>
      <c r="DB7" s="380"/>
      <c r="DC7" s="380"/>
      <c r="DD7" s="380"/>
      <c r="DE7" s="380"/>
      <c r="DF7" s="380"/>
      <c r="DG7" s="380"/>
      <c r="DH7" s="380"/>
      <c r="DI7" s="380"/>
      <c r="DJ7" s="380"/>
      <c r="DK7" s="380"/>
      <c r="DL7" s="380"/>
      <c r="DM7" s="380"/>
      <c r="DN7" s="380"/>
      <c r="DO7" s="380"/>
      <c r="DP7" s="380"/>
      <c r="DQ7" s="380"/>
      <c r="DR7" s="380"/>
      <c r="DS7" s="380"/>
      <c r="DT7" s="381"/>
      <c r="DU7" s="382" t="s">
        <v>557</v>
      </c>
      <c r="DV7" s="375"/>
    </row>
    <row r="8" spans="1:126" s="92" customFormat="1" ht="20.149999999999999" customHeight="1" outlineLevel="1">
      <c r="A8" s="375"/>
      <c r="B8" s="383" t="str">
        <f>'Rent Roll Analysis'!C6</f>
        <v>A1</v>
      </c>
      <c r="C8" s="376"/>
      <c r="D8" s="1426">
        <f>IF('Rent Roll Analysis'!C6="","",'Rent Roll Analysis'!N6*'Rent Roll Analysis'!E6)</f>
        <v>44718.2</v>
      </c>
      <c r="E8" s="1428">
        <f>D8</f>
        <v>44718.2</v>
      </c>
      <c r="F8" s="1428">
        <f>IF($B8="","",IF(F$4&lt;2,(E8*(1+'Rent Roll Analysis'!$AK6/12)), IF(AND('Monthly Cash Flow'!F$4&gt;1,'Monthly Cash Flow'!F$4&lt;=2),'Monthly Cash Flow'!E8*(1+'Rent Roll Analysis'!$AE6/12),'Monthly Cash Flow'!E8*(1+'Rent Roll Analysis'!$AB6/12))))</f>
        <v>45016.321333333326</v>
      </c>
      <c r="G8" s="1428">
        <f>IF($B8="","",IF(G$4&lt;2,(F8*(1+'Rent Roll Analysis'!$AK6/12)), IF(AND('Monthly Cash Flow'!G$4&gt;1,'Monthly Cash Flow'!G$4&lt;=2),'Monthly Cash Flow'!F8*(1+'Rent Roll Analysis'!$AE6/12),'Monthly Cash Flow'!F8*(1+'Rent Roll Analysis'!$AB6/12))))</f>
        <v>45316.430142222212</v>
      </c>
      <c r="H8" s="1428">
        <f>IF($B8="","",IF(H$4&lt;2,(G8*(1+'Rent Roll Analysis'!$AK6/12)), IF(AND('Monthly Cash Flow'!H$4&gt;1,'Monthly Cash Flow'!H$4&lt;=2),'Monthly Cash Flow'!G8*(1+'Rent Roll Analysis'!$AE6/12),'Monthly Cash Flow'!G8*(1+'Rent Roll Analysis'!$AB6/12))))</f>
        <v>45618.539676503693</v>
      </c>
      <c r="I8" s="1428">
        <f>IF($B8="","",IF(I$4&lt;2,(H8*(1+'Rent Roll Analysis'!$AK6/12)), IF(AND('Monthly Cash Flow'!I$4&gt;1,'Monthly Cash Flow'!I$4&lt;=2),'Monthly Cash Flow'!H8*(1+'Rent Roll Analysis'!$AE6/12),'Monthly Cash Flow'!H8*(1+'Rent Roll Analysis'!$AB6/12))))</f>
        <v>45922.663274347047</v>
      </c>
      <c r="J8" s="1428">
        <f>IF($B8="","",IF(J$4&lt;2,(I8*(1+'Rent Roll Analysis'!$AK6/12)), IF(AND('Monthly Cash Flow'!J$4&gt;1,'Monthly Cash Flow'!J$4&lt;=2),'Monthly Cash Flow'!I8*(1+'Rent Roll Analysis'!$AE6/12),'Monthly Cash Flow'!I8*(1+'Rent Roll Analysis'!$AB6/12))))</f>
        <v>46228.814362842691</v>
      </c>
      <c r="K8" s="1428">
        <f>IF($B8="","",IF(K$4&lt;2,(J8*(1+'Rent Roll Analysis'!$AK6/12)), IF(AND('Monthly Cash Flow'!K$4&gt;1,'Monthly Cash Flow'!K$4&lt;=2),'Monthly Cash Flow'!J8*(1+'Rent Roll Analysis'!$AE6/12),'Monthly Cash Flow'!J8*(1+'Rent Roll Analysis'!$AB6/12))))</f>
        <v>46537.006458594973</v>
      </c>
      <c r="L8" s="1428">
        <f>IF($B8="","",IF(L$4&lt;2,(K8*(1+'Rent Roll Analysis'!$AK6/12)), IF(AND('Monthly Cash Flow'!L$4&gt;1,'Monthly Cash Flow'!L$4&lt;=2),'Monthly Cash Flow'!K8*(1+'Rent Roll Analysis'!$AE6/12),'Monthly Cash Flow'!K8*(1+'Rent Roll Analysis'!$AB6/12))))</f>
        <v>46847.253168318937</v>
      </c>
      <c r="M8" s="1428">
        <f>IF($B8="","",IF(M$4&lt;2,(L8*(1+'Rent Roll Analysis'!$AK6/12)), IF(AND('Monthly Cash Flow'!M$4&gt;1,'Monthly Cash Flow'!M$4&lt;=2),'Monthly Cash Flow'!L8*(1+'Rent Roll Analysis'!$AE6/12),'Monthly Cash Flow'!L8*(1+'Rent Roll Analysis'!$AB6/12))))</f>
        <v>47159.568189441059</v>
      </c>
      <c r="N8" s="1428">
        <f>IF($B8="","",IF(N$4&lt;2,(M8*(1+'Rent Roll Analysis'!$AK6/12)), IF(AND('Monthly Cash Flow'!N$4&gt;1,'Monthly Cash Flow'!N$4&lt;=2),'Monthly Cash Flow'!M8*(1+'Rent Roll Analysis'!$AE6/12),'Monthly Cash Flow'!M8*(1+'Rent Roll Analysis'!$AB6/12))))</f>
        <v>47473.965310703999</v>
      </c>
      <c r="O8" s="1428">
        <f>IF($B8="","",IF(O$4&lt;2,(N8*(1+'Rent Roll Analysis'!$AK6/12)), IF(AND('Monthly Cash Flow'!O$4&gt;1,'Monthly Cash Flow'!O$4&lt;=2),'Monthly Cash Flow'!N8*(1+'Rent Roll Analysis'!$AE6/12),'Monthly Cash Flow'!N8*(1+'Rent Roll Analysis'!$AB6/12))))</f>
        <v>47790.458412775355</v>
      </c>
      <c r="P8" s="1428">
        <f>IF($B8="","",IF(P$4&lt;2,(O8*(1+'Rent Roll Analysis'!$AK6/12)), IF(AND('Monthly Cash Flow'!P$4&gt;1,'Monthly Cash Flow'!P$4&lt;=2),'Monthly Cash Flow'!O8*(1+'Rent Roll Analysis'!$AE6/12),'Monthly Cash Flow'!O8*(1+'Rent Roll Analysis'!$AB6/12))))</f>
        <v>48109.06146886052</v>
      </c>
      <c r="Q8" s="1428">
        <f>IF($B8="","",IF(Q$4&lt;2,(P8*(1+'Rent Roll Analysis'!$AK6/12)), IF(AND('Monthly Cash Flow'!Q$4&gt;1,'Monthly Cash Flow'!Q$4&lt;=2),'Monthly Cash Flow'!P8*(1+'Rent Roll Analysis'!$AE6/12),'Monthly Cash Flow'!P8*(1+'Rent Roll Analysis'!$AB6/12))))</f>
        <v>48409.743103040906</v>
      </c>
      <c r="R8" s="1428">
        <f>IF($B8="","",IF(R$4&lt;2,(Q8*(1+'Rent Roll Analysis'!$AK6/12)), IF(AND('Monthly Cash Flow'!R$4&gt;1,'Monthly Cash Flow'!R$4&lt;=2),'Monthly Cash Flow'!Q8*(1+'Rent Roll Analysis'!$AE6/12),'Monthly Cash Flow'!Q8*(1+'Rent Roll Analysis'!$AB6/12))))</f>
        <v>48712.303997434916</v>
      </c>
      <c r="S8" s="1428">
        <f>IF($B8="","",IF(S$4&lt;2,(R8*(1+'Rent Roll Analysis'!$AK6/12)), IF(AND('Monthly Cash Flow'!S$4&gt;1,'Monthly Cash Flow'!S$4&lt;=2),'Monthly Cash Flow'!R8*(1+'Rent Roll Analysis'!$AE6/12),'Monthly Cash Flow'!R8*(1+'Rent Roll Analysis'!$AB6/12))))</f>
        <v>49016.755897418887</v>
      </c>
      <c r="T8" s="1428">
        <f>IF($B8="","",IF(T$4&lt;2,(S8*(1+'Rent Roll Analysis'!$AK6/12)), IF(AND('Monthly Cash Flow'!T$4&gt;1,'Monthly Cash Flow'!T$4&lt;=2),'Monthly Cash Flow'!S8*(1+'Rent Roll Analysis'!$AE6/12),'Monthly Cash Flow'!S8*(1+'Rent Roll Analysis'!$AB6/12))))</f>
        <v>49323.110621777756</v>
      </c>
      <c r="U8" s="1428">
        <f>IF($B8="","",IF(U$4&lt;2,(T8*(1+'Rent Roll Analysis'!$AK6/12)), IF(AND('Monthly Cash Flow'!U$4&gt;1,'Monthly Cash Flow'!U$4&lt;=2),'Monthly Cash Flow'!T8*(1+'Rent Roll Analysis'!$AE6/12),'Monthly Cash Flow'!T8*(1+'Rent Roll Analysis'!$AB6/12))))</f>
        <v>49631.380063163873</v>
      </c>
      <c r="V8" s="1428">
        <f>IF($B8="","",IF(V$4&lt;2,(U8*(1+'Rent Roll Analysis'!$AK6/12)), IF(AND('Monthly Cash Flow'!V$4&gt;1,'Monthly Cash Flow'!V$4&lt;=2),'Monthly Cash Flow'!U8*(1+'Rent Roll Analysis'!$AE6/12),'Monthly Cash Flow'!U8*(1+'Rent Roll Analysis'!$AB6/12))))</f>
        <v>49941.576188558654</v>
      </c>
      <c r="W8" s="1428">
        <f>IF($B8="","",IF(W$4&lt;2,(V8*(1+'Rent Roll Analysis'!$AK6/12)), IF(AND('Monthly Cash Flow'!W$4&gt;1,'Monthly Cash Flow'!W$4&lt;=2),'Monthly Cash Flow'!V8*(1+'Rent Roll Analysis'!$AE6/12),'Monthly Cash Flow'!V8*(1+'Rent Roll Analysis'!$AB6/12))))</f>
        <v>50253.711039737151</v>
      </c>
      <c r="X8" s="1428">
        <f>IF($B8="","",IF(X$4&lt;2,(W8*(1+'Rent Roll Analysis'!$AK6/12)), IF(AND('Monthly Cash Flow'!X$4&gt;1,'Monthly Cash Flow'!X$4&lt;=2),'Monthly Cash Flow'!W8*(1+'Rent Roll Analysis'!$AE6/12),'Monthly Cash Flow'!W8*(1+'Rent Roll Analysis'!$AB6/12))))</f>
        <v>50567.796733735515</v>
      </c>
      <c r="Y8" s="1428">
        <f>IF($B8="","",IF(Y$4&lt;2,(X8*(1+'Rent Roll Analysis'!$AK6/12)), IF(AND('Monthly Cash Flow'!Y$4&gt;1,'Monthly Cash Flow'!Y$4&lt;=2),'Monthly Cash Flow'!X8*(1+'Rent Roll Analysis'!$AE6/12),'Monthly Cash Flow'!X8*(1+'Rent Roll Analysis'!$AB6/12))))</f>
        <v>50883.84546332137</v>
      </c>
      <c r="Z8" s="1428">
        <f>IF($B8="","",IF(Z$4&lt;2,(Y8*(1+'Rent Roll Analysis'!$AK6/12)), IF(AND('Monthly Cash Flow'!Z$4&gt;1,'Monthly Cash Flow'!Z$4&lt;=2),'Monthly Cash Flow'!Y8*(1+'Rent Roll Analysis'!$AE6/12),'Monthly Cash Flow'!Y8*(1+'Rent Roll Analysis'!$AB6/12))))</f>
        <v>51201.869497467131</v>
      </c>
      <c r="AA8" s="1428">
        <f>IF($B8="","",IF(AA$4&lt;2,(Z8*(1+'Rent Roll Analysis'!$AK6/12)), IF(AND('Monthly Cash Flow'!AA$4&gt;1,'Monthly Cash Flow'!AA$4&lt;=2),'Monthly Cash Flow'!Z8*(1+'Rent Roll Analysis'!$AE6/12),'Monthly Cash Flow'!Z8*(1+'Rent Roll Analysis'!$AB6/12))))</f>
        <v>51521.881181826306</v>
      </c>
      <c r="AB8" s="1428">
        <f>IF($B8="","",IF(AB$4&lt;2,(AA8*(1+'Rent Roll Analysis'!$AK6/12)), IF(AND('Monthly Cash Flow'!AB$4&gt;1,'Monthly Cash Flow'!AB$4&lt;=2),'Monthly Cash Flow'!AA8*(1+'Rent Roll Analysis'!$AE6/12),'Monthly Cash Flow'!AA8*(1+'Rent Roll Analysis'!$AB6/12))))</f>
        <v>51843.892939212725</v>
      </c>
      <c r="AC8" s="1428">
        <f>IF($B8="","",IF(AC$4&lt;2,(AB8*(1+'Rent Roll Analysis'!$AK6/12)), IF(AND('Monthly Cash Flow'!AC$4&gt;1,'Monthly Cash Flow'!AC$4&lt;=2),'Monthly Cash Flow'!AB8*(1+'Rent Roll Analysis'!$AE6/12),'Monthly Cash Flow'!AB8*(1+'Rent Roll Analysis'!$AB6/12))))</f>
        <v>52016.705915676772</v>
      </c>
      <c r="AD8" s="1428">
        <f>IF($B8="","",IF(AD$4&lt;2,(AC8*(1+'Rent Roll Analysis'!$AK6/12)), IF(AND('Monthly Cash Flow'!AD$4&gt;1,'Monthly Cash Flow'!AD$4&lt;=2),'Monthly Cash Flow'!AC8*(1+'Rent Roll Analysis'!$AE6/12),'Monthly Cash Flow'!AC8*(1+'Rent Roll Analysis'!$AB6/12))))</f>
        <v>52190.094935395697</v>
      </c>
      <c r="AE8" s="1428">
        <f>IF($B8="","",IF(AE$4&lt;2,(AD8*(1+'Rent Roll Analysis'!$AK6/12)), IF(AND('Monthly Cash Flow'!AE$4&gt;1,'Monthly Cash Flow'!AE$4&lt;=2),'Monthly Cash Flow'!AD8*(1+'Rent Roll Analysis'!$AE6/12),'Monthly Cash Flow'!AD8*(1+'Rent Roll Analysis'!$AB6/12))))</f>
        <v>52364.061918513689</v>
      </c>
      <c r="AF8" s="1428">
        <f>IF($B8="","",IF(AF$4&lt;2,(AE8*(1+'Rent Roll Analysis'!$AK6/12)), IF(AND('Monthly Cash Flow'!AF$4&gt;1,'Monthly Cash Flow'!AF$4&lt;=2),'Monthly Cash Flow'!AE8*(1+'Rent Roll Analysis'!$AE6/12),'Monthly Cash Flow'!AE8*(1+'Rent Roll Analysis'!$AB6/12))))</f>
        <v>52538.608791575403</v>
      </c>
      <c r="AG8" s="1428">
        <f>IF($B8="","",IF(AG$4&lt;2,(AF8*(1+'Rent Roll Analysis'!$AK6/12)), IF(AND('Monthly Cash Flow'!AG$4&gt;1,'Monthly Cash Flow'!AG$4&lt;=2),'Monthly Cash Flow'!AF8*(1+'Rent Roll Analysis'!$AE6/12),'Monthly Cash Flow'!AF8*(1+'Rent Roll Analysis'!$AB6/12))))</f>
        <v>52713.737487547325</v>
      </c>
      <c r="AH8" s="1428">
        <f>IF($B8="","",IF(AH$4&lt;2,(AG8*(1+'Rent Roll Analysis'!$AK6/12)), IF(AND('Monthly Cash Flow'!AH$4&gt;1,'Monthly Cash Flow'!AH$4&lt;=2),'Monthly Cash Flow'!AG8*(1+'Rent Roll Analysis'!$AE6/12),'Monthly Cash Flow'!AG8*(1+'Rent Roll Analysis'!$AB6/12))))</f>
        <v>52889.449945839151</v>
      </c>
      <c r="AI8" s="1428">
        <f>IF($B8="","",IF(AI$4&lt;2,(AH8*(1+'Rent Roll Analysis'!$AK6/12)), IF(AND('Monthly Cash Flow'!AI$4&gt;1,'Monthly Cash Flow'!AI$4&lt;=2),'Monthly Cash Flow'!AH8*(1+'Rent Roll Analysis'!$AE6/12),'Monthly Cash Flow'!AH8*(1+'Rent Roll Analysis'!$AB6/12))))</f>
        <v>53065.748112325287</v>
      </c>
      <c r="AJ8" s="1428">
        <f>IF($B8="","",IF(AJ$4&lt;2,(AI8*(1+'Rent Roll Analysis'!$AK6/12)), IF(AND('Monthly Cash Flow'!AJ$4&gt;1,'Monthly Cash Flow'!AJ$4&lt;=2),'Monthly Cash Flow'!AI8*(1+'Rent Roll Analysis'!$AE6/12),'Monthly Cash Flow'!AI8*(1+'Rent Roll Analysis'!$AB6/12))))</f>
        <v>53242.633939366373</v>
      </c>
      <c r="AK8" s="1428">
        <f>IF($B8="","",IF(AK$4&lt;2,(AJ8*(1+'Rent Roll Analysis'!$AK6/12)), IF(AND('Monthly Cash Flow'!AK$4&gt;1,'Monthly Cash Flow'!AK$4&lt;=2),'Monthly Cash Flow'!AJ8*(1+'Rent Roll Analysis'!$AE6/12),'Monthly Cash Flow'!AJ8*(1+'Rent Roll Analysis'!$AB6/12))))</f>
        <v>53420.109385830932</v>
      </c>
      <c r="AL8" s="1428">
        <f>IF($B8="","",IF(AL$4&lt;2,(AK8*(1+'Rent Roll Analysis'!$AK6/12)), IF(AND('Monthly Cash Flow'!AL$4&gt;1,'Monthly Cash Flow'!AL$4&lt;=2),'Monthly Cash Flow'!AK8*(1+'Rent Roll Analysis'!$AE6/12),'Monthly Cash Flow'!AK8*(1+'Rent Roll Analysis'!$AB6/12))))</f>
        <v>53598.176417117036</v>
      </c>
      <c r="AM8" s="1428">
        <f>IF($B8="","",IF(AM$4&lt;2,(AL8*(1+'Rent Roll Analysis'!$AK6/12)), IF(AND('Monthly Cash Flow'!AM$4&gt;1,'Monthly Cash Flow'!AM$4&lt;=2),'Monthly Cash Flow'!AL8*(1+'Rent Roll Analysis'!$AE6/12),'Monthly Cash Flow'!AL8*(1+'Rent Roll Analysis'!$AB6/12))))</f>
        <v>53776.8370051741</v>
      </c>
      <c r="AN8" s="1428">
        <f>IF($B8="","",IF(AN$4&lt;2,(AM8*(1+'Rent Roll Analysis'!$AK6/12)), IF(AND('Monthly Cash Flow'!AN$4&gt;1,'Monthly Cash Flow'!AN$4&lt;=2),'Monthly Cash Flow'!AM8*(1+'Rent Roll Analysis'!$AE6/12),'Monthly Cash Flow'!AM8*(1+'Rent Roll Analysis'!$AB6/12))))</f>
        <v>53956.093128524684</v>
      </c>
      <c r="AO8" s="1428">
        <f>IF($B8="","",IF(AO$4&lt;2,(AN8*(1+'Rent Roll Analysis'!$AK6/12)), IF(AND('Monthly Cash Flow'!AO$4&gt;1,'Monthly Cash Flow'!AO$4&lt;=2),'Monthly Cash Flow'!AN8*(1+'Rent Roll Analysis'!$AE6/12),'Monthly Cash Flow'!AN8*(1+'Rent Roll Analysis'!$AB6/12))))</f>
        <v>54135.946772286436</v>
      </c>
      <c r="AP8" s="1428">
        <f>IF($B8="","",IF(AP$4&lt;2,(AO8*(1+'Rent Roll Analysis'!$AK6/12)), IF(AND('Monthly Cash Flow'!AP$4&gt;1,'Monthly Cash Flow'!AP$4&lt;=2),'Monthly Cash Flow'!AO8*(1+'Rent Roll Analysis'!$AE6/12),'Monthly Cash Flow'!AO8*(1+'Rent Roll Analysis'!$AB6/12))))</f>
        <v>54316.399928194063</v>
      </c>
      <c r="AQ8" s="1428">
        <f>IF($B8="","",IF(AQ$4&lt;2,(AP8*(1+'Rent Roll Analysis'!$AK6/12)), IF(AND('Monthly Cash Flow'!AQ$4&gt;1,'Monthly Cash Flow'!AQ$4&lt;=2),'Monthly Cash Flow'!AP8*(1+'Rent Roll Analysis'!$AE6/12),'Monthly Cash Flow'!AP8*(1+'Rent Roll Analysis'!$AB6/12))))</f>
        <v>54497.454594621384</v>
      </c>
      <c r="AR8" s="1428">
        <f>IF($B8="","",IF(AR$4&lt;2,(AQ8*(1+'Rent Roll Analysis'!$AK6/12)), IF(AND('Monthly Cash Flow'!AR$4&gt;1,'Monthly Cash Flow'!AR$4&lt;=2),'Monthly Cash Flow'!AQ8*(1+'Rent Roll Analysis'!$AE6/12),'Monthly Cash Flow'!AQ8*(1+'Rent Roll Analysis'!$AB6/12))))</f>
        <v>54679.112776603462</v>
      </c>
      <c r="AS8" s="1428">
        <f>IF($B8="","",IF(AS$4&lt;2,(AR8*(1+'Rent Roll Analysis'!$AK6/12)), IF(AND('Monthly Cash Flow'!AS$4&gt;1,'Monthly Cash Flow'!AS$4&lt;=2),'Monthly Cash Flow'!AR8*(1+'Rent Roll Analysis'!$AE6/12),'Monthly Cash Flow'!AR8*(1+'Rent Roll Analysis'!$AB6/12))))</f>
        <v>54861.376485858811</v>
      </c>
      <c r="AT8" s="1428">
        <f>IF($B8="","",IF(AT$4&lt;2,(AS8*(1+'Rent Roll Analysis'!$AK6/12)), IF(AND('Monthly Cash Flow'!AT$4&gt;1,'Monthly Cash Flow'!AT$4&lt;=2),'Monthly Cash Flow'!AS8*(1+'Rent Roll Analysis'!$AE6/12),'Monthly Cash Flow'!AS8*(1+'Rent Roll Analysis'!$AB6/12))))</f>
        <v>55044.247740811676</v>
      </c>
      <c r="AU8" s="1428">
        <f>IF($B8="","",IF(AU$4&lt;2,(AT8*(1+'Rent Roll Analysis'!$AK6/12)), IF(AND('Monthly Cash Flow'!AU$4&gt;1,'Monthly Cash Flow'!AU$4&lt;=2),'Monthly Cash Flow'!AT8*(1+'Rent Roll Analysis'!$AE6/12),'Monthly Cash Flow'!AT8*(1+'Rent Roll Analysis'!$AB6/12))))</f>
        <v>55227.728566614387</v>
      </c>
      <c r="AV8" s="1428">
        <f>IF($B8="","",IF(AV$4&lt;2,(AU8*(1+'Rent Roll Analysis'!$AK6/12)), IF(AND('Monthly Cash Flow'!AV$4&gt;1,'Monthly Cash Flow'!AV$4&lt;=2),'Monthly Cash Flow'!AU8*(1+'Rent Roll Analysis'!$AE6/12),'Monthly Cash Flow'!AU8*(1+'Rent Roll Analysis'!$AB6/12))))</f>
        <v>55411.820995169772</v>
      </c>
      <c r="AW8" s="1428">
        <f>IF($B8="","",IF(AW$4&lt;2,(AV8*(1+'Rent Roll Analysis'!$AK6/12)), IF(AND('Monthly Cash Flow'!AW$4&gt;1,'Monthly Cash Flow'!AW$4&lt;=2),'Monthly Cash Flow'!AV8*(1+'Rent Roll Analysis'!$AE6/12),'Monthly Cash Flow'!AV8*(1+'Rent Roll Analysis'!$AB6/12))))</f>
        <v>55596.527065153678</v>
      </c>
      <c r="AX8" s="1428">
        <f>IF($B8="","",IF(AX$4&lt;2,(AW8*(1+'Rent Roll Analysis'!$AK6/12)), IF(AND('Monthly Cash Flow'!AX$4&gt;1,'Monthly Cash Flow'!AX$4&lt;=2),'Monthly Cash Flow'!AW8*(1+'Rent Roll Analysis'!$AE6/12),'Monthly Cash Flow'!AW8*(1+'Rent Roll Analysis'!$AB6/12))))</f>
        <v>55781.848822037529</v>
      </c>
      <c r="AY8" s="1428">
        <f>IF($B8="","",IF(AY$4&lt;2,(AX8*(1+'Rent Roll Analysis'!$AK6/12)), IF(AND('Monthly Cash Flow'!AY$4&gt;1,'Monthly Cash Flow'!AY$4&lt;=2),'Monthly Cash Flow'!AX8*(1+'Rent Roll Analysis'!$AE6/12),'Monthly Cash Flow'!AX8*(1+'Rent Roll Analysis'!$AB6/12))))</f>
        <v>55967.788318110994</v>
      </c>
      <c r="AZ8" s="1428">
        <f>IF($B8="","",IF(AZ$4&lt;2,(AY8*(1+'Rent Roll Analysis'!$AK6/12)), IF(AND('Monthly Cash Flow'!AZ$4&gt;1,'Monthly Cash Flow'!AZ$4&lt;=2),'Monthly Cash Flow'!AY8*(1+'Rent Roll Analysis'!$AE6/12),'Monthly Cash Flow'!AY8*(1+'Rent Roll Analysis'!$AB6/12))))</f>
        <v>56154.347612504702</v>
      </c>
      <c r="BA8" s="1428">
        <f>IF($B8="","",IF(BA$4&lt;2,(AZ8*(1+'Rent Roll Analysis'!$AK6/12)), IF(AND('Monthly Cash Flow'!BA$4&gt;1,'Monthly Cash Flow'!BA$4&lt;=2),'Monthly Cash Flow'!AZ8*(1+'Rent Roll Analysis'!$AE6/12),'Monthly Cash Flow'!AZ8*(1+'Rent Roll Analysis'!$AB6/12))))</f>
        <v>56341.528771213052</v>
      </c>
      <c r="BB8" s="1428">
        <f>IF($B8="","",IF(BB$4&lt;2,(BA8*(1+'Rent Roll Analysis'!$AK6/12)), IF(AND('Monthly Cash Flow'!BB$4&gt;1,'Monthly Cash Flow'!BB$4&lt;=2),'Monthly Cash Flow'!BA8*(1+'Rent Roll Analysis'!$AE6/12),'Monthly Cash Flow'!BA8*(1+'Rent Roll Analysis'!$AB6/12))))</f>
        <v>56529.3338671171</v>
      </c>
      <c r="BC8" s="1428">
        <f>IF($B8="","",IF(BC$4&lt;2,(BB8*(1+'Rent Roll Analysis'!$AK6/12)), IF(AND('Monthly Cash Flow'!BC$4&gt;1,'Monthly Cash Flow'!BC$4&lt;=2),'Monthly Cash Flow'!BB8*(1+'Rent Roll Analysis'!$AE6/12),'Monthly Cash Flow'!BB8*(1+'Rent Roll Analysis'!$AB6/12))))</f>
        <v>56717.764980007494</v>
      </c>
      <c r="BD8" s="1428">
        <f>IF($B8="","",IF(BD$4&lt;2,(BC8*(1+'Rent Roll Analysis'!$AK6/12)), IF(AND('Monthly Cash Flow'!BD$4&gt;1,'Monthly Cash Flow'!BD$4&lt;=2),'Monthly Cash Flow'!BC8*(1+'Rent Roll Analysis'!$AE6/12),'Monthly Cash Flow'!BC8*(1+'Rent Roll Analysis'!$AB6/12))))</f>
        <v>56906.824196607522</v>
      </c>
      <c r="BE8" s="1428">
        <f>IF($B8="","",IF(BE$4&lt;2,(BD8*(1+'Rent Roll Analysis'!$AK6/12)), IF(AND('Monthly Cash Flow'!BE$4&gt;1,'Monthly Cash Flow'!BE$4&lt;=2),'Monthly Cash Flow'!BD8*(1+'Rent Roll Analysis'!$AE6/12),'Monthly Cash Flow'!BD8*(1+'Rent Roll Analysis'!$AB6/12))))</f>
        <v>57096.513610596216</v>
      </c>
      <c r="BF8" s="1428">
        <f>IF($B8="","",IF(BF$4&lt;2,(BE8*(1+'Rent Roll Analysis'!$AK6/12)), IF(AND('Monthly Cash Flow'!BF$4&gt;1,'Monthly Cash Flow'!BF$4&lt;=2),'Monthly Cash Flow'!BE8*(1+'Rent Roll Analysis'!$AE6/12),'Monthly Cash Flow'!BE8*(1+'Rent Roll Analysis'!$AB6/12))))</f>
        <v>57286.835322631538</v>
      </c>
      <c r="BG8" s="1428">
        <f>IF($B8="","",IF(BG$4&lt;2,(BF8*(1+'Rent Roll Analysis'!$AK6/12)), IF(AND('Monthly Cash Flow'!BG$4&gt;1,'Monthly Cash Flow'!BG$4&lt;=2),'Monthly Cash Flow'!BF8*(1+'Rent Roll Analysis'!$AE6/12),'Monthly Cash Flow'!BF8*(1+'Rent Roll Analysis'!$AB6/12))))</f>
        <v>57477.79144037365</v>
      </c>
      <c r="BH8" s="1428">
        <f>IF($B8="","",IF(BH$4&lt;2,(BG8*(1+'Rent Roll Analysis'!$AK6/12)), IF(AND('Monthly Cash Flow'!BH$4&gt;1,'Monthly Cash Flow'!BH$4&lt;=2),'Monthly Cash Flow'!BG8*(1+'Rent Roll Analysis'!$AE6/12),'Monthly Cash Flow'!BG8*(1+'Rent Roll Analysis'!$AB6/12))))</f>
        <v>57669.384078508236</v>
      </c>
      <c r="BI8" s="1428">
        <f>IF($B8="","",IF(BI$4&lt;2,(BH8*(1+'Rent Roll Analysis'!$AK6/12)), IF(AND('Monthly Cash Flow'!BI$4&gt;1,'Monthly Cash Flow'!BI$4&lt;=2),'Monthly Cash Flow'!BH8*(1+'Rent Roll Analysis'!$AE6/12),'Monthly Cash Flow'!BH8*(1+'Rent Roll Analysis'!$AB6/12))))</f>
        <v>57861.615358769937</v>
      </c>
      <c r="BJ8" s="1428">
        <f>IF($B8="","",IF(BJ$4&lt;2,(BI8*(1+'Rent Roll Analysis'!$AK6/12)), IF(AND('Monthly Cash Flow'!BJ$4&gt;1,'Monthly Cash Flow'!BJ$4&lt;=2),'Monthly Cash Flow'!BI8*(1+'Rent Roll Analysis'!$AE6/12),'Monthly Cash Flow'!BI8*(1+'Rent Roll Analysis'!$AB6/12))))</f>
        <v>58054.487409965841</v>
      </c>
      <c r="BK8" s="1428">
        <f>IF($B8="","",IF(BK$4&lt;2,(BJ8*(1+'Rent Roll Analysis'!$AK6/12)), IF(AND('Monthly Cash Flow'!BK$4&gt;1,'Monthly Cash Flow'!BK$4&lt;=2),'Monthly Cash Flow'!BJ8*(1+'Rent Roll Analysis'!$AE6/12),'Monthly Cash Flow'!BJ8*(1+'Rent Roll Analysis'!$AB6/12))))</f>
        <v>58248.002367999063</v>
      </c>
      <c r="BL8" s="1428">
        <f>IF($B8="","",IF(BL$4&lt;2,(BK8*(1+'Rent Roll Analysis'!$AK6/12)), IF(AND('Monthly Cash Flow'!BL$4&gt;1,'Monthly Cash Flow'!BL$4&lt;=2),'Monthly Cash Flow'!BK8*(1+'Rent Roll Analysis'!$AE6/12),'Monthly Cash Flow'!BK8*(1+'Rent Roll Analysis'!$AB6/12))))</f>
        <v>58442.162375892396</v>
      </c>
      <c r="BM8" s="1428">
        <f>IF($B8="","",IF(BM$4&lt;2,(BL8*(1+'Rent Roll Analysis'!$AK6/12)), IF(AND('Monthly Cash Flow'!BM$4&gt;1,'Monthly Cash Flow'!BM$4&lt;=2),'Monthly Cash Flow'!BL8*(1+'Rent Roll Analysis'!$AE6/12),'Monthly Cash Flow'!BL8*(1+'Rent Roll Analysis'!$AB6/12))))</f>
        <v>58636.969583812039</v>
      </c>
      <c r="BN8" s="1428">
        <f>IF($B8="","",IF(BN$4&lt;2,(BM8*(1+'Rent Roll Analysis'!$AK6/12)), IF(AND('Monthly Cash Flow'!BN$4&gt;1,'Monthly Cash Flow'!BN$4&lt;=2),'Monthly Cash Flow'!BM8*(1+'Rent Roll Analysis'!$AE6/12),'Monthly Cash Flow'!BM8*(1+'Rent Roll Analysis'!$AB6/12))))</f>
        <v>58832.426149091414</v>
      </c>
      <c r="BO8" s="1428">
        <f>IF($B8="","",IF(BO$4&lt;2,(BN8*(1+'Rent Roll Analysis'!$AK6/12)), IF(AND('Monthly Cash Flow'!BO$4&gt;1,'Monthly Cash Flow'!BO$4&lt;=2),'Monthly Cash Flow'!BN8*(1+'Rent Roll Analysis'!$AE6/12),'Monthly Cash Flow'!BN8*(1+'Rent Roll Analysis'!$AB6/12))))</f>
        <v>59028.534236255058</v>
      </c>
      <c r="BP8" s="1428">
        <f>IF($B8="","",IF(BP$4&lt;2,(BO8*(1+'Rent Roll Analysis'!$AK6/12)), IF(AND('Monthly Cash Flow'!BP$4&gt;1,'Monthly Cash Flow'!BP$4&lt;=2),'Monthly Cash Flow'!BO8*(1+'Rent Roll Analysis'!$AE6/12),'Monthly Cash Flow'!BO8*(1+'Rent Roll Analysis'!$AB6/12))))</f>
        <v>59225.296017042579</v>
      </c>
      <c r="BQ8" s="1428">
        <f>IF($B8="","",IF(BQ$4&lt;2,(BP8*(1+'Rent Roll Analysis'!$AK6/12)), IF(AND('Monthly Cash Flow'!BQ$4&gt;1,'Monthly Cash Flow'!BQ$4&lt;=2),'Monthly Cash Flow'!BP8*(1+'Rent Roll Analysis'!$AE6/12),'Monthly Cash Flow'!BP8*(1+'Rent Roll Analysis'!$AB6/12))))</f>
        <v>59422.713670432728</v>
      </c>
      <c r="BR8" s="1428">
        <f>IF($B8="","",IF(BR$4&lt;2,(BQ8*(1+'Rent Roll Analysis'!$AK6/12)), IF(AND('Monthly Cash Flow'!BR$4&gt;1,'Monthly Cash Flow'!BR$4&lt;=2),'Monthly Cash Flow'!BQ8*(1+'Rent Roll Analysis'!$AE6/12),'Monthly Cash Flow'!BQ8*(1+'Rent Roll Analysis'!$AB6/12))))</f>
        <v>59620.789382667506</v>
      </c>
      <c r="BS8" s="1428">
        <f>IF($B8="","",IF(BS$4&lt;2,(BR8*(1+'Rent Roll Analysis'!$AK6/12)), IF(AND('Monthly Cash Flow'!BS$4&gt;1,'Monthly Cash Flow'!BS$4&lt;=2),'Monthly Cash Flow'!BR8*(1+'Rent Roll Analysis'!$AE6/12),'Monthly Cash Flow'!BR8*(1+'Rent Roll Analysis'!$AB6/12))))</f>
        <v>59819.525347276402</v>
      </c>
      <c r="BT8" s="1428">
        <f>IF($B8="","",IF(BT$4&lt;2,(BS8*(1+'Rent Roll Analysis'!$AK6/12)), IF(AND('Monthly Cash Flow'!BT$4&gt;1,'Monthly Cash Flow'!BT$4&lt;=2),'Monthly Cash Flow'!BS8*(1+'Rent Roll Analysis'!$AE6/12),'Monthly Cash Flow'!BS8*(1+'Rent Roll Analysis'!$AB6/12))))</f>
        <v>60018.923765100662</v>
      </c>
      <c r="BU8" s="1428">
        <f>IF($B8="","",IF(BU$4&lt;2,(BT8*(1+'Rent Roll Analysis'!$AK6/12)), IF(AND('Monthly Cash Flow'!BU$4&gt;1,'Monthly Cash Flow'!BU$4&lt;=2),'Monthly Cash Flow'!BT8*(1+'Rent Roll Analysis'!$AE6/12),'Monthly Cash Flow'!BT8*(1+'Rent Roll Analysis'!$AB6/12))))</f>
        <v>60218.986844317667</v>
      </c>
      <c r="BV8" s="1428">
        <f>IF($B8="","",IF(BV$4&lt;2,(BU8*(1+'Rent Roll Analysis'!$AK6/12)), IF(AND('Monthly Cash Flow'!BV$4&gt;1,'Monthly Cash Flow'!BV$4&lt;=2),'Monthly Cash Flow'!BU8*(1+'Rent Roll Analysis'!$AE6/12),'Monthly Cash Flow'!BU8*(1+'Rent Roll Analysis'!$AB6/12))))</f>
        <v>60419.716800465394</v>
      </c>
      <c r="BW8" s="1428">
        <f>IF($B8="","",IF(BW$4&lt;2,(BV8*(1+'Rent Roll Analysis'!$AK6/12)), IF(AND('Monthly Cash Flow'!BW$4&gt;1,'Monthly Cash Flow'!BW$4&lt;=2),'Monthly Cash Flow'!BV8*(1+'Rent Roll Analysis'!$AE6/12),'Monthly Cash Flow'!BV8*(1+'Rent Roll Analysis'!$AB6/12))))</f>
        <v>60621.115856466953</v>
      </c>
      <c r="BX8" s="1428">
        <f>IF($B8="","",IF(BX$4&lt;2,(BW8*(1+'Rent Roll Analysis'!$AK6/12)), IF(AND('Monthly Cash Flow'!BX$4&gt;1,'Monthly Cash Flow'!BX$4&lt;=2),'Monthly Cash Flow'!BW8*(1+'Rent Roll Analysis'!$AE6/12),'Monthly Cash Flow'!BW8*(1+'Rent Roll Analysis'!$AB6/12))))</f>
        <v>60823.186242655182</v>
      </c>
      <c r="BY8" s="1428">
        <f>IF($B8="","",IF(BY$4&lt;2,(BX8*(1+'Rent Roll Analysis'!$AK6/12)), IF(AND('Monthly Cash Flow'!BY$4&gt;1,'Monthly Cash Flow'!BY$4&lt;=2),'Monthly Cash Flow'!BX8*(1+'Rent Roll Analysis'!$AE6/12),'Monthly Cash Flow'!BX8*(1+'Rent Roll Analysis'!$AB6/12))))</f>
        <v>61025.930196797373</v>
      </c>
      <c r="BZ8" s="1428">
        <f>IF($B8="","",IF(BZ$4&lt;2,(BY8*(1+'Rent Roll Analysis'!$AK6/12)), IF(AND('Monthly Cash Flow'!BZ$4&gt;1,'Monthly Cash Flow'!BZ$4&lt;=2),'Monthly Cash Flow'!BY8*(1+'Rent Roll Analysis'!$AE6/12),'Monthly Cash Flow'!BY8*(1+'Rent Roll Analysis'!$AB6/12))))</f>
        <v>61229.349964120032</v>
      </c>
      <c r="CA8" s="1428">
        <f>IF($B8="","",IF(CA$4&lt;2,(BZ8*(1+'Rent Roll Analysis'!$AK6/12)), IF(AND('Monthly Cash Flow'!CA$4&gt;1,'Monthly Cash Flow'!CA$4&lt;=2),'Monthly Cash Flow'!BZ8*(1+'Rent Roll Analysis'!$AE6/12),'Monthly Cash Flow'!BZ8*(1+'Rent Roll Analysis'!$AB6/12))))</f>
        <v>61433.447797333771</v>
      </c>
      <c r="CB8" s="1428">
        <f>IF($B8="","",IF(CB$4&lt;2,(CA8*(1+'Rent Roll Analysis'!$AK6/12)), IF(AND('Monthly Cash Flow'!CB$4&gt;1,'Monthly Cash Flow'!CB$4&lt;=2),'Monthly Cash Flow'!CA8*(1+'Rent Roll Analysis'!$AE6/12),'Monthly Cash Flow'!CA8*(1+'Rent Roll Analysis'!$AB6/12))))</f>
        <v>61638.225956658222</v>
      </c>
      <c r="CC8" s="1428">
        <f>IF($B8="","",IF(CC$4&lt;2,(CB8*(1+'Rent Roll Analysis'!$AK6/12)), IF(AND('Monthly Cash Flow'!CC$4&gt;1,'Monthly Cash Flow'!CC$4&lt;=2),'Monthly Cash Flow'!CB8*(1+'Rent Roll Analysis'!$AE6/12),'Monthly Cash Flow'!CB8*(1+'Rent Roll Analysis'!$AB6/12))))</f>
        <v>61843.68670984709</v>
      </c>
      <c r="CD8" s="1428">
        <f>IF($B8="","",IF(CD$4&lt;2,(CC8*(1+'Rent Roll Analysis'!$AK6/12)), IF(AND('Monthly Cash Flow'!CD$4&gt;1,'Monthly Cash Flow'!CD$4&lt;=2),'Monthly Cash Flow'!CC8*(1+'Rent Roll Analysis'!$AE6/12),'Monthly Cash Flow'!CC8*(1+'Rent Roll Analysis'!$AB6/12))))</f>
        <v>62049.832332213249</v>
      </c>
      <c r="CE8" s="1428">
        <f>IF($B8="","",IF(CE$4&lt;2,(CD8*(1+'Rent Roll Analysis'!$AK6/12)), IF(AND('Monthly Cash Flow'!CE$4&gt;1,'Monthly Cash Flow'!CE$4&lt;=2),'Monthly Cash Flow'!CD8*(1+'Rent Roll Analysis'!$AE6/12),'Monthly Cash Flow'!CD8*(1+'Rent Roll Analysis'!$AB6/12))))</f>
        <v>62256.665106653963</v>
      </c>
      <c r="CF8" s="1428">
        <f>IF($B8="","",IF(CF$4&lt;2,(CE8*(1+'Rent Roll Analysis'!$AK6/12)), IF(AND('Monthly Cash Flow'!CF$4&gt;1,'Monthly Cash Flow'!CF$4&lt;=2),'Monthly Cash Flow'!CE8*(1+'Rent Roll Analysis'!$AE6/12),'Monthly Cash Flow'!CE8*(1+'Rent Roll Analysis'!$AB6/12))))</f>
        <v>62464.187323676146</v>
      </c>
      <c r="CG8" s="1428">
        <f>IF($B8="","",IF(CG$4&lt;2,(CF8*(1+'Rent Roll Analysis'!$AK6/12)), IF(AND('Monthly Cash Flow'!CG$4&gt;1,'Monthly Cash Flow'!CG$4&lt;=2),'Monthly Cash Flow'!CF8*(1+'Rent Roll Analysis'!$AE6/12),'Monthly Cash Flow'!CF8*(1+'Rent Roll Analysis'!$AB6/12))))</f>
        <v>62672.401281421735</v>
      </c>
      <c r="CH8" s="1428">
        <f>IF($B8="","",IF(CH$4&lt;2,(CG8*(1+'Rent Roll Analysis'!$AK6/12)), IF(AND('Monthly Cash Flow'!CH$4&gt;1,'Monthly Cash Flow'!CH$4&lt;=2),'Monthly Cash Flow'!CG8*(1+'Rent Roll Analysis'!$AE6/12),'Monthly Cash Flow'!CG8*(1+'Rent Roll Analysis'!$AB6/12))))</f>
        <v>62881.309285693147</v>
      </c>
      <c r="CI8" s="1428">
        <f>IF($B8="","",IF(CI$4&lt;2,(CH8*(1+'Rent Roll Analysis'!$AK6/12)), IF(AND('Monthly Cash Flow'!CI$4&gt;1,'Monthly Cash Flow'!CI$4&lt;=2),'Monthly Cash Flow'!CH8*(1+'Rent Roll Analysis'!$AE6/12),'Monthly Cash Flow'!CH8*(1+'Rent Roll Analysis'!$AB6/12))))</f>
        <v>63090.913649978793</v>
      </c>
      <c r="CJ8" s="1428">
        <f>IF($B8="","",IF(CJ$4&lt;2,(CI8*(1+'Rent Roll Analysis'!$AK6/12)), IF(AND('Monthly Cash Flow'!CJ$4&gt;1,'Monthly Cash Flow'!CJ$4&lt;=2),'Monthly Cash Flow'!CI8*(1+'Rent Roll Analysis'!$AE6/12),'Monthly Cash Flow'!CI8*(1+'Rent Roll Analysis'!$AB6/12))))</f>
        <v>63301.216695478724</v>
      </c>
      <c r="CK8" s="1428">
        <f>IF($B8="","",IF(CK$4&lt;2,(CJ8*(1+'Rent Roll Analysis'!$AK6/12)), IF(AND('Monthly Cash Flow'!CK$4&gt;1,'Monthly Cash Flow'!CK$4&lt;=2),'Monthly Cash Flow'!CJ8*(1+'Rent Roll Analysis'!$AE6/12),'Monthly Cash Flow'!CJ8*(1+'Rent Roll Analysis'!$AB6/12))))</f>
        <v>63512.220751130328</v>
      </c>
      <c r="CL8" s="1428">
        <f>IF($B8="","",IF(CL$4&lt;2,(CK8*(1+'Rent Roll Analysis'!$AK6/12)), IF(AND('Monthly Cash Flow'!CL$4&gt;1,'Monthly Cash Flow'!CL$4&lt;=2),'Monthly Cash Flow'!CK8*(1+'Rent Roll Analysis'!$AE6/12),'Monthly Cash Flow'!CK8*(1+'Rent Roll Analysis'!$AB6/12))))</f>
        <v>63723.9281536341</v>
      </c>
      <c r="CM8" s="1428">
        <f>IF($B8="","",IF(CM$4&lt;2,(CL8*(1+'Rent Roll Analysis'!$AK6/12)), IF(AND('Monthly Cash Flow'!CM$4&gt;1,'Monthly Cash Flow'!CM$4&lt;=2),'Monthly Cash Flow'!CL8*(1+'Rent Roll Analysis'!$AE6/12),'Monthly Cash Flow'!CL8*(1+'Rent Roll Analysis'!$AB6/12))))</f>
        <v>63936.341247479555</v>
      </c>
      <c r="CN8" s="1428">
        <f>IF($B8="","",IF(CN$4&lt;2,(CM8*(1+'Rent Roll Analysis'!$AK6/12)), IF(AND('Monthly Cash Flow'!CN$4&gt;1,'Monthly Cash Flow'!CN$4&lt;=2),'Monthly Cash Flow'!CM8*(1+'Rent Roll Analysis'!$AE6/12),'Monthly Cash Flow'!CM8*(1+'Rent Roll Analysis'!$AB6/12))))</f>
        <v>64149.462384971157</v>
      </c>
      <c r="CO8" s="1428">
        <f>IF($B8="","",IF(CO$4&lt;2,(CN8*(1+'Rent Roll Analysis'!$AK6/12)), IF(AND('Monthly Cash Flow'!CO$4&gt;1,'Monthly Cash Flow'!CO$4&lt;=2),'Monthly Cash Flow'!CN8*(1+'Rent Roll Analysis'!$AE6/12),'Monthly Cash Flow'!CN8*(1+'Rent Roll Analysis'!$AB6/12))))</f>
        <v>64363.293926254402</v>
      </c>
      <c r="CP8" s="1428">
        <f>IF($B8="","",IF(CP$4&lt;2,(CO8*(1+'Rent Roll Analysis'!$AK6/12)), IF(AND('Monthly Cash Flow'!CP$4&gt;1,'Monthly Cash Flow'!CP$4&lt;=2),'Monthly Cash Flow'!CO8*(1+'Rent Roll Analysis'!$AE6/12),'Monthly Cash Flow'!CO8*(1+'Rent Roll Analysis'!$AB6/12))))</f>
        <v>64577.838239341923</v>
      </c>
      <c r="CQ8" s="1428">
        <f>IF($B8="","",IF(CQ$4&lt;2,(CP8*(1+'Rent Roll Analysis'!$AK6/12)), IF(AND('Monthly Cash Flow'!CQ$4&gt;1,'Monthly Cash Flow'!CQ$4&lt;=2),'Monthly Cash Flow'!CP8*(1+'Rent Roll Analysis'!$AE6/12),'Monthly Cash Flow'!CP8*(1+'Rent Roll Analysis'!$AB6/12))))</f>
        <v>64793.097700139733</v>
      </c>
      <c r="CR8" s="1428">
        <f>IF($B8="","",IF(CR$4&lt;2,(CQ8*(1+'Rent Roll Analysis'!$AK6/12)), IF(AND('Monthly Cash Flow'!CR$4&gt;1,'Monthly Cash Flow'!CR$4&lt;=2),'Monthly Cash Flow'!CQ8*(1+'Rent Roll Analysis'!$AE6/12),'Monthly Cash Flow'!CQ8*(1+'Rent Roll Analysis'!$AB6/12))))</f>
        <v>65009.074692473536</v>
      </c>
      <c r="CS8" s="1428">
        <f>IF($B8="","",IF(CS$4&lt;2,(CR8*(1+'Rent Roll Analysis'!$AK6/12)), IF(AND('Monthly Cash Flow'!CS$4&gt;1,'Monthly Cash Flow'!CS$4&lt;=2),'Monthly Cash Flow'!CR8*(1+'Rent Roll Analysis'!$AE6/12),'Monthly Cash Flow'!CR8*(1+'Rent Roll Analysis'!$AB6/12))))</f>
        <v>65225.771608115116</v>
      </c>
      <c r="CT8" s="1428">
        <f>IF($B8="","",IF(CT$4&lt;2,(CS8*(1+'Rent Roll Analysis'!$AK6/12)), IF(AND('Monthly Cash Flow'!CT$4&gt;1,'Monthly Cash Flow'!CT$4&lt;=2),'Monthly Cash Flow'!CS8*(1+'Rent Roll Analysis'!$AE6/12),'Monthly Cash Flow'!CS8*(1+'Rent Roll Analysis'!$AB6/12))))</f>
        <v>65443.190846808837</v>
      </c>
      <c r="CU8" s="1428">
        <f>IF($B8="","",IF(CU$4&lt;2,(CT8*(1+'Rent Roll Analysis'!$AK6/12)), IF(AND('Monthly Cash Flow'!CU$4&gt;1,'Monthly Cash Flow'!CU$4&lt;=2),'Monthly Cash Flow'!CT8*(1+'Rent Roll Analysis'!$AE6/12),'Monthly Cash Flow'!CT8*(1+'Rent Roll Analysis'!$AB6/12))))</f>
        <v>65661.3348162982</v>
      </c>
      <c r="CV8" s="1428">
        <f>IF($B8="","",IF(CV$4&lt;2,(CU8*(1+'Rent Roll Analysis'!$AK6/12)), IF(AND('Monthly Cash Flow'!CV$4&gt;1,'Monthly Cash Flow'!CV$4&lt;=2),'Monthly Cash Flow'!CU8*(1+'Rent Roll Analysis'!$AE6/12),'Monthly Cash Flow'!CU8*(1+'Rent Roll Analysis'!$AB6/12))))</f>
        <v>65880.205932352532</v>
      </c>
      <c r="CW8" s="1428">
        <f>IF($B8="","",IF(CW$4&lt;2,(CV8*(1+'Rent Roll Analysis'!$AK6/12)), IF(AND('Monthly Cash Flow'!CW$4&gt;1,'Monthly Cash Flow'!CW$4&lt;=2),'Monthly Cash Flow'!CV8*(1+'Rent Roll Analysis'!$AE6/12),'Monthly Cash Flow'!CV8*(1+'Rent Roll Analysis'!$AB6/12))))</f>
        <v>66099.806618793707</v>
      </c>
      <c r="CX8" s="1428">
        <f>IF($B8="","",IF(CX$4&lt;2,(CW8*(1+'Rent Roll Analysis'!$AK6/12)), IF(AND('Monthly Cash Flow'!CX$4&gt;1,'Monthly Cash Flow'!CX$4&lt;=2),'Monthly Cash Flow'!CW8*(1+'Rent Roll Analysis'!$AE6/12),'Monthly Cash Flow'!CW8*(1+'Rent Roll Analysis'!$AB6/12))))</f>
        <v>66320.13930752303</v>
      </c>
      <c r="CY8" s="1428">
        <f>IF($B8="","",IF(CY$4&lt;2,(CX8*(1+'Rent Roll Analysis'!$AK6/12)), IF(AND('Monthly Cash Flow'!CY$4&gt;1,'Monthly Cash Flow'!CY$4&lt;=2),'Monthly Cash Flow'!CX8*(1+'Rent Roll Analysis'!$AE6/12),'Monthly Cash Flow'!CX8*(1+'Rent Roll Analysis'!$AB6/12))))</f>
        <v>66541.206438548106</v>
      </c>
      <c r="CZ8" s="1428">
        <f>IF($B8="","",IF(CZ$4&lt;2,(CY8*(1+'Rent Roll Analysis'!$AK6/12)), IF(AND('Monthly Cash Flow'!CZ$4&gt;1,'Monthly Cash Flow'!CZ$4&lt;=2),'Monthly Cash Flow'!CY8*(1+'Rent Roll Analysis'!$AE6/12),'Monthly Cash Flow'!CY8*(1+'Rent Roll Analysis'!$AB6/12))))</f>
        <v>66763.010460009944</v>
      </c>
      <c r="DA8" s="1428">
        <f>IF($B8="","",IF(DA$4&lt;2,(CZ8*(1+'Rent Roll Analysis'!$AK6/12)), IF(AND('Monthly Cash Flow'!DA$4&gt;1,'Monthly Cash Flow'!DA$4&lt;=2),'Monthly Cash Flow'!CZ8*(1+'Rent Roll Analysis'!$AE6/12),'Monthly Cash Flow'!CZ8*(1+'Rent Roll Analysis'!$AB6/12))))</f>
        <v>66985.553828209988</v>
      </c>
      <c r="DB8" s="1428">
        <f>IF($B8="","",IF(DB$4&lt;2,(DA8*(1+'Rent Roll Analysis'!$AK6/12)), IF(AND('Monthly Cash Flow'!DB$4&gt;1,'Monthly Cash Flow'!DB$4&lt;=2),'Monthly Cash Flow'!DA8*(1+'Rent Roll Analysis'!$AE6/12),'Monthly Cash Flow'!DA8*(1+'Rent Roll Analysis'!$AB6/12))))</f>
        <v>67208.839007637362</v>
      </c>
      <c r="DC8" s="1428">
        <f>IF($B8="","",IF(DC$4&lt;2,(DB8*(1+'Rent Roll Analysis'!$AK6/12)), IF(AND('Monthly Cash Flow'!DC$4&gt;1,'Monthly Cash Flow'!DC$4&lt;=2),'Monthly Cash Flow'!DB8*(1+'Rent Roll Analysis'!$AE6/12),'Monthly Cash Flow'!DB8*(1+'Rent Roll Analysis'!$AB6/12))))</f>
        <v>67432.868470996153</v>
      </c>
      <c r="DD8" s="1428">
        <f>IF($B8="","",IF(DD$4&lt;2,(DC8*(1+'Rent Roll Analysis'!$AK6/12)), IF(AND('Monthly Cash Flow'!DD$4&gt;1,'Monthly Cash Flow'!DD$4&lt;=2),'Monthly Cash Flow'!DC8*(1+'Rent Roll Analysis'!$AE6/12),'Monthly Cash Flow'!DC8*(1+'Rent Roll Analysis'!$AB6/12))))</f>
        <v>67657.644699232813</v>
      </c>
      <c r="DE8" s="1428">
        <f>IF($B8="","",IF(DE$4&lt;2,(DD8*(1+'Rent Roll Analysis'!$AK6/12)), IF(AND('Monthly Cash Flow'!DE$4&gt;1,'Monthly Cash Flow'!DE$4&lt;=2),'Monthly Cash Flow'!DD8*(1+'Rent Roll Analysis'!$AE6/12),'Monthly Cash Flow'!DD8*(1+'Rent Roll Analysis'!$AB6/12))))</f>
        <v>67883.17018156359</v>
      </c>
      <c r="DF8" s="1428">
        <f>IF($B8="","",IF(DF$4&lt;2,(DE8*(1+'Rent Roll Analysis'!$AK6/12)), IF(AND('Monthly Cash Flow'!DF$4&gt;1,'Monthly Cash Flow'!DF$4&lt;=2),'Monthly Cash Flow'!DE8*(1+'Rent Roll Analysis'!$AE6/12),'Monthly Cash Flow'!DE8*(1+'Rent Roll Analysis'!$AB6/12))))</f>
        <v>68109.447415502145</v>
      </c>
      <c r="DG8" s="1428">
        <f>IF($B8="","",IF(DG$4&lt;2,(DF8*(1+'Rent Roll Analysis'!$AK6/12)), IF(AND('Monthly Cash Flow'!DG$4&gt;1,'Monthly Cash Flow'!DG$4&lt;=2),'Monthly Cash Flow'!DF8*(1+'Rent Roll Analysis'!$AE6/12),'Monthly Cash Flow'!DF8*(1+'Rent Roll Analysis'!$AB6/12))))</f>
        <v>68336.478906887161</v>
      </c>
      <c r="DH8" s="1428">
        <f>IF($B8="","",IF(DH$4&lt;2,(DG8*(1+'Rent Roll Analysis'!$AK6/12)), IF(AND('Monthly Cash Flow'!DH$4&gt;1,'Monthly Cash Flow'!DH$4&lt;=2),'Monthly Cash Flow'!DG8*(1+'Rent Roll Analysis'!$AE6/12),'Monthly Cash Flow'!DG8*(1+'Rent Roll Analysis'!$AB6/12))))</f>
        <v>68564.267169910119</v>
      </c>
      <c r="DI8" s="1428">
        <f>IF($B8="","",IF(DI$4&lt;2,(DH8*(1+'Rent Roll Analysis'!$AK6/12)), IF(AND('Monthly Cash Flow'!DI$4&gt;1,'Monthly Cash Flow'!DI$4&lt;=2),'Monthly Cash Flow'!DH8*(1+'Rent Roll Analysis'!$AE6/12),'Monthly Cash Flow'!DH8*(1+'Rent Roll Analysis'!$AB6/12))))</f>
        <v>68792.814727143152</v>
      </c>
      <c r="DJ8" s="1428">
        <f>IF($B8="","",IF(DJ$4&lt;2,(DI8*(1+'Rent Roll Analysis'!$AK6/12)), IF(AND('Monthly Cash Flow'!DJ$4&gt;1,'Monthly Cash Flow'!DJ$4&lt;=2),'Monthly Cash Flow'!DI8*(1+'Rent Roll Analysis'!$AE6/12),'Monthly Cash Flow'!DI8*(1+'Rent Roll Analysis'!$AB6/12))))</f>
        <v>69022.124109566968</v>
      </c>
      <c r="DK8" s="1428">
        <f>IF($B8="","",IF(DK$4&lt;2,(DJ8*(1+'Rent Roll Analysis'!$AK6/12)), IF(AND('Monthly Cash Flow'!DK$4&gt;1,'Monthly Cash Flow'!DK$4&lt;=2),'Monthly Cash Flow'!DJ8*(1+'Rent Roll Analysis'!$AE6/12),'Monthly Cash Flow'!DJ8*(1+'Rent Roll Analysis'!$AB6/12))))</f>
        <v>69252.197856598868</v>
      </c>
      <c r="DL8" s="1428">
        <f>IF($B8="","",IF(DL$4&lt;2,(DK8*(1+'Rent Roll Analysis'!$AK6/12)), IF(AND('Monthly Cash Flow'!DL$4&gt;1,'Monthly Cash Flow'!DL$4&lt;=2),'Monthly Cash Flow'!DK8*(1+'Rent Roll Analysis'!$AE6/12),'Monthly Cash Flow'!DK8*(1+'Rent Roll Analysis'!$AB6/12))))</f>
        <v>69483.038516120869</v>
      </c>
      <c r="DM8" s="1428">
        <f>IF($B8="","",IF(DM$4&lt;2,(DL8*(1+'Rent Roll Analysis'!$AK6/12)), IF(AND('Monthly Cash Flow'!DM$4&gt;1,'Monthly Cash Flow'!DM$4&lt;=2),'Monthly Cash Flow'!DL8*(1+'Rent Roll Analysis'!$AE6/12),'Monthly Cash Flow'!DL8*(1+'Rent Roll Analysis'!$AB6/12))))</f>
        <v>69714.64864450795</v>
      </c>
      <c r="DN8" s="1428">
        <f>IF($B8="","",IF(DN$4&lt;2,(DM8*(1+'Rent Roll Analysis'!$AK6/12)), IF(AND('Monthly Cash Flow'!DN$4&gt;1,'Monthly Cash Flow'!DN$4&lt;=2),'Monthly Cash Flow'!DM8*(1+'Rent Roll Analysis'!$AE6/12),'Monthly Cash Flow'!DM8*(1+'Rent Roll Analysis'!$AB6/12))))</f>
        <v>69947.030806656316</v>
      </c>
      <c r="DO8" s="1428">
        <f>IF($B8="","",IF(DO$4&lt;2,(DN8*(1+'Rent Roll Analysis'!$AK6/12)), IF(AND('Monthly Cash Flow'!DO$4&gt;1,'Monthly Cash Flow'!DO$4&lt;=2),'Monthly Cash Flow'!DN8*(1+'Rent Roll Analysis'!$AE6/12),'Monthly Cash Flow'!DN8*(1+'Rent Roll Analysis'!$AB6/12))))</f>
        <v>70180.187576011842</v>
      </c>
      <c r="DP8" s="1428">
        <f>IF($B8="","",IF(DP$4&lt;2,(DO8*(1+'Rent Roll Analysis'!$AK6/12)), IF(AND('Monthly Cash Flow'!DP$4&gt;1,'Monthly Cash Flow'!DP$4&lt;=2),'Monthly Cash Flow'!DO8*(1+'Rent Roll Analysis'!$AE6/12),'Monthly Cash Flow'!DO8*(1+'Rent Roll Analysis'!$AB6/12))))</f>
        <v>70414.121534598555</v>
      </c>
      <c r="DQ8" s="1428">
        <f>IF($B8="","",IF(DQ$4&lt;2,(DP8*(1+'Rent Roll Analysis'!$AK6/12)), IF(AND('Monthly Cash Flow'!DQ$4&gt;1,'Monthly Cash Flow'!DQ$4&lt;=2),'Monthly Cash Flow'!DP8*(1+'Rent Roll Analysis'!$AE6/12),'Monthly Cash Flow'!DP8*(1+'Rent Roll Analysis'!$AB6/12))))</f>
        <v>70648.835273047225</v>
      </c>
      <c r="DR8" s="1428">
        <f>IF($B8="","",IF(DR$4&lt;2,(DQ8*(1+'Rent Roll Analysis'!$AK6/12)), IF(AND('Monthly Cash Flow'!DR$4&gt;1,'Monthly Cash Flow'!DR$4&lt;=2),'Monthly Cash Flow'!DQ8*(1+'Rent Roll Analysis'!$AE6/12),'Monthly Cash Flow'!DQ8*(1+'Rent Roll Analysis'!$AB6/12))))</f>
        <v>70884.331390624051</v>
      </c>
      <c r="DS8" s="1428">
        <f>IF($B8="","",IF(DS$4&lt;2,(DR8*(1+'Rent Roll Analysis'!$AK6/12)), IF(AND('Monthly Cash Flow'!DS$4&gt;1,'Monthly Cash Flow'!DS$4&lt;=2),'Monthly Cash Flow'!DR8*(1+'Rent Roll Analysis'!$AE6/12),'Monthly Cash Flow'!DR8*(1+'Rent Roll Analysis'!$AB6/12))))</f>
        <v>71120.612495259469</v>
      </c>
      <c r="DT8" s="1428">
        <f>IF($B8="","",IF(DT$4&lt;2,(DS8*(1+'Rent Roll Analysis'!$AK6/12)), IF(AND('Monthly Cash Flow'!DT$4&gt;1,'Monthly Cash Flow'!DT$4&lt;=2),'Monthly Cash Flow'!DS8*(1+'Rent Roll Analysis'!$AE6/12),'Monthly Cash Flow'!DS8*(1+'Rent Roll Analysis'!$AB6/12))))</f>
        <v>71357.681203577013</v>
      </c>
      <c r="DU8" s="385" t="s">
        <v>557</v>
      </c>
      <c r="DV8" s="375"/>
    </row>
    <row r="9" spans="1:126" s="92" customFormat="1" ht="20.149999999999999" customHeight="1" outlineLevel="1">
      <c r="A9" s="375"/>
      <c r="B9" s="383" t="str">
        <f>'Rent Roll Analysis'!C7</f>
        <v>A2</v>
      </c>
      <c r="C9" s="376"/>
      <c r="D9" s="1426">
        <f>IF('Rent Roll Analysis'!C7="","",'Rent Roll Analysis'!N7*'Rent Roll Analysis'!E7)</f>
        <v>98498.602409638203</v>
      </c>
      <c r="E9" s="1428">
        <f t="shared" ref="E9:E42" si="113">D9</f>
        <v>98498.602409638203</v>
      </c>
      <c r="F9" s="1428">
        <f>IF($B9="","",IF(F$4&lt;2,(E9*(1+'Rent Roll Analysis'!$AK7/12)), IF(AND('Monthly Cash Flow'!F$4&gt;1,'Monthly Cash Flow'!F$4&lt;=2),'Monthly Cash Flow'!E9*(1+'Rent Roll Analysis'!$AE7/12),'Monthly Cash Flow'!E9*(1+'Rent Roll Analysis'!$AB7/12))))</f>
        <v>99155.259759035791</v>
      </c>
      <c r="G9" s="1428">
        <f>IF($B9="","",IF(G$4&lt;2,(F9*(1+'Rent Roll Analysis'!$AK7/12)), IF(AND('Monthly Cash Flow'!G$4&gt;1,'Monthly Cash Flow'!G$4&lt;=2),'Monthly Cash Flow'!F9*(1+'Rent Roll Analysis'!$AE7/12),'Monthly Cash Flow'!F9*(1+'Rent Roll Analysis'!$AB7/12))))</f>
        <v>99816.294824096025</v>
      </c>
      <c r="H9" s="1428">
        <f>IF($B9="","",IF(H$4&lt;2,(G9*(1+'Rent Roll Analysis'!$AK7/12)), IF(AND('Monthly Cash Flow'!H$4&gt;1,'Monthly Cash Flow'!H$4&lt;=2),'Monthly Cash Flow'!G9*(1+'Rent Roll Analysis'!$AE7/12),'Monthly Cash Flow'!G9*(1+'Rent Roll Analysis'!$AB7/12))))</f>
        <v>100481.73678959</v>
      </c>
      <c r="I9" s="1428">
        <f>IF($B9="","",IF(I$4&lt;2,(H9*(1+'Rent Roll Analysis'!$AK7/12)), IF(AND('Monthly Cash Flow'!I$4&gt;1,'Monthly Cash Flow'!I$4&lt;=2),'Monthly Cash Flow'!H9*(1+'Rent Roll Analysis'!$AE7/12),'Monthly Cash Flow'!H9*(1+'Rent Roll Analysis'!$AB7/12))))</f>
        <v>101151.61503485392</v>
      </c>
      <c r="J9" s="1428">
        <f>IF($B9="","",IF(J$4&lt;2,(I9*(1+'Rent Roll Analysis'!$AK7/12)), IF(AND('Monthly Cash Flow'!J$4&gt;1,'Monthly Cash Flow'!J$4&lt;=2),'Monthly Cash Flow'!I9*(1+'Rent Roll Analysis'!$AE7/12),'Monthly Cash Flow'!I9*(1+'Rent Roll Analysis'!$AB7/12))))</f>
        <v>101825.95913508628</v>
      </c>
      <c r="K9" s="1428">
        <f>IF($B9="","",IF(K$4&lt;2,(J9*(1+'Rent Roll Analysis'!$AK7/12)), IF(AND('Monthly Cash Flow'!K$4&gt;1,'Monthly Cash Flow'!K$4&lt;=2),'Monthly Cash Flow'!J9*(1+'Rent Roll Analysis'!$AE7/12),'Monthly Cash Flow'!J9*(1+'Rent Roll Analysis'!$AB7/12))))</f>
        <v>102504.79886265351</v>
      </c>
      <c r="L9" s="1428">
        <f>IF($B9="","",IF(L$4&lt;2,(K9*(1+'Rent Roll Analysis'!$AK7/12)), IF(AND('Monthly Cash Flow'!L$4&gt;1,'Monthly Cash Flow'!L$4&lt;=2),'Monthly Cash Flow'!K9*(1+'Rent Roll Analysis'!$AE7/12),'Monthly Cash Flow'!K9*(1+'Rent Roll Analysis'!$AB7/12))))</f>
        <v>103188.16418840452</v>
      </c>
      <c r="M9" s="1428">
        <f>IF($B9="","",IF(M$4&lt;2,(L9*(1+'Rent Roll Analysis'!$AK7/12)), IF(AND('Monthly Cash Flow'!M$4&gt;1,'Monthly Cash Flow'!M$4&lt;=2),'Monthly Cash Flow'!L9*(1+'Rent Roll Analysis'!$AE7/12),'Monthly Cash Flow'!L9*(1+'Rent Roll Analysis'!$AB7/12))))</f>
        <v>103876.08528299388</v>
      </c>
      <c r="N9" s="1428">
        <f>IF($B9="","",IF(N$4&lt;2,(M9*(1+'Rent Roll Analysis'!$AK7/12)), IF(AND('Monthly Cash Flow'!N$4&gt;1,'Monthly Cash Flow'!N$4&lt;=2),'Monthly Cash Flow'!M9*(1+'Rent Roll Analysis'!$AE7/12),'Monthly Cash Flow'!M9*(1+'Rent Roll Analysis'!$AB7/12))))</f>
        <v>104568.59251821383</v>
      </c>
      <c r="O9" s="1428">
        <f>IF($B9="","",IF(O$4&lt;2,(N9*(1+'Rent Roll Analysis'!$AK7/12)), IF(AND('Monthly Cash Flow'!O$4&gt;1,'Monthly Cash Flow'!O$4&lt;=2),'Monthly Cash Flow'!N9*(1+'Rent Roll Analysis'!$AE7/12),'Monthly Cash Flow'!N9*(1+'Rent Roll Analysis'!$AB7/12))))</f>
        <v>105265.71646833525</v>
      </c>
      <c r="P9" s="1428">
        <f>IF($B9="","",IF(P$4&lt;2,(O9*(1+'Rent Roll Analysis'!$AK7/12)), IF(AND('Monthly Cash Flow'!P$4&gt;1,'Monthly Cash Flow'!P$4&lt;=2),'Monthly Cash Flow'!O9*(1+'Rent Roll Analysis'!$AE7/12),'Monthly Cash Flow'!O9*(1+'Rent Roll Analysis'!$AB7/12))))</f>
        <v>105967.48791145747</v>
      </c>
      <c r="Q9" s="1428">
        <f>IF($B9="","",IF(Q$4&lt;2,(P9*(1+'Rent Roll Analysis'!$AK7/12)), IF(AND('Monthly Cash Flow'!Q$4&gt;1,'Monthly Cash Flow'!Q$4&lt;=2),'Monthly Cash Flow'!P9*(1+'Rent Roll Analysis'!$AE7/12),'Monthly Cash Flow'!P9*(1+'Rent Roll Analysis'!$AB7/12))))</f>
        <v>106629.78471090409</v>
      </c>
      <c r="R9" s="1428">
        <f>IF($B9="","",IF(R$4&lt;2,(Q9*(1+'Rent Roll Analysis'!$AK7/12)), IF(AND('Monthly Cash Flow'!R$4&gt;1,'Monthly Cash Flow'!R$4&lt;=2),'Monthly Cash Flow'!Q9*(1+'Rent Roll Analysis'!$AE7/12),'Monthly Cash Flow'!Q9*(1+'Rent Roll Analysis'!$AB7/12))))</f>
        <v>107296.22086534725</v>
      </c>
      <c r="S9" s="1428">
        <f>IF($B9="","",IF(S$4&lt;2,(R9*(1+'Rent Roll Analysis'!$AK7/12)), IF(AND('Monthly Cash Flow'!S$4&gt;1,'Monthly Cash Flow'!S$4&lt;=2),'Monthly Cash Flow'!R9*(1+'Rent Roll Analysis'!$AE7/12),'Monthly Cash Flow'!R9*(1+'Rent Roll Analysis'!$AB7/12))))</f>
        <v>107966.82224575568</v>
      </c>
      <c r="T9" s="1428">
        <f>IF($B9="","",IF(T$4&lt;2,(S9*(1+'Rent Roll Analysis'!$AK7/12)), IF(AND('Monthly Cash Flow'!T$4&gt;1,'Monthly Cash Flow'!T$4&lt;=2),'Monthly Cash Flow'!S9*(1+'Rent Roll Analysis'!$AE7/12),'Monthly Cash Flow'!S9*(1+'Rent Roll Analysis'!$AB7/12))))</f>
        <v>108641.61488479166</v>
      </c>
      <c r="U9" s="1428">
        <f>IF($B9="","",IF(U$4&lt;2,(T9*(1+'Rent Roll Analysis'!$AK7/12)), IF(AND('Monthly Cash Flow'!U$4&gt;1,'Monthly Cash Flow'!U$4&lt;=2),'Monthly Cash Flow'!T9*(1+'Rent Roll Analysis'!$AE7/12),'Monthly Cash Flow'!T9*(1+'Rent Roll Analysis'!$AB7/12))))</f>
        <v>109320.62497782162</v>
      </c>
      <c r="V9" s="1428">
        <f>IF($B9="","",IF(V$4&lt;2,(U9*(1+'Rent Roll Analysis'!$AK7/12)), IF(AND('Monthly Cash Flow'!V$4&gt;1,'Monthly Cash Flow'!V$4&lt;=2),'Monthly Cash Flow'!U9*(1+'Rent Roll Analysis'!$AE7/12),'Monthly Cash Flow'!U9*(1+'Rent Roll Analysis'!$AB7/12))))</f>
        <v>110003.87888393301</v>
      </c>
      <c r="W9" s="1428">
        <f>IF($B9="","",IF(W$4&lt;2,(V9*(1+'Rent Roll Analysis'!$AK7/12)), IF(AND('Monthly Cash Flow'!W$4&gt;1,'Monthly Cash Flow'!W$4&lt;=2),'Monthly Cash Flow'!V9*(1+'Rent Roll Analysis'!$AE7/12),'Monthly Cash Flow'!V9*(1+'Rent Roll Analysis'!$AB7/12))))</f>
        <v>110691.40312695759</v>
      </c>
      <c r="X9" s="1428">
        <f>IF($B9="","",IF(X$4&lt;2,(W9*(1+'Rent Roll Analysis'!$AK7/12)), IF(AND('Monthly Cash Flow'!X$4&gt;1,'Monthly Cash Flow'!X$4&lt;=2),'Monthly Cash Flow'!W9*(1+'Rent Roll Analysis'!$AE7/12),'Monthly Cash Flow'!W9*(1+'Rent Roll Analysis'!$AB7/12))))</f>
        <v>111383.22439650109</v>
      </c>
      <c r="Y9" s="1428">
        <f>IF($B9="","",IF(Y$4&lt;2,(X9*(1+'Rent Roll Analysis'!$AK7/12)), IF(AND('Monthly Cash Flow'!Y$4&gt;1,'Monthly Cash Flow'!Y$4&lt;=2),'Monthly Cash Flow'!X9*(1+'Rent Roll Analysis'!$AE7/12),'Monthly Cash Flow'!X9*(1+'Rent Roll Analysis'!$AB7/12))))</f>
        <v>112079.36954897923</v>
      </c>
      <c r="Z9" s="1428">
        <f>IF($B9="","",IF(Z$4&lt;2,(Y9*(1+'Rent Roll Analysis'!$AK7/12)), IF(AND('Monthly Cash Flow'!Z$4&gt;1,'Monthly Cash Flow'!Z$4&lt;=2),'Monthly Cash Flow'!Y9*(1+'Rent Roll Analysis'!$AE7/12),'Monthly Cash Flow'!Y9*(1+'Rent Roll Analysis'!$AB7/12))))</f>
        <v>112779.86560866036</v>
      </c>
      <c r="AA9" s="1428">
        <f>IF($B9="","",IF(AA$4&lt;2,(Z9*(1+'Rent Roll Analysis'!$AK7/12)), IF(AND('Monthly Cash Flow'!AA$4&gt;1,'Monthly Cash Flow'!AA$4&lt;=2),'Monthly Cash Flow'!Z9*(1+'Rent Roll Analysis'!$AE7/12),'Monthly Cash Flow'!Z9*(1+'Rent Roll Analysis'!$AB7/12))))</f>
        <v>113484.7397687145</v>
      </c>
      <c r="AB9" s="1428">
        <f>IF($B9="","",IF(AB$4&lt;2,(AA9*(1+'Rent Roll Analysis'!$AK7/12)), IF(AND('Monthly Cash Flow'!AB$4&gt;1,'Monthly Cash Flow'!AB$4&lt;=2),'Monthly Cash Flow'!AA9*(1+'Rent Roll Analysis'!$AE7/12),'Monthly Cash Flow'!AA9*(1+'Rent Roll Analysis'!$AB7/12))))</f>
        <v>114194.01939226898</v>
      </c>
      <c r="AC9" s="1428">
        <f>IF($B9="","",IF(AC$4&lt;2,(AB9*(1+'Rent Roll Analysis'!$AK7/12)), IF(AND('Monthly Cash Flow'!AC$4&gt;1,'Monthly Cash Flow'!AC$4&lt;=2),'Monthly Cash Flow'!AB9*(1+'Rent Roll Analysis'!$AE7/12),'Monthly Cash Flow'!AB9*(1+'Rent Roll Analysis'!$AB7/12))))</f>
        <v>114574.66612357655</v>
      </c>
      <c r="AD9" s="1428">
        <f>IF($B9="","",IF(AD$4&lt;2,(AC9*(1+'Rent Roll Analysis'!$AK7/12)), IF(AND('Monthly Cash Flow'!AD$4&gt;1,'Monthly Cash Flow'!AD$4&lt;=2),'Monthly Cash Flow'!AC9*(1+'Rent Roll Analysis'!$AE7/12),'Monthly Cash Flow'!AC9*(1+'Rent Roll Analysis'!$AB7/12))))</f>
        <v>114956.58167732181</v>
      </c>
      <c r="AE9" s="1428">
        <f>IF($B9="","",IF(AE$4&lt;2,(AD9*(1+'Rent Roll Analysis'!$AK7/12)), IF(AND('Monthly Cash Flow'!AE$4&gt;1,'Monthly Cash Flow'!AE$4&lt;=2),'Monthly Cash Flow'!AD9*(1+'Rent Roll Analysis'!$AE7/12),'Monthly Cash Flow'!AD9*(1+'Rent Roll Analysis'!$AB7/12))))</f>
        <v>115339.7702829129</v>
      </c>
      <c r="AF9" s="1428">
        <f>IF($B9="","",IF(AF$4&lt;2,(AE9*(1+'Rent Roll Analysis'!$AK7/12)), IF(AND('Monthly Cash Flow'!AF$4&gt;1,'Monthly Cash Flow'!AF$4&lt;=2),'Monthly Cash Flow'!AE9*(1+'Rent Roll Analysis'!$AE7/12),'Monthly Cash Flow'!AE9*(1+'Rent Roll Analysis'!$AB7/12))))</f>
        <v>115724.23618385594</v>
      </c>
      <c r="AG9" s="1428">
        <f>IF($B9="","",IF(AG$4&lt;2,(AF9*(1+'Rent Roll Analysis'!$AK7/12)), IF(AND('Monthly Cash Flow'!AG$4&gt;1,'Monthly Cash Flow'!AG$4&lt;=2),'Monthly Cash Flow'!AF9*(1+'Rent Roll Analysis'!$AE7/12),'Monthly Cash Flow'!AF9*(1+'Rent Roll Analysis'!$AB7/12))))</f>
        <v>116109.98363780214</v>
      </c>
      <c r="AH9" s="1428">
        <f>IF($B9="","",IF(AH$4&lt;2,(AG9*(1+'Rent Roll Analysis'!$AK7/12)), IF(AND('Monthly Cash Flow'!AH$4&gt;1,'Monthly Cash Flow'!AH$4&lt;=2),'Monthly Cash Flow'!AG9*(1+'Rent Roll Analysis'!$AE7/12),'Monthly Cash Flow'!AG9*(1+'Rent Roll Analysis'!$AB7/12))))</f>
        <v>116497.01691659483</v>
      </c>
      <c r="AI9" s="1428">
        <f>IF($B9="","",IF(AI$4&lt;2,(AH9*(1+'Rent Roll Analysis'!$AK7/12)), IF(AND('Monthly Cash Flow'!AI$4&gt;1,'Monthly Cash Flow'!AI$4&lt;=2),'Monthly Cash Flow'!AH9*(1+'Rent Roll Analysis'!$AE7/12),'Monthly Cash Flow'!AH9*(1+'Rent Roll Analysis'!$AB7/12))))</f>
        <v>116885.34030631682</v>
      </c>
      <c r="AJ9" s="1428">
        <f>IF($B9="","",IF(AJ$4&lt;2,(AI9*(1+'Rent Roll Analysis'!$AK7/12)), IF(AND('Monthly Cash Flow'!AJ$4&gt;1,'Monthly Cash Flow'!AJ$4&lt;=2),'Monthly Cash Flow'!AI9*(1+'Rent Roll Analysis'!$AE7/12),'Monthly Cash Flow'!AI9*(1+'Rent Roll Analysis'!$AB7/12))))</f>
        <v>117274.95810733789</v>
      </c>
      <c r="AK9" s="1428">
        <f>IF($B9="","",IF(AK$4&lt;2,(AJ9*(1+'Rent Roll Analysis'!$AK7/12)), IF(AND('Monthly Cash Flow'!AK$4&gt;1,'Monthly Cash Flow'!AK$4&lt;=2),'Monthly Cash Flow'!AJ9*(1+'Rent Roll Analysis'!$AE7/12),'Monthly Cash Flow'!AJ9*(1+'Rent Roll Analysis'!$AB7/12))))</f>
        <v>117665.87463436236</v>
      </c>
      <c r="AL9" s="1428">
        <f>IF($B9="","",IF(AL$4&lt;2,(AK9*(1+'Rent Roll Analysis'!$AK7/12)), IF(AND('Monthly Cash Flow'!AL$4&gt;1,'Monthly Cash Flow'!AL$4&lt;=2),'Monthly Cash Flow'!AK9*(1+'Rent Roll Analysis'!$AE7/12),'Monthly Cash Flow'!AK9*(1+'Rent Roll Analysis'!$AB7/12))))</f>
        <v>118058.09421647691</v>
      </c>
      <c r="AM9" s="1428">
        <f>IF($B9="","",IF(AM$4&lt;2,(AL9*(1+'Rent Roll Analysis'!$AK7/12)), IF(AND('Monthly Cash Flow'!AM$4&gt;1,'Monthly Cash Flow'!AM$4&lt;=2),'Monthly Cash Flow'!AL9*(1+'Rent Roll Analysis'!$AE7/12),'Monthly Cash Flow'!AL9*(1+'Rent Roll Analysis'!$AB7/12))))</f>
        <v>118451.6211971985</v>
      </c>
      <c r="AN9" s="1428">
        <f>IF($B9="","",IF(AN$4&lt;2,(AM9*(1+'Rent Roll Analysis'!$AK7/12)), IF(AND('Monthly Cash Flow'!AN$4&gt;1,'Monthly Cash Flow'!AN$4&lt;=2),'Monthly Cash Flow'!AM9*(1+'Rent Roll Analysis'!$AE7/12),'Monthly Cash Flow'!AM9*(1+'Rent Roll Analysis'!$AB7/12))))</f>
        <v>118846.45993452251</v>
      </c>
      <c r="AO9" s="1428">
        <f>IF($B9="","",IF(AO$4&lt;2,(AN9*(1+'Rent Roll Analysis'!$AK7/12)), IF(AND('Monthly Cash Flow'!AO$4&gt;1,'Monthly Cash Flow'!AO$4&lt;=2),'Monthly Cash Flow'!AN9*(1+'Rent Roll Analysis'!$AE7/12),'Monthly Cash Flow'!AN9*(1+'Rent Roll Analysis'!$AB7/12))))</f>
        <v>119242.61480097093</v>
      </c>
      <c r="AP9" s="1428">
        <f>IF($B9="","",IF(AP$4&lt;2,(AO9*(1+'Rent Roll Analysis'!$AK7/12)), IF(AND('Monthly Cash Flow'!AP$4&gt;1,'Monthly Cash Flow'!AP$4&lt;=2),'Monthly Cash Flow'!AO9*(1+'Rent Roll Analysis'!$AE7/12),'Monthly Cash Flow'!AO9*(1+'Rent Roll Analysis'!$AB7/12))))</f>
        <v>119640.09018364084</v>
      </c>
      <c r="AQ9" s="1428">
        <f>IF($B9="","",IF(AQ$4&lt;2,(AP9*(1+'Rent Roll Analysis'!$AK7/12)), IF(AND('Monthly Cash Flow'!AQ$4&gt;1,'Monthly Cash Flow'!AQ$4&lt;=2),'Monthly Cash Flow'!AP9*(1+'Rent Roll Analysis'!$AE7/12),'Monthly Cash Flow'!AP9*(1+'Rent Roll Analysis'!$AB7/12))))</f>
        <v>120038.89048425299</v>
      </c>
      <c r="AR9" s="1428">
        <f>IF($B9="","",IF(AR$4&lt;2,(AQ9*(1+'Rent Roll Analysis'!$AK7/12)), IF(AND('Monthly Cash Flow'!AR$4&gt;1,'Monthly Cash Flow'!AR$4&lt;=2),'Monthly Cash Flow'!AQ9*(1+'Rent Roll Analysis'!$AE7/12),'Monthly Cash Flow'!AQ9*(1+'Rent Roll Analysis'!$AB7/12))))</f>
        <v>120439.0201192005</v>
      </c>
      <c r="AS9" s="1428">
        <f>IF($B9="","",IF(AS$4&lt;2,(AR9*(1+'Rent Roll Analysis'!$AK7/12)), IF(AND('Monthly Cash Flow'!AS$4&gt;1,'Monthly Cash Flow'!AS$4&lt;=2),'Monthly Cash Flow'!AR9*(1+'Rent Roll Analysis'!$AE7/12),'Monthly Cash Flow'!AR9*(1+'Rent Roll Analysis'!$AB7/12))))</f>
        <v>120840.48351959785</v>
      </c>
      <c r="AT9" s="1428">
        <f>IF($B9="","",IF(AT$4&lt;2,(AS9*(1+'Rent Roll Analysis'!$AK7/12)), IF(AND('Monthly Cash Flow'!AT$4&gt;1,'Monthly Cash Flow'!AT$4&lt;=2),'Monthly Cash Flow'!AS9*(1+'Rent Roll Analysis'!$AE7/12),'Monthly Cash Flow'!AS9*(1+'Rent Roll Analysis'!$AB7/12))))</f>
        <v>121243.28513132986</v>
      </c>
      <c r="AU9" s="1428">
        <f>IF($B9="","",IF(AU$4&lt;2,(AT9*(1+'Rent Roll Analysis'!$AK7/12)), IF(AND('Monthly Cash Flow'!AU$4&gt;1,'Monthly Cash Flow'!AU$4&lt;=2),'Monthly Cash Flow'!AT9*(1+'Rent Roll Analysis'!$AE7/12),'Monthly Cash Flow'!AT9*(1+'Rent Roll Analysis'!$AB7/12))))</f>
        <v>121647.42941510097</v>
      </c>
      <c r="AV9" s="1428">
        <f>IF($B9="","",IF(AV$4&lt;2,(AU9*(1+'Rent Roll Analysis'!$AK7/12)), IF(AND('Monthly Cash Flow'!AV$4&gt;1,'Monthly Cash Flow'!AV$4&lt;=2),'Monthly Cash Flow'!AU9*(1+'Rent Roll Analysis'!$AE7/12),'Monthly Cash Flow'!AU9*(1+'Rent Roll Analysis'!$AB7/12))))</f>
        <v>122052.92084648465</v>
      </c>
      <c r="AW9" s="1428">
        <f>IF($B9="","",IF(AW$4&lt;2,(AV9*(1+'Rent Roll Analysis'!$AK7/12)), IF(AND('Monthly Cash Flow'!AW$4&gt;1,'Monthly Cash Flow'!AW$4&lt;=2),'Monthly Cash Flow'!AV9*(1+'Rent Roll Analysis'!$AE7/12),'Monthly Cash Flow'!AV9*(1+'Rent Roll Analysis'!$AB7/12))))</f>
        <v>122459.76391597293</v>
      </c>
      <c r="AX9" s="1428">
        <f>IF($B9="","",IF(AX$4&lt;2,(AW9*(1+'Rent Roll Analysis'!$AK7/12)), IF(AND('Monthly Cash Flow'!AX$4&gt;1,'Monthly Cash Flow'!AX$4&lt;=2),'Monthly Cash Flow'!AW9*(1+'Rent Roll Analysis'!$AE7/12),'Monthly Cash Flow'!AW9*(1+'Rent Roll Analysis'!$AB7/12))))</f>
        <v>122867.96312902618</v>
      </c>
      <c r="AY9" s="1428">
        <f>IF($B9="","",IF(AY$4&lt;2,(AX9*(1+'Rent Roll Analysis'!$AK7/12)), IF(AND('Monthly Cash Flow'!AY$4&gt;1,'Monthly Cash Flow'!AY$4&lt;=2),'Monthly Cash Flow'!AX9*(1+'Rent Roll Analysis'!$AE7/12),'Monthly Cash Flow'!AX9*(1+'Rent Roll Analysis'!$AB7/12))))</f>
        <v>123277.52300612294</v>
      </c>
      <c r="AZ9" s="1428">
        <f>IF($B9="","",IF(AZ$4&lt;2,(AY9*(1+'Rent Roll Analysis'!$AK7/12)), IF(AND('Monthly Cash Flow'!AZ$4&gt;1,'Monthly Cash Flow'!AZ$4&lt;=2),'Monthly Cash Flow'!AY9*(1+'Rent Roll Analysis'!$AE7/12),'Monthly Cash Flow'!AY9*(1+'Rent Roll Analysis'!$AB7/12))))</f>
        <v>123688.44808281002</v>
      </c>
      <c r="BA9" s="1428">
        <f>IF($B9="","",IF(BA$4&lt;2,(AZ9*(1+'Rent Roll Analysis'!$AK7/12)), IF(AND('Monthly Cash Flow'!BA$4&gt;1,'Monthly Cash Flow'!BA$4&lt;=2),'Monthly Cash Flow'!AZ9*(1+'Rent Roll Analysis'!$AE7/12),'Monthly Cash Flow'!AZ9*(1+'Rent Roll Analysis'!$AB7/12))))</f>
        <v>124100.74290975273</v>
      </c>
      <c r="BB9" s="1428">
        <f>IF($B9="","",IF(BB$4&lt;2,(BA9*(1+'Rent Roll Analysis'!$AK7/12)), IF(AND('Monthly Cash Flow'!BB$4&gt;1,'Monthly Cash Flow'!BB$4&lt;=2),'Monthly Cash Flow'!BA9*(1+'Rent Roll Analysis'!$AE7/12),'Monthly Cash Flow'!BA9*(1+'Rent Roll Analysis'!$AB7/12))))</f>
        <v>124514.41205278525</v>
      </c>
      <c r="BC9" s="1428">
        <f>IF($B9="","",IF(BC$4&lt;2,(BB9*(1+'Rent Roll Analysis'!$AK7/12)), IF(AND('Monthly Cash Flow'!BC$4&gt;1,'Monthly Cash Flow'!BC$4&lt;=2),'Monthly Cash Flow'!BB9*(1+'Rent Roll Analysis'!$AE7/12),'Monthly Cash Flow'!BB9*(1+'Rent Roll Analysis'!$AB7/12))))</f>
        <v>124929.46009296121</v>
      </c>
      <c r="BD9" s="1428">
        <f>IF($B9="","",IF(BD$4&lt;2,(BC9*(1+'Rent Roll Analysis'!$AK7/12)), IF(AND('Monthly Cash Flow'!BD$4&gt;1,'Monthly Cash Flow'!BD$4&lt;=2),'Monthly Cash Flow'!BC9*(1+'Rent Roll Analysis'!$AE7/12),'Monthly Cash Flow'!BC9*(1+'Rent Roll Analysis'!$AB7/12))))</f>
        <v>125345.89162660443</v>
      </c>
      <c r="BE9" s="1428">
        <f>IF($B9="","",IF(BE$4&lt;2,(BD9*(1+'Rent Roll Analysis'!$AK7/12)), IF(AND('Monthly Cash Flow'!BE$4&gt;1,'Monthly Cash Flow'!BE$4&lt;=2),'Monthly Cash Flow'!BD9*(1+'Rent Roll Analysis'!$AE7/12),'Monthly Cash Flow'!BD9*(1+'Rent Roll Analysis'!$AB7/12))))</f>
        <v>125763.71126535979</v>
      </c>
      <c r="BF9" s="1428">
        <f>IF($B9="","",IF(BF$4&lt;2,(BE9*(1+'Rent Roll Analysis'!$AK7/12)), IF(AND('Monthly Cash Flow'!BF$4&gt;1,'Monthly Cash Flow'!BF$4&lt;=2),'Monthly Cash Flow'!BE9*(1+'Rent Roll Analysis'!$AE7/12),'Monthly Cash Flow'!BE9*(1+'Rent Roll Analysis'!$AB7/12))))</f>
        <v>126182.92363624433</v>
      </c>
      <c r="BG9" s="1428">
        <f>IF($B9="","",IF(BG$4&lt;2,(BF9*(1+'Rent Roll Analysis'!$AK7/12)), IF(AND('Monthly Cash Flow'!BG$4&gt;1,'Monthly Cash Flow'!BG$4&lt;=2),'Monthly Cash Flow'!BF9*(1+'Rent Roll Analysis'!$AE7/12),'Monthly Cash Flow'!BF9*(1+'Rent Roll Analysis'!$AB7/12))))</f>
        <v>126603.53338169849</v>
      </c>
      <c r="BH9" s="1428">
        <f>IF($B9="","",IF(BH$4&lt;2,(BG9*(1+'Rent Roll Analysis'!$AK7/12)), IF(AND('Monthly Cash Flow'!BH$4&gt;1,'Monthly Cash Flow'!BH$4&lt;=2),'Monthly Cash Flow'!BG9*(1+'Rent Roll Analysis'!$AE7/12),'Monthly Cash Flow'!BG9*(1+'Rent Roll Analysis'!$AB7/12))))</f>
        <v>127025.54515963749</v>
      </c>
      <c r="BI9" s="1428">
        <f>IF($B9="","",IF(BI$4&lt;2,(BH9*(1+'Rent Roll Analysis'!$AK7/12)), IF(AND('Monthly Cash Flow'!BI$4&gt;1,'Monthly Cash Flow'!BI$4&lt;=2),'Monthly Cash Flow'!BH9*(1+'Rent Roll Analysis'!$AE7/12),'Monthly Cash Flow'!BH9*(1+'Rent Roll Analysis'!$AB7/12))))</f>
        <v>127448.96364350295</v>
      </c>
      <c r="BJ9" s="1428">
        <f>IF($B9="","",IF(BJ$4&lt;2,(BI9*(1+'Rent Roll Analysis'!$AK7/12)), IF(AND('Monthly Cash Flow'!BJ$4&gt;1,'Monthly Cash Flow'!BJ$4&lt;=2),'Monthly Cash Flow'!BI9*(1+'Rent Roll Analysis'!$AE7/12),'Monthly Cash Flow'!BI9*(1+'Rent Roll Analysis'!$AB7/12))))</f>
        <v>127873.79352231463</v>
      </c>
      <c r="BK9" s="1428">
        <f>IF($B9="","",IF(BK$4&lt;2,(BJ9*(1+'Rent Roll Analysis'!$AK7/12)), IF(AND('Monthly Cash Flow'!BK$4&gt;1,'Monthly Cash Flow'!BK$4&lt;=2),'Monthly Cash Flow'!BJ9*(1+'Rent Roll Analysis'!$AE7/12),'Monthly Cash Flow'!BJ9*(1+'Rent Roll Analysis'!$AB7/12))))</f>
        <v>128300.03950072236</v>
      </c>
      <c r="BL9" s="1428">
        <f>IF($B9="","",IF(BL$4&lt;2,(BK9*(1+'Rent Roll Analysis'!$AK7/12)), IF(AND('Monthly Cash Flow'!BL$4&gt;1,'Monthly Cash Flow'!BL$4&lt;=2),'Monthly Cash Flow'!BK9*(1+'Rent Roll Analysis'!$AE7/12),'Monthly Cash Flow'!BK9*(1+'Rent Roll Analysis'!$AB7/12))))</f>
        <v>128727.7062990581</v>
      </c>
      <c r="BM9" s="1428">
        <f>IF($B9="","",IF(BM$4&lt;2,(BL9*(1+'Rent Roll Analysis'!$AK7/12)), IF(AND('Monthly Cash Flow'!BM$4&gt;1,'Monthly Cash Flow'!BM$4&lt;=2),'Monthly Cash Flow'!BL9*(1+'Rent Roll Analysis'!$AE7/12),'Monthly Cash Flow'!BL9*(1+'Rent Roll Analysis'!$AB7/12))))</f>
        <v>129156.79865338831</v>
      </c>
      <c r="BN9" s="1428">
        <f>IF($B9="","",IF(BN$4&lt;2,(BM9*(1+'Rent Roll Analysis'!$AK7/12)), IF(AND('Monthly Cash Flow'!BN$4&gt;1,'Monthly Cash Flow'!BN$4&lt;=2),'Monthly Cash Flow'!BM9*(1+'Rent Roll Analysis'!$AE7/12),'Monthly Cash Flow'!BM9*(1+'Rent Roll Analysis'!$AB7/12))))</f>
        <v>129587.32131556628</v>
      </c>
      <c r="BO9" s="1428">
        <f>IF($B9="","",IF(BO$4&lt;2,(BN9*(1+'Rent Roll Analysis'!$AK7/12)), IF(AND('Monthly Cash Flow'!BO$4&gt;1,'Monthly Cash Flow'!BO$4&lt;=2),'Monthly Cash Flow'!BN9*(1+'Rent Roll Analysis'!$AE7/12),'Monthly Cash Flow'!BN9*(1+'Rent Roll Analysis'!$AB7/12))))</f>
        <v>130019.27905328484</v>
      </c>
      <c r="BP9" s="1428">
        <f>IF($B9="","",IF(BP$4&lt;2,(BO9*(1+'Rent Roll Analysis'!$AK7/12)), IF(AND('Monthly Cash Flow'!BP$4&gt;1,'Monthly Cash Flow'!BP$4&lt;=2),'Monthly Cash Flow'!BO9*(1+'Rent Roll Analysis'!$AE7/12),'Monthly Cash Flow'!BO9*(1+'Rent Roll Analysis'!$AB7/12))))</f>
        <v>130452.67665012914</v>
      </c>
      <c r="BQ9" s="1428">
        <f>IF($B9="","",IF(BQ$4&lt;2,(BP9*(1+'Rent Roll Analysis'!$AK7/12)), IF(AND('Monthly Cash Flow'!BQ$4&gt;1,'Monthly Cash Flow'!BQ$4&lt;=2),'Monthly Cash Flow'!BP9*(1+'Rent Roll Analysis'!$AE7/12),'Monthly Cash Flow'!BP9*(1+'Rent Roll Analysis'!$AB7/12))))</f>
        <v>130887.51890562958</v>
      </c>
      <c r="BR9" s="1428">
        <f>IF($B9="","",IF(BR$4&lt;2,(BQ9*(1+'Rent Roll Analysis'!$AK7/12)), IF(AND('Monthly Cash Flow'!BR$4&gt;1,'Monthly Cash Flow'!BR$4&lt;=2),'Monthly Cash Flow'!BQ9*(1+'Rent Roll Analysis'!$AE7/12),'Monthly Cash Flow'!BQ9*(1+'Rent Roll Analysis'!$AB7/12))))</f>
        <v>131323.81063531502</v>
      </c>
      <c r="BS9" s="1428">
        <f>IF($B9="","",IF(BS$4&lt;2,(BR9*(1+'Rent Roll Analysis'!$AK7/12)), IF(AND('Monthly Cash Flow'!BS$4&gt;1,'Monthly Cash Flow'!BS$4&lt;=2),'Monthly Cash Flow'!BR9*(1+'Rent Roll Analysis'!$AE7/12),'Monthly Cash Flow'!BR9*(1+'Rent Roll Analysis'!$AB7/12))))</f>
        <v>131761.55667076609</v>
      </c>
      <c r="BT9" s="1428">
        <f>IF($B9="","",IF(BT$4&lt;2,(BS9*(1+'Rent Roll Analysis'!$AK7/12)), IF(AND('Monthly Cash Flow'!BT$4&gt;1,'Monthly Cash Flow'!BT$4&lt;=2),'Monthly Cash Flow'!BS9*(1+'Rent Roll Analysis'!$AE7/12),'Monthly Cash Flow'!BS9*(1+'Rent Roll Analysis'!$AB7/12))))</f>
        <v>132200.76185966865</v>
      </c>
      <c r="BU9" s="1428">
        <f>IF($B9="","",IF(BU$4&lt;2,(BT9*(1+'Rent Roll Analysis'!$AK7/12)), IF(AND('Monthly Cash Flow'!BU$4&gt;1,'Monthly Cash Flow'!BU$4&lt;=2),'Monthly Cash Flow'!BT9*(1+'Rent Roll Analysis'!$AE7/12),'Monthly Cash Flow'!BT9*(1+'Rent Roll Analysis'!$AB7/12))))</f>
        <v>132641.43106586757</v>
      </c>
      <c r="BV9" s="1428">
        <f>IF($B9="","",IF(BV$4&lt;2,(BU9*(1+'Rent Roll Analysis'!$AK7/12)), IF(AND('Monthly Cash Flow'!BV$4&gt;1,'Monthly Cash Flow'!BV$4&lt;=2),'Monthly Cash Flow'!BU9*(1+'Rent Roll Analysis'!$AE7/12),'Monthly Cash Flow'!BU9*(1+'Rent Roll Analysis'!$AB7/12))))</f>
        <v>133083.56916942046</v>
      </c>
      <c r="BW9" s="1428">
        <f>IF($B9="","",IF(BW$4&lt;2,(BV9*(1+'Rent Roll Analysis'!$AK7/12)), IF(AND('Monthly Cash Flow'!BW$4&gt;1,'Monthly Cash Flow'!BW$4&lt;=2),'Monthly Cash Flow'!BV9*(1+'Rent Roll Analysis'!$AE7/12),'Monthly Cash Flow'!BV9*(1+'Rent Roll Analysis'!$AB7/12))))</f>
        <v>133527.18106665186</v>
      </c>
      <c r="BX9" s="1428">
        <f>IF($B9="","",IF(BX$4&lt;2,(BW9*(1+'Rent Roll Analysis'!$AK7/12)), IF(AND('Monthly Cash Flow'!BX$4&gt;1,'Monthly Cash Flow'!BX$4&lt;=2),'Monthly Cash Flow'!BW9*(1+'Rent Roll Analysis'!$AE7/12),'Monthly Cash Flow'!BW9*(1+'Rent Roll Analysis'!$AB7/12))))</f>
        <v>133972.27167020738</v>
      </c>
      <c r="BY9" s="1428">
        <f>IF($B9="","",IF(BY$4&lt;2,(BX9*(1+'Rent Roll Analysis'!$AK7/12)), IF(AND('Monthly Cash Flow'!BY$4&gt;1,'Monthly Cash Flow'!BY$4&lt;=2),'Monthly Cash Flow'!BX9*(1+'Rent Roll Analysis'!$AE7/12),'Monthly Cash Flow'!BX9*(1+'Rent Roll Analysis'!$AB7/12))))</f>
        <v>134418.84590910809</v>
      </c>
      <c r="BZ9" s="1428">
        <f>IF($B9="","",IF(BZ$4&lt;2,(BY9*(1+'Rent Roll Analysis'!$AK7/12)), IF(AND('Monthly Cash Flow'!BZ$4&gt;1,'Monthly Cash Flow'!BZ$4&lt;=2),'Monthly Cash Flow'!BY9*(1+'Rent Roll Analysis'!$AE7/12),'Monthly Cash Flow'!BY9*(1+'Rent Roll Analysis'!$AB7/12))))</f>
        <v>134866.90872880514</v>
      </c>
      <c r="CA9" s="1428">
        <f>IF($B9="","",IF(CA$4&lt;2,(BZ9*(1+'Rent Roll Analysis'!$AK7/12)), IF(AND('Monthly Cash Flow'!CA$4&gt;1,'Monthly Cash Flow'!CA$4&lt;=2),'Monthly Cash Flow'!BZ9*(1+'Rent Roll Analysis'!$AE7/12),'Monthly Cash Flow'!BZ9*(1+'Rent Roll Analysis'!$AB7/12))))</f>
        <v>135316.46509123451</v>
      </c>
      <c r="CB9" s="1428">
        <f>IF($B9="","",IF(CB$4&lt;2,(CA9*(1+'Rent Roll Analysis'!$AK7/12)), IF(AND('Monthly Cash Flow'!CB$4&gt;1,'Monthly Cash Flow'!CB$4&lt;=2),'Monthly Cash Flow'!CA9*(1+'Rent Roll Analysis'!$AE7/12),'Monthly Cash Flow'!CA9*(1+'Rent Roll Analysis'!$AB7/12))))</f>
        <v>135767.51997487198</v>
      </c>
      <c r="CC9" s="1428">
        <f>IF($B9="","",IF(CC$4&lt;2,(CB9*(1+'Rent Roll Analysis'!$AK7/12)), IF(AND('Monthly Cash Flow'!CC$4&gt;1,'Monthly Cash Flow'!CC$4&lt;=2),'Monthly Cash Flow'!CB9*(1+'Rent Roll Analysis'!$AE7/12),'Monthly Cash Flow'!CB9*(1+'Rent Roll Analysis'!$AB7/12))))</f>
        <v>136220.07837478822</v>
      </c>
      <c r="CD9" s="1428">
        <f>IF($B9="","",IF(CD$4&lt;2,(CC9*(1+'Rent Roll Analysis'!$AK7/12)), IF(AND('Monthly Cash Flow'!CD$4&gt;1,'Monthly Cash Flow'!CD$4&lt;=2),'Monthly Cash Flow'!CC9*(1+'Rent Roll Analysis'!$AE7/12),'Monthly Cash Flow'!CC9*(1+'Rent Roll Analysis'!$AB7/12))))</f>
        <v>136674.14530270419</v>
      </c>
      <c r="CE9" s="1428">
        <f>IF($B9="","",IF(CE$4&lt;2,(CD9*(1+'Rent Roll Analysis'!$AK7/12)), IF(AND('Monthly Cash Flow'!CE$4&gt;1,'Monthly Cash Flow'!CE$4&lt;=2),'Monthly Cash Flow'!CD9*(1+'Rent Roll Analysis'!$AE7/12),'Monthly Cash Flow'!CD9*(1+'Rent Roll Analysis'!$AB7/12))))</f>
        <v>137129.72578704654</v>
      </c>
      <c r="CF9" s="1428">
        <f>IF($B9="","",IF(CF$4&lt;2,(CE9*(1+'Rent Roll Analysis'!$AK7/12)), IF(AND('Monthly Cash Flow'!CF$4&gt;1,'Monthly Cash Flow'!CF$4&lt;=2),'Monthly Cash Flow'!CE9*(1+'Rent Roll Analysis'!$AE7/12),'Monthly Cash Flow'!CE9*(1+'Rent Roll Analysis'!$AB7/12))))</f>
        <v>137586.82487300338</v>
      </c>
      <c r="CG9" s="1428">
        <f>IF($B9="","",IF(CG$4&lt;2,(CF9*(1+'Rent Roll Analysis'!$AK7/12)), IF(AND('Monthly Cash Flow'!CG$4&gt;1,'Monthly Cash Flow'!CG$4&lt;=2),'Monthly Cash Flow'!CF9*(1+'Rent Roll Analysis'!$AE7/12),'Monthly Cash Flow'!CF9*(1+'Rent Roll Analysis'!$AB7/12))))</f>
        <v>138045.44762258008</v>
      </c>
      <c r="CH9" s="1428">
        <f>IF($B9="","",IF(CH$4&lt;2,(CG9*(1+'Rent Roll Analysis'!$AK7/12)), IF(AND('Monthly Cash Flow'!CH$4&gt;1,'Monthly Cash Flow'!CH$4&lt;=2),'Monthly Cash Flow'!CG9*(1+'Rent Roll Analysis'!$AE7/12),'Monthly Cash Flow'!CG9*(1+'Rent Roll Analysis'!$AB7/12))))</f>
        <v>138505.59911465534</v>
      </c>
      <c r="CI9" s="1428">
        <f>IF($B9="","",IF(CI$4&lt;2,(CH9*(1+'Rent Roll Analysis'!$AK7/12)), IF(AND('Monthly Cash Flow'!CI$4&gt;1,'Monthly Cash Flow'!CI$4&lt;=2),'Monthly Cash Flow'!CH9*(1+'Rent Roll Analysis'!$AE7/12),'Monthly Cash Flow'!CH9*(1+'Rent Roll Analysis'!$AB7/12))))</f>
        <v>138967.28444503754</v>
      </c>
      <c r="CJ9" s="1428">
        <f>IF($B9="","",IF(CJ$4&lt;2,(CI9*(1+'Rent Roll Analysis'!$AK7/12)), IF(AND('Monthly Cash Flow'!CJ$4&gt;1,'Monthly Cash Flow'!CJ$4&lt;=2),'Monthly Cash Flow'!CI9*(1+'Rent Roll Analysis'!$AE7/12),'Monthly Cash Flow'!CI9*(1+'Rent Roll Analysis'!$AB7/12))))</f>
        <v>139430.50872652102</v>
      </c>
      <c r="CK9" s="1428">
        <f>IF($B9="","",IF(CK$4&lt;2,(CJ9*(1+'Rent Roll Analysis'!$AK7/12)), IF(AND('Monthly Cash Flow'!CK$4&gt;1,'Monthly Cash Flow'!CK$4&lt;=2),'Monthly Cash Flow'!CJ9*(1+'Rent Roll Analysis'!$AE7/12),'Monthly Cash Flow'!CJ9*(1+'Rent Roll Analysis'!$AB7/12))))</f>
        <v>139895.27708894276</v>
      </c>
      <c r="CL9" s="1428">
        <f>IF($B9="","",IF(CL$4&lt;2,(CK9*(1+'Rent Roll Analysis'!$AK7/12)), IF(AND('Monthly Cash Flow'!CL$4&gt;1,'Monthly Cash Flow'!CL$4&lt;=2),'Monthly Cash Flow'!CK9*(1+'Rent Roll Analysis'!$AE7/12),'Monthly Cash Flow'!CK9*(1+'Rent Roll Analysis'!$AB7/12))))</f>
        <v>140361.59467923924</v>
      </c>
      <c r="CM9" s="1428">
        <f>IF($B9="","",IF(CM$4&lt;2,(CL9*(1+'Rent Roll Analysis'!$AK7/12)), IF(AND('Monthly Cash Flow'!CM$4&gt;1,'Monthly Cash Flow'!CM$4&lt;=2),'Monthly Cash Flow'!CL9*(1+'Rent Roll Analysis'!$AE7/12),'Monthly Cash Flow'!CL9*(1+'Rent Roll Analysis'!$AB7/12))))</f>
        <v>140829.46666150336</v>
      </c>
      <c r="CN9" s="1428">
        <f>IF($B9="","",IF(CN$4&lt;2,(CM9*(1+'Rent Roll Analysis'!$AK7/12)), IF(AND('Monthly Cash Flow'!CN$4&gt;1,'Monthly Cash Flow'!CN$4&lt;=2),'Monthly Cash Flow'!CM9*(1+'Rent Roll Analysis'!$AE7/12),'Monthly Cash Flow'!CM9*(1+'Rent Roll Analysis'!$AB7/12))))</f>
        <v>141298.89821704171</v>
      </c>
      <c r="CO9" s="1428">
        <f>IF($B9="","",IF(CO$4&lt;2,(CN9*(1+'Rent Roll Analysis'!$AK7/12)), IF(AND('Monthly Cash Flow'!CO$4&gt;1,'Monthly Cash Flow'!CO$4&lt;=2),'Monthly Cash Flow'!CN9*(1+'Rent Roll Analysis'!$AE7/12),'Monthly Cash Flow'!CN9*(1+'Rent Roll Analysis'!$AB7/12))))</f>
        <v>141769.89454443185</v>
      </c>
      <c r="CP9" s="1428">
        <f>IF($B9="","",IF(CP$4&lt;2,(CO9*(1+'Rent Roll Analysis'!$AK7/12)), IF(AND('Monthly Cash Flow'!CP$4&gt;1,'Monthly Cash Flow'!CP$4&lt;=2),'Monthly Cash Flow'!CO9*(1+'Rent Roll Analysis'!$AE7/12),'Monthly Cash Flow'!CO9*(1+'Rent Roll Analysis'!$AB7/12))))</f>
        <v>142242.46085957997</v>
      </c>
      <c r="CQ9" s="1428">
        <f>IF($B9="","",IF(CQ$4&lt;2,(CP9*(1+'Rent Roll Analysis'!$AK7/12)), IF(AND('Monthly Cash Flow'!CQ$4&gt;1,'Monthly Cash Flow'!CQ$4&lt;=2),'Monthly Cash Flow'!CP9*(1+'Rent Roll Analysis'!$AE7/12),'Monthly Cash Flow'!CP9*(1+'Rent Roll Analysis'!$AB7/12))))</f>
        <v>142716.60239577858</v>
      </c>
      <c r="CR9" s="1428">
        <f>IF($B9="","",IF(CR$4&lt;2,(CQ9*(1+'Rent Roll Analysis'!$AK7/12)), IF(AND('Monthly Cash Flow'!CR$4&gt;1,'Monthly Cash Flow'!CR$4&lt;=2),'Monthly Cash Flow'!CQ9*(1+'Rent Roll Analysis'!$AE7/12),'Monthly Cash Flow'!CQ9*(1+'Rent Roll Analysis'!$AB7/12))))</f>
        <v>143192.32440376451</v>
      </c>
      <c r="CS9" s="1428">
        <f>IF($B9="","",IF(CS$4&lt;2,(CR9*(1+'Rent Roll Analysis'!$AK7/12)), IF(AND('Monthly Cash Flow'!CS$4&gt;1,'Monthly Cash Flow'!CS$4&lt;=2),'Monthly Cash Flow'!CR9*(1+'Rent Roll Analysis'!$AE7/12),'Monthly Cash Flow'!CR9*(1+'Rent Roll Analysis'!$AB7/12))))</f>
        <v>143669.63215177707</v>
      </c>
      <c r="CT9" s="1428">
        <f>IF($B9="","",IF(CT$4&lt;2,(CS9*(1+'Rent Roll Analysis'!$AK7/12)), IF(AND('Monthly Cash Flow'!CT$4&gt;1,'Monthly Cash Flow'!CT$4&lt;=2),'Monthly Cash Flow'!CS9*(1+'Rent Roll Analysis'!$AE7/12),'Monthly Cash Flow'!CS9*(1+'Rent Roll Analysis'!$AB7/12))))</f>
        <v>144148.53092561633</v>
      </c>
      <c r="CU9" s="1428">
        <f>IF($B9="","",IF(CU$4&lt;2,(CT9*(1+'Rent Roll Analysis'!$AK7/12)), IF(AND('Monthly Cash Flow'!CU$4&gt;1,'Monthly Cash Flow'!CU$4&lt;=2),'Monthly Cash Flow'!CT9*(1+'Rent Roll Analysis'!$AE7/12),'Monthly Cash Flow'!CT9*(1+'Rent Roll Analysis'!$AB7/12))))</f>
        <v>144629.02602870172</v>
      </c>
      <c r="CV9" s="1428">
        <f>IF($B9="","",IF(CV$4&lt;2,(CU9*(1+'Rent Roll Analysis'!$AK7/12)), IF(AND('Monthly Cash Flow'!CV$4&gt;1,'Monthly Cash Flow'!CV$4&lt;=2),'Monthly Cash Flow'!CU9*(1+'Rent Roll Analysis'!$AE7/12),'Monthly Cash Flow'!CU9*(1+'Rent Roll Analysis'!$AB7/12))))</f>
        <v>145111.12278213073</v>
      </c>
      <c r="CW9" s="1428">
        <f>IF($B9="","",IF(CW$4&lt;2,(CV9*(1+'Rent Roll Analysis'!$AK7/12)), IF(AND('Monthly Cash Flow'!CW$4&gt;1,'Monthly Cash Flow'!CW$4&lt;=2),'Monthly Cash Flow'!CV9*(1+'Rent Roll Analysis'!$AE7/12),'Monthly Cash Flow'!CV9*(1+'Rent Roll Analysis'!$AB7/12))))</f>
        <v>145594.82652473784</v>
      </c>
      <c r="CX9" s="1428">
        <f>IF($B9="","",IF(CX$4&lt;2,(CW9*(1+'Rent Roll Analysis'!$AK7/12)), IF(AND('Monthly Cash Flow'!CX$4&gt;1,'Monthly Cash Flow'!CX$4&lt;=2),'Monthly Cash Flow'!CW9*(1+'Rent Roll Analysis'!$AE7/12),'Monthly Cash Flow'!CW9*(1+'Rent Roll Analysis'!$AB7/12))))</f>
        <v>146080.14261315364</v>
      </c>
      <c r="CY9" s="1428">
        <f>IF($B9="","",IF(CY$4&lt;2,(CX9*(1+'Rent Roll Analysis'!$AK7/12)), IF(AND('Monthly Cash Flow'!CY$4&gt;1,'Monthly Cash Flow'!CY$4&lt;=2),'Monthly Cash Flow'!CX9*(1+'Rent Roll Analysis'!$AE7/12),'Monthly Cash Flow'!CX9*(1+'Rent Roll Analysis'!$AB7/12))))</f>
        <v>146567.07642186416</v>
      </c>
      <c r="CZ9" s="1428">
        <f>IF($B9="","",IF(CZ$4&lt;2,(CY9*(1+'Rent Roll Analysis'!$AK7/12)), IF(AND('Monthly Cash Flow'!CZ$4&gt;1,'Monthly Cash Flow'!CZ$4&lt;=2),'Monthly Cash Flow'!CY9*(1+'Rent Roll Analysis'!$AE7/12),'Monthly Cash Flow'!CY9*(1+'Rent Roll Analysis'!$AB7/12))))</f>
        <v>147055.63334327037</v>
      </c>
      <c r="DA9" s="1428">
        <f>IF($B9="","",IF(DA$4&lt;2,(CZ9*(1+'Rent Roll Analysis'!$AK7/12)), IF(AND('Monthly Cash Flow'!DA$4&gt;1,'Monthly Cash Flow'!DA$4&lt;=2),'Monthly Cash Flow'!CZ9*(1+'Rent Roll Analysis'!$AE7/12),'Monthly Cash Flow'!CZ9*(1+'Rent Roll Analysis'!$AB7/12))))</f>
        <v>147545.81878774794</v>
      </c>
      <c r="DB9" s="1428">
        <f>IF($B9="","",IF(DB$4&lt;2,(DA9*(1+'Rent Roll Analysis'!$AK7/12)), IF(AND('Monthly Cash Flow'!DB$4&gt;1,'Monthly Cash Flow'!DB$4&lt;=2),'Monthly Cash Flow'!DA9*(1+'Rent Roll Analysis'!$AE7/12),'Monthly Cash Flow'!DA9*(1+'Rent Roll Analysis'!$AB7/12))))</f>
        <v>148037.63818370711</v>
      </c>
      <c r="DC9" s="1428">
        <f>IF($B9="","",IF(DC$4&lt;2,(DB9*(1+'Rent Roll Analysis'!$AK7/12)), IF(AND('Monthly Cash Flow'!DC$4&gt;1,'Monthly Cash Flow'!DC$4&lt;=2),'Monthly Cash Flow'!DB9*(1+'Rent Roll Analysis'!$AE7/12),'Monthly Cash Flow'!DB9*(1+'Rent Roll Analysis'!$AB7/12))))</f>
        <v>148531.09697765281</v>
      </c>
      <c r="DD9" s="1428">
        <f>IF($B9="","",IF(DD$4&lt;2,(DC9*(1+'Rent Roll Analysis'!$AK7/12)), IF(AND('Monthly Cash Flow'!DD$4&gt;1,'Monthly Cash Flow'!DD$4&lt;=2),'Monthly Cash Flow'!DC9*(1+'Rent Roll Analysis'!$AE7/12),'Monthly Cash Flow'!DC9*(1+'Rent Roll Analysis'!$AB7/12))))</f>
        <v>149026.200634245</v>
      </c>
      <c r="DE9" s="1428">
        <f>IF($B9="","",IF(DE$4&lt;2,(DD9*(1+'Rent Roll Analysis'!$AK7/12)), IF(AND('Monthly Cash Flow'!DE$4&gt;1,'Monthly Cash Flow'!DE$4&lt;=2),'Monthly Cash Flow'!DD9*(1+'Rent Roll Analysis'!$AE7/12),'Monthly Cash Flow'!DD9*(1+'Rent Roll Analysis'!$AB7/12))))</f>
        <v>149522.95463635918</v>
      </c>
      <c r="DF9" s="1428">
        <f>IF($B9="","",IF(DF$4&lt;2,(DE9*(1+'Rent Roll Analysis'!$AK7/12)), IF(AND('Monthly Cash Flow'!DF$4&gt;1,'Monthly Cash Flow'!DF$4&lt;=2),'Monthly Cash Flow'!DE9*(1+'Rent Roll Analysis'!$AE7/12),'Monthly Cash Flow'!DE9*(1+'Rent Roll Analysis'!$AB7/12))))</f>
        <v>150021.36448514706</v>
      </c>
      <c r="DG9" s="1428">
        <f>IF($B9="","",IF(DG$4&lt;2,(DF9*(1+'Rent Roll Analysis'!$AK7/12)), IF(AND('Monthly Cash Flow'!DG$4&gt;1,'Monthly Cash Flow'!DG$4&lt;=2),'Monthly Cash Flow'!DF9*(1+'Rent Roll Analysis'!$AE7/12),'Monthly Cash Flow'!DF9*(1+'Rent Roll Analysis'!$AB7/12))))</f>
        <v>150521.43570009756</v>
      </c>
      <c r="DH9" s="1428">
        <f>IF($B9="","",IF(DH$4&lt;2,(DG9*(1+'Rent Roll Analysis'!$AK7/12)), IF(AND('Monthly Cash Flow'!DH$4&gt;1,'Monthly Cash Flow'!DH$4&lt;=2),'Monthly Cash Flow'!DG9*(1+'Rent Roll Analysis'!$AE7/12),'Monthly Cash Flow'!DG9*(1+'Rent Roll Analysis'!$AB7/12))))</f>
        <v>151023.17381909789</v>
      </c>
      <c r="DI9" s="1428">
        <f>IF($B9="","",IF(DI$4&lt;2,(DH9*(1+'Rent Roll Analysis'!$AK7/12)), IF(AND('Monthly Cash Flow'!DI$4&gt;1,'Monthly Cash Flow'!DI$4&lt;=2),'Monthly Cash Flow'!DH9*(1+'Rent Roll Analysis'!$AE7/12),'Monthly Cash Flow'!DH9*(1+'Rent Roll Analysis'!$AB7/12))))</f>
        <v>151526.58439849489</v>
      </c>
      <c r="DJ9" s="1428">
        <f>IF($B9="","",IF(DJ$4&lt;2,(DI9*(1+'Rent Roll Analysis'!$AK7/12)), IF(AND('Monthly Cash Flow'!DJ$4&gt;1,'Monthly Cash Flow'!DJ$4&lt;=2),'Monthly Cash Flow'!DI9*(1+'Rent Roll Analysis'!$AE7/12),'Monthly Cash Flow'!DI9*(1+'Rent Roll Analysis'!$AB7/12))))</f>
        <v>152031.67301315654</v>
      </c>
      <c r="DK9" s="1428">
        <f>IF($B9="","",IF(DK$4&lt;2,(DJ9*(1+'Rent Roll Analysis'!$AK7/12)), IF(AND('Monthly Cash Flow'!DK$4&gt;1,'Monthly Cash Flow'!DK$4&lt;=2),'Monthly Cash Flow'!DJ9*(1+'Rent Roll Analysis'!$AE7/12),'Monthly Cash Flow'!DJ9*(1+'Rent Roll Analysis'!$AB7/12))))</f>
        <v>152538.44525653374</v>
      </c>
      <c r="DL9" s="1428">
        <f>IF($B9="","",IF(DL$4&lt;2,(DK9*(1+'Rent Roll Analysis'!$AK7/12)), IF(AND('Monthly Cash Flow'!DL$4&gt;1,'Monthly Cash Flow'!DL$4&lt;=2),'Monthly Cash Flow'!DK9*(1+'Rent Roll Analysis'!$AE7/12),'Monthly Cash Flow'!DK9*(1+'Rent Roll Analysis'!$AB7/12))))</f>
        <v>153046.90674072219</v>
      </c>
      <c r="DM9" s="1428">
        <f>IF($B9="","",IF(DM$4&lt;2,(DL9*(1+'Rent Roll Analysis'!$AK7/12)), IF(AND('Monthly Cash Flow'!DM$4&gt;1,'Monthly Cash Flow'!DM$4&lt;=2),'Monthly Cash Flow'!DL9*(1+'Rent Roll Analysis'!$AE7/12),'Monthly Cash Flow'!DL9*(1+'Rent Roll Analysis'!$AB7/12))))</f>
        <v>153557.06309652459</v>
      </c>
      <c r="DN9" s="1428">
        <f>IF($B9="","",IF(DN$4&lt;2,(DM9*(1+'Rent Roll Analysis'!$AK7/12)), IF(AND('Monthly Cash Flow'!DN$4&gt;1,'Monthly Cash Flow'!DN$4&lt;=2),'Monthly Cash Flow'!DM9*(1+'Rent Roll Analysis'!$AE7/12),'Monthly Cash Flow'!DM9*(1+'Rent Roll Analysis'!$AB7/12))))</f>
        <v>154068.91997351302</v>
      </c>
      <c r="DO9" s="1428">
        <f>IF($B9="","",IF(DO$4&lt;2,(DN9*(1+'Rent Roll Analysis'!$AK7/12)), IF(AND('Monthly Cash Flow'!DO$4&gt;1,'Monthly Cash Flow'!DO$4&lt;=2),'Monthly Cash Flow'!DN9*(1+'Rent Roll Analysis'!$AE7/12),'Monthly Cash Flow'!DN9*(1+'Rent Roll Analysis'!$AB7/12))))</f>
        <v>154582.48304009141</v>
      </c>
      <c r="DP9" s="1428">
        <f>IF($B9="","",IF(DP$4&lt;2,(DO9*(1+'Rent Roll Analysis'!$AK7/12)), IF(AND('Monthly Cash Flow'!DP$4&gt;1,'Monthly Cash Flow'!DP$4&lt;=2),'Monthly Cash Flow'!DO9*(1+'Rent Roll Analysis'!$AE7/12),'Monthly Cash Flow'!DO9*(1+'Rent Roll Analysis'!$AB7/12))))</f>
        <v>155097.7579835584</v>
      </c>
      <c r="DQ9" s="1428">
        <f>IF($B9="","",IF(DQ$4&lt;2,(DP9*(1+'Rent Roll Analysis'!$AK7/12)), IF(AND('Monthly Cash Flow'!DQ$4&gt;1,'Monthly Cash Flow'!DQ$4&lt;=2),'Monthly Cash Flow'!DP9*(1+'Rent Roll Analysis'!$AE7/12),'Monthly Cash Flow'!DP9*(1+'Rent Roll Analysis'!$AB7/12))))</f>
        <v>155614.75051017027</v>
      </c>
      <c r="DR9" s="1428">
        <f>IF($B9="","",IF(DR$4&lt;2,(DQ9*(1+'Rent Roll Analysis'!$AK7/12)), IF(AND('Monthly Cash Flow'!DR$4&gt;1,'Monthly Cash Flow'!DR$4&lt;=2),'Monthly Cash Flow'!DQ9*(1+'Rent Roll Analysis'!$AE7/12),'Monthly Cash Flow'!DQ9*(1+'Rent Roll Analysis'!$AB7/12))))</f>
        <v>156133.46634520419</v>
      </c>
      <c r="DS9" s="1428">
        <f>IF($B9="","",IF(DS$4&lt;2,(DR9*(1+'Rent Roll Analysis'!$AK7/12)), IF(AND('Monthly Cash Flow'!DS$4&gt;1,'Monthly Cash Flow'!DS$4&lt;=2),'Monthly Cash Flow'!DR9*(1+'Rent Roll Analysis'!$AE7/12),'Monthly Cash Flow'!DR9*(1+'Rent Roll Analysis'!$AB7/12))))</f>
        <v>156653.91123302156</v>
      </c>
      <c r="DT9" s="1428">
        <f>IF($B9="","",IF(DT$4&lt;2,(DS9*(1+'Rent Roll Analysis'!$AK7/12)), IF(AND('Monthly Cash Flow'!DT$4&gt;1,'Monthly Cash Flow'!DT$4&lt;=2),'Monthly Cash Flow'!DS9*(1+'Rent Roll Analysis'!$AE7/12),'Monthly Cash Flow'!DS9*(1+'Rent Roll Analysis'!$AB7/12))))</f>
        <v>157176.09093713164</v>
      </c>
      <c r="DU9" s="385" t="s">
        <v>557</v>
      </c>
      <c r="DV9" s="375"/>
    </row>
    <row r="10" spans="1:126" s="92" customFormat="1" ht="20.149999999999999" customHeight="1" outlineLevel="1">
      <c r="A10" s="375"/>
      <c r="B10" s="383" t="str">
        <f>'Rent Roll Analysis'!C8</f>
        <v>B1</v>
      </c>
      <c r="C10" s="376"/>
      <c r="D10" s="1426">
        <f>IF('Rent Roll Analysis'!C8="","",'Rent Roll Analysis'!N8*'Rent Roll Analysis'!E8)</f>
        <v>70490.000000000102</v>
      </c>
      <c r="E10" s="1428">
        <f t="shared" si="113"/>
        <v>70490.000000000102</v>
      </c>
      <c r="F10" s="1428">
        <f>IF($B10="","",IF(F$4&lt;2,(E10*(1+'Rent Roll Analysis'!$AK8/12)), IF(AND('Monthly Cash Flow'!F$4&gt;1,'Monthly Cash Flow'!F$4&lt;=2),'Monthly Cash Flow'!E10*(1+'Rent Roll Analysis'!$AE8/12),'Monthly Cash Flow'!E10*(1+'Rent Roll Analysis'!$AB8/12))))</f>
        <v>70959.933333333436</v>
      </c>
      <c r="G10" s="1428">
        <f>IF($B10="","",IF(G$4&lt;2,(F10*(1+'Rent Roll Analysis'!$AK8/12)), IF(AND('Monthly Cash Flow'!G$4&gt;1,'Monthly Cash Flow'!G$4&lt;=2),'Monthly Cash Flow'!F10*(1+'Rent Roll Analysis'!$AE8/12),'Monthly Cash Flow'!F10*(1+'Rent Roll Analysis'!$AB8/12))))</f>
        <v>71432.999555555652</v>
      </c>
      <c r="H10" s="1428">
        <f>IF($B10="","",IF(H$4&lt;2,(G10*(1+'Rent Roll Analysis'!$AK8/12)), IF(AND('Monthly Cash Flow'!H$4&gt;1,'Monthly Cash Flow'!H$4&lt;=2),'Monthly Cash Flow'!G10*(1+'Rent Roll Analysis'!$AE8/12),'Monthly Cash Flow'!G10*(1+'Rent Roll Analysis'!$AB8/12))))</f>
        <v>71909.21955259268</v>
      </c>
      <c r="I10" s="1428">
        <f>IF($B10="","",IF(I$4&lt;2,(H10*(1+'Rent Roll Analysis'!$AK8/12)), IF(AND('Monthly Cash Flow'!I$4&gt;1,'Monthly Cash Flow'!I$4&lt;=2),'Monthly Cash Flow'!H10*(1+'Rent Roll Analysis'!$AE8/12),'Monthly Cash Flow'!H10*(1+'Rent Roll Analysis'!$AB8/12))))</f>
        <v>72388.614349609954</v>
      </c>
      <c r="J10" s="1428">
        <f>IF($B10="","",IF(J$4&lt;2,(I10*(1+'Rent Roll Analysis'!$AK8/12)), IF(AND('Monthly Cash Flow'!J$4&gt;1,'Monthly Cash Flow'!J$4&lt;=2),'Monthly Cash Flow'!I10*(1+'Rent Roll Analysis'!$AE8/12),'Monthly Cash Flow'!I10*(1+'Rent Roll Analysis'!$AB8/12))))</f>
        <v>72871.205111940682</v>
      </c>
      <c r="K10" s="1428">
        <f>IF($B10="","",IF(K$4&lt;2,(J10*(1+'Rent Roll Analysis'!$AK8/12)), IF(AND('Monthly Cash Flow'!K$4&gt;1,'Monthly Cash Flow'!K$4&lt;=2),'Monthly Cash Flow'!J10*(1+'Rent Roll Analysis'!$AE8/12),'Monthly Cash Flow'!J10*(1+'Rent Roll Analysis'!$AB8/12))))</f>
        <v>73357.013146020283</v>
      </c>
      <c r="L10" s="1428">
        <f>IF($B10="","",IF(L$4&lt;2,(K10*(1+'Rent Roll Analysis'!$AK8/12)), IF(AND('Monthly Cash Flow'!L$4&gt;1,'Monthly Cash Flow'!L$4&lt;=2),'Monthly Cash Flow'!K10*(1+'Rent Roll Analysis'!$AE8/12),'Monthly Cash Flow'!K10*(1+'Rent Roll Analysis'!$AB8/12))))</f>
        <v>73846.059900327076</v>
      </c>
      <c r="M10" s="1428">
        <f>IF($B10="","",IF(M$4&lt;2,(L10*(1+'Rent Roll Analysis'!$AK8/12)), IF(AND('Monthly Cash Flow'!M$4&gt;1,'Monthly Cash Flow'!M$4&lt;=2),'Monthly Cash Flow'!L10*(1+'Rent Roll Analysis'!$AE8/12),'Monthly Cash Flow'!L10*(1+'Rent Roll Analysis'!$AB8/12))))</f>
        <v>74338.366966329253</v>
      </c>
      <c r="N10" s="1428">
        <f>IF($B10="","",IF(N$4&lt;2,(M10*(1+'Rent Roll Analysis'!$AK8/12)), IF(AND('Monthly Cash Flow'!N$4&gt;1,'Monthly Cash Flow'!N$4&lt;=2),'Monthly Cash Flow'!M10*(1+'Rent Roll Analysis'!$AE8/12),'Monthly Cash Flow'!M10*(1+'Rent Roll Analysis'!$AB8/12))))</f>
        <v>74833.95607943811</v>
      </c>
      <c r="O10" s="1428">
        <f>IF($B10="","",IF(O$4&lt;2,(N10*(1+'Rent Roll Analysis'!$AK8/12)), IF(AND('Monthly Cash Flow'!O$4&gt;1,'Monthly Cash Flow'!O$4&lt;=2),'Monthly Cash Flow'!N10*(1+'Rent Roll Analysis'!$AE8/12),'Monthly Cash Flow'!N10*(1+'Rent Roll Analysis'!$AB8/12))))</f>
        <v>75332.849119967694</v>
      </c>
      <c r="P10" s="1428">
        <f>IF($B10="","",IF(P$4&lt;2,(O10*(1+'Rent Roll Analysis'!$AK8/12)), IF(AND('Monthly Cash Flow'!P$4&gt;1,'Monthly Cash Flow'!P$4&lt;=2),'Monthly Cash Flow'!O10*(1+'Rent Roll Analysis'!$AE8/12),'Monthly Cash Flow'!O10*(1+'Rent Roll Analysis'!$AB8/12))))</f>
        <v>75835.06811410081</v>
      </c>
      <c r="Q10" s="1428">
        <f>IF($B10="","",IF(Q$4&lt;2,(P10*(1+'Rent Roll Analysis'!$AK8/12)), IF(AND('Monthly Cash Flow'!Q$4&gt;1,'Monthly Cash Flow'!Q$4&lt;=2),'Monthly Cash Flow'!P10*(1+'Rent Roll Analysis'!$AE8/12),'Monthly Cash Flow'!P10*(1+'Rent Roll Analysis'!$AB8/12))))</f>
        <v>76309.037289813947</v>
      </c>
      <c r="R10" s="1428">
        <f>IF($B10="","",IF(R$4&lt;2,(Q10*(1+'Rent Roll Analysis'!$AK8/12)), IF(AND('Monthly Cash Flow'!R$4&gt;1,'Monthly Cash Flow'!R$4&lt;=2),'Monthly Cash Flow'!Q10*(1+'Rent Roll Analysis'!$AE8/12),'Monthly Cash Flow'!Q10*(1+'Rent Roll Analysis'!$AB8/12))))</f>
        <v>76785.968772875291</v>
      </c>
      <c r="S10" s="1428">
        <f>IF($B10="","",IF(S$4&lt;2,(R10*(1+'Rent Roll Analysis'!$AK8/12)), IF(AND('Monthly Cash Flow'!S$4&gt;1,'Monthly Cash Flow'!S$4&lt;=2),'Monthly Cash Flow'!R10*(1+'Rent Roll Analysis'!$AE8/12),'Monthly Cash Flow'!R10*(1+'Rent Roll Analysis'!$AB8/12))))</f>
        <v>77265.881077705766</v>
      </c>
      <c r="T10" s="1428">
        <f>IF($B10="","",IF(T$4&lt;2,(S10*(1+'Rent Roll Analysis'!$AK8/12)), IF(AND('Monthly Cash Flow'!T$4&gt;1,'Monthly Cash Flow'!T$4&lt;=2),'Monthly Cash Flow'!S10*(1+'Rent Roll Analysis'!$AE8/12),'Monthly Cash Flow'!S10*(1+'Rent Roll Analysis'!$AB8/12))))</f>
        <v>77748.792834441439</v>
      </c>
      <c r="U10" s="1428">
        <f>IF($B10="","",IF(U$4&lt;2,(T10*(1+'Rent Roll Analysis'!$AK8/12)), IF(AND('Monthly Cash Flow'!U$4&gt;1,'Monthly Cash Flow'!U$4&lt;=2),'Monthly Cash Flow'!T10*(1+'Rent Roll Analysis'!$AE8/12),'Monthly Cash Flow'!T10*(1+'Rent Roll Analysis'!$AB8/12))))</f>
        <v>78234.722789656706</v>
      </c>
      <c r="V10" s="1428">
        <f>IF($B10="","",IF(V$4&lt;2,(U10*(1+'Rent Roll Analysis'!$AK8/12)), IF(AND('Monthly Cash Flow'!V$4&gt;1,'Monthly Cash Flow'!V$4&lt;=2),'Monthly Cash Flow'!U10*(1+'Rent Roll Analysis'!$AE8/12),'Monthly Cash Flow'!U10*(1+'Rent Roll Analysis'!$AB8/12))))</f>
        <v>78723.689807092072</v>
      </c>
      <c r="W10" s="1428">
        <f>IF($B10="","",IF(W$4&lt;2,(V10*(1+'Rent Roll Analysis'!$AK8/12)), IF(AND('Monthly Cash Flow'!W$4&gt;1,'Monthly Cash Flow'!W$4&lt;=2),'Monthly Cash Flow'!V10*(1+'Rent Roll Analysis'!$AE8/12),'Monthly Cash Flow'!V10*(1+'Rent Roll Analysis'!$AB8/12))))</f>
        <v>79215.712868386399</v>
      </c>
      <c r="X10" s="1428">
        <f>IF($B10="","",IF(X$4&lt;2,(W10*(1+'Rent Roll Analysis'!$AK8/12)), IF(AND('Monthly Cash Flow'!X$4&gt;1,'Monthly Cash Flow'!X$4&lt;=2),'Monthly Cash Flow'!W10*(1+'Rent Roll Analysis'!$AE8/12),'Monthly Cash Flow'!W10*(1+'Rent Roll Analysis'!$AB8/12))))</f>
        <v>79710.81107381382</v>
      </c>
      <c r="Y10" s="1428">
        <f>IF($B10="","",IF(Y$4&lt;2,(X10*(1+'Rent Roll Analysis'!$AK8/12)), IF(AND('Monthly Cash Flow'!Y$4&gt;1,'Monthly Cash Flow'!Y$4&lt;=2),'Monthly Cash Flow'!X10*(1+'Rent Roll Analysis'!$AE8/12),'Monthly Cash Flow'!X10*(1+'Rent Roll Analysis'!$AB8/12))))</f>
        <v>80209.003643025164</v>
      </c>
      <c r="Z10" s="1428">
        <f>IF($B10="","",IF(Z$4&lt;2,(Y10*(1+'Rent Roll Analysis'!$AK8/12)), IF(AND('Monthly Cash Flow'!Z$4&gt;1,'Monthly Cash Flow'!Z$4&lt;=2),'Monthly Cash Flow'!Y10*(1+'Rent Roll Analysis'!$AE8/12),'Monthly Cash Flow'!Y10*(1+'Rent Roll Analysis'!$AB8/12))))</f>
        <v>80710.309915794074</v>
      </c>
      <c r="AA10" s="1428">
        <f>IF($B10="","",IF(AA$4&lt;2,(Z10*(1+'Rent Roll Analysis'!$AK8/12)), IF(AND('Monthly Cash Flow'!AA$4&gt;1,'Monthly Cash Flow'!AA$4&lt;=2),'Monthly Cash Flow'!Z10*(1+'Rent Roll Analysis'!$AE8/12),'Monthly Cash Flow'!Z10*(1+'Rent Roll Analysis'!$AB8/12))))</f>
        <v>81214.749352767787</v>
      </c>
      <c r="AB10" s="1428">
        <f>IF($B10="","",IF(AB$4&lt;2,(AA10*(1+'Rent Roll Analysis'!$AK8/12)), IF(AND('Monthly Cash Flow'!AB$4&gt;1,'Monthly Cash Flow'!AB$4&lt;=2),'Monthly Cash Flow'!AA10*(1+'Rent Roll Analysis'!$AE8/12),'Monthly Cash Flow'!AA10*(1+'Rent Roll Analysis'!$AB8/12))))</f>
        <v>81722.341536222593</v>
      </c>
      <c r="AC10" s="1428">
        <f>IF($B10="","",IF(AC$4&lt;2,(AB10*(1+'Rent Roll Analysis'!$AK8/12)), IF(AND('Monthly Cash Flow'!AC$4&gt;1,'Monthly Cash Flow'!AC$4&lt;=2),'Monthly Cash Flow'!AB10*(1+'Rent Roll Analysis'!$AE8/12),'Monthly Cash Flow'!AB10*(1+'Rent Roll Analysis'!$AB8/12))))</f>
        <v>81994.74934134334</v>
      </c>
      <c r="AD10" s="1428">
        <f>IF($B10="","",IF(AD$4&lt;2,(AC10*(1+'Rent Roll Analysis'!$AK8/12)), IF(AND('Monthly Cash Flow'!AD$4&gt;1,'Monthly Cash Flow'!AD$4&lt;=2),'Monthly Cash Flow'!AC10*(1+'Rent Roll Analysis'!$AE8/12),'Monthly Cash Flow'!AC10*(1+'Rent Roll Analysis'!$AB8/12))))</f>
        <v>82268.065172481161</v>
      </c>
      <c r="AE10" s="1428">
        <f>IF($B10="","",IF(AE$4&lt;2,(AD10*(1+'Rent Roll Analysis'!$AK8/12)), IF(AND('Monthly Cash Flow'!AE$4&gt;1,'Monthly Cash Flow'!AE$4&lt;=2),'Monthly Cash Flow'!AD10*(1+'Rent Roll Analysis'!$AE8/12),'Monthly Cash Flow'!AD10*(1+'Rent Roll Analysis'!$AB8/12))))</f>
        <v>82542.292056389444</v>
      </c>
      <c r="AF10" s="1428">
        <f>IF($B10="","",IF(AF$4&lt;2,(AE10*(1+'Rent Roll Analysis'!$AK8/12)), IF(AND('Monthly Cash Flow'!AF$4&gt;1,'Monthly Cash Flow'!AF$4&lt;=2),'Monthly Cash Flow'!AE10*(1+'Rent Roll Analysis'!$AE8/12),'Monthly Cash Flow'!AE10*(1+'Rent Roll Analysis'!$AB8/12))))</f>
        <v>82817.433029910753</v>
      </c>
      <c r="AG10" s="1428">
        <f>IF($B10="","",IF(AG$4&lt;2,(AF10*(1+'Rent Roll Analysis'!$AK8/12)), IF(AND('Monthly Cash Flow'!AG$4&gt;1,'Monthly Cash Flow'!AG$4&lt;=2),'Monthly Cash Flow'!AF10*(1+'Rent Roll Analysis'!$AE8/12),'Monthly Cash Flow'!AF10*(1+'Rent Roll Analysis'!$AB8/12))))</f>
        <v>83093.491140010461</v>
      </c>
      <c r="AH10" s="1428">
        <f>IF($B10="","",IF(AH$4&lt;2,(AG10*(1+'Rent Roll Analysis'!$AK8/12)), IF(AND('Monthly Cash Flow'!AH$4&gt;1,'Monthly Cash Flow'!AH$4&lt;=2),'Monthly Cash Flow'!AG10*(1+'Rent Roll Analysis'!$AE8/12),'Monthly Cash Flow'!AG10*(1+'Rent Roll Analysis'!$AB8/12))))</f>
        <v>83370.469443810507</v>
      </c>
      <c r="AI10" s="1428">
        <f>IF($B10="","",IF(AI$4&lt;2,(AH10*(1+'Rent Roll Analysis'!$AK8/12)), IF(AND('Monthly Cash Flow'!AI$4&gt;1,'Monthly Cash Flow'!AI$4&lt;=2),'Monthly Cash Flow'!AH10*(1+'Rent Roll Analysis'!$AE8/12),'Monthly Cash Flow'!AH10*(1+'Rent Roll Analysis'!$AB8/12))))</f>
        <v>83648.371008623217</v>
      </c>
      <c r="AJ10" s="1428">
        <f>IF($B10="","",IF(AJ$4&lt;2,(AI10*(1+'Rent Roll Analysis'!$AK8/12)), IF(AND('Monthly Cash Flow'!AJ$4&gt;1,'Monthly Cash Flow'!AJ$4&lt;=2),'Monthly Cash Flow'!AI10*(1+'Rent Roll Analysis'!$AE8/12),'Monthly Cash Flow'!AI10*(1+'Rent Roll Analysis'!$AB8/12))))</f>
        <v>83927.198911985295</v>
      </c>
      <c r="AK10" s="1428">
        <f>IF($B10="","",IF(AK$4&lt;2,(AJ10*(1+'Rent Roll Analysis'!$AK8/12)), IF(AND('Monthly Cash Flow'!AK$4&gt;1,'Monthly Cash Flow'!AK$4&lt;=2),'Monthly Cash Flow'!AJ10*(1+'Rent Roll Analysis'!$AE8/12),'Monthly Cash Flow'!AJ10*(1+'Rent Roll Analysis'!$AB8/12))))</f>
        <v>84206.956241691922</v>
      </c>
      <c r="AL10" s="1428">
        <f>IF($B10="","",IF(AL$4&lt;2,(AK10*(1+'Rent Roll Analysis'!$AK8/12)), IF(AND('Monthly Cash Flow'!AL$4&gt;1,'Monthly Cash Flow'!AL$4&lt;=2),'Monthly Cash Flow'!AK10*(1+'Rent Roll Analysis'!$AE8/12),'Monthly Cash Flow'!AK10*(1+'Rent Roll Analysis'!$AB8/12))))</f>
        <v>84487.646095830904</v>
      </c>
      <c r="AM10" s="1428">
        <f>IF($B10="","",IF(AM$4&lt;2,(AL10*(1+'Rent Roll Analysis'!$AK8/12)), IF(AND('Monthly Cash Flow'!AM$4&gt;1,'Monthly Cash Flow'!AM$4&lt;=2),'Monthly Cash Flow'!AL10*(1+'Rent Roll Analysis'!$AE8/12),'Monthly Cash Flow'!AL10*(1+'Rent Roll Analysis'!$AB8/12))))</f>
        <v>84769.271582817018</v>
      </c>
      <c r="AN10" s="1428">
        <f>IF($B10="","",IF(AN$4&lt;2,(AM10*(1+'Rent Roll Analysis'!$AK8/12)), IF(AND('Monthly Cash Flow'!AN$4&gt;1,'Monthly Cash Flow'!AN$4&lt;=2),'Monthly Cash Flow'!AM10*(1+'Rent Roll Analysis'!$AE8/12),'Monthly Cash Flow'!AM10*(1+'Rent Roll Analysis'!$AB8/12))))</f>
        <v>85051.835821426415</v>
      </c>
      <c r="AO10" s="1428">
        <f>IF($B10="","",IF(AO$4&lt;2,(AN10*(1+'Rent Roll Analysis'!$AK8/12)), IF(AND('Monthly Cash Flow'!AO$4&gt;1,'Monthly Cash Flow'!AO$4&lt;=2),'Monthly Cash Flow'!AN10*(1+'Rent Roll Analysis'!$AE8/12),'Monthly Cash Flow'!AN10*(1+'Rent Roll Analysis'!$AB8/12))))</f>
        <v>85335.341940831175</v>
      </c>
      <c r="AP10" s="1428">
        <f>IF($B10="","",IF(AP$4&lt;2,(AO10*(1+'Rent Roll Analysis'!$AK8/12)), IF(AND('Monthly Cash Flow'!AP$4&gt;1,'Monthly Cash Flow'!AP$4&lt;=2),'Monthly Cash Flow'!AO10*(1+'Rent Roll Analysis'!$AE8/12),'Monthly Cash Flow'!AO10*(1+'Rent Roll Analysis'!$AB8/12))))</f>
        <v>85619.793080633957</v>
      </c>
      <c r="AQ10" s="1428">
        <f>IF($B10="","",IF(AQ$4&lt;2,(AP10*(1+'Rent Roll Analysis'!$AK8/12)), IF(AND('Monthly Cash Flow'!AQ$4&gt;1,'Monthly Cash Flow'!AQ$4&lt;=2),'Monthly Cash Flow'!AP10*(1+'Rent Roll Analysis'!$AE8/12),'Monthly Cash Flow'!AP10*(1+'Rent Roll Analysis'!$AB8/12))))</f>
        <v>85905.192390902739</v>
      </c>
      <c r="AR10" s="1428">
        <f>IF($B10="","",IF(AR$4&lt;2,(AQ10*(1+'Rent Roll Analysis'!$AK8/12)), IF(AND('Monthly Cash Flow'!AR$4&gt;1,'Monthly Cash Flow'!AR$4&lt;=2),'Monthly Cash Flow'!AQ10*(1+'Rent Roll Analysis'!$AE8/12),'Monthly Cash Flow'!AQ10*(1+'Rent Roll Analysis'!$AB8/12))))</f>
        <v>86191.543032205751</v>
      </c>
      <c r="AS10" s="1428">
        <f>IF($B10="","",IF(AS$4&lt;2,(AR10*(1+'Rent Roll Analysis'!$AK8/12)), IF(AND('Monthly Cash Flow'!AS$4&gt;1,'Monthly Cash Flow'!AS$4&lt;=2),'Monthly Cash Flow'!AR10*(1+'Rent Roll Analysis'!$AE8/12),'Monthly Cash Flow'!AR10*(1+'Rent Roll Analysis'!$AB8/12))))</f>
        <v>86478.848175646446</v>
      </c>
      <c r="AT10" s="1428">
        <f>IF($B10="","",IF(AT$4&lt;2,(AS10*(1+'Rent Roll Analysis'!$AK8/12)), IF(AND('Monthly Cash Flow'!AT$4&gt;1,'Monthly Cash Flow'!AT$4&lt;=2),'Monthly Cash Flow'!AS10*(1+'Rent Roll Analysis'!$AE8/12),'Monthly Cash Flow'!AS10*(1+'Rent Roll Analysis'!$AB8/12))))</f>
        <v>86767.1110028986</v>
      </c>
      <c r="AU10" s="1428">
        <f>IF($B10="","",IF(AU$4&lt;2,(AT10*(1+'Rent Roll Analysis'!$AK8/12)), IF(AND('Monthly Cash Flow'!AU$4&gt;1,'Monthly Cash Flow'!AU$4&lt;=2),'Monthly Cash Flow'!AT10*(1+'Rent Roll Analysis'!$AE8/12),'Monthly Cash Flow'!AT10*(1+'Rent Roll Analysis'!$AB8/12))))</f>
        <v>87056.3347062416</v>
      </c>
      <c r="AV10" s="1428">
        <f>IF($B10="","",IF(AV$4&lt;2,(AU10*(1+'Rent Roll Analysis'!$AK8/12)), IF(AND('Monthly Cash Flow'!AV$4&gt;1,'Monthly Cash Flow'!AV$4&lt;=2),'Monthly Cash Flow'!AU10*(1+'Rent Roll Analysis'!$AE8/12),'Monthly Cash Flow'!AU10*(1+'Rent Roll Analysis'!$AB8/12))))</f>
        <v>87346.522488595743</v>
      </c>
      <c r="AW10" s="1428">
        <f>IF($B10="","",IF(AW$4&lt;2,(AV10*(1+'Rent Roll Analysis'!$AK8/12)), IF(AND('Monthly Cash Flow'!AW$4&gt;1,'Monthly Cash Flow'!AW$4&lt;=2),'Monthly Cash Flow'!AV10*(1+'Rent Roll Analysis'!$AE8/12),'Monthly Cash Flow'!AV10*(1+'Rent Roll Analysis'!$AB8/12))))</f>
        <v>87637.677563557736</v>
      </c>
      <c r="AX10" s="1428">
        <f>IF($B10="","",IF(AX$4&lt;2,(AW10*(1+'Rent Roll Analysis'!$AK8/12)), IF(AND('Monthly Cash Flow'!AX$4&gt;1,'Monthly Cash Flow'!AX$4&lt;=2),'Monthly Cash Flow'!AW10*(1+'Rent Roll Analysis'!$AE8/12),'Monthly Cash Flow'!AW10*(1+'Rent Roll Analysis'!$AB8/12))))</f>
        <v>87929.803155436268</v>
      </c>
      <c r="AY10" s="1428">
        <f>IF($B10="","",IF(AY$4&lt;2,(AX10*(1+'Rent Roll Analysis'!$AK8/12)), IF(AND('Monthly Cash Flow'!AY$4&gt;1,'Monthly Cash Flow'!AY$4&lt;=2),'Monthly Cash Flow'!AX10*(1+'Rent Roll Analysis'!$AE8/12),'Monthly Cash Flow'!AX10*(1+'Rent Roll Analysis'!$AB8/12))))</f>
        <v>88222.902499287724</v>
      </c>
      <c r="AZ10" s="1428">
        <f>IF($B10="","",IF(AZ$4&lt;2,(AY10*(1+'Rent Roll Analysis'!$AK8/12)), IF(AND('Monthly Cash Flow'!AZ$4&gt;1,'Monthly Cash Flow'!AZ$4&lt;=2),'Monthly Cash Flow'!AY10*(1+'Rent Roll Analysis'!$AE8/12),'Monthly Cash Flow'!AY10*(1+'Rent Roll Analysis'!$AB8/12))))</f>
        <v>88516.978840952026</v>
      </c>
      <c r="BA10" s="1428">
        <f>IF($B10="","",IF(BA$4&lt;2,(AZ10*(1+'Rent Roll Analysis'!$AK8/12)), IF(AND('Monthly Cash Flow'!BA$4&gt;1,'Monthly Cash Flow'!BA$4&lt;=2),'Monthly Cash Flow'!AZ10*(1+'Rent Roll Analysis'!$AE8/12),'Monthly Cash Flow'!AZ10*(1+'Rent Roll Analysis'!$AB8/12))))</f>
        <v>88812.035437088532</v>
      </c>
      <c r="BB10" s="1428">
        <f>IF($B10="","",IF(BB$4&lt;2,(BA10*(1+'Rent Roll Analysis'!$AK8/12)), IF(AND('Monthly Cash Flow'!BB$4&gt;1,'Monthly Cash Flow'!BB$4&lt;=2),'Monthly Cash Flow'!BA10*(1+'Rent Roll Analysis'!$AE8/12),'Monthly Cash Flow'!BA10*(1+'Rent Roll Analysis'!$AB8/12))))</f>
        <v>89108.07555521217</v>
      </c>
      <c r="BC10" s="1428">
        <f>IF($B10="","",IF(BC$4&lt;2,(BB10*(1+'Rent Roll Analysis'!$AK8/12)), IF(AND('Monthly Cash Flow'!BC$4&gt;1,'Monthly Cash Flow'!BC$4&lt;=2),'Monthly Cash Flow'!BB10*(1+'Rent Roll Analysis'!$AE8/12),'Monthly Cash Flow'!BB10*(1+'Rent Roll Analysis'!$AB8/12))))</f>
        <v>89405.102473729552</v>
      </c>
      <c r="BD10" s="1428">
        <f>IF($B10="","",IF(BD$4&lt;2,(BC10*(1+'Rent Roll Analysis'!$AK8/12)), IF(AND('Monthly Cash Flow'!BD$4&gt;1,'Monthly Cash Flow'!BD$4&lt;=2),'Monthly Cash Flow'!BC10*(1+'Rent Roll Analysis'!$AE8/12),'Monthly Cash Flow'!BC10*(1+'Rent Roll Analysis'!$AB8/12))))</f>
        <v>89703.119481975329</v>
      </c>
      <c r="BE10" s="1428">
        <f>IF($B10="","",IF(BE$4&lt;2,(BD10*(1+'Rent Roll Analysis'!$AK8/12)), IF(AND('Monthly Cash Flow'!BE$4&gt;1,'Monthly Cash Flow'!BE$4&lt;=2),'Monthly Cash Flow'!BD10*(1+'Rent Roll Analysis'!$AE8/12),'Monthly Cash Flow'!BD10*(1+'Rent Roll Analysis'!$AB8/12))))</f>
        <v>90002.129880248584</v>
      </c>
      <c r="BF10" s="1428">
        <f>IF($B10="","",IF(BF$4&lt;2,(BE10*(1+'Rent Roll Analysis'!$AK8/12)), IF(AND('Monthly Cash Flow'!BF$4&gt;1,'Monthly Cash Flow'!BF$4&lt;=2),'Monthly Cash Flow'!BE10*(1+'Rent Roll Analysis'!$AE8/12),'Monthly Cash Flow'!BE10*(1+'Rent Roll Analysis'!$AB8/12))))</f>
        <v>90302.136979849412</v>
      </c>
      <c r="BG10" s="1428">
        <f>IF($B10="","",IF(BG$4&lt;2,(BF10*(1+'Rent Roll Analysis'!$AK8/12)), IF(AND('Monthly Cash Flow'!BG$4&gt;1,'Monthly Cash Flow'!BG$4&lt;=2),'Monthly Cash Flow'!BF10*(1+'Rent Roll Analysis'!$AE8/12),'Monthly Cash Flow'!BF10*(1+'Rent Roll Analysis'!$AB8/12))))</f>
        <v>90603.144103115585</v>
      </c>
      <c r="BH10" s="1428">
        <f>IF($B10="","",IF(BH$4&lt;2,(BG10*(1+'Rent Roll Analysis'!$AK8/12)), IF(AND('Monthly Cash Flow'!BH$4&gt;1,'Monthly Cash Flow'!BH$4&lt;=2),'Monthly Cash Flow'!BG10*(1+'Rent Roll Analysis'!$AE8/12),'Monthly Cash Flow'!BG10*(1+'Rent Roll Analysis'!$AB8/12))))</f>
        <v>90905.154583459313</v>
      </c>
      <c r="BI10" s="1428">
        <f>IF($B10="","",IF(BI$4&lt;2,(BH10*(1+'Rent Roll Analysis'!$AK8/12)), IF(AND('Monthly Cash Flow'!BI$4&gt;1,'Monthly Cash Flow'!BI$4&lt;=2),'Monthly Cash Flow'!BH10*(1+'Rent Roll Analysis'!$AE8/12),'Monthly Cash Flow'!BH10*(1+'Rent Roll Analysis'!$AB8/12))))</f>
        <v>91208.171765404186</v>
      </c>
      <c r="BJ10" s="1428">
        <f>IF($B10="","",IF(BJ$4&lt;2,(BI10*(1+'Rent Roll Analysis'!$AK8/12)), IF(AND('Monthly Cash Flow'!BJ$4&gt;1,'Monthly Cash Flow'!BJ$4&lt;=2),'Monthly Cash Flow'!BI10*(1+'Rent Roll Analysis'!$AE8/12),'Monthly Cash Flow'!BI10*(1+'Rent Roll Analysis'!$AB8/12))))</f>
        <v>91512.199004622205</v>
      </c>
      <c r="BK10" s="1428">
        <f>IF($B10="","",IF(BK$4&lt;2,(BJ10*(1+'Rent Roll Analysis'!$AK8/12)), IF(AND('Monthly Cash Flow'!BK$4&gt;1,'Monthly Cash Flow'!BK$4&lt;=2),'Monthly Cash Flow'!BJ10*(1+'Rent Roll Analysis'!$AE8/12),'Monthly Cash Flow'!BJ10*(1+'Rent Roll Analysis'!$AB8/12))))</f>
        <v>91817.239667970949</v>
      </c>
      <c r="BL10" s="1428">
        <f>IF($B10="","",IF(BL$4&lt;2,(BK10*(1+'Rent Roll Analysis'!$AK8/12)), IF(AND('Monthly Cash Flow'!BL$4&gt;1,'Monthly Cash Flow'!BL$4&lt;=2),'Monthly Cash Flow'!BK10*(1+'Rent Roll Analysis'!$AE8/12),'Monthly Cash Flow'!BK10*(1+'Rent Roll Analysis'!$AB8/12))))</f>
        <v>92123.297133530854</v>
      </c>
      <c r="BM10" s="1428">
        <f>IF($B10="","",IF(BM$4&lt;2,(BL10*(1+'Rent Roll Analysis'!$AK8/12)), IF(AND('Monthly Cash Flow'!BM$4&gt;1,'Monthly Cash Flow'!BM$4&lt;=2),'Monthly Cash Flow'!BL10*(1+'Rent Roll Analysis'!$AE8/12),'Monthly Cash Flow'!BL10*(1+'Rent Roll Analysis'!$AB8/12))))</f>
        <v>92430.374790642629</v>
      </c>
      <c r="BN10" s="1428">
        <f>IF($B10="","",IF(BN$4&lt;2,(BM10*(1+'Rent Roll Analysis'!$AK8/12)), IF(AND('Monthly Cash Flow'!BN$4&gt;1,'Monthly Cash Flow'!BN$4&lt;=2),'Monthly Cash Flow'!BM10*(1+'Rent Roll Analysis'!$AE8/12),'Monthly Cash Flow'!BM10*(1+'Rent Roll Analysis'!$AB8/12))))</f>
        <v>92738.476039944784</v>
      </c>
      <c r="BO10" s="1428">
        <f>IF($B10="","",IF(BO$4&lt;2,(BN10*(1+'Rent Roll Analysis'!$AK8/12)), IF(AND('Monthly Cash Flow'!BO$4&gt;1,'Monthly Cash Flow'!BO$4&lt;=2),'Monthly Cash Flow'!BN10*(1+'Rent Roll Analysis'!$AE8/12),'Monthly Cash Flow'!BN10*(1+'Rent Roll Analysis'!$AB8/12))))</f>
        <v>93047.604293411277</v>
      </c>
      <c r="BP10" s="1428">
        <f>IF($B10="","",IF(BP$4&lt;2,(BO10*(1+'Rent Roll Analysis'!$AK8/12)), IF(AND('Monthly Cash Flow'!BP$4&gt;1,'Monthly Cash Flow'!BP$4&lt;=2),'Monthly Cash Flow'!BO10*(1+'Rent Roll Analysis'!$AE8/12),'Monthly Cash Flow'!BO10*(1+'Rent Roll Analysis'!$AB8/12))))</f>
        <v>93357.762974389319</v>
      </c>
      <c r="BQ10" s="1428">
        <f>IF($B10="","",IF(BQ$4&lt;2,(BP10*(1+'Rent Roll Analysis'!$AK8/12)), IF(AND('Monthly Cash Flow'!BQ$4&gt;1,'Monthly Cash Flow'!BQ$4&lt;=2),'Monthly Cash Flow'!BP10*(1+'Rent Roll Analysis'!$AE8/12),'Monthly Cash Flow'!BP10*(1+'Rent Roll Analysis'!$AB8/12))))</f>
        <v>93668.955517637296</v>
      </c>
      <c r="BR10" s="1428">
        <f>IF($B10="","",IF(BR$4&lt;2,(BQ10*(1+'Rent Roll Analysis'!$AK8/12)), IF(AND('Monthly Cash Flow'!BR$4&gt;1,'Monthly Cash Flow'!BR$4&lt;=2),'Monthly Cash Flow'!BQ10*(1+'Rent Roll Analysis'!$AE8/12),'Monthly Cash Flow'!BQ10*(1+'Rent Roll Analysis'!$AB8/12))))</f>
        <v>93981.185369362764</v>
      </c>
      <c r="BS10" s="1428">
        <f>IF($B10="","",IF(BS$4&lt;2,(BR10*(1+'Rent Roll Analysis'!$AK8/12)), IF(AND('Monthly Cash Flow'!BS$4&gt;1,'Monthly Cash Flow'!BS$4&lt;=2),'Monthly Cash Flow'!BR10*(1+'Rent Roll Analysis'!$AE8/12),'Monthly Cash Flow'!BR10*(1+'Rent Roll Analysis'!$AB8/12))))</f>
        <v>94294.455987260648</v>
      </c>
      <c r="BT10" s="1428">
        <f>IF($B10="","",IF(BT$4&lt;2,(BS10*(1+'Rent Roll Analysis'!$AK8/12)), IF(AND('Monthly Cash Flow'!BT$4&gt;1,'Monthly Cash Flow'!BT$4&lt;=2),'Monthly Cash Flow'!BS10*(1+'Rent Roll Analysis'!$AE8/12),'Monthly Cash Flow'!BS10*(1+'Rent Roll Analysis'!$AB8/12))))</f>
        <v>94608.77084055153</v>
      </c>
      <c r="BU10" s="1428">
        <f>IF($B10="","",IF(BU$4&lt;2,(BT10*(1+'Rent Roll Analysis'!$AK8/12)), IF(AND('Monthly Cash Flow'!BU$4&gt;1,'Monthly Cash Flow'!BU$4&lt;=2),'Monthly Cash Flow'!BT10*(1+'Rent Roll Analysis'!$AE8/12),'Monthly Cash Flow'!BT10*(1+'Rent Roll Analysis'!$AB8/12))))</f>
        <v>94924.133410020047</v>
      </c>
      <c r="BV10" s="1428">
        <f>IF($B10="","",IF(BV$4&lt;2,(BU10*(1+'Rent Roll Analysis'!$AK8/12)), IF(AND('Monthly Cash Flow'!BV$4&gt;1,'Monthly Cash Flow'!BV$4&lt;=2),'Monthly Cash Flow'!BU10*(1+'Rent Roll Analysis'!$AE8/12),'Monthly Cash Flow'!BU10*(1+'Rent Roll Analysis'!$AB8/12))))</f>
        <v>95240.547188053461</v>
      </c>
      <c r="BW10" s="1428">
        <f>IF($B10="","",IF(BW$4&lt;2,(BV10*(1+'Rent Roll Analysis'!$AK8/12)), IF(AND('Monthly Cash Flow'!BW$4&gt;1,'Monthly Cash Flow'!BW$4&lt;=2),'Monthly Cash Flow'!BV10*(1+'Rent Roll Analysis'!$AE8/12),'Monthly Cash Flow'!BV10*(1+'Rent Roll Analysis'!$AB8/12))))</f>
        <v>95558.015678680313</v>
      </c>
      <c r="BX10" s="1428">
        <f>IF($B10="","",IF(BX$4&lt;2,(BW10*(1+'Rent Roll Analysis'!$AK8/12)), IF(AND('Monthly Cash Flow'!BX$4&gt;1,'Monthly Cash Flow'!BX$4&lt;=2),'Monthly Cash Flow'!BW10*(1+'Rent Roll Analysis'!$AE8/12),'Monthly Cash Flow'!BW10*(1+'Rent Roll Analysis'!$AB8/12))))</f>
        <v>95876.542397609257</v>
      </c>
      <c r="BY10" s="1428">
        <f>IF($B10="","",IF(BY$4&lt;2,(BX10*(1+'Rent Roll Analysis'!$AK8/12)), IF(AND('Monthly Cash Flow'!BY$4&gt;1,'Monthly Cash Flow'!BY$4&lt;=2),'Monthly Cash Flow'!BX10*(1+'Rent Roll Analysis'!$AE8/12),'Monthly Cash Flow'!BX10*(1+'Rent Roll Analysis'!$AB8/12))))</f>
        <v>96196.130872267968</v>
      </c>
      <c r="BZ10" s="1428">
        <f>IF($B10="","",IF(BZ$4&lt;2,(BY10*(1+'Rent Roll Analysis'!$AK8/12)), IF(AND('Monthly Cash Flow'!BZ$4&gt;1,'Monthly Cash Flow'!BZ$4&lt;=2),'Monthly Cash Flow'!BY10*(1+'Rent Roll Analysis'!$AE8/12),'Monthly Cash Flow'!BY10*(1+'Rent Roll Analysis'!$AB8/12))))</f>
        <v>96516.784641842198</v>
      </c>
      <c r="CA10" s="1428">
        <f>IF($B10="","",IF(CA$4&lt;2,(BZ10*(1+'Rent Roll Analysis'!$AK8/12)), IF(AND('Monthly Cash Flow'!CA$4&gt;1,'Monthly Cash Flow'!CA$4&lt;=2),'Monthly Cash Flow'!BZ10*(1+'Rent Roll Analysis'!$AE8/12),'Monthly Cash Flow'!BZ10*(1+'Rent Roll Analysis'!$AB8/12))))</f>
        <v>96838.50725731501</v>
      </c>
      <c r="CB10" s="1428">
        <f>IF($B10="","",IF(CB$4&lt;2,(CA10*(1+'Rent Roll Analysis'!$AK8/12)), IF(AND('Monthly Cash Flow'!CB$4&gt;1,'Monthly Cash Flow'!CB$4&lt;=2),'Monthly Cash Flow'!CA10*(1+'Rent Roll Analysis'!$AE8/12),'Monthly Cash Flow'!CA10*(1+'Rent Roll Analysis'!$AB8/12))))</f>
        <v>97161.302281506069</v>
      </c>
      <c r="CC10" s="1428">
        <f>IF($B10="","",IF(CC$4&lt;2,(CB10*(1+'Rent Roll Analysis'!$AK8/12)), IF(AND('Monthly Cash Flow'!CC$4&gt;1,'Monthly Cash Flow'!CC$4&lt;=2),'Monthly Cash Flow'!CB10*(1+'Rent Roll Analysis'!$AE8/12),'Monthly Cash Flow'!CB10*(1+'Rent Roll Analysis'!$AB8/12))))</f>
        <v>97485.173289111102</v>
      </c>
      <c r="CD10" s="1428">
        <f>IF($B10="","",IF(CD$4&lt;2,(CC10*(1+'Rent Roll Analysis'!$AK8/12)), IF(AND('Monthly Cash Flow'!CD$4&gt;1,'Monthly Cash Flow'!CD$4&lt;=2),'Monthly Cash Flow'!CC10*(1+'Rent Roll Analysis'!$AE8/12),'Monthly Cash Flow'!CC10*(1+'Rent Roll Analysis'!$AB8/12))))</f>
        <v>97810.123866741487</v>
      </c>
      <c r="CE10" s="1428">
        <f>IF($B10="","",IF(CE$4&lt;2,(CD10*(1+'Rent Roll Analysis'!$AK8/12)), IF(AND('Monthly Cash Flow'!CE$4&gt;1,'Monthly Cash Flow'!CE$4&lt;=2),'Monthly Cash Flow'!CD10*(1+'Rent Roll Analysis'!$AE8/12),'Monthly Cash Flow'!CD10*(1+'Rent Roll Analysis'!$AB8/12))))</f>
        <v>98136.157612963972</v>
      </c>
      <c r="CF10" s="1428">
        <f>IF($B10="","",IF(CF$4&lt;2,(CE10*(1+'Rent Roll Analysis'!$AK8/12)), IF(AND('Monthly Cash Flow'!CF$4&gt;1,'Monthly Cash Flow'!CF$4&lt;=2),'Monthly Cash Flow'!CE10*(1+'Rent Roll Analysis'!$AE8/12),'Monthly Cash Flow'!CE10*(1+'Rent Roll Analysis'!$AB8/12))))</f>
        <v>98463.278138340524</v>
      </c>
      <c r="CG10" s="1428">
        <f>IF($B10="","",IF(CG$4&lt;2,(CF10*(1+'Rent Roll Analysis'!$AK8/12)), IF(AND('Monthly Cash Flow'!CG$4&gt;1,'Monthly Cash Flow'!CG$4&lt;=2),'Monthly Cash Flow'!CF10*(1+'Rent Roll Analysis'!$AE8/12),'Monthly Cash Flow'!CF10*(1+'Rent Roll Analysis'!$AB8/12))))</f>
        <v>98791.489065468326</v>
      </c>
      <c r="CH10" s="1428">
        <f>IF($B10="","",IF(CH$4&lt;2,(CG10*(1+'Rent Roll Analysis'!$AK8/12)), IF(AND('Monthly Cash Flow'!CH$4&gt;1,'Monthly Cash Flow'!CH$4&lt;=2),'Monthly Cash Flow'!CG10*(1+'Rent Roll Analysis'!$AE8/12),'Monthly Cash Flow'!CG10*(1+'Rent Roll Analysis'!$AB8/12))))</f>
        <v>99120.794029019889</v>
      </c>
      <c r="CI10" s="1428">
        <f>IF($B10="","",IF(CI$4&lt;2,(CH10*(1+'Rent Roll Analysis'!$AK8/12)), IF(AND('Monthly Cash Flow'!CI$4&gt;1,'Monthly Cash Flow'!CI$4&lt;=2),'Monthly Cash Flow'!CH10*(1+'Rent Roll Analysis'!$AE8/12),'Monthly Cash Flow'!CH10*(1+'Rent Roll Analysis'!$AB8/12))))</f>
        <v>99451.1966757833</v>
      </c>
      <c r="CJ10" s="1428">
        <f>IF($B10="","",IF(CJ$4&lt;2,(CI10*(1+'Rent Roll Analysis'!$AK8/12)), IF(AND('Monthly Cash Flow'!CJ$4&gt;1,'Monthly Cash Flow'!CJ$4&lt;=2),'Monthly Cash Flow'!CI10*(1+'Rent Roll Analysis'!$AE8/12),'Monthly Cash Flow'!CI10*(1+'Rent Roll Analysis'!$AB8/12))))</f>
        <v>99782.700664702585</v>
      </c>
      <c r="CK10" s="1428">
        <f>IF($B10="","",IF(CK$4&lt;2,(CJ10*(1+'Rent Roll Analysis'!$AK8/12)), IF(AND('Monthly Cash Flow'!CK$4&gt;1,'Monthly Cash Flow'!CK$4&lt;=2),'Monthly Cash Flow'!CJ10*(1+'Rent Roll Analysis'!$AE8/12),'Monthly Cash Flow'!CJ10*(1+'Rent Roll Analysis'!$AB8/12))))</f>
        <v>100115.30966691827</v>
      </c>
      <c r="CL10" s="1428">
        <f>IF($B10="","",IF(CL$4&lt;2,(CK10*(1+'Rent Roll Analysis'!$AK8/12)), IF(AND('Monthly Cash Flow'!CL$4&gt;1,'Monthly Cash Flow'!CL$4&lt;=2),'Monthly Cash Flow'!CK10*(1+'Rent Roll Analysis'!$AE8/12),'Monthly Cash Flow'!CK10*(1+'Rent Roll Analysis'!$AB8/12))))</f>
        <v>100449.02736580801</v>
      </c>
      <c r="CM10" s="1428">
        <f>IF($B10="","",IF(CM$4&lt;2,(CL10*(1+'Rent Roll Analysis'!$AK8/12)), IF(AND('Monthly Cash Flow'!CM$4&gt;1,'Monthly Cash Flow'!CM$4&lt;=2),'Monthly Cash Flow'!CL10*(1+'Rent Roll Analysis'!$AE8/12),'Monthly Cash Flow'!CL10*(1+'Rent Roll Analysis'!$AB8/12))))</f>
        <v>100783.85745702738</v>
      </c>
      <c r="CN10" s="1428">
        <f>IF($B10="","",IF(CN$4&lt;2,(CM10*(1+'Rent Roll Analysis'!$AK8/12)), IF(AND('Monthly Cash Flow'!CN$4&gt;1,'Monthly Cash Flow'!CN$4&lt;=2),'Monthly Cash Flow'!CM10*(1+'Rent Roll Analysis'!$AE8/12),'Monthly Cash Flow'!CM10*(1+'Rent Roll Analysis'!$AB8/12))))</f>
        <v>101119.80364855081</v>
      </c>
      <c r="CO10" s="1428">
        <f>IF($B10="","",IF(CO$4&lt;2,(CN10*(1+'Rent Roll Analysis'!$AK8/12)), IF(AND('Monthly Cash Flow'!CO$4&gt;1,'Monthly Cash Flow'!CO$4&lt;=2),'Monthly Cash Flow'!CN10*(1+'Rent Roll Analysis'!$AE8/12),'Monthly Cash Flow'!CN10*(1+'Rent Roll Analysis'!$AB8/12))))</f>
        <v>101456.86966071265</v>
      </c>
      <c r="CP10" s="1428">
        <f>IF($B10="","",IF(CP$4&lt;2,(CO10*(1+'Rent Roll Analysis'!$AK8/12)), IF(AND('Monthly Cash Flow'!CP$4&gt;1,'Monthly Cash Flow'!CP$4&lt;=2),'Monthly Cash Flow'!CO10*(1+'Rent Roll Analysis'!$AE8/12),'Monthly Cash Flow'!CO10*(1+'Rent Roll Analysis'!$AB8/12))))</f>
        <v>101795.05922624837</v>
      </c>
      <c r="CQ10" s="1428">
        <f>IF($B10="","",IF(CQ$4&lt;2,(CP10*(1+'Rent Roll Analysis'!$AK8/12)), IF(AND('Monthly Cash Flow'!CQ$4&gt;1,'Monthly Cash Flow'!CQ$4&lt;=2),'Monthly Cash Flow'!CP10*(1+'Rent Roll Analysis'!$AE8/12),'Monthly Cash Flow'!CP10*(1+'Rent Roll Analysis'!$AB8/12))))</f>
        <v>102134.37609033588</v>
      </c>
      <c r="CR10" s="1428">
        <f>IF($B10="","",IF(CR$4&lt;2,(CQ10*(1+'Rent Roll Analysis'!$AK8/12)), IF(AND('Monthly Cash Flow'!CR$4&gt;1,'Monthly Cash Flow'!CR$4&lt;=2),'Monthly Cash Flow'!CQ10*(1+'Rent Roll Analysis'!$AE8/12),'Monthly Cash Flow'!CQ10*(1+'Rent Roll Analysis'!$AB8/12))))</f>
        <v>102474.82401063701</v>
      </c>
      <c r="CS10" s="1428">
        <f>IF($B10="","",IF(CS$4&lt;2,(CR10*(1+'Rent Roll Analysis'!$AK8/12)), IF(AND('Monthly Cash Flow'!CS$4&gt;1,'Monthly Cash Flow'!CS$4&lt;=2),'Monthly Cash Flow'!CR10*(1+'Rent Roll Analysis'!$AE8/12),'Monthly Cash Flow'!CR10*(1+'Rent Roll Analysis'!$AB8/12))))</f>
        <v>102816.40675733914</v>
      </c>
      <c r="CT10" s="1428">
        <f>IF($B10="","",IF(CT$4&lt;2,(CS10*(1+'Rent Roll Analysis'!$AK8/12)), IF(AND('Monthly Cash Flow'!CT$4&gt;1,'Monthly Cash Flow'!CT$4&lt;=2),'Monthly Cash Flow'!CS10*(1+'Rent Roll Analysis'!$AE8/12),'Monthly Cash Flow'!CS10*(1+'Rent Roll Analysis'!$AB8/12))))</f>
        <v>103159.12811319694</v>
      </c>
      <c r="CU10" s="1428">
        <f>IF($B10="","",IF(CU$4&lt;2,(CT10*(1+'Rent Roll Analysis'!$AK8/12)), IF(AND('Monthly Cash Flow'!CU$4&gt;1,'Monthly Cash Flow'!CU$4&lt;=2),'Monthly Cash Flow'!CT10*(1+'Rent Roll Analysis'!$AE8/12),'Monthly Cash Flow'!CT10*(1+'Rent Roll Analysis'!$AB8/12))))</f>
        <v>103502.99187357427</v>
      </c>
      <c r="CV10" s="1428">
        <f>IF($B10="","",IF(CV$4&lt;2,(CU10*(1+'Rent Roll Analysis'!$AK8/12)), IF(AND('Monthly Cash Flow'!CV$4&gt;1,'Monthly Cash Flow'!CV$4&lt;=2),'Monthly Cash Flow'!CU10*(1+'Rent Roll Analysis'!$AE8/12),'Monthly Cash Flow'!CU10*(1+'Rent Roll Analysis'!$AB8/12))))</f>
        <v>103848.00184648619</v>
      </c>
      <c r="CW10" s="1428">
        <f>IF($B10="","",IF(CW$4&lt;2,(CV10*(1+'Rent Roll Analysis'!$AK8/12)), IF(AND('Monthly Cash Flow'!CW$4&gt;1,'Monthly Cash Flow'!CW$4&lt;=2),'Monthly Cash Flow'!CV10*(1+'Rent Roll Analysis'!$AE8/12),'Monthly Cash Flow'!CV10*(1+'Rent Roll Analysis'!$AB8/12))))</f>
        <v>104194.16185264116</v>
      </c>
      <c r="CX10" s="1428">
        <f>IF($B10="","",IF(CX$4&lt;2,(CW10*(1+'Rent Roll Analysis'!$AK8/12)), IF(AND('Monthly Cash Flow'!CX$4&gt;1,'Monthly Cash Flow'!CX$4&lt;=2),'Monthly Cash Flow'!CW10*(1+'Rent Roll Analysis'!$AE8/12),'Monthly Cash Flow'!CW10*(1+'Rent Roll Analysis'!$AB8/12))))</f>
        <v>104541.47572548331</v>
      </c>
      <c r="CY10" s="1428">
        <f>IF($B10="","",IF(CY$4&lt;2,(CX10*(1+'Rent Roll Analysis'!$AK8/12)), IF(AND('Monthly Cash Flow'!CY$4&gt;1,'Monthly Cash Flow'!CY$4&lt;=2),'Monthly Cash Flow'!CX10*(1+'Rent Roll Analysis'!$AE8/12),'Monthly Cash Flow'!CX10*(1+'Rent Roll Analysis'!$AB8/12))))</f>
        <v>104889.94731123492</v>
      </c>
      <c r="CZ10" s="1428">
        <f>IF($B10="","",IF(CZ$4&lt;2,(CY10*(1+'Rent Roll Analysis'!$AK8/12)), IF(AND('Monthly Cash Flow'!CZ$4&gt;1,'Monthly Cash Flow'!CZ$4&lt;=2),'Monthly Cash Flow'!CY10*(1+'Rent Roll Analysis'!$AE8/12),'Monthly Cash Flow'!CY10*(1+'Rent Roll Analysis'!$AB8/12))))</f>
        <v>105239.58046893905</v>
      </c>
      <c r="DA10" s="1428">
        <f>IF($B10="","",IF(DA$4&lt;2,(CZ10*(1+'Rent Roll Analysis'!$AK8/12)), IF(AND('Monthly Cash Flow'!DA$4&gt;1,'Monthly Cash Flow'!DA$4&lt;=2),'Monthly Cash Flow'!CZ10*(1+'Rent Roll Analysis'!$AE8/12),'Monthly Cash Flow'!CZ10*(1+'Rent Roll Analysis'!$AB8/12))))</f>
        <v>105590.37907050218</v>
      </c>
      <c r="DB10" s="1428">
        <f>IF($B10="","",IF(DB$4&lt;2,(DA10*(1+'Rent Roll Analysis'!$AK8/12)), IF(AND('Monthly Cash Flow'!DB$4&gt;1,'Monthly Cash Flow'!DB$4&lt;=2),'Monthly Cash Flow'!DA10*(1+'Rent Roll Analysis'!$AE8/12),'Monthly Cash Flow'!DA10*(1+'Rent Roll Analysis'!$AB8/12))))</f>
        <v>105942.34700073719</v>
      </c>
      <c r="DC10" s="1428">
        <f>IF($B10="","",IF(DC$4&lt;2,(DB10*(1+'Rent Roll Analysis'!$AK8/12)), IF(AND('Monthly Cash Flow'!DC$4&gt;1,'Monthly Cash Flow'!DC$4&lt;=2),'Monthly Cash Flow'!DB10*(1+'Rent Roll Analysis'!$AE8/12),'Monthly Cash Flow'!DB10*(1+'Rent Roll Analysis'!$AB8/12))))</f>
        <v>106295.48815740633</v>
      </c>
      <c r="DD10" s="1428">
        <f>IF($B10="","",IF(DD$4&lt;2,(DC10*(1+'Rent Roll Analysis'!$AK8/12)), IF(AND('Monthly Cash Flow'!DD$4&gt;1,'Monthly Cash Flow'!DD$4&lt;=2),'Monthly Cash Flow'!DC10*(1+'Rent Roll Analysis'!$AE8/12),'Monthly Cash Flow'!DC10*(1+'Rent Roll Analysis'!$AB8/12))))</f>
        <v>106649.80645126436</v>
      </c>
      <c r="DE10" s="1428">
        <f>IF($B10="","",IF(DE$4&lt;2,(DD10*(1+'Rent Roll Analysis'!$AK8/12)), IF(AND('Monthly Cash Flow'!DE$4&gt;1,'Monthly Cash Flow'!DE$4&lt;=2),'Monthly Cash Flow'!DD10*(1+'Rent Roll Analysis'!$AE8/12),'Monthly Cash Flow'!DD10*(1+'Rent Roll Analysis'!$AB8/12))))</f>
        <v>107005.30580610191</v>
      </c>
      <c r="DF10" s="1428">
        <f>IF($B10="","",IF(DF$4&lt;2,(DE10*(1+'Rent Roll Analysis'!$AK8/12)), IF(AND('Monthly Cash Flow'!DF$4&gt;1,'Monthly Cash Flow'!DF$4&lt;=2),'Monthly Cash Flow'!DE10*(1+'Rent Roll Analysis'!$AE8/12),'Monthly Cash Flow'!DE10*(1+'Rent Roll Analysis'!$AB8/12))))</f>
        <v>107361.99015878893</v>
      </c>
      <c r="DG10" s="1428">
        <f>IF($B10="","",IF(DG$4&lt;2,(DF10*(1+'Rent Roll Analysis'!$AK8/12)), IF(AND('Monthly Cash Flow'!DG$4&gt;1,'Monthly Cash Flow'!DG$4&lt;=2),'Monthly Cash Flow'!DF10*(1+'Rent Roll Analysis'!$AE8/12),'Monthly Cash Flow'!DF10*(1+'Rent Roll Analysis'!$AB8/12))))</f>
        <v>107719.86345931824</v>
      </c>
      <c r="DH10" s="1428">
        <f>IF($B10="","",IF(DH$4&lt;2,(DG10*(1+'Rent Roll Analysis'!$AK8/12)), IF(AND('Monthly Cash Flow'!DH$4&gt;1,'Monthly Cash Flow'!DH$4&lt;=2),'Monthly Cash Flow'!DG10*(1+'Rent Roll Analysis'!$AE8/12),'Monthly Cash Flow'!DG10*(1+'Rent Roll Analysis'!$AB8/12))))</f>
        <v>108078.92967084931</v>
      </c>
      <c r="DI10" s="1428">
        <f>IF($B10="","",IF(DI$4&lt;2,(DH10*(1+'Rent Roll Analysis'!$AK8/12)), IF(AND('Monthly Cash Flow'!DI$4&gt;1,'Monthly Cash Flow'!DI$4&lt;=2),'Monthly Cash Flow'!DH10*(1+'Rent Roll Analysis'!$AE8/12),'Monthly Cash Flow'!DH10*(1+'Rent Roll Analysis'!$AB8/12))))</f>
        <v>108439.19276975215</v>
      </c>
      <c r="DJ10" s="1428">
        <f>IF($B10="","",IF(DJ$4&lt;2,(DI10*(1+'Rent Roll Analysis'!$AK8/12)), IF(AND('Monthly Cash Flow'!DJ$4&gt;1,'Monthly Cash Flow'!DJ$4&lt;=2),'Monthly Cash Flow'!DI10*(1+'Rent Roll Analysis'!$AE8/12),'Monthly Cash Flow'!DI10*(1+'Rent Roll Analysis'!$AB8/12))))</f>
        <v>108800.65674565133</v>
      </c>
      <c r="DK10" s="1428">
        <f>IF($B10="","",IF(DK$4&lt;2,(DJ10*(1+'Rent Roll Analysis'!$AK8/12)), IF(AND('Monthly Cash Flow'!DK$4&gt;1,'Monthly Cash Flow'!DK$4&lt;=2),'Monthly Cash Flow'!DJ10*(1+'Rent Roll Analysis'!$AE8/12),'Monthly Cash Flow'!DJ10*(1+'Rent Roll Analysis'!$AB8/12))))</f>
        <v>109163.32560147018</v>
      </c>
      <c r="DL10" s="1428">
        <f>IF($B10="","",IF(DL$4&lt;2,(DK10*(1+'Rent Roll Analysis'!$AK8/12)), IF(AND('Monthly Cash Flow'!DL$4&gt;1,'Monthly Cash Flow'!DL$4&lt;=2),'Monthly Cash Flow'!DK10*(1+'Rent Roll Analysis'!$AE8/12),'Monthly Cash Flow'!DK10*(1+'Rent Roll Analysis'!$AB8/12))))</f>
        <v>109527.20335347508</v>
      </c>
      <c r="DM10" s="1428">
        <f>IF($B10="","",IF(DM$4&lt;2,(DL10*(1+'Rent Roll Analysis'!$AK8/12)), IF(AND('Monthly Cash Flow'!DM$4&gt;1,'Monthly Cash Flow'!DM$4&lt;=2),'Monthly Cash Flow'!DL10*(1+'Rent Roll Analysis'!$AE8/12),'Monthly Cash Flow'!DL10*(1+'Rent Roll Analysis'!$AB8/12))))</f>
        <v>109892.29403132001</v>
      </c>
      <c r="DN10" s="1428">
        <f>IF($B10="","",IF(DN$4&lt;2,(DM10*(1+'Rent Roll Analysis'!$AK8/12)), IF(AND('Monthly Cash Flow'!DN$4&gt;1,'Monthly Cash Flow'!DN$4&lt;=2),'Monthly Cash Flow'!DM10*(1+'Rent Roll Analysis'!$AE8/12),'Monthly Cash Flow'!DM10*(1+'Rent Roll Analysis'!$AB8/12))))</f>
        <v>110258.60167809109</v>
      </c>
      <c r="DO10" s="1428">
        <f>IF($B10="","",IF(DO$4&lt;2,(DN10*(1+'Rent Roll Analysis'!$AK8/12)), IF(AND('Monthly Cash Flow'!DO$4&gt;1,'Monthly Cash Flow'!DO$4&lt;=2),'Monthly Cash Flow'!DN10*(1+'Rent Roll Analysis'!$AE8/12),'Monthly Cash Flow'!DN10*(1+'Rent Roll Analysis'!$AB8/12))))</f>
        <v>110626.13035035139</v>
      </c>
      <c r="DP10" s="1428">
        <f>IF($B10="","",IF(DP$4&lt;2,(DO10*(1+'Rent Roll Analysis'!$AK8/12)), IF(AND('Monthly Cash Flow'!DP$4&gt;1,'Monthly Cash Flow'!DP$4&lt;=2),'Monthly Cash Flow'!DO10*(1+'Rent Roll Analysis'!$AE8/12),'Monthly Cash Flow'!DO10*(1+'Rent Roll Analysis'!$AB8/12))))</f>
        <v>110994.8841181859</v>
      </c>
      <c r="DQ10" s="1428">
        <f>IF($B10="","",IF(DQ$4&lt;2,(DP10*(1+'Rent Roll Analysis'!$AK8/12)), IF(AND('Monthly Cash Flow'!DQ$4&gt;1,'Monthly Cash Flow'!DQ$4&lt;=2),'Monthly Cash Flow'!DP10*(1+'Rent Roll Analysis'!$AE8/12),'Monthly Cash Flow'!DP10*(1+'Rent Roll Analysis'!$AB8/12))))</f>
        <v>111364.86706524654</v>
      </c>
      <c r="DR10" s="1428">
        <f>IF($B10="","",IF(DR$4&lt;2,(DQ10*(1+'Rent Roll Analysis'!$AK8/12)), IF(AND('Monthly Cash Flow'!DR$4&gt;1,'Monthly Cash Flow'!DR$4&lt;=2),'Monthly Cash Flow'!DQ10*(1+'Rent Roll Analysis'!$AE8/12),'Monthly Cash Flow'!DQ10*(1+'Rent Roll Analysis'!$AB8/12))))</f>
        <v>111736.08328879737</v>
      </c>
      <c r="DS10" s="1428">
        <f>IF($B10="","",IF(DS$4&lt;2,(DR10*(1+'Rent Roll Analysis'!$AK8/12)), IF(AND('Monthly Cash Flow'!DS$4&gt;1,'Monthly Cash Flow'!DS$4&lt;=2),'Monthly Cash Flow'!DR10*(1+'Rent Roll Analysis'!$AE8/12),'Monthly Cash Flow'!DR10*(1+'Rent Roll Analysis'!$AB8/12))))</f>
        <v>112108.53689976003</v>
      </c>
      <c r="DT10" s="1428">
        <f>IF($B10="","",IF(DT$4&lt;2,(DS10*(1+'Rent Roll Analysis'!$AK8/12)), IF(AND('Monthly Cash Flow'!DT$4&gt;1,'Monthly Cash Flow'!DT$4&lt;=2),'Monthly Cash Flow'!DS10*(1+'Rent Roll Analysis'!$AE8/12),'Monthly Cash Flow'!DS10*(1+'Rent Roll Analysis'!$AB8/12))))</f>
        <v>112482.23202275924</v>
      </c>
      <c r="DU10" s="385" t="s">
        <v>557</v>
      </c>
      <c r="DV10" s="375"/>
    </row>
    <row r="11" spans="1:126" s="92" customFormat="1" ht="20.149999999999999" customHeight="1" outlineLevel="1">
      <c r="A11" s="375"/>
      <c r="B11" s="383" t="str">
        <f>'Rent Roll Analysis'!C9</f>
        <v>B3</v>
      </c>
      <c r="C11" s="376"/>
      <c r="D11" s="1426">
        <f>IF('Rent Roll Analysis'!C9="","",'Rent Roll Analysis'!N9*'Rent Roll Analysis'!E9)</f>
        <v>16500.99999999996</v>
      </c>
      <c r="E11" s="1428">
        <f t="shared" si="113"/>
        <v>16500.99999999996</v>
      </c>
      <c r="F11" s="1428">
        <f>IF($B11="","",IF(F$4&lt;2,(E11*(1+'Rent Roll Analysis'!$AK9/12)), IF(AND('Monthly Cash Flow'!F$4&gt;1,'Monthly Cash Flow'!F$4&lt;=2),'Monthly Cash Flow'!E11*(1+'Rent Roll Analysis'!$AE9/12),'Monthly Cash Flow'!E11*(1+'Rent Roll Analysis'!$AB9/12))))</f>
        <v>16611.006666666624</v>
      </c>
      <c r="G11" s="1428">
        <f>IF($B11="","",IF(G$4&lt;2,(F11*(1+'Rent Roll Analysis'!$AK9/12)), IF(AND('Monthly Cash Flow'!G$4&gt;1,'Monthly Cash Flow'!G$4&lt;=2),'Monthly Cash Flow'!F11*(1+'Rent Roll Analysis'!$AE9/12),'Monthly Cash Flow'!F11*(1+'Rent Roll Analysis'!$AB9/12))))</f>
        <v>16721.746711111067</v>
      </c>
      <c r="H11" s="1428">
        <f>IF($B11="","",IF(H$4&lt;2,(G11*(1+'Rent Roll Analysis'!$AK9/12)), IF(AND('Monthly Cash Flow'!H$4&gt;1,'Monthly Cash Flow'!H$4&lt;=2),'Monthly Cash Flow'!G11*(1+'Rent Roll Analysis'!$AE9/12),'Monthly Cash Flow'!G11*(1+'Rent Roll Analysis'!$AB9/12))))</f>
        <v>16833.225022518473</v>
      </c>
      <c r="I11" s="1428">
        <f>IF($B11="","",IF(I$4&lt;2,(H11*(1+'Rent Roll Analysis'!$AK9/12)), IF(AND('Monthly Cash Flow'!I$4&gt;1,'Monthly Cash Flow'!I$4&lt;=2),'Monthly Cash Flow'!H11*(1+'Rent Roll Analysis'!$AE9/12),'Monthly Cash Flow'!H11*(1+'Rent Roll Analysis'!$AB9/12))))</f>
        <v>16945.446522668593</v>
      </c>
      <c r="J11" s="1428">
        <f>IF($B11="","",IF(J$4&lt;2,(I11*(1+'Rent Roll Analysis'!$AK9/12)), IF(AND('Monthly Cash Flow'!J$4&gt;1,'Monthly Cash Flow'!J$4&lt;=2),'Monthly Cash Flow'!I11*(1+'Rent Roll Analysis'!$AE9/12),'Monthly Cash Flow'!I11*(1+'Rent Roll Analysis'!$AB9/12))))</f>
        <v>17058.416166153049</v>
      </c>
      <c r="K11" s="1428">
        <f>IF($B11="","",IF(K$4&lt;2,(J11*(1+'Rent Roll Analysis'!$AK9/12)), IF(AND('Monthly Cash Flow'!K$4&gt;1,'Monthly Cash Flow'!K$4&lt;=2),'Monthly Cash Flow'!J11*(1+'Rent Roll Analysis'!$AE9/12),'Monthly Cash Flow'!J11*(1+'Rent Roll Analysis'!$AB9/12))))</f>
        <v>17172.138940594068</v>
      </c>
      <c r="L11" s="1428">
        <f>IF($B11="","",IF(L$4&lt;2,(K11*(1+'Rent Roll Analysis'!$AK9/12)), IF(AND('Monthly Cash Flow'!L$4&gt;1,'Monthly Cash Flow'!L$4&lt;=2),'Monthly Cash Flow'!K11*(1+'Rent Roll Analysis'!$AE9/12),'Monthly Cash Flow'!K11*(1+'Rent Roll Analysis'!$AB9/12))))</f>
        <v>17286.619866864694</v>
      </c>
      <c r="M11" s="1428">
        <f>IF($B11="","",IF(M$4&lt;2,(L11*(1+'Rent Roll Analysis'!$AK9/12)), IF(AND('Monthly Cash Flow'!M$4&gt;1,'Monthly Cash Flow'!M$4&lt;=2),'Monthly Cash Flow'!L11*(1+'Rent Roll Analysis'!$AE9/12),'Monthly Cash Flow'!L11*(1+'Rent Roll Analysis'!$AB9/12))))</f>
        <v>17401.863999310459</v>
      </c>
      <c r="N11" s="1428">
        <f>IF($B11="","",IF(N$4&lt;2,(M11*(1+'Rent Roll Analysis'!$AK9/12)), IF(AND('Monthly Cash Flow'!N$4&gt;1,'Monthly Cash Flow'!N$4&lt;=2),'Monthly Cash Flow'!M11*(1+'Rent Roll Analysis'!$AE9/12),'Monthly Cash Flow'!M11*(1+'Rent Roll Analysis'!$AB9/12))))</f>
        <v>17517.876425972529</v>
      </c>
      <c r="O11" s="1428">
        <f>IF($B11="","",IF(O$4&lt;2,(N11*(1+'Rent Roll Analysis'!$AK9/12)), IF(AND('Monthly Cash Flow'!O$4&gt;1,'Monthly Cash Flow'!O$4&lt;=2),'Monthly Cash Flow'!N11*(1+'Rent Roll Analysis'!$AE9/12),'Monthly Cash Flow'!N11*(1+'Rent Roll Analysis'!$AB9/12))))</f>
        <v>17634.662268812343</v>
      </c>
      <c r="P11" s="1428">
        <f>IF($B11="","",IF(P$4&lt;2,(O11*(1+'Rent Roll Analysis'!$AK9/12)), IF(AND('Monthly Cash Flow'!P$4&gt;1,'Monthly Cash Flow'!P$4&lt;=2),'Monthly Cash Flow'!O11*(1+'Rent Roll Analysis'!$AE9/12),'Monthly Cash Flow'!O11*(1+'Rent Roll Analysis'!$AB9/12))))</f>
        <v>17752.226683937755</v>
      </c>
      <c r="Q11" s="1428">
        <f>IF($B11="","",IF(Q$4&lt;2,(P11*(1+'Rent Roll Analysis'!$AK9/12)), IF(AND('Monthly Cash Flow'!Q$4&gt;1,'Monthly Cash Flow'!Q$4&lt;=2),'Monthly Cash Flow'!P11*(1+'Rent Roll Analysis'!$AE9/12),'Monthly Cash Flow'!P11*(1+'Rent Roll Analysis'!$AB9/12))))</f>
        <v>17863.178100712368</v>
      </c>
      <c r="R11" s="1428">
        <f>IF($B11="","",IF(R$4&lt;2,(Q11*(1+'Rent Roll Analysis'!$AK9/12)), IF(AND('Monthly Cash Flow'!R$4&gt;1,'Monthly Cash Flow'!R$4&lt;=2),'Monthly Cash Flow'!Q11*(1+'Rent Roll Analysis'!$AE9/12),'Monthly Cash Flow'!Q11*(1+'Rent Roll Analysis'!$AB9/12))))</f>
        <v>17974.822963841823</v>
      </c>
      <c r="S11" s="1428">
        <f>IF($B11="","",IF(S$4&lt;2,(R11*(1+'Rent Roll Analysis'!$AK9/12)), IF(AND('Monthly Cash Flow'!S$4&gt;1,'Monthly Cash Flow'!S$4&lt;=2),'Monthly Cash Flow'!R11*(1+'Rent Roll Analysis'!$AE9/12),'Monthly Cash Flow'!R11*(1+'Rent Roll Analysis'!$AB9/12))))</f>
        <v>18087.165607365838</v>
      </c>
      <c r="T11" s="1428">
        <f>IF($B11="","",IF(T$4&lt;2,(S11*(1+'Rent Roll Analysis'!$AK9/12)), IF(AND('Monthly Cash Flow'!T$4&gt;1,'Monthly Cash Flow'!T$4&lt;=2),'Monthly Cash Flow'!S11*(1+'Rent Roll Analysis'!$AE9/12),'Monthly Cash Flow'!S11*(1+'Rent Roll Analysis'!$AB9/12))))</f>
        <v>18200.210392411875</v>
      </c>
      <c r="U11" s="1428">
        <f>IF($B11="","",IF(U$4&lt;2,(T11*(1+'Rent Roll Analysis'!$AK9/12)), IF(AND('Monthly Cash Flow'!U$4&gt;1,'Monthly Cash Flow'!U$4&lt;=2),'Monthly Cash Flow'!T11*(1+'Rent Roll Analysis'!$AE9/12),'Monthly Cash Flow'!T11*(1+'Rent Roll Analysis'!$AB9/12))))</f>
        <v>18313.961707364451</v>
      </c>
      <c r="V11" s="1428">
        <f>IF($B11="","",IF(V$4&lt;2,(U11*(1+'Rent Roll Analysis'!$AK9/12)), IF(AND('Monthly Cash Flow'!V$4&gt;1,'Monthly Cash Flow'!V$4&lt;=2),'Monthly Cash Flow'!U11*(1+'Rent Roll Analysis'!$AE9/12),'Monthly Cash Flow'!U11*(1+'Rent Roll Analysis'!$AB9/12))))</f>
        <v>18428.42396803548</v>
      </c>
      <c r="W11" s="1428">
        <f>IF($B11="","",IF(W$4&lt;2,(V11*(1+'Rent Roll Analysis'!$AK9/12)), IF(AND('Monthly Cash Flow'!W$4&gt;1,'Monthly Cash Flow'!W$4&lt;=2),'Monthly Cash Flow'!V11*(1+'Rent Roll Analysis'!$AE9/12),'Monthly Cash Flow'!V11*(1+'Rent Roll Analysis'!$AB9/12))))</f>
        <v>18543.601617835702</v>
      </c>
      <c r="X11" s="1428">
        <f>IF($B11="","",IF(X$4&lt;2,(W11*(1+'Rent Roll Analysis'!$AK9/12)), IF(AND('Monthly Cash Flow'!X$4&gt;1,'Monthly Cash Flow'!X$4&lt;=2),'Monthly Cash Flow'!W11*(1+'Rent Roll Analysis'!$AE9/12),'Monthly Cash Flow'!W11*(1+'Rent Roll Analysis'!$AB9/12))))</f>
        <v>18659.499127947176</v>
      </c>
      <c r="Y11" s="1428">
        <f>IF($B11="","",IF(Y$4&lt;2,(X11*(1+'Rent Roll Analysis'!$AK9/12)), IF(AND('Monthly Cash Flow'!Y$4&gt;1,'Monthly Cash Flow'!Y$4&lt;=2),'Monthly Cash Flow'!X11*(1+'Rent Roll Analysis'!$AE9/12),'Monthly Cash Flow'!X11*(1+'Rent Roll Analysis'!$AB9/12))))</f>
        <v>18776.120997496848</v>
      </c>
      <c r="Z11" s="1428">
        <f>IF($B11="","",IF(Z$4&lt;2,(Y11*(1+'Rent Roll Analysis'!$AK9/12)), IF(AND('Monthly Cash Flow'!Z$4&gt;1,'Monthly Cash Flow'!Z$4&lt;=2),'Monthly Cash Flow'!Y11*(1+'Rent Roll Analysis'!$AE9/12),'Monthly Cash Flow'!Y11*(1+'Rent Roll Analysis'!$AB9/12))))</f>
        <v>18893.471753731206</v>
      </c>
      <c r="AA11" s="1428">
        <f>IF($B11="","",IF(AA$4&lt;2,(Z11*(1+'Rent Roll Analysis'!$AK9/12)), IF(AND('Monthly Cash Flow'!AA$4&gt;1,'Monthly Cash Flow'!AA$4&lt;=2),'Monthly Cash Flow'!Z11*(1+'Rent Roll Analysis'!$AE9/12),'Monthly Cash Flow'!Z11*(1+'Rent Roll Analysis'!$AB9/12))))</f>
        <v>19011.55595219203</v>
      </c>
      <c r="AB11" s="1428">
        <f>IF($B11="","",IF(AB$4&lt;2,(AA11*(1+'Rent Roll Analysis'!$AK9/12)), IF(AND('Monthly Cash Flow'!AB$4&gt;1,'Monthly Cash Flow'!AB$4&lt;=2),'Monthly Cash Flow'!AA11*(1+'Rent Roll Analysis'!$AE9/12),'Monthly Cash Flow'!AA11*(1+'Rent Roll Analysis'!$AB9/12))))</f>
        <v>19130.378176893231</v>
      </c>
      <c r="AC11" s="1428">
        <f>IF($B11="","",IF(AC$4&lt;2,(AB11*(1+'Rent Roll Analysis'!$AK9/12)), IF(AND('Monthly Cash Flow'!AC$4&gt;1,'Monthly Cash Flow'!AC$4&lt;=2),'Monthly Cash Flow'!AB11*(1+'Rent Roll Analysis'!$AE9/12),'Monthly Cash Flow'!AB11*(1+'Rent Roll Analysis'!$AB9/12))))</f>
        <v>19194.146104149542</v>
      </c>
      <c r="AD11" s="1428">
        <f>IF($B11="","",IF(AD$4&lt;2,(AC11*(1+'Rent Roll Analysis'!$AK9/12)), IF(AND('Monthly Cash Flow'!AD$4&gt;1,'Monthly Cash Flow'!AD$4&lt;=2),'Monthly Cash Flow'!AC11*(1+'Rent Roll Analysis'!$AE9/12),'Monthly Cash Flow'!AC11*(1+'Rent Roll Analysis'!$AB9/12))))</f>
        <v>19258.126591163375</v>
      </c>
      <c r="AE11" s="1428">
        <f>IF($B11="","",IF(AE$4&lt;2,(AD11*(1+'Rent Roll Analysis'!$AK9/12)), IF(AND('Monthly Cash Flow'!AE$4&gt;1,'Monthly Cash Flow'!AE$4&lt;=2),'Monthly Cash Flow'!AD11*(1+'Rent Roll Analysis'!$AE9/12),'Monthly Cash Flow'!AD11*(1+'Rent Roll Analysis'!$AB9/12))))</f>
        <v>19322.320346467255</v>
      </c>
      <c r="AF11" s="1428">
        <f>IF($B11="","",IF(AF$4&lt;2,(AE11*(1+'Rent Roll Analysis'!$AK9/12)), IF(AND('Monthly Cash Flow'!AF$4&gt;1,'Monthly Cash Flow'!AF$4&lt;=2),'Monthly Cash Flow'!AE11*(1+'Rent Roll Analysis'!$AE9/12),'Monthly Cash Flow'!AE11*(1+'Rent Roll Analysis'!$AB9/12))))</f>
        <v>19386.72808095548</v>
      </c>
      <c r="AG11" s="1428">
        <f>IF($B11="","",IF(AG$4&lt;2,(AF11*(1+'Rent Roll Analysis'!$AK9/12)), IF(AND('Monthly Cash Flow'!AG$4&gt;1,'Monthly Cash Flow'!AG$4&lt;=2),'Monthly Cash Flow'!AF11*(1+'Rent Roll Analysis'!$AE9/12),'Monthly Cash Flow'!AF11*(1+'Rent Roll Analysis'!$AB9/12))))</f>
        <v>19451.350507891999</v>
      </c>
      <c r="AH11" s="1428">
        <f>IF($B11="","",IF(AH$4&lt;2,(AG11*(1+'Rent Roll Analysis'!$AK9/12)), IF(AND('Monthly Cash Flow'!AH$4&gt;1,'Monthly Cash Flow'!AH$4&lt;=2),'Monthly Cash Flow'!AG11*(1+'Rent Roll Analysis'!$AE9/12),'Monthly Cash Flow'!AG11*(1+'Rent Roll Analysis'!$AB9/12))))</f>
        <v>19516.188342918307</v>
      </c>
      <c r="AI11" s="1428">
        <f>IF($B11="","",IF(AI$4&lt;2,(AH11*(1+'Rent Roll Analysis'!$AK9/12)), IF(AND('Monthly Cash Flow'!AI$4&gt;1,'Monthly Cash Flow'!AI$4&lt;=2),'Monthly Cash Flow'!AH11*(1+'Rent Roll Analysis'!$AE9/12),'Monthly Cash Flow'!AH11*(1+'Rent Roll Analysis'!$AB9/12))))</f>
        <v>19581.242304061368</v>
      </c>
      <c r="AJ11" s="1428">
        <f>IF($B11="","",IF(AJ$4&lt;2,(AI11*(1+'Rent Roll Analysis'!$AK9/12)), IF(AND('Monthly Cash Flow'!AJ$4&gt;1,'Monthly Cash Flow'!AJ$4&lt;=2),'Monthly Cash Flow'!AI11*(1+'Rent Roll Analysis'!$AE9/12),'Monthly Cash Flow'!AI11*(1+'Rent Roll Analysis'!$AB9/12))))</f>
        <v>19646.513111741573</v>
      </c>
      <c r="AK11" s="1428">
        <f>IF($B11="","",IF(AK$4&lt;2,(AJ11*(1+'Rent Roll Analysis'!$AK9/12)), IF(AND('Monthly Cash Flow'!AK$4&gt;1,'Monthly Cash Flow'!AK$4&lt;=2),'Monthly Cash Flow'!AJ11*(1+'Rent Roll Analysis'!$AE9/12),'Monthly Cash Flow'!AJ11*(1+'Rent Roll Analysis'!$AB9/12))))</f>
        <v>19712.001488780712</v>
      </c>
      <c r="AL11" s="1428">
        <f>IF($B11="","",IF(AL$4&lt;2,(AK11*(1+'Rent Roll Analysis'!$AK9/12)), IF(AND('Monthly Cash Flow'!AL$4&gt;1,'Monthly Cash Flow'!AL$4&lt;=2),'Monthly Cash Flow'!AK11*(1+'Rent Roll Analysis'!$AE9/12),'Monthly Cash Flow'!AK11*(1+'Rent Roll Analysis'!$AB9/12))))</f>
        <v>19777.708160409984</v>
      </c>
      <c r="AM11" s="1428">
        <f>IF($B11="","",IF(AM$4&lt;2,(AL11*(1+'Rent Roll Analysis'!$AK9/12)), IF(AND('Monthly Cash Flow'!AM$4&gt;1,'Monthly Cash Flow'!AM$4&lt;=2),'Monthly Cash Flow'!AL11*(1+'Rent Roll Analysis'!$AE9/12),'Monthly Cash Flow'!AL11*(1+'Rent Roll Analysis'!$AB9/12))))</f>
        <v>19843.633854278018</v>
      </c>
      <c r="AN11" s="1428">
        <f>IF($B11="","",IF(AN$4&lt;2,(AM11*(1+'Rent Roll Analysis'!$AK9/12)), IF(AND('Monthly Cash Flow'!AN$4&gt;1,'Monthly Cash Flow'!AN$4&lt;=2),'Monthly Cash Flow'!AM11*(1+'Rent Roll Analysis'!$AE9/12),'Monthly Cash Flow'!AM11*(1+'Rent Roll Analysis'!$AB9/12))))</f>
        <v>19909.779300458948</v>
      </c>
      <c r="AO11" s="1428">
        <f>IF($B11="","",IF(AO$4&lt;2,(AN11*(1+'Rent Roll Analysis'!$AK9/12)), IF(AND('Monthly Cash Flow'!AO$4&gt;1,'Monthly Cash Flow'!AO$4&lt;=2),'Monthly Cash Flow'!AN11*(1+'Rent Roll Analysis'!$AE9/12),'Monthly Cash Flow'!AN11*(1+'Rent Roll Analysis'!$AB9/12))))</f>
        <v>19976.145231460479</v>
      </c>
      <c r="AP11" s="1428">
        <f>IF($B11="","",IF(AP$4&lt;2,(AO11*(1+'Rent Roll Analysis'!$AK9/12)), IF(AND('Monthly Cash Flow'!AP$4&gt;1,'Monthly Cash Flow'!AP$4&lt;=2),'Monthly Cash Flow'!AO11*(1+'Rent Roll Analysis'!$AE9/12),'Monthly Cash Flow'!AO11*(1+'Rent Roll Analysis'!$AB9/12))))</f>
        <v>20042.732382232014</v>
      </c>
      <c r="AQ11" s="1428">
        <f>IF($B11="","",IF(AQ$4&lt;2,(AP11*(1+'Rent Roll Analysis'!$AK9/12)), IF(AND('Monthly Cash Flow'!AQ$4&gt;1,'Monthly Cash Flow'!AQ$4&lt;=2),'Monthly Cash Flow'!AP11*(1+'Rent Roll Analysis'!$AE9/12),'Monthly Cash Flow'!AP11*(1+'Rent Roll Analysis'!$AB9/12))))</f>
        <v>20109.541490172789</v>
      </c>
      <c r="AR11" s="1428">
        <f>IF($B11="","",IF(AR$4&lt;2,(AQ11*(1+'Rent Roll Analysis'!$AK9/12)), IF(AND('Monthly Cash Flow'!AR$4&gt;1,'Monthly Cash Flow'!AR$4&lt;=2),'Monthly Cash Flow'!AQ11*(1+'Rent Roll Analysis'!$AE9/12),'Monthly Cash Flow'!AQ11*(1+'Rent Roll Analysis'!$AB9/12))))</f>
        <v>20176.573295140035</v>
      </c>
      <c r="AS11" s="1428">
        <f>IF($B11="","",IF(AS$4&lt;2,(AR11*(1+'Rent Roll Analysis'!$AK9/12)), IF(AND('Monthly Cash Flow'!AS$4&gt;1,'Monthly Cash Flow'!AS$4&lt;=2),'Monthly Cash Flow'!AR11*(1+'Rent Roll Analysis'!$AE9/12),'Monthly Cash Flow'!AR11*(1+'Rent Roll Analysis'!$AB9/12))))</f>
        <v>20243.828539457169</v>
      </c>
      <c r="AT11" s="1428">
        <f>IF($B11="","",IF(AT$4&lt;2,(AS11*(1+'Rent Roll Analysis'!$AK9/12)), IF(AND('Monthly Cash Flow'!AT$4&gt;1,'Monthly Cash Flow'!AT$4&lt;=2),'Monthly Cash Flow'!AS11*(1+'Rent Roll Analysis'!$AE9/12),'Monthly Cash Flow'!AS11*(1+'Rent Roll Analysis'!$AB9/12))))</f>
        <v>20311.307967922028</v>
      </c>
      <c r="AU11" s="1428">
        <f>IF($B11="","",IF(AU$4&lt;2,(AT11*(1+'Rent Roll Analysis'!$AK9/12)), IF(AND('Monthly Cash Flow'!AU$4&gt;1,'Monthly Cash Flow'!AU$4&lt;=2),'Monthly Cash Flow'!AT11*(1+'Rent Roll Analysis'!$AE9/12),'Monthly Cash Flow'!AT11*(1+'Rent Roll Analysis'!$AB9/12))))</f>
        <v>20379.012327815104</v>
      </c>
      <c r="AV11" s="1428">
        <f>IF($B11="","",IF(AV$4&lt;2,(AU11*(1+'Rent Roll Analysis'!$AK9/12)), IF(AND('Monthly Cash Flow'!AV$4&gt;1,'Monthly Cash Flow'!AV$4&lt;=2),'Monthly Cash Flow'!AU11*(1+'Rent Roll Analysis'!$AE9/12),'Monthly Cash Flow'!AU11*(1+'Rent Roll Analysis'!$AB9/12))))</f>
        <v>20446.942368907821</v>
      </c>
      <c r="AW11" s="1428">
        <f>IF($B11="","",IF(AW$4&lt;2,(AV11*(1+'Rent Roll Analysis'!$AK9/12)), IF(AND('Monthly Cash Flow'!AW$4&gt;1,'Monthly Cash Flow'!AW$4&lt;=2),'Monthly Cash Flow'!AV11*(1+'Rent Roll Analysis'!$AE9/12),'Monthly Cash Flow'!AV11*(1+'Rent Roll Analysis'!$AB9/12))))</f>
        <v>20515.098843470849</v>
      </c>
      <c r="AX11" s="1428">
        <f>IF($B11="","",IF(AX$4&lt;2,(AW11*(1+'Rent Roll Analysis'!$AK9/12)), IF(AND('Monthly Cash Flow'!AX$4&gt;1,'Monthly Cash Flow'!AX$4&lt;=2),'Monthly Cash Flow'!AW11*(1+'Rent Roll Analysis'!$AE9/12),'Monthly Cash Flow'!AW11*(1+'Rent Roll Analysis'!$AB9/12))))</f>
        <v>20583.48250628242</v>
      </c>
      <c r="AY11" s="1428">
        <f>IF($B11="","",IF(AY$4&lt;2,(AX11*(1+'Rent Roll Analysis'!$AK9/12)), IF(AND('Monthly Cash Flow'!AY$4&gt;1,'Monthly Cash Flow'!AY$4&lt;=2),'Monthly Cash Flow'!AX11*(1+'Rent Roll Analysis'!$AE9/12),'Monthly Cash Flow'!AX11*(1+'Rent Roll Analysis'!$AB9/12))))</f>
        <v>20652.094114636697</v>
      </c>
      <c r="AZ11" s="1428">
        <f>IF($B11="","",IF(AZ$4&lt;2,(AY11*(1+'Rent Roll Analysis'!$AK9/12)), IF(AND('Monthly Cash Flow'!AZ$4&gt;1,'Monthly Cash Flow'!AZ$4&lt;=2),'Monthly Cash Flow'!AY11*(1+'Rent Roll Analysis'!$AE9/12),'Monthly Cash Flow'!AY11*(1+'Rent Roll Analysis'!$AB9/12))))</f>
        <v>20720.934428352153</v>
      </c>
      <c r="BA11" s="1428">
        <f>IF($B11="","",IF(BA$4&lt;2,(AZ11*(1+'Rent Roll Analysis'!$AK9/12)), IF(AND('Monthly Cash Flow'!BA$4&gt;1,'Monthly Cash Flow'!BA$4&lt;=2),'Monthly Cash Flow'!AZ11*(1+'Rent Roll Analysis'!$AE9/12),'Monthly Cash Flow'!AZ11*(1+'Rent Roll Analysis'!$AB9/12))))</f>
        <v>20790.004209779996</v>
      </c>
      <c r="BB11" s="1428">
        <f>IF($B11="","",IF(BB$4&lt;2,(BA11*(1+'Rent Roll Analysis'!$AK9/12)), IF(AND('Monthly Cash Flow'!BB$4&gt;1,'Monthly Cash Flow'!BB$4&lt;=2),'Monthly Cash Flow'!BA11*(1+'Rent Roll Analysis'!$AE9/12),'Monthly Cash Flow'!BA11*(1+'Rent Roll Analysis'!$AB9/12))))</f>
        <v>20859.304223812596</v>
      </c>
      <c r="BC11" s="1428">
        <f>IF($B11="","",IF(BC$4&lt;2,(BB11*(1+'Rent Roll Analysis'!$AK9/12)), IF(AND('Monthly Cash Flow'!BC$4&gt;1,'Monthly Cash Flow'!BC$4&lt;=2),'Monthly Cash Flow'!BB11*(1+'Rent Roll Analysis'!$AE9/12),'Monthly Cash Flow'!BB11*(1+'Rent Roll Analysis'!$AB9/12))))</f>
        <v>20928.835237891974</v>
      </c>
      <c r="BD11" s="1428">
        <f>IF($B11="","",IF(BD$4&lt;2,(BC11*(1+'Rent Roll Analysis'!$AK9/12)), IF(AND('Monthly Cash Flow'!BD$4&gt;1,'Monthly Cash Flow'!BD$4&lt;=2),'Monthly Cash Flow'!BC11*(1+'Rent Roll Analysis'!$AE9/12),'Monthly Cash Flow'!BC11*(1+'Rent Roll Analysis'!$AB9/12))))</f>
        <v>20998.598022018283</v>
      </c>
      <c r="BE11" s="1428">
        <f>IF($B11="","",IF(BE$4&lt;2,(BD11*(1+'Rent Roll Analysis'!$AK9/12)), IF(AND('Monthly Cash Flow'!BE$4&gt;1,'Monthly Cash Flow'!BE$4&lt;=2),'Monthly Cash Flow'!BD11*(1+'Rent Roll Analysis'!$AE9/12),'Monthly Cash Flow'!BD11*(1+'Rent Roll Analysis'!$AB9/12))))</f>
        <v>21068.593348758346</v>
      </c>
      <c r="BF11" s="1428">
        <f>IF($B11="","",IF(BF$4&lt;2,(BE11*(1+'Rent Roll Analysis'!$AK9/12)), IF(AND('Monthly Cash Flow'!BF$4&gt;1,'Monthly Cash Flow'!BF$4&lt;=2),'Monthly Cash Flow'!BE11*(1+'Rent Roll Analysis'!$AE9/12),'Monthly Cash Flow'!BE11*(1+'Rent Roll Analysis'!$AB9/12))))</f>
        <v>21138.821993254209</v>
      </c>
      <c r="BG11" s="1428">
        <f>IF($B11="","",IF(BG$4&lt;2,(BF11*(1+'Rent Roll Analysis'!$AK9/12)), IF(AND('Monthly Cash Flow'!BG$4&gt;1,'Monthly Cash Flow'!BG$4&lt;=2),'Monthly Cash Flow'!BF11*(1+'Rent Roll Analysis'!$AE9/12),'Monthly Cash Flow'!BF11*(1+'Rent Roll Analysis'!$AB9/12))))</f>
        <v>21209.284733231725</v>
      </c>
      <c r="BH11" s="1428">
        <f>IF($B11="","",IF(BH$4&lt;2,(BG11*(1+'Rent Roll Analysis'!$AK9/12)), IF(AND('Monthly Cash Flow'!BH$4&gt;1,'Monthly Cash Flow'!BH$4&lt;=2),'Monthly Cash Flow'!BG11*(1+'Rent Roll Analysis'!$AE9/12),'Monthly Cash Flow'!BG11*(1+'Rent Roll Analysis'!$AB9/12))))</f>
        <v>21279.982349009166</v>
      </c>
      <c r="BI11" s="1428">
        <f>IF($B11="","",IF(BI$4&lt;2,(BH11*(1+'Rent Roll Analysis'!$AK9/12)), IF(AND('Monthly Cash Flow'!BI$4&gt;1,'Monthly Cash Flow'!BI$4&lt;=2),'Monthly Cash Flow'!BH11*(1+'Rent Roll Analysis'!$AE9/12),'Monthly Cash Flow'!BH11*(1+'Rent Roll Analysis'!$AB9/12))))</f>
        <v>21350.915623505865</v>
      </c>
      <c r="BJ11" s="1428">
        <f>IF($B11="","",IF(BJ$4&lt;2,(BI11*(1+'Rent Roll Analysis'!$AK9/12)), IF(AND('Monthly Cash Flow'!BJ$4&gt;1,'Monthly Cash Flow'!BJ$4&lt;=2),'Monthly Cash Flow'!BI11*(1+'Rent Roll Analysis'!$AE9/12),'Monthly Cash Flow'!BI11*(1+'Rent Roll Analysis'!$AB9/12))))</f>
        <v>21422.085342250888</v>
      </c>
      <c r="BK11" s="1428">
        <f>IF($B11="","",IF(BK$4&lt;2,(BJ11*(1+'Rent Roll Analysis'!$AK9/12)), IF(AND('Monthly Cash Flow'!BK$4&gt;1,'Monthly Cash Flow'!BK$4&lt;=2),'Monthly Cash Flow'!BJ11*(1+'Rent Roll Analysis'!$AE9/12),'Monthly Cash Flow'!BJ11*(1+'Rent Roll Analysis'!$AB9/12))))</f>
        <v>21493.492293391726</v>
      </c>
      <c r="BL11" s="1428">
        <f>IF($B11="","",IF(BL$4&lt;2,(BK11*(1+'Rent Roll Analysis'!$AK9/12)), IF(AND('Monthly Cash Flow'!BL$4&gt;1,'Monthly Cash Flow'!BL$4&lt;=2),'Monthly Cash Flow'!BK11*(1+'Rent Roll Analysis'!$AE9/12),'Monthly Cash Flow'!BK11*(1+'Rent Roll Analysis'!$AB9/12))))</f>
        <v>21565.137267703034</v>
      </c>
      <c r="BM11" s="1428">
        <f>IF($B11="","",IF(BM$4&lt;2,(BL11*(1+'Rent Roll Analysis'!$AK9/12)), IF(AND('Monthly Cash Flow'!BM$4&gt;1,'Monthly Cash Flow'!BM$4&lt;=2),'Monthly Cash Flow'!BL11*(1+'Rent Roll Analysis'!$AE9/12),'Monthly Cash Flow'!BL11*(1+'Rent Roll Analysis'!$AB9/12))))</f>
        <v>21637.021058595379</v>
      </c>
      <c r="BN11" s="1428">
        <f>IF($B11="","",IF(BN$4&lt;2,(BM11*(1+'Rent Roll Analysis'!$AK9/12)), IF(AND('Monthly Cash Flow'!BN$4&gt;1,'Monthly Cash Flow'!BN$4&lt;=2),'Monthly Cash Flow'!BM11*(1+'Rent Roll Analysis'!$AE9/12),'Monthly Cash Flow'!BM11*(1+'Rent Roll Analysis'!$AB9/12))))</f>
        <v>21709.144462124033</v>
      </c>
      <c r="BO11" s="1428">
        <f>IF($B11="","",IF(BO$4&lt;2,(BN11*(1+'Rent Roll Analysis'!$AK9/12)), IF(AND('Monthly Cash Flow'!BO$4&gt;1,'Monthly Cash Flow'!BO$4&lt;=2),'Monthly Cash Flow'!BN11*(1+'Rent Roll Analysis'!$AE9/12),'Monthly Cash Flow'!BN11*(1+'Rent Roll Analysis'!$AB9/12))))</f>
        <v>21781.508276997782</v>
      </c>
      <c r="BP11" s="1428">
        <f>IF($B11="","",IF(BP$4&lt;2,(BO11*(1+'Rent Roll Analysis'!$AK9/12)), IF(AND('Monthly Cash Flow'!BP$4&gt;1,'Monthly Cash Flow'!BP$4&lt;=2),'Monthly Cash Flow'!BO11*(1+'Rent Roll Analysis'!$AE9/12),'Monthly Cash Flow'!BO11*(1+'Rent Roll Analysis'!$AB9/12))))</f>
        <v>21854.113304587776</v>
      </c>
      <c r="BQ11" s="1428">
        <f>IF($B11="","",IF(BQ$4&lt;2,(BP11*(1+'Rent Roll Analysis'!$AK9/12)), IF(AND('Monthly Cash Flow'!BQ$4&gt;1,'Monthly Cash Flow'!BQ$4&lt;=2),'Monthly Cash Flow'!BP11*(1+'Rent Roll Analysis'!$AE9/12),'Monthly Cash Flow'!BP11*(1+'Rent Roll Analysis'!$AB9/12))))</f>
        <v>21926.960348936402</v>
      </c>
      <c r="BR11" s="1428">
        <f>IF($B11="","",IF(BR$4&lt;2,(BQ11*(1+'Rent Roll Analysis'!$AK9/12)), IF(AND('Monthly Cash Flow'!BR$4&gt;1,'Monthly Cash Flow'!BR$4&lt;=2),'Monthly Cash Flow'!BQ11*(1+'Rent Roll Analysis'!$AE9/12),'Monthly Cash Flow'!BQ11*(1+'Rent Roll Analysis'!$AB9/12))))</f>
        <v>22000.050216766191</v>
      </c>
      <c r="BS11" s="1428">
        <f>IF($B11="","",IF(BS$4&lt;2,(BR11*(1+'Rent Roll Analysis'!$AK9/12)), IF(AND('Monthly Cash Flow'!BS$4&gt;1,'Monthly Cash Flow'!BS$4&lt;=2),'Monthly Cash Flow'!BR11*(1+'Rent Roll Analysis'!$AE9/12),'Monthly Cash Flow'!BR11*(1+'Rent Roll Analysis'!$AB9/12))))</f>
        <v>22073.383717488745</v>
      </c>
      <c r="BT11" s="1428">
        <f>IF($B11="","",IF(BT$4&lt;2,(BS11*(1+'Rent Roll Analysis'!$AK9/12)), IF(AND('Monthly Cash Flow'!BT$4&gt;1,'Monthly Cash Flow'!BT$4&lt;=2),'Monthly Cash Flow'!BS11*(1+'Rent Roll Analysis'!$AE9/12),'Monthly Cash Flow'!BS11*(1+'Rent Roll Analysis'!$AB9/12))))</f>
        <v>22146.961663213708</v>
      </c>
      <c r="BU11" s="1428">
        <f>IF($B11="","",IF(BU$4&lt;2,(BT11*(1+'Rent Roll Analysis'!$AK9/12)), IF(AND('Monthly Cash Flow'!BU$4&gt;1,'Monthly Cash Flow'!BU$4&lt;=2),'Monthly Cash Flow'!BT11*(1+'Rent Roll Analysis'!$AE9/12),'Monthly Cash Flow'!BT11*(1+'Rent Roll Analysis'!$AB9/12))))</f>
        <v>22220.784868757753</v>
      </c>
      <c r="BV11" s="1428">
        <f>IF($B11="","",IF(BV$4&lt;2,(BU11*(1+'Rent Roll Analysis'!$AK9/12)), IF(AND('Monthly Cash Flow'!BV$4&gt;1,'Monthly Cash Flow'!BV$4&lt;=2),'Monthly Cash Flow'!BU11*(1+'Rent Roll Analysis'!$AE9/12),'Monthly Cash Flow'!BU11*(1+'Rent Roll Analysis'!$AB9/12))))</f>
        <v>22294.854151653613</v>
      </c>
      <c r="BW11" s="1428">
        <f>IF($B11="","",IF(BW$4&lt;2,(BV11*(1+'Rent Roll Analysis'!$AK9/12)), IF(AND('Monthly Cash Flow'!BW$4&gt;1,'Monthly Cash Flow'!BW$4&lt;=2),'Monthly Cash Flow'!BV11*(1+'Rent Roll Analysis'!$AE9/12),'Monthly Cash Flow'!BV11*(1+'Rent Roll Analysis'!$AB9/12))))</f>
        <v>22369.170332159127</v>
      </c>
      <c r="BX11" s="1428">
        <f>IF($B11="","",IF(BX$4&lt;2,(BW11*(1+'Rent Roll Analysis'!$AK9/12)), IF(AND('Monthly Cash Flow'!BX$4&gt;1,'Monthly Cash Flow'!BX$4&lt;=2),'Monthly Cash Flow'!BW11*(1+'Rent Roll Analysis'!$AE9/12),'Monthly Cash Flow'!BW11*(1+'Rent Roll Analysis'!$AB9/12))))</f>
        <v>22443.734233266325</v>
      </c>
      <c r="BY11" s="1428">
        <f>IF($B11="","",IF(BY$4&lt;2,(BX11*(1+'Rent Roll Analysis'!$AK9/12)), IF(AND('Monthly Cash Flow'!BY$4&gt;1,'Monthly Cash Flow'!BY$4&lt;=2),'Monthly Cash Flow'!BX11*(1+'Rent Roll Analysis'!$AE9/12),'Monthly Cash Flow'!BX11*(1+'Rent Roll Analysis'!$AB9/12))))</f>
        <v>22518.546680710548</v>
      </c>
      <c r="BZ11" s="1428">
        <f>IF($B11="","",IF(BZ$4&lt;2,(BY11*(1+'Rent Roll Analysis'!$AK9/12)), IF(AND('Monthly Cash Flow'!BZ$4&gt;1,'Monthly Cash Flow'!BZ$4&lt;=2),'Monthly Cash Flow'!BY11*(1+'Rent Roll Analysis'!$AE9/12),'Monthly Cash Flow'!BY11*(1+'Rent Roll Analysis'!$AB9/12))))</f>
        <v>22593.608502979583</v>
      </c>
      <c r="CA11" s="1428">
        <f>IF($B11="","",IF(CA$4&lt;2,(BZ11*(1+'Rent Roll Analysis'!$AK9/12)), IF(AND('Monthly Cash Flow'!CA$4&gt;1,'Monthly Cash Flow'!CA$4&lt;=2),'Monthly Cash Flow'!BZ11*(1+'Rent Roll Analysis'!$AE9/12),'Monthly Cash Flow'!BZ11*(1+'Rent Roll Analysis'!$AB9/12))))</f>
        <v>22668.920531322849</v>
      </c>
      <c r="CB11" s="1428">
        <f>IF($B11="","",IF(CB$4&lt;2,(CA11*(1+'Rent Roll Analysis'!$AK9/12)), IF(AND('Monthly Cash Flow'!CB$4&gt;1,'Monthly Cash Flow'!CB$4&lt;=2),'Monthly Cash Flow'!CA11*(1+'Rent Roll Analysis'!$AE9/12),'Monthly Cash Flow'!CA11*(1+'Rent Roll Analysis'!$AB9/12))))</f>
        <v>22744.483599760591</v>
      </c>
      <c r="CC11" s="1428">
        <f>IF($B11="","",IF(CC$4&lt;2,(CB11*(1+'Rent Roll Analysis'!$AK9/12)), IF(AND('Monthly Cash Flow'!CC$4&gt;1,'Monthly Cash Flow'!CC$4&lt;=2),'Monthly Cash Flow'!CB11*(1+'Rent Roll Analysis'!$AE9/12),'Monthly Cash Flow'!CB11*(1+'Rent Roll Analysis'!$AB9/12))))</f>
        <v>22820.29854509313</v>
      </c>
      <c r="CD11" s="1428">
        <f>IF($B11="","",IF(CD$4&lt;2,(CC11*(1+'Rent Roll Analysis'!$AK9/12)), IF(AND('Monthly Cash Flow'!CD$4&gt;1,'Monthly Cash Flow'!CD$4&lt;=2),'Monthly Cash Flow'!CC11*(1+'Rent Roll Analysis'!$AE9/12),'Monthly Cash Flow'!CC11*(1+'Rent Roll Analysis'!$AB9/12))))</f>
        <v>22896.366206910108</v>
      </c>
      <c r="CE11" s="1428">
        <f>IF($B11="","",IF(CE$4&lt;2,(CD11*(1+'Rent Roll Analysis'!$AK9/12)), IF(AND('Monthly Cash Flow'!CE$4&gt;1,'Monthly Cash Flow'!CE$4&lt;=2),'Monthly Cash Flow'!CD11*(1+'Rent Roll Analysis'!$AE9/12),'Monthly Cash Flow'!CD11*(1+'Rent Roll Analysis'!$AB9/12))))</f>
        <v>22972.687427599809</v>
      </c>
      <c r="CF11" s="1428">
        <f>IF($B11="","",IF(CF$4&lt;2,(CE11*(1+'Rent Roll Analysis'!$AK9/12)), IF(AND('Monthly Cash Flow'!CF$4&gt;1,'Monthly Cash Flow'!CF$4&lt;=2),'Monthly Cash Flow'!CE11*(1+'Rent Roll Analysis'!$AE9/12),'Monthly Cash Flow'!CE11*(1+'Rent Roll Analysis'!$AB9/12))))</f>
        <v>23049.263052358478</v>
      </c>
      <c r="CG11" s="1428">
        <f>IF($B11="","",IF(CG$4&lt;2,(CF11*(1+'Rent Roll Analysis'!$AK9/12)), IF(AND('Monthly Cash Flow'!CG$4&gt;1,'Monthly Cash Flow'!CG$4&lt;=2),'Monthly Cash Flow'!CF11*(1+'Rent Roll Analysis'!$AE9/12),'Monthly Cash Flow'!CF11*(1+'Rent Roll Analysis'!$AB9/12))))</f>
        <v>23126.093929199673</v>
      </c>
      <c r="CH11" s="1428">
        <f>IF($B11="","",IF(CH$4&lt;2,(CG11*(1+'Rent Roll Analysis'!$AK9/12)), IF(AND('Monthly Cash Flow'!CH$4&gt;1,'Monthly Cash Flow'!CH$4&lt;=2),'Monthly Cash Flow'!CG11*(1+'Rent Roll Analysis'!$AE9/12),'Monthly Cash Flow'!CG11*(1+'Rent Roll Analysis'!$AB9/12))))</f>
        <v>23203.180908963674</v>
      </c>
      <c r="CI11" s="1428">
        <f>IF($B11="","",IF(CI$4&lt;2,(CH11*(1+'Rent Roll Analysis'!$AK9/12)), IF(AND('Monthly Cash Flow'!CI$4&gt;1,'Monthly Cash Flow'!CI$4&lt;=2),'Monthly Cash Flow'!CH11*(1+'Rent Roll Analysis'!$AE9/12),'Monthly Cash Flow'!CH11*(1+'Rent Roll Analysis'!$AB9/12))))</f>
        <v>23280.524845326887</v>
      </c>
      <c r="CJ11" s="1428">
        <f>IF($B11="","",IF(CJ$4&lt;2,(CI11*(1+'Rent Roll Analysis'!$AK9/12)), IF(AND('Monthly Cash Flow'!CJ$4&gt;1,'Monthly Cash Flow'!CJ$4&lt;=2),'Monthly Cash Flow'!CI11*(1+'Rent Roll Analysis'!$AE9/12),'Monthly Cash Flow'!CI11*(1+'Rent Roll Analysis'!$AB9/12))))</f>
        <v>23358.12659481131</v>
      </c>
      <c r="CK11" s="1428">
        <f>IF($B11="","",IF(CK$4&lt;2,(CJ11*(1+'Rent Roll Analysis'!$AK9/12)), IF(AND('Monthly Cash Flow'!CK$4&gt;1,'Monthly Cash Flow'!CK$4&lt;=2),'Monthly Cash Flow'!CJ11*(1+'Rent Roll Analysis'!$AE9/12),'Monthly Cash Flow'!CJ11*(1+'Rent Roll Analysis'!$AB9/12))))</f>
        <v>23435.987016794017</v>
      </c>
      <c r="CL11" s="1428">
        <f>IF($B11="","",IF(CL$4&lt;2,(CK11*(1+'Rent Roll Analysis'!$AK9/12)), IF(AND('Monthly Cash Flow'!CL$4&gt;1,'Monthly Cash Flow'!CL$4&lt;=2),'Monthly Cash Flow'!CK11*(1+'Rent Roll Analysis'!$AE9/12),'Monthly Cash Flow'!CK11*(1+'Rent Roll Analysis'!$AB9/12))))</f>
        <v>23514.106973516664</v>
      </c>
      <c r="CM11" s="1428">
        <f>IF($B11="","",IF(CM$4&lt;2,(CL11*(1+'Rent Roll Analysis'!$AK9/12)), IF(AND('Monthly Cash Flow'!CM$4&gt;1,'Monthly Cash Flow'!CM$4&lt;=2),'Monthly Cash Flow'!CL11*(1+'Rent Roll Analysis'!$AE9/12),'Monthly Cash Flow'!CL11*(1+'Rent Roll Analysis'!$AB9/12))))</f>
        <v>23592.487330095053</v>
      </c>
      <c r="CN11" s="1428">
        <f>IF($B11="","",IF(CN$4&lt;2,(CM11*(1+'Rent Roll Analysis'!$AK9/12)), IF(AND('Monthly Cash Flow'!CN$4&gt;1,'Monthly Cash Flow'!CN$4&lt;=2),'Monthly Cash Flow'!CM11*(1+'Rent Roll Analysis'!$AE9/12),'Monthly Cash Flow'!CM11*(1+'Rent Roll Analysis'!$AB9/12))))</f>
        <v>23671.128954528704</v>
      </c>
      <c r="CO11" s="1428">
        <f>IF($B11="","",IF(CO$4&lt;2,(CN11*(1+'Rent Roll Analysis'!$AK9/12)), IF(AND('Monthly Cash Flow'!CO$4&gt;1,'Monthly Cash Flow'!CO$4&lt;=2),'Monthly Cash Flow'!CN11*(1+'Rent Roll Analysis'!$AE9/12),'Monthly Cash Flow'!CN11*(1+'Rent Roll Analysis'!$AB9/12))))</f>
        <v>23750.032717710466</v>
      </c>
      <c r="CP11" s="1428">
        <f>IF($B11="","",IF(CP$4&lt;2,(CO11*(1+'Rent Roll Analysis'!$AK9/12)), IF(AND('Monthly Cash Flow'!CP$4&gt;1,'Monthly Cash Flow'!CP$4&lt;=2),'Monthly Cash Flow'!CO11*(1+'Rent Roll Analysis'!$AE9/12),'Monthly Cash Flow'!CO11*(1+'Rent Roll Analysis'!$AB9/12))))</f>
        <v>23829.199493436168</v>
      </c>
      <c r="CQ11" s="1428">
        <f>IF($B11="","",IF(CQ$4&lt;2,(CP11*(1+'Rent Roll Analysis'!$AK9/12)), IF(AND('Monthly Cash Flow'!CQ$4&gt;1,'Monthly Cash Flow'!CQ$4&lt;=2),'Monthly Cash Flow'!CP11*(1+'Rent Roll Analysis'!$AE9/12),'Monthly Cash Flow'!CP11*(1+'Rent Roll Analysis'!$AB9/12))))</f>
        <v>23908.630158414289</v>
      </c>
      <c r="CR11" s="1428">
        <f>IF($B11="","",IF(CR$4&lt;2,(CQ11*(1+'Rent Roll Analysis'!$AK9/12)), IF(AND('Monthly Cash Flow'!CR$4&gt;1,'Monthly Cash Flow'!CR$4&lt;=2),'Monthly Cash Flow'!CQ11*(1+'Rent Roll Analysis'!$AE9/12),'Monthly Cash Flow'!CQ11*(1+'Rent Roll Analysis'!$AB9/12))))</f>
        <v>23988.325592275673</v>
      </c>
      <c r="CS11" s="1428">
        <f>IF($B11="","",IF(CS$4&lt;2,(CR11*(1+'Rent Roll Analysis'!$AK9/12)), IF(AND('Monthly Cash Flow'!CS$4&gt;1,'Monthly Cash Flow'!CS$4&lt;=2),'Monthly Cash Flow'!CR11*(1+'Rent Roll Analysis'!$AE9/12),'Monthly Cash Flow'!CR11*(1+'Rent Roll Analysis'!$AB9/12))))</f>
        <v>24068.286677583259</v>
      </c>
      <c r="CT11" s="1428">
        <f>IF($B11="","",IF(CT$4&lt;2,(CS11*(1+'Rent Roll Analysis'!$AK9/12)), IF(AND('Monthly Cash Flow'!CT$4&gt;1,'Monthly Cash Flow'!CT$4&lt;=2),'Monthly Cash Flow'!CS11*(1+'Rent Roll Analysis'!$AE9/12),'Monthly Cash Flow'!CS11*(1+'Rent Roll Analysis'!$AB9/12))))</f>
        <v>24148.514299841871</v>
      </c>
      <c r="CU11" s="1428">
        <f>IF($B11="","",IF(CU$4&lt;2,(CT11*(1+'Rent Roll Analysis'!$AK9/12)), IF(AND('Monthly Cash Flow'!CU$4&gt;1,'Monthly Cash Flow'!CU$4&lt;=2),'Monthly Cash Flow'!CT11*(1+'Rent Roll Analysis'!$AE9/12),'Monthly Cash Flow'!CT11*(1+'Rent Roll Analysis'!$AB9/12))))</f>
        <v>24229.00934750801</v>
      </c>
      <c r="CV11" s="1428">
        <f>IF($B11="","",IF(CV$4&lt;2,(CU11*(1+'Rent Roll Analysis'!$AK9/12)), IF(AND('Monthly Cash Flow'!CV$4&gt;1,'Monthly Cash Flow'!CV$4&lt;=2),'Monthly Cash Flow'!CU11*(1+'Rent Roll Analysis'!$AE9/12),'Monthly Cash Flow'!CU11*(1+'Rent Roll Analysis'!$AB9/12))))</f>
        <v>24309.772711999707</v>
      </c>
      <c r="CW11" s="1428">
        <f>IF($B11="","",IF(CW$4&lt;2,(CV11*(1+'Rent Roll Analysis'!$AK9/12)), IF(AND('Monthly Cash Flow'!CW$4&gt;1,'Monthly Cash Flow'!CW$4&lt;=2),'Monthly Cash Flow'!CV11*(1+'Rent Roll Analysis'!$AE9/12),'Monthly Cash Flow'!CV11*(1+'Rent Roll Analysis'!$AB9/12))))</f>
        <v>24390.805287706375</v>
      </c>
      <c r="CX11" s="1428">
        <f>IF($B11="","",IF(CX$4&lt;2,(CW11*(1+'Rent Roll Analysis'!$AK9/12)), IF(AND('Monthly Cash Flow'!CX$4&gt;1,'Monthly Cash Flow'!CX$4&lt;=2),'Monthly Cash Flow'!CW11*(1+'Rent Roll Analysis'!$AE9/12),'Monthly Cash Flow'!CW11*(1+'Rent Roll Analysis'!$AB9/12))))</f>
        <v>24472.107971998732</v>
      </c>
      <c r="CY11" s="1428">
        <f>IF($B11="","",IF(CY$4&lt;2,(CX11*(1+'Rent Roll Analysis'!$AK9/12)), IF(AND('Monthly Cash Flow'!CY$4&gt;1,'Monthly Cash Flow'!CY$4&lt;=2),'Monthly Cash Flow'!CX11*(1+'Rent Roll Analysis'!$AE9/12),'Monthly Cash Flow'!CX11*(1+'Rent Roll Analysis'!$AB9/12))))</f>
        <v>24553.681665238728</v>
      </c>
      <c r="CZ11" s="1428">
        <f>IF($B11="","",IF(CZ$4&lt;2,(CY11*(1+'Rent Roll Analysis'!$AK9/12)), IF(AND('Monthly Cash Flow'!CZ$4&gt;1,'Monthly Cash Flow'!CZ$4&lt;=2),'Monthly Cash Flow'!CY11*(1+'Rent Roll Analysis'!$AE9/12),'Monthly Cash Flow'!CY11*(1+'Rent Roll Analysis'!$AB9/12))))</f>
        <v>24635.527270789524</v>
      </c>
      <c r="DA11" s="1428">
        <f>IF($B11="","",IF(DA$4&lt;2,(CZ11*(1+'Rent Roll Analysis'!$AK9/12)), IF(AND('Monthly Cash Flow'!DA$4&gt;1,'Monthly Cash Flow'!DA$4&lt;=2),'Monthly Cash Flow'!CZ11*(1+'Rent Roll Analysis'!$AE9/12),'Monthly Cash Flow'!CZ11*(1+'Rent Roll Analysis'!$AB9/12))))</f>
        <v>24717.645695025491</v>
      </c>
      <c r="DB11" s="1428">
        <f>IF($B11="","",IF(DB$4&lt;2,(DA11*(1+'Rent Roll Analysis'!$AK9/12)), IF(AND('Monthly Cash Flow'!DB$4&gt;1,'Monthly Cash Flow'!DB$4&lt;=2),'Monthly Cash Flow'!DA11*(1+'Rent Roll Analysis'!$AE9/12),'Monthly Cash Flow'!DA11*(1+'Rent Roll Analysis'!$AB9/12))))</f>
        <v>24800.037847342242</v>
      </c>
      <c r="DC11" s="1428">
        <f>IF($B11="","",IF(DC$4&lt;2,(DB11*(1+'Rent Roll Analysis'!$AK9/12)), IF(AND('Monthly Cash Flow'!DC$4&gt;1,'Monthly Cash Flow'!DC$4&lt;=2),'Monthly Cash Flow'!DB11*(1+'Rent Roll Analysis'!$AE9/12),'Monthly Cash Flow'!DB11*(1+'Rent Roll Analysis'!$AB9/12))))</f>
        <v>24882.704640166718</v>
      </c>
      <c r="DD11" s="1428">
        <f>IF($B11="","",IF(DD$4&lt;2,(DC11*(1+'Rent Roll Analysis'!$AK9/12)), IF(AND('Monthly Cash Flow'!DD$4&gt;1,'Monthly Cash Flow'!DD$4&lt;=2),'Monthly Cash Flow'!DC11*(1+'Rent Roll Analysis'!$AE9/12),'Monthly Cash Flow'!DC11*(1+'Rent Roll Analysis'!$AB9/12))))</f>
        <v>24965.646988967274</v>
      </c>
      <c r="DE11" s="1428">
        <f>IF($B11="","",IF(DE$4&lt;2,(DD11*(1+'Rent Roll Analysis'!$AK9/12)), IF(AND('Monthly Cash Flow'!DE$4&gt;1,'Monthly Cash Flow'!DE$4&lt;=2),'Monthly Cash Flow'!DD11*(1+'Rent Roll Analysis'!$AE9/12),'Monthly Cash Flow'!DD11*(1+'Rent Roll Analysis'!$AB9/12))))</f>
        <v>25048.865812263834</v>
      </c>
      <c r="DF11" s="1428">
        <f>IF($B11="","",IF(DF$4&lt;2,(DE11*(1+'Rent Roll Analysis'!$AK9/12)), IF(AND('Monthly Cash Flow'!DF$4&gt;1,'Monthly Cash Flow'!DF$4&lt;=2),'Monthly Cash Flow'!DE11*(1+'Rent Roll Analysis'!$AE9/12),'Monthly Cash Flow'!DE11*(1+'Rent Roll Analysis'!$AB9/12))))</f>
        <v>25132.362031638047</v>
      </c>
      <c r="DG11" s="1428">
        <f>IF($B11="","",IF(DG$4&lt;2,(DF11*(1+'Rent Roll Analysis'!$AK9/12)), IF(AND('Monthly Cash Flow'!DG$4&gt;1,'Monthly Cash Flow'!DG$4&lt;=2),'Monthly Cash Flow'!DF11*(1+'Rent Roll Analysis'!$AE9/12),'Monthly Cash Flow'!DF11*(1+'Rent Roll Analysis'!$AB9/12))))</f>
        <v>25216.136571743511</v>
      </c>
      <c r="DH11" s="1428">
        <f>IF($B11="","",IF(DH$4&lt;2,(DG11*(1+'Rent Roll Analysis'!$AK9/12)), IF(AND('Monthly Cash Flow'!DH$4&gt;1,'Monthly Cash Flow'!DH$4&lt;=2),'Monthly Cash Flow'!DG11*(1+'Rent Roll Analysis'!$AE9/12),'Monthly Cash Flow'!DG11*(1+'Rent Roll Analysis'!$AB9/12))))</f>
        <v>25300.190360315992</v>
      </c>
      <c r="DI11" s="1428">
        <f>IF($B11="","",IF(DI$4&lt;2,(DH11*(1+'Rent Roll Analysis'!$AK9/12)), IF(AND('Monthly Cash Flow'!DI$4&gt;1,'Monthly Cash Flow'!DI$4&lt;=2),'Monthly Cash Flow'!DH11*(1+'Rent Roll Analysis'!$AE9/12),'Monthly Cash Flow'!DH11*(1+'Rent Roll Analysis'!$AB9/12))))</f>
        <v>25384.524328183714</v>
      </c>
      <c r="DJ11" s="1428">
        <f>IF($B11="","",IF(DJ$4&lt;2,(DI11*(1+'Rent Roll Analysis'!$AK9/12)), IF(AND('Monthly Cash Flow'!DJ$4&gt;1,'Monthly Cash Flow'!DJ$4&lt;=2),'Monthly Cash Flow'!DI11*(1+'Rent Roll Analysis'!$AE9/12),'Monthly Cash Flow'!DI11*(1+'Rent Roll Analysis'!$AB9/12))))</f>
        <v>25469.139409277661</v>
      </c>
      <c r="DK11" s="1428">
        <f>IF($B11="","",IF(DK$4&lt;2,(DJ11*(1+'Rent Roll Analysis'!$AK9/12)), IF(AND('Monthly Cash Flow'!DK$4&gt;1,'Monthly Cash Flow'!DK$4&lt;=2),'Monthly Cash Flow'!DJ11*(1+'Rent Roll Analysis'!$AE9/12),'Monthly Cash Flow'!DJ11*(1+'Rent Roll Analysis'!$AB9/12))))</f>
        <v>25554.036540641922</v>
      </c>
      <c r="DL11" s="1428">
        <f>IF($B11="","",IF(DL$4&lt;2,(DK11*(1+'Rent Roll Analysis'!$AK9/12)), IF(AND('Monthly Cash Flow'!DL$4&gt;1,'Monthly Cash Flow'!DL$4&lt;=2),'Monthly Cash Flow'!DK11*(1+'Rent Roll Analysis'!$AE9/12),'Monthly Cash Flow'!DK11*(1+'Rent Roll Analysis'!$AB9/12))))</f>
        <v>25639.216662444065</v>
      </c>
      <c r="DM11" s="1428">
        <f>IF($B11="","",IF(DM$4&lt;2,(DL11*(1+'Rent Roll Analysis'!$AK9/12)), IF(AND('Monthly Cash Flow'!DM$4&gt;1,'Monthly Cash Flow'!DM$4&lt;=2),'Monthly Cash Flow'!DL11*(1+'Rent Roll Analysis'!$AE9/12),'Monthly Cash Flow'!DL11*(1+'Rent Roll Analysis'!$AB9/12))))</f>
        <v>25724.680717985546</v>
      </c>
      <c r="DN11" s="1428">
        <f>IF($B11="","",IF(DN$4&lt;2,(DM11*(1+'Rent Roll Analysis'!$AK9/12)), IF(AND('Monthly Cash Flow'!DN$4&gt;1,'Monthly Cash Flow'!DN$4&lt;=2),'Monthly Cash Flow'!DM11*(1+'Rent Roll Analysis'!$AE9/12),'Monthly Cash Flow'!DM11*(1+'Rent Roll Analysis'!$AB9/12))))</f>
        <v>25810.429653712166</v>
      </c>
      <c r="DO11" s="1428">
        <f>IF($B11="","",IF(DO$4&lt;2,(DN11*(1+'Rent Roll Analysis'!$AK9/12)), IF(AND('Monthly Cash Flow'!DO$4&gt;1,'Monthly Cash Flow'!DO$4&lt;=2),'Monthly Cash Flow'!DN11*(1+'Rent Roll Analysis'!$AE9/12),'Monthly Cash Flow'!DN11*(1+'Rent Roll Analysis'!$AB9/12))))</f>
        <v>25896.464419224543</v>
      </c>
      <c r="DP11" s="1428">
        <f>IF($B11="","",IF(DP$4&lt;2,(DO11*(1+'Rent Roll Analysis'!$AK9/12)), IF(AND('Monthly Cash Flow'!DP$4&gt;1,'Monthly Cash Flow'!DP$4&lt;=2),'Monthly Cash Flow'!DO11*(1+'Rent Roll Analysis'!$AE9/12),'Monthly Cash Flow'!DO11*(1+'Rent Roll Analysis'!$AB9/12))))</f>
        <v>25982.785967288626</v>
      </c>
      <c r="DQ11" s="1428">
        <f>IF($B11="","",IF(DQ$4&lt;2,(DP11*(1+'Rent Roll Analysis'!$AK9/12)), IF(AND('Monthly Cash Flow'!DQ$4&gt;1,'Monthly Cash Flow'!DQ$4&lt;=2),'Monthly Cash Flow'!DP11*(1+'Rent Roll Analysis'!$AE9/12),'Monthly Cash Flow'!DP11*(1+'Rent Roll Analysis'!$AB9/12))))</f>
        <v>26069.395253846258</v>
      </c>
      <c r="DR11" s="1428">
        <f>IF($B11="","",IF(DR$4&lt;2,(DQ11*(1+'Rent Roll Analysis'!$AK9/12)), IF(AND('Monthly Cash Flow'!DR$4&gt;1,'Monthly Cash Flow'!DR$4&lt;=2),'Monthly Cash Flow'!DQ11*(1+'Rent Roll Analysis'!$AE9/12),'Monthly Cash Flow'!DQ11*(1+'Rent Roll Analysis'!$AB9/12))))</f>
        <v>26156.293238025748</v>
      </c>
      <c r="DS11" s="1428">
        <f>IF($B11="","",IF(DS$4&lt;2,(DR11*(1+'Rent Roll Analysis'!$AK9/12)), IF(AND('Monthly Cash Flow'!DS$4&gt;1,'Monthly Cash Flow'!DS$4&lt;=2),'Monthly Cash Flow'!DR11*(1+'Rent Roll Analysis'!$AE9/12),'Monthly Cash Flow'!DR11*(1+'Rent Roll Analysis'!$AB9/12))))</f>
        <v>26243.480882152504</v>
      </c>
      <c r="DT11" s="1428">
        <f>IF($B11="","",IF(DT$4&lt;2,(DS11*(1+'Rent Roll Analysis'!$AK9/12)), IF(AND('Monthly Cash Flow'!DT$4&gt;1,'Monthly Cash Flow'!DT$4&lt;=2),'Monthly Cash Flow'!DS11*(1+'Rent Roll Analysis'!$AE9/12),'Monthly Cash Flow'!DS11*(1+'Rent Roll Analysis'!$AB9/12))))</f>
        <v>26330.959151759682</v>
      </c>
      <c r="DU11" s="385" t="s">
        <v>557</v>
      </c>
      <c r="DV11" s="375"/>
    </row>
    <row r="12" spans="1:126" s="92" customFormat="1" ht="20.149999999999999" customHeight="1" outlineLevel="1">
      <c r="A12" s="375"/>
      <c r="B12" s="383" t="str">
        <f>'Rent Roll Analysis'!C10</f>
        <v>B2</v>
      </c>
      <c r="C12" s="376"/>
      <c r="D12" s="1426">
        <f>IF('Rent Roll Analysis'!C10="","",'Rent Roll Analysis'!N10*'Rent Roll Analysis'!E10)</f>
        <v>73923.469387755002</v>
      </c>
      <c r="E12" s="1428">
        <f t="shared" si="113"/>
        <v>73923.469387755002</v>
      </c>
      <c r="F12" s="1428">
        <f>IF($B12="","",IF(F$4&lt;2,(E12*(1+'Rent Roll Analysis'!$AK10/12)), IF(AND('Monthly Cash Flow'!F$4&gt;1,'Monthly Cash Flow'!F$4&lt;=2),'Monthly Cash Flow'!E12*(1+'Rent Roll Analysis'!$AE10/12),'Monthly Cash Flow'!E12*(1+'Rent Roll Analysis'!$AB10/12))))</f>
        <v>74416.292517006703</v>
      </c>
      <c r="G12" s="1428">
        <f>IF($B12="","",IF(G$4&lt;2,(F12*(1+'Rent Roll Analysis'!$AK10/12)), IF(AND('Monthly Cash Flow'!G$4&gt;1,'Monthly Cash Flow'!G$4&lt;=2),'Monthly Cash Flow'!F12*(1+'Rent Roll Analysis'!$AE10/12),'Monthly Cash Flow'!F12*(1+'Rent Roll Analysis'!$AB10/12))))</f>
        <v>74912.401133786741</v>
      </c>
      <c r="H12" s="1428">
        <f>IF($B12="","",IF(H$4&lt;2,(G12*(1+'Rent Roll Analysis'!$AK10/12)), IF(AND('Monthly Cash Flow'!H$4&gt;1,'Monthly Cash Flow'!H$4&lt;=2),'Monthly Cash Flow'!G12*(1+'Rent Roll Analysis'!$AE10/12),'Monthly Cash Flow'!G12*(1+'Rent Roll Analysis'!$AB10/12))))</f>
        <v>75411.817141345309</v>
      </c>
      <c r="I12" s="1428">
        <f>IF($B12="","",IF(I$4&lt;2,(H12*(1+'Rent Roll Analysis'!$AK10/12)), IF(AND('Monthly Cash Flow'!I$4&gt;1,'Monthly Cash Flow'!I$4&lt;=2),'Monthly Cash Flow'!H12*(1+'Rent Roll Analysis'!$AE10/12),'Monthly Cash Flow'!H12*(1+'Rent Roll Analysis'!$AB10/12))))</f>
        <v>75914.562588954272</v>
      </c>
      <c r="J12" s="1428">
        <f>IF($B12="","",IF(J$4&lt;2,(I12*(1+'Rent Roll Analysis'!$AK10/12)), IF(AND('Monthly Cash Flow'!J$4&gt;1,'Monthly Cash Flow'!J$4&lt;=2),'Monthly Cash Flow'!I12*(1+'Rent Roll Analysis'!$AE10/12),'Monthly Cash Flow'!I12*(1+'Rent Roll Analysis'!$AB10/12))))</f>
        <v>76420.659672880633</v>
      </c>
      <c r="K12" s="1428">
        <f>IF($B12="","",IF(K$4&lt;2,(J12*(1+'Rent Roll Analysis'!$AK10/12)), IF(AND('Monthly Cash Flow'!K$4&gt;1,'Monthly Cash Flow'!K$4&lt;=2),'Monthly Cash Flow'!J12*(1+'Rent Roll Analysis'!$AE10/12),'Monthly Cash Flow'!J12*(1+'Rent Roll Analysis'!$AB10/12))))</f>
        <v>76930.130737366504</v>
      </c>
      <c r="L12" s="1428">
        <f>IF($B12="","",IF(L$4&lt;2,(K12*(1+'Rent Roll Analysis'!$AK10/12)), IF(AND('Monthly Cash Flow'!L$4&gt;1,'Monthly Cash Flow'!L$4&lt;=2),'Monthly Cash Flow'!K12*(1+'Rent Roll Analysis'!$AE10/12),'Monthly Cash Flow'!K12*(1+'Rent Roll Analysis'!$AB10/12))))</f>
        <v>77442.99827561561</v>
      </c>
      <c r="M12" s="1428">
        <f>IF($B12="","",IF(M$4&lt;2,(L12*(1+'Rent Roll Analysis'!$AK10/12)), IF(AND('Monthly Cash Flow'!M$4&gt;1,'Monthly Cash Flow'!M$4&lt;=2),'Monthly Cash Flow'!L12*(1+'Rent Roll Analysis'!$AE10/12),'Monthly Cash Flow'!L12*(1+'Rent Roll Analysis'!$AB10/12))))</f>
        <v>77959.28493078638</v>
      </c>
      <c r="N12" s="1428">
        <f>IF($B12="","",IF(N$4&lt;2,(M12*(1+'Rent Roll Analysis'!$AK10/12)), IF(AND('Monthly Cash Flow'!N$4&gt;1,'Monthly Cash Flow'!N$4&lt;=2),'Monthly Cash Flow'!M12*(1+'Rent Roll Analysis'!$AE10/12),'Monthly Cash Flow'!M12*(1+'Rent Roll Analysis'!$AB10/12))))</f>
        <v>78479.013496991611</v>
      </c>
      <c r="O12" s="1428">
        <f>IF($B12="","",IF(O$4&lt;2,(N12*(1+'Rent Roll Analysis'!$AK10/12)), IF(AND('Monthly Cash Flow'!O$4&gt;1,'Monthly Cash Flow'!O$4&lt;=2),'Monthly Cash Flow'!N12*(1+'Rent Roll Analysis'!$AE10/12),'Monthly Cash Flow'!N12*(1+'Rent Roll Analysis'!$AB10/12))))</f>
        <v>79002.206920304889</v>
      </c>
      <c r="P12" s="1428">
        <f>IF($B12="","",IF(P$4&lt;2,(O12*(1+'Rent Roll Analysis'!$AK10/12)), IF(AND('Monthly Cash Flow'!P$4&gt;1,'Monthly Cash Flow'!P$4&lt;=2),'Monthly Cash Flow'!O12*(1+'Rent Roll Analysis'!$AE10/12),'Monthly Cash Flow'!O12*(1+'Rent Roll Analysis'!$AB10/12))))</f>
        <v>79528.888299773578</v>
      </c>
      <c r="Q12" s="1428">
        <f>IF($B12="","",IF(Q$4&lt;2,(P12*(1+'Rent Roll Analysis'!$AK10/12)), IF(AND('Monthly Cash Flow'!Q$4&gt;1,'Monthly Cash Flow'!Q$4&lt;=2),'Monthly Cash Flow'!P12*(1+'Rent Roll Analysis'!$AE10/12),'Monthly Cash Flow'!P12*(1+'Rent Roll Analysis'!$AB10/12))))</f>
        <v>80025.943851647171</v>
      </c>
      <c r="R12" s="1428">
        <f>IF($B12="","",IF(R$4&lt;2,(Q12*(1+'Rent Roll Analysis'!$AK10/12)), IF(AND('Monthly Cash Flow'!R$4&gt;1,'Monthly Cash Flow'!R$4&lt;=2),'Monthly Cash Flow'!Q12*(1+'Rent Roll Analysis'!$AE10/12),'Monthly Cash Flow'!Q12*(1+'Rent Roll Analysis'!$AB10/12))))</f>
        <v>80526.10600071997</v>
      </c>
      <c r="S12" s="1428">
        <f>IF($B12="","",IF(S$4&lt;2,(R12*(1+'Rent Roll Analysis'!$AK10/12)), IF(AND('Monthly Cash Flow'!S$4&gt;1,'Monthly Cash Flow'!S$4&lt;=2),'Monthly Cash Flow'!R12*(1+'Rent Roll Analysis'!$AE10/12),'Monthly Cash Flow'!R12*(1+'Rent Roll Analysis'!$AB10/12))))</f>
        <v>81029.394163224482</v>
      </c>
      <c r="T12" s="1428">
        <f>IF($B12="","",IF(T$4&lt;2,(S12*(1+'Rent Roll Analysis'!$AK10/12)), IF(AND('Monthly Cash Flow'!T$4&gt;1,'Monthly Cash Flow'!T$4&lt;=2),'Monthly Cash Flow'!S12*(1+'Rent Roll Analysis'!$AE10/12),'Monthly Cash Flow'!S12*(1+'Rent Roll Analysis'!$AB10/12))))</f>
        <v>81535.827876744646</v>
      </c>
      <c r="U12" s="1428">
        <f>IF($B12="","",IF(U$4&lt;2,(T12*(1+'Rent Roll Analysis'!$AK10/12)), IF(AND('Monthly Cash Flow'!U$4&gt;1,'Monthly Cash Flow'!U$4&lt;=2),'Monthly Cash Flow'!T12*(1+'Rent Roll Analysis'!$AE10/12),'Monthly Cash Flow'!T12*(1+'Rent Roll Analysis'!$AB10/12))))</f>
        <v>82045.42680097431</v>
      </c>
      <c r="V12" s="1428">
        <f>IF($B12="","",IF(V$4&lt;2,(U12*(1+'Rent Roll Analysis'!$AK10/12)), IF(AND('Monthly Cash Flow'!V$4&gt;1,'Monthly Cash Flow'!V$4&lt;=2),'Monthly Cash Flow'!U12*(1+'Rent Roll Analysis'!$AE10/12),'Monthly Cash Flow'!U12*(1+'Rent Roll Analysis'!$AB10/12))))</f>
        <v>82558.210718480404</v>
      </c>
      <c r="W12" s="1428">
        <f>IF($B12="","",IF(W$4&lt;2,(V12*(1+'Rent Roll Analysis'!$AK10/12)), IF(AND('Monthly Cash Flow'!W$4&gt;1,'Monthly Cash Flow'!W$4&lt;=2),'Monthly Cash Flow'!V12*(1+'Rent Roll Analysis'!$AE10/12),'Monthly Cash Flow'!V12*(1+'Rent Roll Analysis'!$AB10/12))))</f>
        <v>83074.199535470922</v>
      </c>
      <c r="X12" s="1428">
        <f>IF($B12="","",IF(X$4&lt;2,(W12*(1+'Rent Roll Analysis'!$AK10/12)), IF(AND('Monthly Cash Flow'!X$4&gt;1,'Monthly Cash Flow'!X$4&lt;=2),'Monthly Cash Flow'!W12*(1+'Rent Roll Analysis'!$AE10/12),'Monthly Cash Flow'!W12*(1+'Rent Roll Analysis'!$AB10/12))))</f>
        <v>83593.413282567621</v>
      </c>
      <c r="Y12" s="1428">
        <f>IF($B12="","",IF(Y$4&lt;2,(X12*(1+'Rent Roll Analysis'!$AK10/12)), IF(AND('Monthly Cash Flow'!Y$4&gt;1,'Monthly Cash Flow'!Y$4&lt;=2),'Monthly Cash Flow'!X12*(1+'Rent Roll Analysis'!$AE10/12),'Monthly Cash Flow'!X12*(1+'Rent Roll Analysis'!$AB10/12))))</f>
        <v>84115.872115583683</v>
      </c>
      <c r="Z12" s="1428">
        <f>IF($B12="","",IF(Z$4&lt;2,(Y12*(1+'Rent Roll Analysis'!$AK10/12)), IF(AND('Monthly Cash Flow'!Z$4&gt;1,'Monthly Cash Flow'!Z$4&lt;=2),'Monthly Cash Flow'!Y12*(1+'Rent Roll Analysis'!$AE10/12),'Monthly Cash Flow'!Y12*(1+'Rent Roll Analysis'!$AB10/12))))</f>
        <v>84641.596316306095</v>
      </c>
      <c r="AA12" s="1428">
        <f>IF($B12="","",IF(AA$4&lt;2,(Z12*(1+'Rent Roll Analysis'!$AK10/12)), IF(AND('Monthly Cash Flow'!AA$4&gt;1,'Monthly Cash Flow'!AA$4&lt;=2),'Monthly Cash Flow'!Z12*(1+'Rent Roll Analysis'!$AE10/12),'Monthly Cash Flow'!Z12*(1+'Rent Roll Analysis'!$AB10/12))))</f>
        <v>85170.60629328301</v>
      </c>
      <c r="AB12" s="1428">
        <f>IF($B12="","",IF(AB$4&lt;2,(AA12*(1+'Rent Roll Analysis'!$AK10/12)), IF(AND('Monthly Cash Flow'!AB$4&gt;1,'Monthly Cash Flow'!AB$4&lt;=2),'Monthly Cash Flow'!AA12*(1+'Rent Roll Analysis'!$AE10/12),'Monthly Cash Flow'!AA12*(1+'Rent Roll Analysis'!$AB10/12))))</f>
        <v>85702.92258261604</v>
      </c>
      <c r="AC12" s="1428">
        <f>IF($B12="","",IF(AC$4&lt;2,(AB12*(1+'Rent Roll Analysis'!$AK10/12)), IF(AND('Monthly Cash Flow'!AC$4&gt;1,'Monthly Cash Flow'!AC$4&lt;=2),'Monthly Cash Flow'!AB12*(1+'Rent Roll Analysis'!$AE10/12),'Monthly Cash Flow'!AB12*(1+'Rent Roll Analysis'!$AB10/12))))</f>
        <v>85988.598991224761</v>
      </c>
      <c r="AD12" s="1428">
        <f>IF($B12="","",IF(AD$4&lt;2,(AC12*(1+'Rent Roll Analysis'!$AK10/12)), IF(AND('Monthly Cash Flow'!AD$4&gt;1,'Monthly Cash Flow'!AD$4&lt;=2),'Monthly Cash Flow'!AC12*(1+'Rent Roll Analysis'!$AE10/12),'Monthly Cash Flow'!AC12*(1+'Rent Roll Analysis'!$AB10/12))))</f>
        <v>86275.227654528848</v>
      </c>
      <c r="AE12" s="1428">
        <f>IF($B12="","",IF(AE$4&lt;2,(AD12*(1+'Rent Roll Analysis'!$AK10/12)), IF(AND('Monthly Cash Flow'!AE$4&gt;1,'Monthly Cash Flow'!AE$4&lt;=2),'Monthly Cash Flow'!AD12*(1+'Rent Roll Analysis'!$AE10/12),'Monthly Cash Flow'!AD12*(1+'Rent Roll Analysis'!$AB10/12))))</f>
        <v>86562.81174671062</v>
      </c>
      <c r="AF12" s="1428">
        <f>IF($B12="","",IF(AF$4&lt;2,(AE12*(1+'Rent Roll Analysis'!$AK10/12)), IF(AND('Monthly Cash Flow'!AF$4&gt;1,'Monthly Cash Flow'!AF$4&lt;=2),'Monthly Cash Flow'!AE12*(1+'Rent Roll Analysis'!$AE10/12),'Monthly Cash Flow'!AE12*(1+'Rent Roll Analysis'!$AB10/12))))</f>
        <v>86851.354452532993</v>
      </c>
      <c r="AG12" s="1428">
        <f>IF($B12="","",IF(AG$4&lt;2,(AF12*(1+'Rent Roll Analysis'!$AK10/12)), IF(AND('Monthly Cash Flow'!AG$4&gt;1,'Monthly Cash Flow'!AG$4&lt;=2),'Monthly Cash Flow'!AF12*(1+'Rent Roll Analysis'!$AE10/12),'Monthly Cash Flow'!AF12*(1+'Rent Roll Analysis'!$AB10/12))))</f>
        <v>87140.858967374777</v>
      </c>
      <c r="AH12" s="1428">
        <f>IF($B12="","",IF(AH$4&lt;2,(AG12*(1+'Rent Roll Analysis'!$AK10/12)), IF(AND('Monthly Cash Flow'!AH$4&gt;1,'Monthly Cash Flow'!AH$4&lt;=2),'Monthly Cash Flow'!AG12*(1+'Rent Roll Analysis'!$AE10/12),'Monthly Cash Flow'!AG12*(1+'Rent Roll Analysis'!$AB10/12))))</f>
        <v>87431.328497266033</v>
      </c>
      <c r="AI12" s="1428">
        <f>IF($B12="","",IF(AI$4&lt;2,(AH12*(1+'Rent Roll Analysis'!$AK10/12)), IF(AND('Monthly Cash Flow'!AI$4&gt;1,'Monthly Cash Flow'!AI$4&lt;=2),'Monthly Cash Flow'!AH12*(1+'Rent Roll Analysis'!$AE10/12),'Monthly Cash Flow'!AH12*(1+'Rent Roll Analysis'!$AB10/12))))</f>
        <v>87722.766258923599</v>
      </c>
      <c r="AJ12" s="1428">
        <f>IF($B12="","",IF(AJ$4&lt;2,(AI12*(1+'Rent Roll Analysis'!$AK10/12)), IF(AND('Monthly Cash Flow'!AJ$4&gt;1,'Monthly Cash Flow'!AJ$4&lt;=2),'Monthly Cash Flow'!AI12*(1+'Rent Roll Analysis'!$AE10/12),'Monthly Cash Flow'!AI12*(1+'Rent Roll Analysis'!$AB10/12))))</f>
        <v>88015.175479786689</v>
      </c>
      <c r="AK12" s="1428">
        <f>IF($B12="","",IF(AK$4&lt;2,(AJ12*(1+'Rent Roll Analysis'!$AK10/12)), IF(AND('Monthly Cash Flow'!AK$4&gt;1,'Monthly Cash Flow'!AK$4&lt;=2),'Monthly Cash Flow'!AJ12*(1+'Rent Roll Analysis'!$AE10/12),'Monthly Cash Flow'!AJ12*(1+'Rent Roll Analysis'!$AB10/12))))</f>
        <v>88308.559398052646</v>
      </c>
      <c r="AL12" s="1428">
        <f>IF($B12="","",IF(AL$4&lt;2,(AK12*(1+'Rent Roll Analysis'!$AK10/12)), IF(AND('Monthly Cash Flow'!AL$4&gt;1,'Monthly Cash Flow'!AL$4&lt;=2),'Monthly Cash Flow'!AK12*(1+'Rent Roll Analysis'!$AE10/12),'Monthly Cash Flow'!AK12*(1+'Rent Roll Analysis'!$AB10/12))))</f>
        <v>88602.921262712829</v>
      </c>
      <c r="AM12" s="1428">
        <f>IF($B12="","",IF(AM$4&lt;2,(AL12*(1+'Rent Roll Analysis'!$AK10/12)), IF(AND('Monthly Cash Flow'!AM$4&gt;1,'Monthly Cash Flow'!AM$4&lt;=2),'Monthly Cash Flow'!AL12*(1+'Rent Roll Analysis'!$AE10/12),'Monthly Cash Flow'!AL12*(1+'Rent Roll Analysis'!$AB10/12))))</f>
        <v>88898.264333588551</v>
      </c>
      <c r="AN12" s="1428">
        <f>IF($B12="","",IF(AN$4&lt;2,(AM12*(1+'Rent Roll Analysis'!$AK10/12)), IF(AND('Monthly Cash Flow'!AN$4&gt;1,'Monthly Cash Flow'!AN$4&lt;=2),'Monthly Cash Flow'!AM12*(1+'Rent Roll Analysis'!$AE10/12),'Monthly Cash Flow'!AM12*(1+'Rent Roll Analysis'!$AB10/12))))</f>
        <v>89194.591881367189</v>
      </c>
      <c r="AO12" s="1428">
        <f>IF($B12="","",IF(AO$4&lt;2,(AN12*(1+'Rent Roll Analysis'!$AK10/12)), IF(AND('Monthly Cash Flow'!AO$4&gt;1,'Monthly Cash Flow'!AO$4&lt;=2),'Monthly Cash Flow'!AN12*(1+'Rent Roll Analysis'!$AE10/12),'Monthly Cash Flow'!AN12*(1+'Rent Roll Analysis'!$AB10/12))))</f>
        <v>89491.907187638426</v>
      </c>
      <c r="AP12" s="1428">
        <f>IF($B12="","",IF(AP$4&lt;2,(AO12*(1+'Rent Roll Analysis'!$AK10/12)), IF(AND('Monthly Cash Flow'!AP$4&gt;1,'Monthly Cash Flow'!AP$4&lt;=2),'Monthly Cash Flow'!AO12*(1+'Rent Roll Analysis'!$AE10/12),'Monthly Cash Flow'!AO12*(1+'Rent Roll Analysis'!$AB10/12))))</f>
        <v>89790.213544930564</v>
      </c>
      <c r="AQ12" s="1428">
        <f>IF($B12="","",IF(AQ$4&lt;2,(AP12*(1+'Rent Roll Analysis'!$AK10/12)), IF(AND('Monthly Cash Flow'!AQ$4&gt;1,'Monthly Cash Flow'!AQ$4&lt;=2),'Monthly Cash Flow'!AP12*(1+'Rent Roll Analysis'!$AE10/12),'Monthly Cash Flow'!AP12*(1+'Rent Roll Analysis'!$AB10/12))))</f>
        <v>90089.514256747003</v>
      </c>
      <c r="AR12" s="1428">
        <f>IF($B12="","",IF(AR$4&lt;2,(AQ12*(1+'Rent Roll Analysis'!$AK10/12)), IF(AND('Monthly Cash Flow'!AR$4&gt;1,'Monthly Cash Flow'!AR$4&lt;=2),'Monthly Cash Flow'!AQ12*(1+'Rent Roll Analysis'!$AE10/12),'Monthly Cash Flow'!AQ12*(1+'Rent Roll Analysis'!$AB10/12))))</f>
        <v>90389.812637602838</v>
      </c>
      <c r="AS12" s="1428">
        <f>IF($B12="","",IF(AS$4&lt;2,(AR12*(1+'Rent Roll Analysis'!$AK10/12)), IF(AND('Monthly Cash Flow'!AS$4&gt;1,'Monthly Cash Flow'!AS$4&lt;=2),'Monthly Cash Flow'!AR12*(1+'Rent Roll Analysis'!$AE10/12),'Monthly Cash Flow'!AR12*(1+'Rent Roll Analysis'!$AB10/12))))</f>
        <v>90691.112013061516</v>
      </c>
      <c r="AT12" s="1428">
        <f>IF($B12="","",IF(AT$4&lt;2,(AS12*(1+'Rent Roll Analysis'!$AK10/12)), IF(AND('Monthly Cash Flow'!AT$4&gt;1,'Monthly Cash Flow'!AT$4&lt;=2),'Monthly Cash Flow'!AS12*(1+'Rent Roll Analysis'!$AE10/12),'Monthly Cash Flow'!AS12*(1+'Rent Roll Analysis'!$AB10/12))))</f>
        <v>90993.415719771729</v>
      </c>
      <c r="AU12" s="1428">
        <f>IF($B12="","",IF(AU$4&lt;2,(AT12*(1+'Rent Roll Analysis'!$AK10/12)), IF(AND('Monthly Cash Flow'!AU$4&gt;1,'Monthly Cash Flow'!AU$4&lt;=2),'Monthly Cash Flow'!AT12*(1+'Rent Roll Analysis'!$AE10/12),'Monthly Cash Flow'!AT12*(1+'Rent Roll Analysis'!$AB10/12))))</f>
        <v>91296.727105504309</v>
      </c>
      <c r="AV12" s="1428">
        <f>IF($B12="","",IF(AV$4&lt;2,(AU12*(1+'Rent Roll Analysis'!$AK10/12)), IF(AND('Monthly Cash Flow'!AV$4&gt;1,'Monthly Cash Flow'!AV$4&lt;=2),'Monthly Cash Flow'!AU12*(1+'Rent Roll Analysis'!$AE10/12),'Monthly Cash Flow'!AU12*(1+'Rent Roll Analysis'!$AB10/12))))</f>
        <v>91601.049529189331</v>
      </c>
      <c r="AW12" s="1428">
        <f>IF($B12="","",IF(AW$4&lt;2,(AV12*(1+'Rent Roll Analysis'!$AK10/12)), IF(AND('Monthly Cash Flow'!AW$4&gt;1,'Monthly Cash Flow'!AW$4&lt;=2),'Monthly Cash Flow'!AV12*(1+'Rent Roll Analysis'!$AE10/12),'Monthly Cash Flow'!AV12*(1+'Rent Roll Analysis'!$AB10/12))))</f>
        <v>91906.3863609533</v>
      </c>
      <c r="AX12" s="1428">
        <f>IF($B12="","",IF(AX$4&lt;2,(AW12*(1+'Rent Roll Analysis'!$AK10/12)), IF(AND('Monthly Cash Flow'!AX$4&gt;1,'Monthly Cash Flow'!AX$4&lt;=2),'Monthly Cash Flow'!AW12*(1+'Rent Roll Analysis'!$AE10/12),'Monthly Cash Flow'!AW12*(1+'Rent Roll Analysis'!$AB10/12))))</f>
        <v>92212.74098215648</v>
      </c>
      <c r="AY12" s="1428">
        <f>IF($B12="","",IF(AY$4&lt;2,(AX12*(1+'Rent Roll Analysis'!$AK10/12)), IF(AND('Monthly Cash Flow'!AY$4&gt;1,'Monthly Cash Flow'!AY$4&lt;=2),'Monthly Cash Flow'!AX12*(1+'Rent Roll Analysis'!$AE10/12),'Monthly Cash Flow'!AX12*(1+'Rent Roll Analysis'!$AB10/12))))</f>
        <v>92520.116785430335</v>
      </c>
      <c r="AZ12" s="1428">
        <f>IF($B12="","",IF(AZ$4&lt;2,(AY12*(1+'Rent Roll Analysis'!$AK10/12)), IF(AND('Monthly Cash Flow'!AZ$4&gt;1,'Monthly Cash Flow'!AZ$4&lt;=2),'Monthly Cash Flow'!AY12*(1+'Rent Roll Analysis'!$AE10/12),'Monthly Cash Flow'!AY12*(1+'Rent Roll Analysis'!$AB10/12))))</f>
        <v>92828.517174715103</v>
      </c>
      <c r="BA12" s="1428">
        <f>IF($B12="","",IF(BA$4&lt;2,(AZ12*(1+'Rent Roll Analysis'!$AK10/12)), IF(AND('Monthly Cash Flow'!BA$4&gt;1,'Monthly Cash Flow'!BA$4&lt;=2),'Monthly Cash Flow'!AZ12*(1+'Rent Roll Analysis'!$AE10/12),'Monthly Cash Flow'!AZ12*(1+'Rent Roll Analysis'!$AB10/12))))</f>
        <v>93137.945565297501</v>
      </c>
      <c r="BB12" s="1428">
        <f>IF($B12="","",IF(BB$4&lt;2,(BA12*(1+'Rent Roll Analysis'!$AK10/12)), IF(AND('Monthly Cash Flow'!BB$4&gt;1,'Monthly Cash Flow'!BB$4&lt;=2),'Monthly Cash Flow'!BA12*(1+'Rent Roll Analysis'!$AE10/12),'Monthly Cash Flow'!BA12*(1+'Rent Roll Analysis'!$AB10/12))))</f>
        <v>93448.405383848498</v>
      </c>
      <c r="BC12" s="1428">
        <f>IF($B12="","",IF(BC$4&lt;2,(BB12*(1+'Rent Roll Analysis'!$AK10/12)), IF(AND('Monthly Cash Flow'!BC$4&gt;1,'Monthly Cash Flow'!BC$4&lt;=2),'Monthly Cash Flow'!BB12*(1+'Rent Roll Analysis'!$AE10/12),'Monthly Cash Flow'!BB12*(1+'Rent Roll Analysis'!$AB10/12))))</f>
        <v>93759.900068461327</v>
      </c>
      <c r="BD12" s="1428">
        <f>IF($B12="","",IF(BD$4&lt;2,(BC12*(1+'Rent Roll Analysis'!$AK10/12)), IF(AND('Monthly Cash Flow'!BD$4&gt;1,'Monthly Cash Flow'!BD$4&lt;=2),'Monthly Cash Flow'!BC12*(1+'Rent Roll Analysis'!$AE10/12),'Monthly Cash Flow'!BC12*(1+'Rent Roll Analysis'!$AB10/12))))</f>
        <v>94072.433068689541</v>
      </c>
      <c r="BE12" s="1428">
        <f>IF($B12="","",IF(BE$4&lt;2,(BD12*(1+'Rent Roll Analysis'!$AK10/12)), IF(AND('Monthly Cash Flow'!BE$4&gt;1,'Monthly Cash Flow'!BE$4&lt;=2),'Monthly Cash Flow'!BD12*(1+'Rent Roll Analysis'!$AE10/12),'Monthly Cash Flow'!BD12*(1+'Rent Roll Analysis'!$AB10/12))))</f>
        <v>94386.007845585176</v>
      </c>
      <c r="BF12" s="1428">
        <f>IF($B12="","",IF(BF$4&lt;2,(BE12*(1+'Rent Roll Analysis'!$AK10/12)), IF(AND('Monthly Cash Flow'!BF$4&gt;1,'Monthly Cash Flow'!BF$4&lt;=2),'Monthly Cash Flow'!BE12*(1+'Rent Roll Analysis'!$AE10/12),'Monthly Cash Flow'!BE12*(1+'Rent Roll Analysis'!$AB10/12))))</f>
        <v>94700.627871737131</v>
      </c>
      <c r="BG12" s="1428">
        <f>IF($B12="","",IF(BG$4&lt;2,(BF12*(1+'Rent Roll Analysis'!$AK10/12)), IF(AND('Monthly Cash Flow'!BG$4&gt;1,'Monthly Cash Flow'!BG$4&lt;=2),'Monthly Cash Flow'!BF12*(1+'Rent Roll Analysis'!$AE10/12),'Monthly Cash Flow'!BF12*(1+'Rent Roll Analysis'!$AB10/12))))</f>
        <v>95016.296631309597</v>
      </c>
      <c r="BH12" s="1428">
        <f>IF($B12="","",IF(BH$4&lt;2,(BG12*(1+'Rent Roll Analysis'!$AK10/12)), IF(AND('Monthly Cash Flow'!BH$4&gt;1,'Monthly Cash Flow'!BH$4&lt;=2),'Monthly Cash Flow'!BG12*(1+'Rent Roll Analysis'!$AE10/12),'Monthly Cash Flow'!BG12*(1+'Rent Roll Analysis'!$AB10/12))))</f>
        <v>95333.017620080631</v>
      </c>
      <c r="BI12" s="1428">
        <f>IF($B12="","",IF(BI$4&lt;2,(BH12*(1+'Rent Roll Analysis'!$AK10/12)), IF(AND('Monthly Cash Flow'!BI$4&gt;1,'Monthly Cash Flow'!BI$4&lt;=2),'Monthly Cash Flow'!BH12*(1+'Rent Roll Analysis'!$AE10/12),'Monthly Cash Flow'!BH12*(1+'Rent Roll Analysis'!$AB10/12))))</f>
        <v>95650.794345480914</v>
      </c>
      <c r="BJ12" s="1428">
        <f>IF($B12="","",IF(BJ$4&lt;2,(BI12*(1+'Rent Roll Analysis'!$AK10/12)), IF(AND('Monthly Cash Flow'!BJ$4&gt;1,'Monthly Cash Flow'!BJ$4&lt;=2),'Monthly Cash Flow'!BI12*(1+'Rent Roll Analysis'!$AE10/12),'Monthly Cash Flow'!BI12*(1+'Rent Roll Analysis'!$AB10/12))))</f>
        <v>95969.630326632527</v>
      </c>
      <c r="BK12" s="1428">
        <f>IF($B12="","",IF(BK$4&lt;2,(BJ12*(1+'Rent Roll Analysis'!$AK10/12)), IF(AND('Monthly Cash Flow'!BK$4&gt;1,'Monthly Cash Flow'!BK$4&lt;=2),'Monthly Cash Flow'!BJ12*(1+'Rent Roll Analysis'!$AE10/12),'Monthly Cash Flow'!BJ12*(1+'Rent Roll Analysis'!$AB10/12))))</f>
        <v>96289.529094387981</v>
      </c>
      <c r="BL12" s="1428">
        <f>IF($B12="","",IF(BL$4&lt;2,(BK12*(1+'Rent Roll Analysis'!$AK10/12)), IF(AND('Monthly Cash Flow'!BL$4&gt;1,'Monthly Cash Flow'!BL$4&lt;=2),'Monthly Cash Flow'!BK12*(1+'Rent Roll Analysis'!$AE10/12),'Monthly Cash Flow'!BK12*(1+'Rent Roll Analysis'!$AB10/12))))</f>
        <v>96610.494191369275</v>
      </c>
      <c r="BM12" s="1428">
        <f>IF($B12="","",IF(BM$4&lt;2,(BL12*(1+'Rent Roll Analysis'!$AK10/12)), IF(AND('Monthly Cash Flow'!BM$4&gt;1,'Monthly Cash Flow'!BM$4&lt;=2),'Monthly Cash Flow'!BL12*(1+'Rent Roll Analysis'!$AE10/12),'Monthly Cash Flow'!BL12*(1+'Rent Roll Analysis'!$AB10/12))))</f>
        <v>96932.529172007184</v>
      </c>
      <c r="BN12" s="1428">
        <f>IF($B12="","",IF(BN$4&lt;2,(BM12*(1+'Rent Roll Analysis'!$AK10/12)), IF(AND('Monthly Cash Flow'!BN$4&gt;1,'Monthly Cash Flow'!BN$4&lt;=2),'Monthly Cash Flow'!BM12*(1+'Rent Roll Analysis'!$AE10/12),'Monthly Cash Flow'!BM12*(1+'Rent Roll Analysis'!$AB10/12))))</f>
        <v>97255.637602580551</v>
      </c>
      <c r="BO12" s="1428">
        <f>IF($B12="","",IF(BO$4&lt;2,(BN12*(1+'Rent Roll Analysis'!$AK10/12)), IF(AND('Monthly Cash Flow'!BO$4&gt;1,'Monthly Cash Flow'!BO$4&lt;=2),'Monthly Cash Flow'!BN12*(1+'Rent Roll Analysis'!$AE10/12),'Monthly Cash Flow'!BN12*(1+'Rent Roll Analysis'!$AB10/12))))</f>
        <v>97579.823061255825</v>
      </c>
      <c r="BP12" s="1428">
        <f>IF($B12="","",IF(BP$4&lt;2,(BO12*(1+'Rent Roll Analysis'!$AK10/12)), IF(AND('Monthly Cash Flow'!BP$4&gt;1,'Monthly Cash Flow'!BP$4&lt;=2),'Monthly Cash Flow'!BO12*(1+'Rent Roll Analysis'!$AE10/12),'Monthly Cash Flow'!BO12*(1+'Rent Roll Analysis'!$AB10/12))))</f>
        <v>97905.089138126685</v>
      </c>
      <c r="BQ12" s="1428">
        <f>IF($B12="","",IF(BQ$4&lt;2,(BP12*(1+'Rent Roll Analysis'!$AK10/12)), IF(AND('Monthly Cash Flow'!BQ$4&gt;1,'Monthly Cash Flow'!BQ$4&lt;=2),'Monthly Cash Flow'!BP12*(1+'Rent Roll Analysis'!$AE10/12),'Monthly Cash Flow'!BP12*(1+'Rent Roll Analysis'!$AB10/12))))</f>
        <v>98231.439435253778</v>
      </c>
      <c r="BR12" s="1428">
        <f>IF($B12="","",IF(BR$4&lt;2,(BQ12*(1+'Rent Roll Analysis'!$AK10/12)), IF(AND('Monthly Cash Flow'!BR$4&gt;1,'Monthly Cash Flow'!BR$4&lt;=2),'Monthly Cash Flow'!BQ12*(1+'Rent Roll Analysis'!$AE10/12),'Monthly Cash Flow'!BQ12*(1+'Rent Roll Analysis'!$AB10/12))))</f>
        <v>98558.877566704628</v>
      </c>
      <c r="BS12" s="1428">
        <f>IF($B12="","",IF(BS$4&lt;2,(BR12*(1+'Rent Roll Analysis'!$AK10/12)), IF(AND('Monthly Cash Flow'!BS$4&gt;1,'Monthly Cash Flow'!BS$4&lt;=2),'Monthly Cash Flow'!BR12*(1+'Rent Roll Analysis'!$AE10/12),'Monthly Cash Flow'!BR12*(1+'Rent Roll Analysis'!$AB10/12))))</f>
        <v>98887.407158593647</v>
      </c>
      <c r="BT12" s="1428">
        <f>IF($B12="","",IF(BT$4&lt;2,(BS12*(1+'Rent Roll Analysis'!$AK10/12)), IF(AND('Monthly Cash Flow'!BT$4&gt;1,'Monthly Cash Flow'!BT$4&lt;=2),'Monthly Cash Flow'!BS12*(1+'Rent Roll Analysis'!$AE10/12),'Monthly Cash Flow'!BS12*(1+'Rent Roll Analysis'!$AB10/12))))</f>
        <v>99217.031849122301</v>
      </c>
      <c r="BU12" s="1428">
        <f>IF($B12="","",IF(BU$4&lt;2,(BT12*(1+'Rent Roll Analysis'!$AK10/12)), IF(AND('Monthly Cash Flow'!BU$4&gt;1,'Monthly Cash Flow'!BU$4&lt;=2),'Monthly Cash Flow'!BT12*(1+'Rent Roll Analysis'!$AE10/12),'Monthly Cash Flow'!BT12*(1+'Rent Roll Analysis'!$AB10/12))))</f>
        <v>99547.755288619388</v>
      </c>
      <c r="BV12" s="1428">
        <f>IF($B12="","",IF(BV$4&lt;2,(BU12*(1+'Rent Roll Analysis'!$AK10/12)), IF(AND('Monthly Cash Flow'!BV$4&gt;1,'Monthly Cash Flow'!BV$4&lt;=2),'Monthly Cash Flow'!BU12*(1+'Rent Roll Analysis'!$AE10/12),'Monthly Cash Flow'!BU12*(1+'Rent Roll Analysis'!$AB10/12))))</f>
        <v>99879.581139581467</v>
      </c>
      <c r="BW12" s="1428">
        <f>IF($B12="","",IF(BW$4&lt;2,(BV12*(1+'Rent Roll Analysis'!$AK10/12)), IF(AND('Monthly Cash Flow'!BW$4&gt;1,'Monthly Cash Flow'!BW$4&lt;=2),'Monthly Cash Flow'!BV12*(1+'Rent Roll Analysis'!$AE10/12),'Monthly Cash Flow'!BV12*(1+'Rent Roll Analysis'!$AB10/12))))</f>
        <v>100212.51307671341</v>
      </c>
      <c r="BX12" s="1428">
        <f>IF($B12="","",IF(BX$4&lt;2,(BW12*(1+'Rent Roll Analysis'!$AK10/12)), IF(AND('Monthly Cash Flow'!BX$4&gt;1,'Monthly Cash Flow'!BX$4&lt;=2),'Monthly Cash Flow'!BW12*(1+'Rent Roll Analysis'!$AE10/12),'Monthly Cash Flow'!BW12*(1+'Rent Roll Analysis'!$AB10/12))))</f>
        <v>100546.55478696914</v>
      </c>
      <c r="BY12" s="1428">
        <f>IF($B12="","",IF(BY$4&lt;2,(BX12*(1+'Rent Roll Analysis'!$AK10/12)), IF(AND('Monthly Cash Flow'!BY$4&gt;1,'Monthly Cash Flow'!BY$4&lt;=2),'Monthly Cash Flow'!BX12*(1+'Rent Roll Analysis'!$AE10/12),'Monthly Cash Flow'!BX12*(1+'Rent Roll Analysis'!$AB10/12))))</f>
        <v>100881.70996959237</v>
      </c>
      <c r="BZ12" s="1428">
        <f>IF($B12="","",IF(BZ$4&lt;2,(BY12*(1+'Rent Roll Analysis'!$AK10/12)), IF(AND('Monthly Cash Flow'!BZ$4&gt;1,'Monthly Cash Flow'!BZ$4&lt;=2),'Monthly Cash Flow'!BY12*(1+'Rent Roll Analysis'!$AE10/12),'Monthly Cash Flow'!BY12*(1+'Rent Roll Analysis'!$AB10/12))))</f>
        <v>101217.98233615769</v>
      </c>
      <c r="CA12" s="1428">
        <f>IF($B12="","",IF(CA$4&lt;2,(BZ12*(1+'Rent Roll Analysis'!$AK10/12)), IF(AND('Monthly Cash Flow'!CA$4&gt;1,'Monthly Cash Flow'!CA$4&lt;=2),'Monthly Cash Flow'!BZ12*(1+'Rent Roll Analysis'!$AE10/12),'Monthly Cash Flow'!BZ12*(1+'Rent Roll Analysis'!$AB10/12))))</f>
        <v>101555.37561061155</v>
      </c>
      <c r="CB12" s="1428">
        <f>IF($B12="","",IF(CB$4&lt;2,(CA12*(1+'Rent Roll Analysis'!$AK10/12)), IF(AND('Monthly Cash Flow'!CB$4&gt;1,'Monthly Cash Flow'!CB$4&lt;=2),'Monthly Cash Flow'!CA12*(1+'Rent Roll Analysis'!$AE10/12),'Monthly Cash Flow'!CA12*(1+'Rent Roll Analysis'!$AB10/12))))</f>
        <v>101893.89352931359</v>
      </c>
      <c r="CC12" s="1428">
        <f>IF($B12="","",IF(CC$4&lt;2,(CB12*(1+'Rent Roll Analysis'!$AK10/12)), IF(AND('Monthly Cash Flow'!CC$4&gt;1,'Monthly Cash Flow'!CC$4&lt;=2),'Monthly Cash Flow'!CB12*(1+'Rent Roll Analysis'!$AE10/12),'Monthly Cash Flow'!CB12*(1+'Rent Roll Analysis'!$AB10/12))))</f>
        <v>102233.53984107797</v>
      </c>
      <c r="CD12" s="1428">
        <f>IF($B12="","",IF(CD$4&lt;2,(CC12*(1+'Rent Roll Analysis'!$AK10/12)), IF(AND('Monthly Cash Flow'!CD$4&gt;1,'Monthly Cash Flow'!CD$4&lt;=2),'Monthly Cash Flow'!CC12*(1+'Rent Roll Analysis'!$AE10/12),'Monthly Cash Flow'!CC12*(1+'Rent Roll Analysis'!$AB10/12))))</f>
        <v>102574.31830721491</v>
      </c>
      <c r="CE12" s="1428">
        <f>IF($B12="","",IF(CE$4&lt;2,(CD12*(1+'Rent Roll Analysis'!$AK10/12)), IF(AND('Monthly Cash Flow'!CE$4&gt;1,'Monthly Cash Flow'!CE$4&lt;=2),'Monthly Cash Flow'!CD12*(1+'Rent Roll Analysis'!$AE10/12),'Monthly Cash Flow'!CD12*(1+'Rent Roll Analysis'!$AB10/12))))</f>
        <v>102916.2327015723</v>
      </c>
      <c r="CF12" s="1428">
        <f>IF($B12="","",IF(CF$4&lt;2,(CE12*(1+'Rent Roll Analysis'!$AK10/12)), IF(AND('Monthly Cash Flow'!CF$4&gt;1,'Monthly Cash Flow'!CF$4&lt;=2),'Monthly Cash Flow'!CE12*(1+'Rent Roll Analysis'!$AE10/12),'Monthly Cash Flow'!CE12*(1+'Rent Roll Analysis'!$AB10/12))))</f>
        <v>103259.28681057754</v>
      </c>
      <c r="CG12" s="1428">
        <f>IF($B12="","",IF(CG$4&lt;2,(CF12*(1+'Rent Roll Analysis'!$AK10/12)), IF(AND('Monthly Cash Flow'!CG$4&gt;1,'Monthly Cash Flow'!CG$4&lt;=2),'Monthly Cash Flow'!CF12*(1+'Rent Roll Analysis'!$AE10/12),'Monthly Cash Flow'!CF12*(1+'Rent Roll Analysis'!$AB10/12))))</f>
        <v>103603.48443327947</v>
      </c>
      <c r="CH12" s="1428">
        <f>IF($B12="","",IF(CH$4&lt;2,(CG12*(1+'Rent Roll Analysis'!$AK10/12)), IF(AND('Monthly Cash Flow'!CH$4&gt;1,'Monthly Cash Flow'!CH$4&lt;=2),'Monthly Cash Flow'!CG12*(1+'Rent Roll Analysis'!$AE10/12),'Monthly Cash Flow'!CG12*(1+'Rent Roll Analysis'!$AB10/12))))</f>
        <v>103948.82938139042</v>
      </c>
      <c r="CI12" s="1428">
        <f>IF($B12="","",IF(CI$4&lt;2,(CH12*(1+'Rent Roll Analysis'!$AK10/12)), IF(AND('Monthly Cash Flow'!CI$4&gt;1,'Monthly Cash Flow'!CI$4&lt;=2),'Monthly Cash Flow'!CH12*(1+'Rent Roll Analysis'!$AE10/12),'Monthly Cash Flow'!CH12*(1+'Rent Roll Analysis'!$AB10/12))))</f>
        <v>104295.3254793284</v>
      </c>
      <c r="CJ12" s="1428">
        <f>IF($B12="","",IF(CJ$4&lt;2,(CI12*(1+'Rent Roll Analysis'!$AK10/12)), IF(AND('Monthly Cash Flow'!CJ$4&gt;1,'Monthly Cash Flow'!CJ$4&lt;=2),'Monthly Cash Flow'!CI12*(1+'Rent Roll Analysis'!$AE10/12),'Monthly Cash Flow'!CI12*(1+'Rent Roll Analysis'!$AB10/12))))</f>
        <v>104642.9765642595</v>
      </c>
      <c r="CK12" s="1428">
        <f>IF($B12="","",IF(CK$4&lt;2,(CJ12*(1+'Rent Roll Analysis'!$AK10/12)), IF(AND('Monthly Cash Flow'!CK$4&gt;1,'Monthly Cash Flow'!CK$4&lt;=2),'Monthly Cash Flow'!CJ12*(1+'Rent Roll Analysis'!$AE10/12),'Monthly Cash Flow'!CJ12*(1+'Rent Roll Analysis'!$AB10/12))))</f>
        <v>104991.78648614038</v>
      </c>
      <c r="CL12" s="1428">
        <f>IF($B12="","",IF(CL$4&lt;2,(CK12*(1+'Rent Roll Analysis'!$AK10/12)), IF(AND('Monthly Cash Flow'!CL$4&gt;1,'Monthly Cash Flow'!CL$4&lt;=2),'Monthly Cash Flow'!CK12*(1+'Rent Roll Analysis'!$AE10/12),'Monthly Cash Flow'!CK12*(1+'Rent Roll Analysis'!$AB10/12))))</f>
        <v>105341.75910776085</v>
      </c>
      <c r="CM12" s="1428">
        <f>IF($B12="","",IF(CM$4&lt;2,(CL12*(1+'Rent Roll Analysis'!$AK10/12)), IF(AND('Monthly Cash Flow'!CM$4&gt;1,'Monthly Cash Flow'!CM$4&lt;=2),'Monthly Cash Flow'!CL12*(1+'Rent Roll Analysis'!$AE10/12),'Monthly Cash Flow'!CL12*(1+'Rent Roll Analysis'!$AB10/12))))</f>
        <v>105692.89830478674</v>
      </c>
      <c r="CN12" s="1428">
        <f>IF($B12="","",IF(CN$4&lt;2,(CM12*(1+'Rent Roll Analysis'!$AK10/12)), IF(AND('Monthly Cash Flow'!CN$4&gt;1,'Monthly Cash Flow'!CN$4&lt;=2),'Monthly Cash Flow'!CM12*(1+'Rent Roll Analysis'!$AE10/12),'Monthly Cash Flow'!CM12*(1+'Rent Roll Analysis'!$AB10/12))))</f>
        <v>106045.20796580271</v>
      </c>
      <c r="CO12" s="1428">
        <f>IF($B12="","",IF(CO$4&lt;2,(CN12*(1+'Rent Roll Analysis'!$AK10/12)), IF(AND('Monthly Cash Flow'!CO$4&gt;1,'Monthly Cash Flow'!CO$4&lt;=2),'Monthly Cash Flow'!CN12*(1+'Rent Roll Analysis'!$AE10/12),'Monthly Cash Flow'!CN12*(1+'Rent Roll Analysis'!$AB10/12))))</f>
        <v>106398.69199235539</v>
      </c>
      <c r="CP12" s="1428">
        <f>IF($B12="","",IF(CP$4&lt;2,(CO12*(1+'Rent Roll Analysis'!$AK10/12)), IF(AND('Monthly Cash Flow'!CP$4&gt;1,'Monthly Cash Flow'!CP$4&lt;=2),'Monthly Cash Flow'!CO12*(1+'Rent Roll Analysis'!$AE10/12),'Monthly Cash Flow'!CO12*(1+'Rent Roll Analysis'!$AB10/12))))</f>
        <v>106753.35429899659</v>
      </c>
      <c r="CQ12" s="1428">
        <f>IF($B12="","",IF(CQ$4&lt;2,(CP12*(1+'Rent Roll Analysis'!$AK10/12)), IF(AND('Monthly Cash Flow'!CQ$4&gt;1,'Monthly Cash Flow'!CQ$4&lt;=2),'Monthly Cash Flow'!CP12*(1+'Rent Roll Analysis'!$AE10/12),'Monthly Cash Flow'!CP12*(1+'Rent Roll Analysis'!$AB10/12))))</f>
        <v>107109.19881332658</v>
      </c>
      <c r="CR12" s="1428">
        <f>IF($B12="","",IF(CR$4&lt;2,(CQ12*(1+'Rent Roll Analysis'!$AK10/12)), IF(AND('Monthly Cash Flow'!CR$4&gt;1,'Monthly Cash Flow'!CR$4&lt;=2),'Monthly Cash Flow'!CQ12*(1+'Rent Roll Analysis'!$AE10/12),'Monthly Cash Flow'!CQ12*(1+'Rent Roll Analysis'!$AB10/12))))</f>
        <v>107466.22947603768</v>
      </c>
      <c r="CS12" s="1428">
        <f>IF($B12="","",IF(CS$4&lt;2,(CR12*(1+'Rent Roll Analysis'!$AK10/12)), IF(AND('Monthly Cash Flow'!CS$4&gt;1,'Monthly Cash Flow'!CS$4&lt;=2),'Monthly Cash Flow'!CR12*(1+'Rent Roll Analysis'!$AE10/12),'Monthly Cash Flow'!CR12*(1+'Rent Roll Analysis'!$AB10/12))))</f>
        <v>107824.45024095781</v>
      </c>
      <c r="CT12" s="1428">
        <f>IF($B12="","",IF(CT$4&lt;2,(CS12*(1+'Rent Roll Analysis'!$AK10/12)), IF(AND('Monthly Cash Flow'!CT$4&gt;1,'Monthly Cash Flow'!CT$4&lt;=2),'Monthly Cash Flow'!CS12*(1+'Rent Roll Analysis'!$AE10/12),'Monthly Cash Flow'!CS12*(1+'Rent Roll Analysis'!$AB10/12))))</f>
        <v>108183.86507509435</v>
      </c>
      <c r="CU12" s="1428">
        <f>IF($B12="","",IF(CU$4&lt;2,(CT12*(1+'Rent Roll Analysis'!$AK10/12)), IF(AND('Monthly Cash Flow'!CU$4&gt;1,'Monthly Cash Flow'!CU$4&lt;=2),'Monthly Cash Flow'!CT12*(1+'Rent Roll Analysis'!$AE10/12),'Monthly Cash Flow'!CT12*(1+'Rent Roll Analysis'!$AB10/12))))</f>
        <v>108544.47795867801</v>
      </c>
      <c r="CV12" s="1428">
        <f>IF($B12="","",IF(CV$4&lt;2,(CU12*(1+'Rent Roll Analysis'!$AK10/12)), IF(AND('Monthly Cash Flow'!CV$4&gt;1,'Monthly Cash Flow'!CV$4&lt;=2),'Monthly Cash Flow'!CU12*(1+'Rent Roll Analysis'!$AE10/12),'Monthly Cash Flow'!CU12*(1+'Rent Roll Analysis'!$AB10/12))))</f>
        <v>108906.29288520695</v>
      </c>
      <c r="CW12" s="1428">
        <f>IF($B12="","",IF(CW$4&lt;2,(CV12*(1+'Rent Roll Analysis'!$AK10/12)), IF(AND('Monthly Cash Flow'!CW$4&gt;1,'Monthly Cash Flow'!CW$4&lt;=2),'Monthly Cash Flow'!CV12*(1+'Rent Roll Analysis'!$AE10/12),'Monthly Cash Flow'!CV12*(1+'Rent Roll Analysis'!$AB10/12))))</f>
        <v>109269.31386149098</v>
      </c>
      <c r="CX12" s="1428">
        <f>IF($B12="","",IF(CX$4&lt;2,(CW12*(1+'Rent Roll Analysis'!$AK10/12)), IF(AND('Monthly Cash Flow'!CX$4&gt;1,'Monthly Cash Flow'!CX$4&lt;=2),'Monthly Cash Flow'!CW12*(1+'Rent Roll Analysis'!$AE10/12),'Monthly Cash Flow'!CW12*(1+'Rent Roll Analysis'!$AB10/12))))</f>
        <v>109633.54490769596</v>
      </c>
      <c r="CY12" s="1428">
        <f>IF($B12="","",IF(CY$4&lt;2,(CX12*(1+'Rent Roll Analysis'!$AK10/12)), IF(AND('Monthly Cash Flow'!CY$4&gt;1,'Monthly Cash Flow'!CY$4&lt;=2),'Monthly Cash Flow'!CX12*(1+'Rent Roll Analysis'!$AE10/12),'Monthly Cash Flow'!CX12*(1+'Rent Roll Analysis'!$AB10/12))))</f>
        <v>109998.99005738829</v>
      </c>
      <c r="CZ12" s="1428">
        <f>IF($B12="","",IF(CZ$4&lt;2,(CY12*(1+'Rent Roll Analysis'!$AK10/12)), IF(AND('Monthly Cash Flow'!CZ$4&gt;1,'Monthly Cash Flow'!CZ$4&lt;=2),'Monthly Cash Flow'!CY12*(1+'Rent Roll Analysis'!$AE10/12),'Monthly Cash Flow'!CY12*(1+'Rent Roll Analysis'!$AB10/12))))</f>
        <v>110365.65335757959</v>
      </c>
      <c r="DA12" s="1428">
        <f>IF($B12="","",IF(DA$4&lt;2,(CZ12*(1+'Rent Roll Analysis'!$AK10/12)), IF(AND('Monthly Cash Flow'!DA$4&gt;1,'Monthly Cash Flow'!DA$4&lt;=2),'Monthly Cash Flow'!CZ12*(1+'Rent Roll Analysis'!$AE10/12),'Monthly Cash Flow'!CZ12*(1+'Rent Roll Analysis'!$AB10/12))))</f>
        <v>110733.53886877153</v>
      </c>
      <c r="DB12" s="1428">
        <f>IF($B12="","",IF(DB$4&lt;2,(DA12*(1+'Rent Roll Analysis'!$AK10/12)), IF(AND('Monthly Cash Flow'!DB$4&gt;1,'Monthly Cash Flow'!DB$4&lt;=2),'Monthly Cash Flow'!DA12*(1+'Rent Roll Analysis'!$AE10/12),'Monthly Cash Flow'!DA12*(1+'Rent Roll Analysis'!$AB10/12))))</f>
        <v>111102.65066500078</v>
      </c>
      <c r="DC12" s="1428">
        <f>IF($B12="","",IF(DC$4&lt;2,(DB12*(1+'Rent Roll Analysis'!$AK10/12)), IF(AND('Monthly Cash Flow'!DC$4&gt;1,'Monthly Cash Flow'!DC$4&lt;=2),'Monthly Cash Flow'!DB12*(1+'Rent Roll Analysis'!$AE10/12),'Monthly Cash Flow'!DB12*(1+'Rent Roll Analysis'!$AB10/12))))</f>
        <v>111472.99283388413</v>
      </c>
      <c r="DD12" s="1428">
        <f>IF($B12="","",IF(DD$4&lt;2,(DC12*(1+'Rent Roll Analysis'!$AK10/12)), IF(AND('Monthly Cash Flow'!DD$4&gt;1,'Monthly Cash Flow'!DD$4&lt;=2),'Monthly Cash Flow'!DC12*(1+'Rent Roll Analysis'!$AE10/12),'Monthly Cash Flow'!DC12*(1+'Rent Roll Analysis'!$AB10/12))))</f>
        <v>111844.56947666375</v>
      </c>
      <c r="DE12" s="1428">
        <f>IF($B12="","",IF(DE$4&lt;2,(DD12*(1+'Rent Roll Analysis'!$AK10/12)), IF(AND('Monthly Cash Flow'!DE$4&gt;1,'Monthly Cash Flow'!DE$4&lt;=2),'Monthly Cash Flow'!DD12*(1+'Rent Roll Analysis'!$AE10/12),'Monthly Cash Flow'!DD12*(1+'Rent Roll Analysis'!$AB10/12))))</f>
        <v>112217.38470825263</v>
      </c>
      <c r="DF12" s="1428">
        <f>IF($B12="","",IF(DF$4&lt;2,(DE12*(1+'Rent Roll Analysis'!$AK10/12)), IF(AND('Monthly Cash Flow'!DF$4&gt;1,'Monthly Cash Flow'!DF$4&lt;=2),'Monthly Cash Flow'!DE12*(1+'Rent Roll Analysis'!$AE10/12),'Monthly Cash Flow'!DE12*(1+'Rent Roll Analysis'!$AB10/12))))</f>
        <v>112591.44265728015</v>
      </c>
      <c r="DG12" s="1428">
        <f>IF($B12="","",IF(DG$4&lt;2,(DF12*(1+'Rent Roll Analysis'!$AK10/12)), IF(AND('Monthly Cash Flow'!DG$4&gt;1,'Monthly Cash Flow'!DG$4&lt;=2),'Monthly Cash Flow'!DF12*(1+'Rent Roll Analysis'!$AE10/12),'Monthly Cash Flow'!DF12*(1+'Rent Roll Analysis'!$AB10/12))))</f>
        <v>112966.74746613775</v>
      </c>
      <c r="DH12" s="1428">
        <f>IF($B12="","",IF(DH$4&lt;2,(DG12*(1+'Rent Roll Analysis'!$AK10/12)), IF(AND('Monthly Cash Flow'!DH$4&gt;1,'Monthly Cash Flow'!DH$4&lt;=2),'Monthly Cash Flow'!DG12*(1+'Rent Roll Analysis'!$AE10/12),'Monthly Cash Flow'!DG12*(1+'Rent Roll Analysis'!$AB10/12))))</f>
        <v>113343.30329102489</v>
      </c>
      <c r="DI12" s="1428">
        <f>IF($B12="","",IF(DI$4&lt;2,(DH12*(1+'Rent Roll Analysis'!$AK10/12)), IF(AND('Monthly Cash Flow'!DI$4&gt;1,'Monthly Cash Flow'!DI$4&lt;=2),'Monthly Cash Flow'!DH12*(1+'Rent Roll Analysis'!$AE10/12),'Monthly Cash Flow'!DH12*(1+'Rent Roll Analysis'!$AB10/12))))</f>
        <v>113721.11430199498</v>
      </c>
      <c r="DJ12" s="1428">
        <f>IF($B12="","",IF(DJ$4&lt;2,(DI12*(1+'Rent Roll Analysis'!$AK10/12)), IF(AND('Monthly Cash Flow'!DJ$4&gt;1,'Monthly Cash Flow'!DJ$4&lt;=2),'Monthly Cash Flow'!DI12*(1+'Rent Roll Analysis'!$AE10/12),'Monthly Cash Flow'!DI12*(1+'Rent Roll Analysis'!$AB10/12))))</f>
        <v>114100.18468300164</v>
      </c>
      <c r="DK12" s="1428">
        <f>IF($B12="","",IF(DK$4&lt;2,(DJ12*(1+'Rent Roll Analysis'!$AK10/12)), IF(AND('Monthly Cash Flow'!DK$4&gt;1,'Monthly Cash Flow'!DK$4&lt;=2),'Monthly Cash Flow'!DJ12*(1+'Rent Roll Analysis'!$AE10/12),'Monthly Cash Flow'!DJ12*(1+'Rent Roll Analysis'!$AB10/12))))</f>
        <v>114480.51863194499</v>
      </c>
      <c r="DL12" s="1428">
        <f>IF($B12="","",IF(DL$4&lt;2,(DK12*(1+'Rent Roll Analysis'!$AK10/12)), IF(AND('Monthly Cash Flow'!DL$4&gt;1,'Monthly Cash Flow'!DL$4&lt;=2),'Monthly Cash Flow'!DK12*(1+'Rent Roll Analysis'!$AE10/12),'Monthly Cash Flow'!DK12*(1+'Rent Roll Analysis'!$AB10/12))))</f>
        <v>114862.12036071814</v>
      </c>
      <c r="DM12" s="1428">
        <f>IF($B12="","",IF(DM$4&lt;2,(DL12*(1+'Rent Roll Analysis'!$AK10/12)), IF(AND('Monthly Cash Flow'!DM$4&gt;1,'Monthly Cash Flow'!DM$4&lt;=2),'Monthly Cash Flow'!DL12*(1+'Rent Roll Analysis'!$AE10/12),'Monthly Cash Flow'!DL12*(1+'Rent Roll Analysis'!$AB10/12))))</f>
        <v>115244.99409525387</v>
      </c>
      <c r="DN12" s="1428">
        <f>IF($B12="","",IF(DN$4&lt;2,(DM12*(1+'Rent Roll Analysis'!$AK10/12)), IF(AND('Monthly Cash Flow'!DN$4&gt;1,'Monthly Cash Flow'!DN$4&lt;=2),'Monthly Cash Flow'!DM12*(1+'Rent Roll Analysis'!$AE10/12),'Monthly Cash Flow'!DM12*(1+'Rent Roll Analysis'!$AB10/12))))</f>
        <v>115629.1440755714</v>
      </c>
      <c r="DO12" s="1428">
        <f>IF($B12="","",IF(DO$4&lt;2,(DN12*(1+'Rent Roll Analysis'!$AK10/12)), IF(AND('Monthly Cash Flow'!DO$4&gt;1,'Monthly Cash Flow'!DO$4&lt;=2),'Monthly Cash Flow'!DN12*(1+'Rent Roll Analysis'!$AE10/12),'Monthly Cash Flow'!DN12*(1+'Rent Roll Analysis'!$AB10/12))))</f>
        <v>116014.57455582332</v>
      </c>
      <c r="DP12" s="1428">
        <f>IF($B12="","",IF(DP$4&lt;2,(DO12*(1+'Rent Roll Analysis'!$AK10/12)), IF(AND('Monthly Cash Flow'!DP$4&gt;1,'Monthly Cash Flow'!DP$4&lt;=2),'Monthly Cash Flow'!DO12*(1+'Rent Roll Analysis'!$AE10/12),'Monthly Cash Flow'!DO12*(1+'Rent Roll Analysis'!$AB10/12))))</f>
        <v>116401.28980434274</v>
      </c>
      <c r="DQ12" s="1428">
        <f>IF($B12="","",IF(DQ$4&lt;2,(DP12*(1+'Rent Roll Analysis'!$AK10/12)), IF(AND('Monthly Cash Flow'!DQ$4&gt;1,'Monthly Cash Flow'!DQ$4&lt;=2),'Monthly Cash Flow'!DP12*(1+'Rent Roll Analysis'!$AE10/12),'Monthly Cash Flow'!DP12*(1+'Rent Roll Analysis'!$AB10/12))))</f>
        <v>116789.29410369055</v>
      </c>
      <c r="DR12" s="1428">
        <f>IF($B12="","",IF(DR$4&lt;2,(DQ12*(1+'Rent Roll Analysis'!$AK10/12)), IF(AND('Monthly Cash Flow'!DR$4&gt;1,'Monthly Cash Flow'!DR$4&lt;=2),'Monthly Cash Flow'!DQ12*(1+'Rent Roll Analysis'!$AE10/12),'Monthly Cash Flow'!DQ12*(1+'Rent Roll Analysis'!$AB10/12))))</f>
        <v>117178.59175070286</v>
      </c>
      <c r="DS12" s="1428">
        <f>IF($B12="","",IF(DS$4&lt;2,(DR12*(1+'Rent Roll Analysis'!$AK10/12)), IF(AND('Monthly Cash Flow'!DS$4&gt;1,'Monthly Cash Flow'!DS$4&lt;=2),'Monthly Cash Flow'!DR12*(1+'Rent Roll Analysis'!$AE10/12),'Monthly Cash Flow'!DR12*(1+'Rent Roll Analysis'!$AB10/12))))</f>
        <v>117569.18705653855</v>
      </c>
      <c r="DT12" s="1428">
        <f>IF($B12="","",IF(DT$4&lt;2,(DS12*(1+'Rent Roll Analysis'!$AK10/12)), IF(AND('Monthly Cash Flow'!DT$4&gt;1,'Monthly Cash Flow'!DT$4&lt;=2),'Monthly Cash Flow'!DS12*(1+'Rent Roll Analysis'!$AE10/12),'Monthly Cash Flow'!DS12*(1+'Rent Roll Analysis'!$AB10/12))))</f>
        <v>117961.08434672702</v>
      </c>
      <c r="DU12" s="385" t="s">
        <v>557</v>
      </c>
      <c r="DV12" s="375"/>
    </row>
    <row r="13" spans="1:126" s="92" customFormat="1" ht="20.149999999999999" customHeight="1" outlineLevel="1">
      <c r="A13" s="375"/>
      <c r="B13" s="383" t="str">
        <f>'Rent Roll Analysis'!C11</f>
        <v>C1</v>
      </c>
      <c r="C13" s="376"/>
      <c r="D13" s="1426">
        <f>IF('Rent Roll Analysis'!C11="","",'Rent Roll Analysis'!N11*'Rent Roll Analysis'!E11)</f>
        <v>48427.241379310202</v>
      </c>
      <c r="E13" s="1428">
        <f t="shared" si="113"/>
        <v>48427.241379310202</v>
      </c>
      <c r="F13" s="1428">
        <f>IF($B13="","",IF(F$4&lt;2,(E13*(1+'Rent Roll Analysis'!$AK11/12)), IF(AND('Monthly Cash Flow'!F$4&gt;1,'Monthly Cash Flow'!F$4&lt;=2),'Monthly Cash Flow'!E13*(1+'Rent Roll Analysis'!$AE11/12),'Monthly Cash Flow'!E13*(1+'Rent Roll Analysis'!$AB11/12))))</f>
        <v>48750.089655172269</v>
      </c>
      <c r="G13" s="1428">
        <f>IF($B13="","",IF(G$4&lt;2,(F13*(1+'Rent Roll Analysis'!$AK11/12)), IF(AND('Monthly Cash Flow'!G$4&gt;1,'Monthly Cash Flow'!G$4&lt;=2),'Monthly Cash Flow'!F13*(1+'Rent Roll Analysis'!$AE11/12),'Monthly Cash Flow'!F13*(1+'Rent Roll Analysis'!$AB11/12))))</f>
        <v>49075.090252873415</v>
      </c>
      <c r="H13" s="1428">
        <f>IF($B13="","",IF(H$4&lt;2,(G13*(1+'Rent Roll Analysis'!$AK11/12)), IF(AND('Monthly Cash Flow'!H$4&gt;1,'Monthly Cash Flow'!H$4&lt;=2),'Monthly Cash Flow'!G13*(1+'Rent Roll Analysis'!$AE11/12),'Monthly Cash Flow'!G13*(1+'Rent Roll Analysis'!$AB11/12))))</f>
        <v>49402.257521225903</v>
      </c>
      <c r="I13" s="1428">
        <f>IF($B13="","",IF(I$4&lt;2,(H13*(1+'Rent Roll Analysis'!$AK11/12)), IF(AND('Monthly Cash Flow'!I$4&gt;1,'Monthly Cash Flow'!I$4&lt;=2),'Monthly Cash Flow'!H13*(1+'Rent Roll Analysis'!$AE11/12),'Monthly Cash Flow'!H13*(1+'Rent Roll Analysis'!$AB11/12))))</f>
        <v>49731.605904700737</v>
      </c>
      <c r="J13" s="1428">
        <f>IF($B13="","",IF(J$4&lt;2,(I13*(1+'Rent Roll Analysis'!$AK11/12)), IF(AND('Monthly Cash Flow'!J$4&gt;1,'Monthly Cash Flow'!J$4&lt;=2),'Monthly Cash Flow'!I13*(1+'Rent Roll Analysis'!$AE11/12),'Monthly Cash Flow'!I13*(1+'Rent Roll Analysis'!$AB11/12))))</f>
        <v>50063.149944065408</v>
      </c>
      <c r="K13" s="1428">
        <f>IF($B13="","",IF(K$4&lt;2,(J13*(1+'Rent Roll Analysis'!$AK11/12)), IF(AND('Monthly Cash Flow'!K$4&gt;1,'Monthly Cash Flow'!K$4&lt;=2),'Monthly Cash Flow'!J13*(1+'Rent Roll Analysis'!$AE11/12),'Monthly Cash Flow'!J13*(1+'Rent Roll Analysis'!$AB11/12))))</f>
        <v>50396.904277025838</v>
      </c>
      <c r="L13" s="1428">
        <f>IF($B13="","",IF(L$4&lt;2,(K13*(1+'Rent Roll Analysis'!$AK11/12)), IF(AND('Monthly Cash Flow'!L$4&gt;1,'Monthly Cash Flow'!L$4&lt;=2),'Monthly Cash Flow'!K13*(1+'Rent Roll Analysis'!$AE11/12),'Monthly Cash Flow'!K13*(1+'Rent Roll Analysis'!$AB11/12))))</f>
        <v>50732.88363887267</v>
      </c>
      <c r="M13" s="1428">
        <f>IF($B13="","",IF(M$4&lt;2,(L13*(1+'Rent Roll Analysis'!$AK11/12)), IF(AND('Monthly Cash Flow'!M$4&gt;1,'Monthly Cash Flow'!M$4&lt;=2),'Monthly Cash Flow'!L13*(1+'Rent Roll Analysis'!$AE11/12),'Monthly Cash Flow'!L13*(1+'Rent Roll Analysis'!$AB11/12))))</f>
        <v>51071.102863131819</v>
      </c>
      <c r="N13" s="1428">
        <f>IF($B13="","",IF(N$4&lt;2,(M13*(1+'Rent Roll Analysis'!$AK11/12)), IF(AND('Monthly Cash Flow'!N$4&gt;1,'Monthly Cash Flow'!N$4&lt;=2),'Monthly Cash Flow'!M13*(1+'Rent Roll Analysis'!$AE11/12),'Monthly Cash Flow'!M13*(1+'Rent Roll Analysis'!$AB11/12))))</f>
        <v>51411.576882219364</v>
      </c>
      <c r="O13" s="1428">
        <f>IF($B13="","",IF(O$4&lt;2,(N13*(1+'Rent Roll Analysis'!$AK11/12)), IF(AND('Monthly Cash Flow'!O$4&gt;1,'Monthly Cash Flow'!O$4&lt;=2),'Monthly Cash Flow'!N13*(1+'Rent Roll Analysis'!$AE11/12),'Monthly Cash Flow'!N13*(1+'Rent Roll Analysis'!$AB11/12))))</f>
        <v>51754.320728100822</v>
      </c>
      <c r="P13" s="1428">
        <f>IF($B13="","",IF(P$4&lt;2,(O13*(1+'Rent Roll Analysis'!$AK11/12)), IF(AND('Monthly Cash Flow'!P$4&gt;1,'Monthly Cash Flow'!P$4&lt;=2),'Monthly Cash Flow'!O13*(1+'Rent Roll Analysis'!$AE11/12),'Monthly Cash Flow'!O13*(1+'Rent Roll Analysis'!$AB11/12))))</f>
        <v>52099.349532954824</v>
      </c>
      <c r="Q13" s="1428">
        <f>IF($B13="","",IF(Q$4&lt;2,(P13*(1+'Rent Roll Analysis'!$AK11/12)), IF(AND('Monthly Cash Flow'!Q$4&gt;1,'Monthly Cash Flow'!Q$4&lt;=2),'Monthly Cash Flow'!P13*(1+'Rent Roll Analysis'!$AE11/12),'Monthly Cash Flow'!P13*(1+'Rent Roll Analysis'!$AB11/12))))</f>
        <v>52424.970467535793</v>
      </c>
      <c r="R13" s="1428">
        <f>IF($B13="","",IF(R$4&lt;2,(Q13*(1+'Rent Roll Analysis'!$AK11/12)), IF(AND('Monthly Cash Flow'!R$4&gt;1,'Monthly Cash Flow'!R$4&lt;=2),'Monthly Cash Flow'!Q13*(1+'Rent Roll Analysis'!$AE11/12),'Monthly Cash Flow'!Q13*(1+'Rent Roll Analysis'!$AB11/12))))</f>
        <v>52752.626532957896</v>
      </c>
      <c r="S13" s="1428">
        <f>IF($B13="","",IF(S$4&lt;2,(R13*(1+'Rent Roll Analysis'!$AK11/12)), IF(AND('Monthly Cash Flow'!S$4&gt;1,'Monthly Cash Flow'!S$4&lt;=2),'Monthly Cash Flow'!R13*(1+'Rent Roll Analysis'!$AE11/12),'Monthly Cash Flow'!R13*(1+'Rent Roll Analysis'!$AB11/12))))</f>
        <v>53082.330448788889</v>
      </c>
      <c r="T13" s="1428">
        <f>IF($B13="","",IF(T$4&lt;2,(S13*(1+'Rent Roll Analysis'!$AK11/12)), IF(AND('Monthly Cash Flow'!T$4&gt;1,'Monthly Cash Flow'!T$4&lt;=2),'Monthly Cash Flow'!S13*(1+'Rent Roll Analysis'!$AE11/12),'Monthly Cash Flow'!S13*(1+'Rent Roll Analysis'!$AB11/12))))</f>
        <v>53414.095014093822</v>
      </c>
      <c r="U13" s="1428">
        <f>IF($B13="","",IF(U$4&lt;2,(T13*(1+'Rent Roll Analysis'!$AK11/12)), IF(AND('Monthly Cash Flow'!U$4&gt;1,'Monthly Cash Flow'!U$4&lt;=2),'Monthly Cash Flow'!T13*(1+'Rent Roll Analysis'!$AE11/12),'Monthly Cash Flow'!T13*(1+'Rent Roll Analysis'!$AB11/12))))</f>
        <v>53747.933107931916</v>
      </c>
      <c r="V13" s="1428">
        <f>IF($B13="","",IF(V$4&lt;2,(U13*(1+'Rent Roll Analysis'!$AK11/12)), IF(AND('Monthly Cash Flow'!V$4&gt;1,'Monthly Cash Flow'!V$4&lt;=2),'Monthly Cash Flow'!U13*(1+'Rent Roll Analysis'!$AE11/12),'Monthly Cash Flow'!U13*(1+'Rent Roll Analysis'!$AB11/12))))</f>
        <v>54083.857689856493</v>
      </c>
      <c r="W13" s="1428">
        <f>IF($B13="","",IF(W$4&lt;2,(V13*(1+'Rent Roll Analysis'!$AK11/12)), IF(AND('Monthly Cash Flow'!W$4&gt;1,'Monthly Cash Flow'!W$4&lt;=2),'Monthly Cash Flow'!V13*(1+'Rent Roll Analysis'!$AE11/12),'Monthly Cash Flow'!V13*(1+'Rent Roll Analysis'!$AB11/12))))</f>
        <v>54421.881800418101</v>
      </c>
      <c r="X13" s="1428">
        <f>IF($B13="","",IF(X$4&lt;2,(W13*(1+'Rent Roll Analysis'!$AK11/12)), IF(AND('Monthly Cash Flow'!X$4&gt;1,'Monthly Cash Flow'!X$4&lt;=2),'Monthly Cash Flow'!W13*(1+'Rent Roll Analysis'!$AE11/12),'Monthly Cash Flow'!W13*(1+'Rent Roll Analysis'!$AB11/12))))</f>
        <v>54762.018561670717</v>
      </c>
      <c r="Y13" s="1428">
        <f>IF($B13="","",IF(Y$4&lt;2,(X13*(1+'Rent Roll Analysis'!$AK11/12)), IF(AND('Monthly Cash Flow'!Y$4&gt;1,'Monthly Cash Flow'!Y$4&lt;=2),'Monthly Cash Flow'!X13*(1+'Rent Roll Analysis'!$AE11/12),'Monthly Cash Flow'!X13*(1+'Rent Roll Analysis'!$AB11/12))))</f>
        <v>55104.281177681165</v>
      </c>
      <c r="Z13" s="1428">
        <f>IF($B13="","",IF(Z$4&lt;2,(Y13*(1+'Rent Roll Analysis'!$AK11/12)), IF(AND('Monthly Cash Flow'!Z$4&gt;1,'Monthly Cash Flow'!Z$4&lt;=2),'Monthly Cash Flow'!Y13*(1+'Rent Roll Analysis'!$AE11/12),'Monthly Cash Flow'!Y13*(1+'Rent Roll Analysis'!$AB11/12))))</f>
        <v>55448.682935041674</v>
      </c>
      <c r="AA13" s="1428">
        <f>IF($B13="","",IF(AA$4&lt;2,(Z13*(1+'Rent Roll Analysis'!$AK11/12)), IF(AND('Monthly Cash Flow'!AA$4&gt;1,'Monthly Cash Flow'!AA$4&lt;=2),'Monthly Cash Flow'!Z13*(1+'Rent Roll Analysis'!$AE11/12),'Monthly Cash Flow'!Z13*(1+'Rent Roll Analysis'!$AB11/12))))</f>
        <v>55795.237203385688</v>
      </c>
      <c r="AB13" s="1428">
        <f>IF($B13="","",IF(AB$4&lt;2,(AA13*(1+'Rent Roll Analysis'!$AK11/12)), IF(AND('Monthly Cash Flow'!AB$4&gt;1,'Monthly Cash Flow'!AB$4&lt;=2),'Monthly Cash Flow'!AA13*(1+'Rent Roll Analysis'!$AE11/12),'Monthly Cash Flow'!AA13*(1+'Rent Roll Analysis'!$AB11/12))))</f>
        <v>56143.95743590685</v>
      </c>
      <c r="AC13" s="1428">
        <f>IF($B13="","",IF(AC$4&lt;2,(AB13*(1+'Rent Roll Analysis'!$AK11/12)), IF(AND('Monthly Cash Flow'!AC$4&gt;1,'Monthly Cash Flow'!AC$4&lt;=2),'Monthly Cash Flow'!AB13*(1+'Rent Roll Analysis'!$AE11/12),'Monthly Cash Flow'!AB13*(1+'Rent Roll Analysis'!$AB11/12))))</f>
        <v>56331.10396069321</v>
      </c>
      <c r="AD13" s="1428">
        <f>IF($B13="","",IF(AD$4&lt;2,(AC13*(1+'Rent Roll Analysis'!$AK11/12)), IF(AND('Monthly Cash Flow'!AD$4&gt;1,'Monthly Cash Flow'!AD$4&lt;=2),'Monthly Cash Flow'!AC13*(1+'Rent Roll Analysis'!$AE11/12),'Monthly Cash Flow'!AC13*(1+'Rent Roll Analysis'!$AB11/12))))</f>
        <v>56518.874307228856</v>
      </c>
      <c r="AE13" s="1428">
        <f>IF($B13="","",IF(AE$4&lt;2,(AD13*(1+'Rent Roll Analysis'!$AK11/12)), IF(AND('Monthly Cash Flow'!AE$4&gt;1,'Monthly Cash Flow'!AE$4&lt;=2),'Monthly Cash Flow'!AD13*(1+'Rent Roll Analysis'!$AE11/12),'Monthly Cash Flow'!AD13*(1+'Rent Roll Analysis'!$AB11/12))))</f>
        <v>56707.270554919625</v>
      </c>
      <c r="AF13" s="1428">
        <f>IF($B13="","",IF(AF$4&lt;2,(AE13*(1+'Rent Roll Analysis'!$AK11/12)), IF(AND('Monthly Cash Flow'!AF$4&gt;1,'Monthly Cash Flow'!AF$4&lt;=2),'Monthly Cash Flow'!AE13*(1+'Rent Roll Analysis'!$AE11/12),'Monthly Cash Flow'!AE13*(1+'Rent Roll Analysis'!$AB11/12))))</f>
        <v>56896.294790102693</v>
      </c>
      <c r="AG13" s="1428">
        <f>IF($B13="","",IF(AG$4&lt;2,(AF13*(1+'Rent Roll Analysis'!$AK11/12)), IF(AND('Monthly Cash Flow'!AG$4&gt;1,'Monthly Cash Flow'!AG$4&lt;=2),'Monthly Cash Flow'!AF13*(1+'Rent Roll Analysis'!$AE11/12),'Monthly Cash Flow'!AF13*(1+'Rent Roll Analysis'!$AB11/12))))</f>
        <v>57085.949106069704</v>
      </c>
      <c r="AH13" s="1428">
        <f>IF($B13="","",IF(AH$4&lt;2,(AG13*(1+'Rent Roll Analysis'!$AK11/12)), IF(AND('Monthly Cash Flow'!AH$4&gt;1,'Monthly Cash Flow'!AH$4&lt;=2),'Monthly Cash Flow'!AG13*(1+'Rent Roll Analysis'!$AE11/12),'Monthly Cash Flow'!AG13*(1+'Rent Roll Analysis'!$AB11/12))))</f>
        <v>57276.235603089939</v>
      </c>
      <c r="AI13" s="1428">
        <f>IF($B13="","",IF(AI$4&lt;2,(AH13*(1+'Rent Roll Analysis'!$AK11/12)), IF(AND('Monthly Cash Flow'!AI$4&gt;1,'Monthly Cash Flow'!AI$4&lt;=2),'Monthly Cash Flow'!AH13*(1+'Rent Roll Analysis'!$AE11/12),'Monthly Cash Flow'!AH13*(1+'Rent Roll Analysis'!$AB11/12))))</f>
        <v>57467.156388433577</v>
      </c>
      <c r="AJ13" s="1428">
        <f>IF($B13="","",IF(AJ$4&lt;2,(AI13*(1+'Rent Roll Analysis'!$AK11/12)), IF(AND('Monthly Cash Flow'!AJ$4&gt;1,'Monthly Cash Flow'!AJ$4&lt;=2),'Monthly Cash Flow'!AI13*(1+'Rent Roll Analysis'!$AE11/12),'Monthly Cash Flow'!AI13*(1+'Rent Roll Analysis'!$AB11/12))))</f>
        <v>57658.713576395028</v>
      </c>
      <c r="AK13" s="1428">
        <f>IF($B13="","",IF(AK$4&lt;2,(AJ13*(1+'Rent Roll Analysis'!$AK11/12)), IF(AND('Monthly Cash Flow'!AK$4&gt;1,'Monthly Cash Flow'!AK$4&lt;=2),'Monthly Cash Flow'!AJ13*(1+'Rent Roll Analysis'!$AE11/12),'Monthly Cash Flow'!AJ13*(1+'Rent Roll Analysis'!$AB11/12))))</f>
        <v>57850.909288316347</v>
      </c>
      <c r="AL13" s="1428">
        <f>IF($B13="","",IF(AL$4&lt;2,(AK13*(1+'Rent Roll Analysis'!$AK11/12)), IF(AND('Monthly Cash Flow'!AL$4&gt;1,'Monthly Cash Flow'!AL$4&lt;=2),'Monthly Cash Flow'!AK13*(1+'Rent Roll Analysis'!$AE11/12),'Monthly Cash Flow'!AK13*(1+'Rent Roll Analysis'!$AB11/12))))</f>
        <v>58043.745652610742</v>
      </c>
      <c r="AM13" s="1428">
        <f>IF($B13="","",IF(AM$4&lt;2,(AL13*(1+'Rent Roll Analysis'!$AK11/12)), IF(AND('Monthly Cash Flow'!AM$4&gt;1,'Monthly Cash Flow'!AM$4&lt;=2),'Monthly Cash Flow'!AL13*(1+'Rent Roll Analysis'!$AE11/12),'Monthly Cash Flow'!AL13*(1+'Rent Roll Analysis'!$AB11/12))))</f>
        <v>58237.224804786114</v>
      </c>
      <c r="AN13" s="1428">
        <f>IF($B13="","",IF(AN$4&lt;2,(AM13*(1+'Rent Roll Analysis'!$AK11/12)), IF(AND('Monthly Cash Flow'!AN$4&gt;1,'Monthly Cash Flow'!AN$4&lt;=2),'Monthly Cash Flow'!AM13*(1+'Rent Roll Analysis'!$AE11/12),'Monthly Cash Flow'!AM13*(1+'Rent Roll Analysis'!$AB11/12))))</f>
        <v>58431.348887468739</v>
      </c>
      <c r="AO13" s="1428">
        <f>IF($B13="","",IF(AO$4&lt;2,(AN13*(1+'Rent Roll Analysis'!$AK11/12)), IF(AND('Monthly Cash Flow'!AO$4&gt;1,'Monthly Cash Flow'!AO$4&lt;=2),'Monthly Cash Flow'!AN13*(1+'Rent Roll Analysis'!$AE11/12),'Monthly Cash Flow'!AN13*(1+'Rent Roll Analysis'!$AB11/12))))</f>
        <v>58626.120050426973</v>
      </c>
      <c r="AP13" s="1428">
        <f>IF($B13="","",IF(AP$4&lt;2,(AO13*(1+'Rent Roll Analysis'!$AK11/12)), IF(AND('Monthly Cash Flow'!AP$4&gt;1,'Monthly Cash Flow'!AP$4&lt;=2),'Monthly Cash Flow'!AO13*(1+'Rent Roll Analysis'!$AE11/12),'Monthly Cash Flow'!AO13*(1+'Rent Roll Analysis'!$AB11/12))))</f>
        <v>58821.540450595065</v>
      </c>
      <c r="AQ13" s="1428">
        <f>IF($B13="","",IF(AQ$4&lt;2,(AP13*(1+'Rent Roll Analysis'!$AK11/12)), IF(AND('Monthly Cash Flow'!AQ$4&gt;1,'Monthly Cash Flow'!AQ$4&lt;=2),'Monthly Cash Flow'!AP13*(1+'Rent Roll Analysis'!$AE11/12),'Monthly Cash Flow'!AP13*(1+'Rent Roll Analysis'!$AB11/12))))</f>
        <v>59017.612252097053</v>
      </c>
      <c r="AR13" s="1428">
        <f>IF($B13="","",IF(AR$4&lt;2,(AQ13*(1+'Rent Roll Analysis'!$AK11/12)), IF(AND('Monthly Cash Flow'!AR$4&gt;1,'Monthly Cash Flow'!AR$4&lt;=2),'Monthly Cash Flow'!AQ13*(1+'Rent Roll Analysis'!$AE11/12),'Monthly Cash Flow'!AQ13*(1+'Rent Roll Analysis'!$AB11/12))))</f>
        <v>59214.337626270717</v>
      </c>
      <c r="AS13" s="1428">
        <f>IF($B13="","",IF(AS$4&lt;2,(AR13*(1+'Rent Roll Analysis'!$AK11/12)), IF(AND('Monthly Cash Flow'!AS$4&gt;1,'Monthly Cash Flow'!AS$4&lt;=2),'Monthly Cash Flow'!AR13*(1+'Rent Roll Analysis'!$AE11/12),'Monthly Cash Flow'!AR13*(1+'Rent Roll Analysis'!$AB11/12))))</f>
        <v>59411.718751691624</v>
      </c>
      <c r="AT13" s="1428">
        <f>IF($B13="","",IF(AT$4&lt;2,(AS13*(1+'Rent Roll Analysis'!$AK11/12)), IF(AND('Monthly Cash Flow'!AT$4&gt;1,'Monthly Cash Flow'!AT$4&lt;=2),'Monthly Cash Flow'!AS13*(1+'Rent Roll Analysis'!$AE11/12),'Monthly Cash Flow'!AS13*(1+'Rent Roll Analysis'!$AB11/12))))</f>
        <v>59609.75781419727</v>
      </c>
      <c r="AU13" s="1428">
        <f>IF($B13="","",IF(AU$4&lt;2,(AT13*(1+'Rent Roll Analysis'!$AK11/12)), IF(AND('Monthly Cash Flow'!AU$4&gt;1,'Monthly Cash Flow'!AU$4&lt;=2),'Monthly Cash Flow'!AT13*(1+'Rent Roll Analysis'!$AE11/12),'Monthly Cash Flow'!AT13*(1+'Rent Roll Analysis'!$AB11/12))))</f>
        <v>59808.457006911267</v>
      </c>
      <c r="AV13" s="1428">
        <f>IF($B13="","",IF(AV$4&lt;2,(AU13*(1+'Rent Roll Analysis'!$AK11/12)), IF(AND('Monthly Cash Flow'!AV$4&gt;1,'Monthly Cash Flow'!AV$4&lt;=2),'Monthly Cash Flow'!AU13*(1+'Rent Roll Analysis'!$AE11/12),'Monthly Cash Flow'!AU13*(1+'Rent Roll Analysis'!$AB11/12))))</f>
        <v>60007.818530267643</v>
      </c>
      <c r="AW13" s="1428">
        <f>IF($B13="","",IF(AW$4&lt;2,(AV13*(1+'Rent Roll Analysis'!$AK11/12)), IF(AND('Monthly Cash Flow'!AW$4&gt;1,'Monthly Cash Flow'!AW$4&lt;=2),'Monthly Cash Flow'!AV13*(1+'Rent Roll Analysis'!$AE11/12),'Monthly Cash Flow'!AV13*(1+'Rent Roll Analysis'!$AB11/12))))</f>
        <v>60207.84459203521</v>
      </c>
      <c r="AX13" s="1428">
        <f>IF($B13="","",IF(AX$4&lt;2,(AW13*(1+'Rent Roll Analysis'!$AK11/12)), IF(AND('Monthly Cash Flow'!AX$4&gt;1,'Monthly Cash Flow'!AX$4&lt;=2),'Monthly Cash Flow'!AW13*(1+'Rent Roll Analysis'!$AE11/12),'Monthly Cash Flow'!AW13*(1+'Rent Roll Analysis'!$AB11/12))))</f>
        <v>60408.537407341995</v>
      </c>
      <c r="AY13" s="1428">
        <f>IF($B13="","",IF(AY$4&lt;2,(AX13*(1+'Rent Roll Analysis'!$AK11/12)), IF(AND('Monthly Cash Flow'!AY$4&gt;1,'Monthly Cash Flow'!AY$4&lt;=2),'Monthly Cash Flow'!AX13*(1+'Rent Roll Analysis'!$AE11/12),'Monthly Cash Flow'!AX13*(1+'Rent Roll Analysis'!$AB11/12))))</f>
        <v>60609.899198699808</v>
      </c>
      <c r="AZ13" s="1428">
        <f>IF($B13="","",IF(AZ$4&lt;2,(AY13*(1+'Rent Roll Analysis'!$AK11/12)), IF(AND('Monthly Cash Flow'!AZ$4&gt;1,'Monthly Cash Flow'!AZ$4&lt;=2),'Monthly Cash Flow'!AY13*(1+'Rent Roll Analysis'!$AE11/12),'Monthly Cash Flow'!AY13*(1+'Rent Roll Analysis'!$AB11/12))))</f>
        <v>60811.932196028814</v>
      </c>
      <c r="BA13" s="1428">
        <f>IF($B13="","",IF(BA$4&lt;2,(AZ13*(1+'Rent Roll Analysis'!$AK11/12)), IF(AND('Monthly Cash Flow'!BA$4&gt;1,'Monthly Cash Flow'!BA$4&lt;=2),'Monthly Cash Flow'!AZ13*(1+'Rent Roll Analysis'!$AE11/12),'Monthly Cash Flow'!AZ13*(1+'Rent Roll Analysis'!$AB11/12))))</f>
        <v>61014.638636682248</v>
      </c>
      <c r="BB13" s="1428">
        <f>IF($B13="","",IF(BB$4&lt;2,(BA13*(1+'Rent Roll Analysis'!$AK11/12)), IF(AND('Monthly Cash Flow'!BB$4&gt;1,'Monthly Cash Flow'!BB$4&lt;=2),'Monthly Cash Flow'!BA13*(1+'Rent Roll Analysis'!$AE11/12),'Monthly Cash Flow'!BA13*(1+'Rent Roll Analysis'!$AB11/12))))</f>
        <v>61218.020765471192</v>
      </c>
      <c r="BC13" s="1428">
        <f>IF($B13="","",IF(BC$4&lt;2,(BB13*(1+'Rent Roll Analysis'!$AK11/12)), IF(AND('Monthly Cash Flow'!BC$4&gt;1,'Monthly Cash Flow'!BC$4&lt;=2),'Monthly Cash Flow'!BB13*(1+'Rent Roll Analysis'!$AE11/12),'Monthly Cash Flow'!BB13*(1+'Rent Roll Analysis'!$AB11/12))))</f>
        <v>61422.080834689434</v>
      </c>
      <c r="BD13" s="1428">
        <f>IF($B13="","",IF(BD$4&lt;2,(BC13*(1+'Rent Roll Analysis'!$AK11/12)), IF(AND('Monthly Cash Flow'!BD$4&gt;1,'Monthly Cash Flow'!BD$4&lt;=2),'Monthly Cash Flow'!BC13*(1+'Rent Roll Analysis'!$AE11/12),'Monthly Cash Flow'!BC13*(1+'Rent Roll Analysis'!$AB11/12))))</f>
        <v>61626.821104138406</v>
      </c>
      <c r="BE13" s="1428">
        <f>IF($B13="","",IF(BE$4&lt;2,(BD13*(1+'Rent Roll Analysis'!$AK11/12)), IF(AND('Monthly Cash Flow'!BE$4&gt;1,'Monthly Cash Flow'!BE$4&lt;=2),'Monthly Cash Flow'!BD13*(1+'Rent Roll Analysis'!$AE11/12),'Monthly Cash Flow'!BD13*(1+'Rent Roll Analysis'!$AB11/12))))</f>
        <v>61832.243841152202</v>
      </c>
      <c r="BF13" s="1428">
        <f>IF($B13="","",IF(BF$4&lt;2,(BE13*(1+'Rent Roll Analysis'!$AK11/12)), IF(AND('Monthly Cash Flow'!BF$4&gt;1,'Monthly Cash Flow'!BF$4&lt;=2),'Monthly Cash Flow'!BE13*(1+'Rent Roll Analysis'!$AE11/12),'Monthly Cash Flow'!BE13*(1+'Rent Roll Analysis'!$AB11/12))))</f>
        <v>62038.351320622714</v>
      </c>
      <c r="BG13" s="1428">
        <f>IF($B13="","",IF(BG$4&lt;2,(BF13*(1+'Rent Roll Analysis'!$AK11/12)), IF(AND('Monthly Cash Flow'!BG$4&gt;1,'Monthly Cash Flow'!BG$4&lt;=2),'Monthly Cash Flow'!BF13*(1+'Rent Roll Analysis'!$AE11/12),'Monthly Cash Flow'!BF13*(1+'Rent Roll Analysis'!$AB11/12))))</f>
        <v>62245.145825024796</v>
      </c>
      <c r="BH13" s="1428">
        <f>IF($B13="","",IF(BH$4&lt;2,(BG13*(1+'Rent Roll Analysis'!$AK11/12)), IF(AND('Monthly Cash Flow'!BH$4&gt;1,'Monthly Cash Flow'!BH$4&lt;=2),'Monthly Cash Flow'!BG13*(1+'Rent Roll Analysis'!$AE11/12),'Monthly Cash Flow'!BG13*(1+'Rent Roll Analysis'!$AB11/12))))</f>
        <v>62452.629644441549</v>
      </c>
      <c r="BI13" s="1428">
        <f>IF($B13="","",IF(BI$4&lt;2,(BH13*(1+'Rent Roll Analysis'!$AK11/12)), IF(AND('Monthly Cash Flow'!BI$4&gt;1,'Monthly Cash Flow'!BI$4&lt;=2),'Monthly Cash Flow'!BH13*(1+'Rent Roll Analysis'!$AE11/12),'Monthly Cash Flow'!BH13*(1+'Rent Roll Analysis'!$AB11/12))))</f>
        <v>62660.805076589691</v>
      </c>
      <c r="BJ13" s="1428">
        <f>IF($B13="","",IF(BJ$4&lt;2,(BI13*(1+'Rent Roll Analysis'!$AK11/12)), IF(AND('Monthly Cash Flow'!BJ$4&gt;1,'Monthly Cash Flow'!BJ$4&lt;=2),'Monthly Cash Flow'!BI13*(1+'Rent Roll Analysis'!$AE11/12),'Monthly Cash Flow'!BI13*(1+'Rent Roll Analysis'!$AB11/12))))</f>
        <v>62869.674426844998</v>
      </c>
      <c r="BK13" s="1428">
        <f>IF($B13="","",IF(BK$4&lt;2,(BJ13*(1+'Rent Roll Analysis'!$AK11/12)), IF(AND('Monthly Cash Flow'!BK$4&gt;1,'Monthly Cash Flow'!BK$4&lt;=2),'Monthly Cash Flow'!BJ13*(1+'Rent Roll Analysis'!$AE11/12),'Monthly Cash Flow'!BJ13*(1+'Rent Roll Analysis'!$AB11/12))))</f>
        <v>63079.240008267821</v>
      </c>
      <c r="BL13" s="1428">
        <f>IF($B13="","",IF(BL$4&lt;2,(BK13*(1+'Rent Roll Analysis'!$AK11/12)), IF(AND('Monthly Cash Flow'!BL$4&gt;1,'Monthly Cash Flow'!BL$4&lt;=2),'Monthly Cash Flow'!BK13*(1+'Rent Roll Analysis'!$AE11/12),'Monthly Cash Flow'!BK13*(1+'Rent Roll Analysis'!$AB11/12))))</f>
        <v>63289.50414162872</v>
      </c>
      <c r="BM13" s="1428">
        <f>IF($B13="","",IF(BM$4&lt;2,(BL13*(1+'Rent Roll Analysis'!$AK11/12)), IF(AND('Monthly Cash Flow'!BM$4&gt;1,'Monthly Cash Flow'!BM$4&lt;=2),'Monthly Cash Flow'!BL13*(1+'Rent Roll Analysis'!$AE11/12),'Monthly Cash Flow'!BL13*(1+'Rent Roll Analysis'!$AB11/12))))</f>
        <v>63500.469155434155</v>
      </c>
      <c r="BN13" s="1428">
        <f>IF($B13="","",IF(BN$4&lt;2,(BM13*(1+'Rent Roll Analysis'!$AK11/12)), IF(AND('Monthly Cash Flow'!BN$4&gt;1,'Monthly Cash Flow'!BN$4&lt;=2),'Monthly Cash Flow'!BM13*(1+'Rent Roll Analysis'!$AE11/12),'Monthly Cash Flow'!BM13*(1+'Rent Roll Analysis'!$AB11/12))))</f>
        <v>63712.137385952272</v>
      </c>
      <c r="BO13" s="1428">
        <f>IF($B13="","",IF(BO$4&lt;2,(BN13*(1+'Rent Roll Analysis'!$AK11/12)), IF(AND('Monthly Cash Flow'!BO$4&gt;1,'Monthly Cash Flow'!BO$4&lt;=2),'Monthly Cash Flow'!BN13*(1+'Rent Roll Analysis'!$AE11/12),'Monthly Cash Flow'!BN13*(1+'Rent Roll Analysis'!$AB11/12))))</f>
        <v>63924.511177238783</v>
      </c>
      <c r="BP13" s="1428">
        <f>IF($B13="","",IF(BP$4&lt;2,(BO13*(1+'Rent Roll Analysis'!$AK11/12)), IF(AND('Monthly Cash Flow'!BP$4&gt;1,'Monthly Cash Flow'!BP$4&lt;=2),'Monthly Cash Flow'!BO13*(1+'Rent Roll Analysis'!$AE11/12),'Monthly Cash Flow'!BO13*(1+'Rent Roll Analysis'!$AB11/12))))</f>
        <v>64137.59288116292</v>
      </c>
      <c r="BQ13" s="1428">
        <f>IF($B13="","",IF(BQ$4&lt;2,(BP13*(1+'Rent Roll Analysis'!$AK11/12)), IF(AND('Monthly Cash Flow'!BQ$4&gt;1,'Monthly Cash Flow'!BQ$4&lt;=2),'Monthly Cash Flow'!BP13*(1+'Rent Roll Analysis'!$AE11/12),'Monthly Cash Flow'!BP13*(1+'Rent Roll Analysis'!$AB11/12))))</f>
        <v>64351.38485743347</v>
      </c>
      <c r="BR13" s="1428">
        <f>IF($B13="","",IF(BR$4&lt;2,(BQ13*(1+'Rent Roll Analysis'!$AK11/12)), IF(AND('Monthly Cash Flow'!BR$4&gt;1,'Monthly Cash Flow'!BR$4&lt;=2),'Monthly Cash Flow'!BQ13*(1+'Rent Roll Analysis'!$AE11/12),'Monthly Cash Flow'!BQ13*(1+'Rent Roll Analysis'!$AB11/12))))</f>
        <v>64565.88947362492</v>
      </c>
      <c r="BS13" s="1428">
        <f>IF($B13="","",IF(BS$4&lt;2,(BR13*(1+'Rent Roll Analysis'!$AK11/12)), IF(AND('Monthly Cash Flow'!BS$4&gt;1,'Monthly Cash Flow'!BS$4&lt;=2),'Monthly Cash Flow'!BR13*(1+'Rent Roll Analysis'!$AE11/12),'Monthly Cash Flow'!BR13*(1+'Rent Roll Analysis'!$AB11/12))))</f>
        <v>64781.109105203672</v>
      </c>
      <c r="BT13" s="1428">
        <f>IF($B13="","",IF(BT$4&lt;2,(BS13*(1+'Rent Roll Analysis'!$AK11/12)), IF(AND('Monthly Cash Flow'!BT$4&gt;1,'Monthly Cash Flow'!BT$4&lt;=2),'Monthly Cash Flow'!BS13*(1+'Rent Roll Analysis'!$AE11/12),'Monthly Cash Flow'!BS13*(1+'Rent Roll Analysis'!$AB11/12))))</f>
        <v>64997.046135554352</v>
      </c>
      <c r="BU13" s="1428">
        <f>IF($B13="","",IF(BU$4&lt;2,(BT13*(1+'Rent Roll Analysis'!$AK11/12)), IF(AND('Monthly Cash Flow'!BU$4&gt;1,'Monthly Cash Flow'!BU$4&lt;=2),'Monthly Cash Flow'!BT13*(1+'Rent Roll Analysis'!$AE11/12),'Monthly Cash Flow'!BT13*(1+'Rent Roll Analysis'!$AB11/12))))</f>
        <v>65213.702956006207</v>
      </c>
      <c r="BV13" s="1428">
        <f>IF($B13="","",IF(BV$4&lt;2,(BU13*(1+'Rent Roll Analysis'!$AK11/12)), IF(AND('Monthly Cash Flow'!BV$4&gt;1,'Monthly Cash Flow'!BV$4&lt;=2),'Monthly Cash Flow'!BU13*(1+'Rent Roll Analysis'!$AE11/12),'Monthly Cash Flow'!BU13*(1+'Rent Roll Analysis'!$AB11/12))))</f>
        <v>65431.081965859565</v>
      </c>
      <c r="BW13" s="1428">
        <f>IF($B13="","",IF(BW$4&lt;2,(BV13*(1+'Rent Roll Analysis'!$AK11/12)), IF(AND('Monthly Cash Flow'!BW$4&gt;1,'Monthly Cash Flow'!BW$4&lt;=2),'Monthly Cash Flow'!BV13*(1+'Rent Roll Analysis'!$AE11/12),'Monthly Cash Flow'!BV13*(1+'Rent Roll Analysis'!$AB11/12))))</f>
        <v>65649.185572412433</v>
      </c>
      <c r="BX13" s="1428">
        <f>IF($B13="","",IF(BX$4&lt;2,(BW13*(1+'Rent Roll Analysis'!$AK11/12)), IF(AND('Monthly Cash Flow'!BX$4&gt;1,'Monthly Cash Flow'!BX$4&lt;=2),'Monthly Cash Flow'!BW13*(1+'Rent Roll Analysis'!$AE11/12),'Monthly Cash Flow'!BW13*(1+'Rent Roll Analysis'!$AB11/12))))</f>
        <v>65868.016190987139</v>
      </c>
      <c r="BY13" s="1428">
        <f>IF($B13="","",IF(BY$4&lt;2,(BX13*(1+'Rent Roll Analysis'!$AK11/12)), IF(AND('Monthly Cash Flow'!BY$4&gt;1,'Monthly Cash Flow'!BY$4&lt;=2),'Monthly Cash Flow'!BX13*(1+'Rent Roll Analysis'!$AE11/12),'Monthly Cash Flow'!BX13*(1+'Rent Roll Analysis'!$AB11/12))))</f>
        <v>66087.576244957105</v>
      </c>
      <c r="BZ13" s="1428">
        <f>IF($B13="","",IF(BZ$4&lt;2,(BY13*(1+'Rent Roll Analysis'!$AK11/12)), IF(AND('Monthly Cash Flow'!BZ$4&gt;1,'Monthly Cash Flow'!BZ$4&lt;=2),'Monthly Cash Flow'!BY13*(1+'Rent Roll Analysis'!$AE11/12),'Monthly Cash Flow'!BY13*(1+'Rent Roll Analysis'!$AB11/12))))</f>
        <v>66307.868165773631</v>
      </c>
      <c r="CA13" s="1428">
        <f>IF($B13="","",IF(CA$4&lt;2,(BZ13*(1+'Rent Roll Analysis'!$AK11/12)), IF(AND('Monthly Cash Flow'!CA$4&gt;1,'Monthly Cash Flow'!CA$4&lt;=2),'Monthly Cash Flow'!BZ13*(1+'Rent Roll Analysis'!$AE11/12),'Monthly Cash Flow'!BZ13*(1+'Rent Roll Analysis'!$AB11/12))))</f>
        <v>66528.894392992879</v>
      </c>
      <c r="CB13" s="1428">
        <f>IF($B13="","",IF(CB$4&lt;2,(CA13*(1+'Rent Roll Analysis'!$AK11/12)), IF(AND('Monthly Cash Flow'!CB$4&gt;1,'Monthly Cash Flow'!CB$4&lt;=2),'Monthly Cash Flow'!CA13*(1+'Rent Roll Analysis'!$AE11/12),'Monthly Cash Flow'!CA13*(1+'Rent Roll Analysis'!$AB11/12))))</f>
        <v>66750.657374302857</v>
      </c>
      <c r="CC13" s="1428">
        <f>IF($B13="","",IF(CC$4&lt;2,(CB13*(1+'Rent Roll Analysis'!$AK11/12)), IF(AND('Monthly Cash Flow'!CC$4&gt;1,'Monthly Cash Flow'!CC$4&lt;=2),'Monthly Cash Flow'!CB13*(1+'Rent Roll Analysis'!$AE11/12),'Monthly Cash Flow'!CB13*(1+'Rent Roll Analysis'!$AB11/12))))</f>
        <v>66973.159565550537</v>
      </c>
      <c r="CD13" s="1428">
        <f>IF($B13="","",IF(CD$4&lt;2,(CC13*(1+'Rent Roll Analysis'!$AK11/12)), IF(AND('Monthly Cash Flow'!CD$4&gt;1,'Monthly Cash Flow'!CD$4&lt;=2),'Monthly Cash Flow'!CC13*(1+'Rent Roll Analysis'!$AE11/12),'Monthly Cash Flow'!CC13*(1+'Rent Roll Analysis'!$AB11/12))))</f>
        <v>67196.403430769045</v>
      </c>
      <c r="CE13" s="1428">
        <f>IF($B13="","",IF(CE$4&lt;2,(CD13*(1+'Rent Roll Analysis'!$AK11/12)), IF(AND('Monthly Cash Flow'!CE$4&gt;1,'Monthly Cash Flow'!CE$4&lt;=2),'Monthly Cash Flow'!CD13*(1+'Rent Roll Analysis'!$AE11/12),'Monthly Cash Flow'!CD13*(1+'Rent Roll Analysis'!$AB11/12))))</f>
        <v>67420.391442204942</v>
      </c>
      <c r="CF13" s="1428">
        <f>IF($B13="","",IF(CF$4&lt;2,(CE13*(1+'Rent Roll Analysis'!$AK11/12)), IF(AND('Monthly Cash Flow'!CF$4&gt;1,'Monthly Cash Flow'!CF$4&lt;=2),'Monthly Cash Flow'!CE13*(1+'Rent Roll Analysis'!$AE11/12),'Monthly Cash Flow'!CE13*(1+'Rent Roll Analysis'!$AB11/12))))</f>
        <v>67645.126080345624</v>
      </c>
      <c r="CG13" s="1428">
        <f>IF($B13="","",IF(CG$4&lt;2,(CF13*(1+'Rent Roll Analysis'!$AK11/12)), IF(AND('Monthly Cash Flow'!CG$4&gt;1,'Monthly Cash Flow'!CG$4&lt;=2),'Monthly Cash Flow'!CF13*(1+'Rent Roll Analysis'!$AE11/12),'Monthly Cash Flow'!CF13*(1+'Rent Roll Analysis'!$AB11/12))))</f>
        <v>67870.609833946786</v>
      </c>
      <c r="CH13" s="1428">
        <f>IF($B13="","",IF(CH$4&lt;2,(CG13*(1+'Rent Roll Analysis'!$AK11/12)), IF(AND('Monthly Cash Flow'!CH$4&gt;1,'Monthly Cash Flow'!CH$4&lt;=2),'Monthly Cash Flow'!CG13*(1+'Rent Roll Analysis'!$AE11/12),'Monthly Cash Flow'!CG13*(1+'Rent Roll Analysis'!$AB11/12))))</f>
        <v>68096.84520005995</v>
      </c>
      <c r="CI13" s="1428">
        <f>IF($B13="","",IF(CI$4&lt;2,(CH13*(1+'Rent Roll Analysis'!$AK11/12)), IF(AND('Monthly Cash Flow'!CI$4&gt;1,'Monthly Cash Flow'!CI$4&lt;=2),'Monthly Cash Flow'!CH13*(1+'Rent Roll Analysis'!$AE11/12),'Monthly Cash Flow'!CH13*(1+'Rent Roll Analysis'!$AB11/12))))</f>
        <v>68323.834684060159</v>
      </c>
      <c r="CJ13" s="1428">
        <f>IF($B13="","",IF(CJ$4&lt;2,(CI13*(1+'Rent Roll Analysis'!$AK11/12)), IF(AND('Monthly Cash Flow'!CJ$4&gt;1,'Monthly Cash Flow'!CJ$4&lt;=2),'Monthly Cash Flow'!CI13*(1+'Rent Roll Analysis'!$AE11/12),'Monthly Cash Flow'!CI13*(1+'Rent Roll Analysis'!$AB11/12))))</f>
        <v>68551.580799673698</v>
      </c>
      <c r="CK13" s="1428">
        <f>IF($B13="","",IF(CK$4&lt;2,(CJ13*(1+'Rent Roll Analysis'!$AK11/12)), IF(AND('Monthly Cash Flow'!CK$4&gt;1,'Monthly Cash Flow'!CK$4&lt;=2),'Monthly Cash Flow'!CJ13*(1+'Rent Roll Analysis'!$AE11/12),'Monthly Cash Flow'!CJ13*(1+'Rent Roll Analysis'!$AB11/12))))</f>
        <v>68780.086069005949</v>
      </c>
      <c r="CL13" s="1428">
        <f>IF($B13="","",IF(CL$4&lt;2,(CK13*(1+'Rent Roll Analysis'!$AK11/12)), IF(AND('Monthly Cash Flow'!CL$4&gt;1,'Monthly Cash Flow'!CL$4&lt;=2),'Monthly Cash Flow'!CK13*(1+'Rent Roll Analysis'!$AE11/12),'Monthly Cash Flow'!CK13*(1+'Rent Roll Analysis'!$AB11/12))))</f>
        <v>69009.35302256931</v>
      </c>
      <c r="CM13" s="1428">
        <f>IF($B13="","",IF(CM$4&lt;2,(CL13*(1+'Rent Roll Analysis'!$AK11/12)), IF(AND('Monthly Cash Flow'!CM$4&gt;1,'Monthly Cash Flow'!CM$4&lt;=2),'Monthly Cash Flow'!CL13*(1+'Rent Roll Analysis'!$AE11/12),'Monthly Cash Flow'!CL13*(1+'Rent Roll Analysis'!$AB11/12))))</f>
        <v>69239.384199311215</v>
      </c>
      <c r="CN13" s="1428">
        <f>IF($B13="","",IF(CN$4&lt;2,(CM13*(1+'Rent Roll Analysis'!$AK11/12)), IF(AND('Monthly Cash Flow'!CN$4&gt;1,'Monthly Cash Flow'!CN$4&lt;=2),'Monthly Cash Flow'!CM13*(1+'Rent Roll Analysis'!$AE11/12),'Monthly Cash Flow'!CM13*(1+'Rent Roll Analysis'!$AB11/12))))</f>
        <v>69470.182146642255</v>
      </c>
      <c r="CO13" s="1428">
        <f>IF($B13="","",IF(CO$4&lt;2,(CN13*(1+'Rent Roll Analysis'!$AK11/12)), IF(AND('Monthly Cash Flow'!CO$4&gt;1,'Monthly Cash Flow'!CO$4&lt;=2),'Monthly Cash Flow'!CN13*(1+'Rent Roll Analysis'!$AE11/12),'Monthly Cash Flow'!CN13*(1+'Rent Roll Analysis'!$AB11/12))))</f>
        <v>69701.749420464403</v>
      </c>
      <c r="CP13" s="1428">
        <f>IF($B13="","",IF(CP$4&lt;2,(CO13*(1+'Rent Roll Analysis'!$AK11/12)), IF(AND('Monthly Cash Flow'!CP$4&gt;1,'Monthly Cash Flow'!CP$4&lt;=2),'Monthly Cash Flow'!CO13*(1+'Rent Roll Analysis'!$AE11/12),'Monthly Cash Flow'!CO13*(1+'Rent Roll Analysis'!$AB11/12))))</f>
        <v>69934.088585199293</v>
      </c>
      <c r="CQ13" s="1428">
        <f>IF($B13="","",IF(CQ$4&lt;2,(CP13*(1+'Rent Roll Analysis'!$AK11/12)), IF(AND('Monthly Cash Flow'!CQ$4&gt;1,'Monthly Cash Flow'!CQ$4&lt;=2),'Monthly Cash Flow'!CP13*(1+'Rent Roll Analysis'!$AE11/12),'Monthly Cash Flow'!CP13*(1+'Rent Roll Analysis'!$AB11/12))))</f>
        <v>70167.202213816636</v>
      </c>
      <c r="CR13" s="1428">
        <f>IF($B13="","",IF(CR$4&lt;2,(CQ13*(1+'Rent Roll Analysis'!$AK11/12)), IF(AND('Monthly Cash Flow'!CR$4&gt;1,'Monthly Cash Flow'!CR$4&lt;=2),'Monthly Cash Flow'!CQ13*(1+'Rent Roll Analysis'!$AE11/12),'Monthly Cash Flow'!CQ13*(1+'Rent Roll Analysis'!$AB11/12))))</f>
        <v>70401.092887862702</v>
      </c>
      <c r="CS13" s="1428">
        <f>IF($B13="","",IF(CS$4&lt;2,(CR13*(1+'Rent Roll Analysis'!$AK11/12)), IF(AND('Monthly Cash Flow'!CS$4&gt;1,'Monthly Cash Flow'!CS$4&lt;=2),'Monthly Cash Flow'!CR13*(1+'Rent Roll Analysis'!$AE11/12),'Monthly Cash Flow'!CR13*(1+'Rent Roll Analysis'!$AB11/12))))</f>
        <v>70635.763197488923</v>
      </c>
      <c r="CT13" s="1428">
        <f>IF($B13="","",IF(CT$4&lt;2,(CS13*(1+'Rent Roll Analysis'!$AK11/12)), IF(AND('Monthly Cash Flow'!CT$4&gt;1,'Monthly Cash Flow'!CT$4&lt;=2),'Monthly Cash Flow'!CS13*(1+'Rent Roll Analysis'!$AE11/12),'Monthly Cash Flow'!CS13*(1+'Rent Roll Analysis'!$AB11/12))))</f>
        <v>70871.215741480555</v>
      </c>
      <c r="CU13" s="1428">
        <f>IF($B13="","",IF(CU$4&lt;2,(CT13*(1+'Rent Roll Analysis'!$AK11/12)), IF(AND('Monthly Cash Flow'!CU$4&gt;1,'Monthly Cash Flow'!CU$4&lt;=2),'Monthly Cash Flow'!CT13*(1+'Rent Roll Analysis'!$AE11/12),'Monthly Cash Flow'!CT13*(1+'Rent Roll Analysis'!$AB11/12))))</f>
        <v>71107.453127285495</v>
      </c>
      <c r="CV13" s="1428">
        <f>IF($B13="","",IF(CV$4&lt;2,(CU13*(1+'Rent Roll Analysis'!$AK11/12)), IF(AND('Monthly Cash Flow'!CV$4&gt;1,'Monthly Cash Flow'!CV$4&lt;=2),'Monthly Cash Flow'!CU13*(1+'Rent Roll Analysis'!$AE11/12),'Monthly Cash Flow'!CU13*(1+'Rent Roll Analysis'!$AB11/12))))</f>
        <v>71344.477971043118</v>
      </c>
      <c r="CW13" s="1428">
        <f>IF($B13="","",IF(CW$4&lt;2,(CV13*(1+'Rent Roll Analysis'!$AK11/12)), IF(AND('Monthly Cash Flow'!CW$4&gt;1,'Monthly Cash Flow'!CW$4&lt;=2),'Monthly Cash Flow'!CV13*(1+'Rent Roll Analysis'!$AE11/12),'Monthly Cash Flow'!CV13*(1+'Rent Roll Analysis'!$AB11/12))))</f>
        <v>71582.292897613268</v>
      </c>
      <c r="CX13" s="1428">
        <f>IF($B13="","",IF(CX$4&lt;2,(CW13*(1+'Rent Roll Analysis'!$AK11/12)), IF(AND('Monthly Cash Flow'!CX$4&gt;1,'Monthly Cash Flow'!CX$4&lt;=2),'Monthly Cash Flow'!CW13*(1+'Rent Roll Analysis'!$AE11/12),'Monthly Cash Flow'!CW13*(1+'Rent Roll Analysis'!$AB11/12))))</f>
        <v>71820.900540605318</v>
      </c>
      <c r="CY13" s="1428">
        <f>IF($B13="","",IF(CY$4&lt;2,(CX13*(1+'Rent Roll Analysis'!$AK11/12)), IF(AND('Monthly Cash Flow'!CY$4&gt;1,'Monthly Cash Flow'!CY$4&lt;=2),'Monthly Cash Flow'!CX13*(1+'Rent Roll Analysis'!$AE11/12),'Monthly Cash Flow'!CX13*(1+'Rent Roll Analysis'!$AB11/12))))</f>
        <v>72060.303542407346</v>
      </c>
      <c r="CZ13" s="1428">
        <f>IF($B13="","",IF(CZ$4&lt;2,(CY13*(1+'Rent Roll Analysis'!$AK11/12)), IF(AND('Monthly Cash Flow'!CZ$4&gt;1,'Monthly Cash Flow'!CZ$4&lt;=2),'Monthly Cash Flow'!CY13*(1+'Rent Roll Analysis'!$AE11/12),'Monthly Cash Flow'!CY13*(1+'Rent Roll Analysis'!$AB11/12))))</f>
        <v>72300.504554215382</v>
      </c>
      <c r="DA13" s="1428">
        <f>IF($B13="","",IF(DA$4&lt;2,(CZ13*(1+'Rent Roll Analysis'!$AK11/12)), IF(AND('Monthly Cash Flow'!DA$4&gt;1,'Monthly Cash Flow'!DA$4&lt;=2),'Monthly Cash Flow'!CZ13*(1+'Rent Roll Analysis'!$AE11/12),'Monthly Cash Flow'!CZ13*(1+'Rent Roll Analysis'!$AB11/12))))</f>
        <v>72541.506236062778</v>
      </c>
      <c r="DB13" s="1428">
        <f>IF($B13="","",IF(DB$4&lt;2,(DA13*(1+'Rent Roll Analysis'!$AK11/12)), IF(AND('Monthly Cash Flow'!DB$4&gt;1,'Monthly Cash Flow'!DB$4&lt;=2),'Monthly Cash Flow'!DA13*(1+'Rent Roll Analysis'!$AE11/12),'Monthly Cash Flow'!DA13*(1+'Rent Roll Analysis'!$AB11/12))))</f>
        <v>72783.311256849658</v>
      </c>
      <c r="DC13" s="1428">
        <f>IF($B13="","",IF(DC$4&lt;2,(DB13*(1+'Rent Roll Analysis'!$AK11/12)), IF(AND('Monthly Cash Flow'!DC$4&gt;1,'Monthly Cash Flow'!DC$4&lt;=2),'Monthly Cash Flow'!DB13*(1+'Rent Roll Analysis'!$AE11/12),'Monthly Cash Flow'!DB13*(1+'Rent Roll Analysis'!$AB11/12))))</f>
        <v>73025.922294372489</v>
      </c>
      <c r="DD13" s="1428">
        <f>IF($B13="","",IF(DD$4&lt;2,(DC13*(1+'Rent Roll Analysis'!$AK11/12)), IF(AND('Monthly Cash Flow'!DD$4&gt;1,'Monthly Cash Flow'!DD$4&lt;=2),'Monthly Cash Flow'!DC13*(1+'Rent Roll Analysis'!$AE11/12),'Monthly Cash Flow'!DC13*(1+'Rent Roll Analysis'!$AB11/12))))</f>
        <v>73269.342035353737</v>
      </c>
      <c r="DE13" s="1428">
        <f>IF($B13="","",IF(DE$4&lt;2,(DD13*(1+'Rent Roll Analysis'!$AK11/12)), IF(AND('Monthly Cash Flow'!DE$4&gt;1,'Monthly Cash Flow'!DE$4&lt;=2),'Monthly Cash Flow'!DD13*(1+'Rent Roll Analysis'!$AE11/12),'Monthly Cash Flow'!DD13*(1+'Rent Roll Analysis'!$AB11/12))))</f>
        <v>73513.573175471582</v>
      </c>
      <c r="DF13" s="1428">
        <f>IF($B13="","",IF(DF$4&lt;2,(DE13*(1+'Rent Roll Analysis'!$AK11/12)), IF(AND('Monthly Cash Flow'!DF$4&gt;1,'Monthly Cash Flow'!DF$4&lt;=2),'Monthly Cash Flow'!DE13*(1+'Rent Roll Analysis'!$AE11/12),'Monthly Cash Flow'!DE13*(1+'Rent Roll Analysis'!$AB11/12))))</f>
        <v>73758.618419389823</v>
      </c>
      <c r="DG13" s="1428">
        <f>IF($B13="","",IF(DG$4&lt;2,(DF13*(1+'Rent Roll Analysis'!$AK11/12)), IF(AND('Monthly Cash Flow'!DG$4&gt;1,'Monthly Cash Flow'!DG$4&lt;=2),'Monthly Cash Flow'!DF13*(1+'Rent Roll Analysis'!$AE11/12),'Monthly Cash Flow'!DF13*(1+'Rent Roll Analysis'!$AB11/12))))</f>
        <v>74004.480480787795</v>
      </c>
      <c r="DH13" s="1428">
        <f>IF($B13="","",IF(DH$4&lt;2,(DG13*(1+'Rent Roll Analysis'!$AK11/12)), IF(AND('Monthly Cash Flow'!DH$4&gt;1,'Monthly Cash Flow'!DH$4&lt;=2),'Monthly Cash Flow'!DG13*(1+'Rent Roll Analysis'!$AE11/12),'Monthly Cash Flow'!DG13*(1+'Rent Roll Analysis'!$AB11/12))))</f>
        <v>74251.162082390423</v>
      </c>
      <c r="DI13" s="1428">
        <f>IF($B13="","",IF(DI$4&lt;2,(DH13*(1+'Rent Roll Analysis'!$AK11/12)), IF(AND('Monthly Cash Flow'!DI$4&gt;1,'Monthly Cash Flow'!DI$4&lt;=2),'Monthly Cash Flow'!DH13*(1+'Rent Roll Analysis'!$AE11/12),'Monthly Cash Flow'!DH13*(1+'Rent Roll Analysis'!$AB11/12))))</f>
        <v>74498.665955998396</v>
      </c>
      <c r="DJ13" s="1428">
        <f>IF($B13="","",IF(DJ$4&lt;2,(DI13*(1+'Rent Roll Analysis'!$AK11/12)), IF(AND('Monthly Cash Flow'!DJ$4&gt;1,'Monthly Cash Flow'!DJ$4&lt;=2),'Monthly Cash Flow'!DI13*(1+'Rent Roll Analysis'!$AE11/12),'Monthly Cash Flow'!DI13*(1+'Rent Roll Analysis'!$AB11/12))))</f>
        <v>74746.994842518397</v>
      </c>
      <c r="DK13" s="1428">
        <f>IF($B13="","",IF(DK$4&lt;2,(DJ13*(1+'Rent Roll Analysis'!$AK11/12)), IF(AND('Monthly Cash Flow'!DK$4&gt;1,'Monthly Cash Flow'!DK$4&lt;=2),'Monthly Cash Flow'!DJ13*(1+'Rent Roll Analysis'!$AE11/12),'Monthly Cash Flow'!DJ13*(1+'Rent Roll Analysis'!$AB11/12))))</f>
        <v>74996.151491993471</v>
      </c>
      <c r="DL13" s="1428">
        <f>IF($B13="","",IF(DL$4&lt;2,(DK13*(1+'Rent Roll Analysis'!$AK11/12)), IF(AND('Monthly Cash Flow'!DL$4&gt;1,'Monthly Cash Flow'!DL$4&lt;=2),'Monthly Cash Flow'!DK13*(1+'Rent Roll Analysis'!$AE11/12),'Monthly Cash Flow'!DK13*(1+'Rent Roll Analysis'!$AB11/12))))</f>
        <v>75246.13866363345</v>
      </c>
      <c r="DM13" s="1428">
        <f>IF($B13="","",IF(DM$4&lt;2,(DL13*(1+'Rent Roll Analysis'!$AK11/12)), IF(AND('Monthly Cash Flow'!DM$4&gt;1,'Monthly Cash Flow'!DM$4&lt;=2),'Monthly Cash Flow'!DL13*(1+'Rent Roll Analysis'!$AE11/12),'Monthly Cash Flow'!DL13*(1+'Rent Roll Analysis'!$AB11/12))))</f>
        <v>75496.959125845562</v>
      </c>
      <c r="DN13" s="1428">
        <f>IF($B13="","",IF(DN$4&lt;2,(DM13*(1+'Rent Roll Analysis'!$AK11/12)), IF(AND('Monthly Cash Flow'!DN$4&gt;1,'Monthly Cash Flow'!DN$4&lt;=2),'Monthly Cash Flow'!DM13*(1+'Rent Roll Analysis'!$AE11/12),'Monthly Cash Flow'!DM13*(1+'Rent Roll Analysis'!$AB11/12))))</f>
        <v>75748.615656265058</v>
      </c>
      <c r="DO13" s="1428">
        <f>IF($B13="","",IF(DO$4&lt;2,(DN13*(1+'Rent Roll Analysis'!$AK11/12)), IF(AND('Monthly Cash Flow'!DO$4&gt;1,'Monthly Cash Flow'!DO$4&lt;=2),'Monthly Cash Flow'!DN13*(1+'Rent Roll Analysis'!$AE11/12),'Monthly Cash Flow'!DN13*(1+'Rent Roll Analysis'!$AB11/12))))</f>
        <v>76001.111041785945</v>
      </c>
      <c r="DP13" s="1428">
        <f>IF($B13="","",IF(DP$4&lt;2,(DO13*(1+'Rent Roll Analysis'!$AK11/12)), IF(AND('Monthly Cash Flow'!DP$4&gt;1,'Monthly Cash Flow'!DP$4&lt;=2),'Monthly Cash Flow'!DO13*(1+'Rent Roll Analysis'!$AE11/12),'Monthly Cash Flow'!DO13*(1+'Rent Roll Analysis'!$AB11/12))))</f>
        <v>76254.4480785919</v>
      </c>
      <c r="DQ13" s="1428">
        <f>IF($B13="","",IF(DQ$4&lt;2,(DP13*(1+'Rent Roll Analysis'!$AK11/12)), IF(AND('Monthly Cash Flow'!DQ$4&gt;1,'Monthly Cash Flow'!DQ$4&lt;=2),'Monthly Cash Flow'!DP13*(1+'Rent Roll Analysis'!$AE11/12),'Monthly Cash Flow'!DP13*(1+'Rent Roll Analysis'!$AB11/12))))</f>
        <v>76508.629572187216</v>
      </c>
      <c r="DR13" s="1428">
        <f>IF($B13="","",IF(DR$4&lt;2,(DQ13*(1+'Rent Roll Analysis'!$AK11/12)), IF(AND('Monthly Cash Flow'!DR$4&gt;1,'Monthly Cash Flow'!DR$4&lt;=2),'Monthly Cash Flow'!DQ13*(1+'Rent Roll Analysis'!$AE11/12),'Monthly Cash Flow'!DQ13*(1+'Rent Roll Analysis'!$AB11/12))))</f>
        <v>76763.658337427842</v>
      </c>
      <c r="DS13" s="1428">
        <f>IF($B13="","",IF(DS$4&lt;2,(DR13*(1+'Rent Roll Analysis'!$AK11/12)), IF(AND('Monthly Cash Flow'!DS$4&gt;1,'Monthly Cash Flow'!DS$4&lt;=2),'Monthly Cash Flow'!DR13*(1+'Rent Roll Analysis'!$AE11/12),'Monthly Cash Flow'!DR13*(1+'Rent Roll Analysis'!$AB11/12))))</f>
        <v>77019.5371985526</v>
      </c>
      <c r="DT13" s="1428">
        <f>IF($B13="","",IF(DT$4&lt;2,(DS13*(1+'Rent Roll Analysis'!$AK11/12)), IF(AND('Monthly Cash Flow'!DT$4&gt;1,'Monthly Cash Flow'!DT$4&lt;=2),'Monthly Cash Flow'!DS13*(1+'Rent Roll Analysis'!$AE11/12),'Monthly Cash Flow'!DS13*(1+'Rent Roll Analysis'!$AB11/12))))</f>
        <v>77276.268989214441</v>
      </c>
      <c r="DU13" s="385" t="s">
        <v>557</v>
      </c>
      <c r="DV13" s="375"/>
    </row>
    <row r="14" spans="1:126" s="92" customFormat="1" ht="20.149999999999999" customHeight="1" outlineLevel="1">
      <c r="A14" s="375"/>
      <c r="B14" s="383" t="str">
        <f>'Rent Roll Analysis'!C12</f>
        <v/>
      </c>
      <c r="C14" s="376"/>
      <c r="D14" s="1426" t="str">
        <f>IF('Rent Roll Analysis'!C12="","",'Rent Roll Analysis'!N12*'Rent Roll Analysis'!E12)</f>
        <v/>
      </c>
      <c r="E14" s="1428" t="str">
        <f t="shared" si="113"/>
        <v/>
      </c>
      <c r="F14" s="1428" t="str">
        <f>IF($B14="","",IF(F$4&gt;2,(E14*(1+'Rent Roll Analysis'!$AK12/12)), IF(AND('Monthly Cash Flow'!F$4&gt;1,'Monthly Cash Flow'!F$4&lt;=2),'Monthly Cash Flow'!E14*(1+'Rent Roll Analysis'!$AE12/12),'Monthly Cash Flow'!E14*(1+'Rent Roll Analysis'!$AB12/12))))</f>
        <v/>
      </c>
      <c r="G14" s="1428" t="str">
        <f>IF($B14="","",IF(G$4&gt;2,(F14*(1+'Rent Roll Analysis'!$AK12/12)), IF(AND('Monthly Cash Flow'!G$4&gt;1,'Monthly Cash Flow'!G$4&lt;=2),'Monthly Cash Flow'!F14*(1+'Rent Roll Analysis'!$AE12/12),'Monthly Cash Flow'!F14*(1+'Rent Roll Analysis'!$AB12/12))))</f>
        <v/>
      </c>
      <c r="H14" s="1428" t="str">
        <f>IF($B14="","",IF(H$4&gt;2,(G14*(1+'Rent Roll Analysis'!$AK12/12)), IF(AND('Monthly Cash Flow'!H$4&gt;1,'Monthly Cash Flow'!H$4&lt;=2),'Monthly Cash Flow'!G14*(1+'Rent Roll Analysis'!$AE12/12),'Monthly Cash Flow'!G14*(1+'Rent Roll Analysis'!$AB12/12))))</f>
        <v/>
      </c>
      <c r="I14" s="1428" t="str">
        <f>IF($B14="","",IF(I$4&gt;2,(H14*(1+'Rent Roll Analysis'!$AK12/12)), IF(AND('Monthly Cash Flow'!I$4&gt;1,'Monthly Cash Flow'!I$4&lt;=2),'Monthly Cash Flow'!H14*(1+'Rent Roll Analysis'!$AE12/12),'Monthly Cash Flow'!H14*(1+'Rent Roll Analysis'!$AB12/12))))</f>
        <v/>
      </c>
      <c r="J14" s="1428" t="str">
        <f>IF($B14="","",IF(J$4&gt;2,(I14*(1+'Rent Roll Analysis'!$AK12/12)), IF(AND('Monthly Cash Flow'!J$4&gt;1,'Monthly Cash Flow'!J$4&lt;=2),'Monthly Cash Flow'!I14*(1+'Rent Roll Analysis'!$AE12/12),'Monthly Cash Flow'!I14*(1+'Rent Roll Analysis'!$AB12/12))))</f>
        <v/>
      </c>
      <c r="K14" s="1428" t="str">
        <f>IF($B14="","",IF(K$4&gt;2,(J14*(1+'Rent Roll Analysis'!$AK12/12)), IF(AND('Monthly Cash Flow'!K$4&gt;1,'Monthly Cash Flow'!K$4&lt;=2),'Monthly Cash Flow'!J14*(1+'Rent Roll Analysis'!$AE12/12),'Monthly Cash Flow'!J14*(1+'Rent Roll Analysis'!$AB12/12))))</f>
        <v/>
      </c>
      <c r="L14" s="1428" t="str">
        <f>IF($B14="","",IF(L$4&gt;2,(K14*(1+'Rent Roll Analysis'!$AK12/12)), IF(AND('Monthly Cash Flow'!L$4&gt;1,'Monthly Cash Flow'!L$4&lt;=2),'Monthly Cash Flow'!K14*(1+'Rent Roll Analysis'!$AE12/12),'Monthly Cash Flow'!K14*(1+'Rent Roll Analysis'!$AB12/12))))</f>
        <v/>
      </c>
      <c r="M14" s="1428" t="str">
        <f>IF($B14="","",IF(M$4&gt;2,(L14*(1+'Rent Roll Analysis'!$AK12/12)), IF(AND('Monthly Cash Flow'!M$4&gt;1,'Monthly Cash Flow'!M$4&lt;=2),'Monthly Cash Flow'!L14*(1+'Rent Roll Analysis'!$AE12/12),'Monthly Cash Flow'!L14*(1+'Rent Roll Analysis'!$AB12/12))))</f>
        <v/>
      </c>
      <c r="N14" s="1428" t="str">
        <f>IF($B14="","",IF(N$4&gt;2,(M14*(1+'Rent Roll Analysis'!$AK12/12)), IF(AND('Monthly Cash Flow'!N$4&gt;1,'Monthly Cash Flow'!N$4&lt;=2),'Monthly Cash Flow'!M14*(1+'Rent Roll Analysis'!$AE12/12),'Monthly Cash Flow'!M14*(1+'Rent Roll Analysis'!$AB12/12))))</f>
        <v/>
      </c>
      <c r="O14" s="1428" t="str">
        <f>IF($B14="","",IF(O$4&gt;2,(N14*(1+'Rent Roll Analysis'!$AK12/12)), IF(AND('Monthly Cash Flow'!O$4&gt;1,'Monthly Cash Flow'!O$4&lt;=2),'Monthly Cash Flow'!N14*(1+'Rent Roll Analysis'!$AE12/12),'Monthly Cash Flow'!N14*(1+'Rent Roll Analysis'!$AB12/12))))</f>
        <v/>
      </c>
      <c r="P14" s="1428" t="str">
        <f>IF($B14="","",IF(P$4&gt;2,(O14*(1+'Rent Roll Analysis'!$AK12/12)), IF(AND('Monthly Cash Flow'!P$4&gt;1,'Monthly Cash Flow'!P$4&lt;=2),'Monthly Cash Flow'!O14*(1+'Rent Roll Analysis'!$AE12/12),'Monthly Cash Flow'!O14*(1+'Rent Roll Analysis'!$AB12/12))))</f>
        <v/>
      </c>
      <c r="Q14" s="1428" t="str">
        <f>IF($B14="","",IF(Q$4&gt;2,(P14*(1+'Rent Roll Analysis'!$AK12/12)), IF(AND('Monthly Cash Flow'!Q$4&gt;1,'Monthly Cash Flow'!Q$4&lt;=2),'Monthly Cash Flow'!P14*(1+'Rent Roll Analysis'!$AE12/12),'Monthly Cash Flow'!P14*(1+'Rent Roll Analysis'!$AB12/12))))</f>
        <v/>
      </c>
      <c r="R14" s="1428" t="str">
        <f>IF($B14="","",IF(R$4&gt;2,(Q14*(1+'Rent Roll Analysis'!$AK12/12)), IF(AND('Monthly Cash Flow'!R$4&gt;1,'Monthly Cash Flow'!R$4&lt;=2),'Monthly Cash Flow'!Q14*(1+'Rent Roll Analysis'!$AE12/12),'Monthly Cash Flow'!Q14*(1+'Rent Roll Analysis'!$AB12/12))))</f>
        <v/>
      </c>
      <c r="S14" s="1428" t="str">
        <f>IF($B14="","",IF(S$4&gt;2,(R14*(1+'Rent Roll Analysis'!$AK12/12)), IF(AND('Monthly Cash Flow'!S$4&gt;1,'Monthly Cash Flow'!S$4&lt;=2),'Monthly Cash Flow'!R14*(1+'Rent Roll Analysis'!$AE12/12),'Monthly Cash Flow'!R14*(1+'Rent Roll Analysis'!$AB12/12))))</f>
        <v/>
      </c>
      <c r="T14" s="1428" t="str">
        <f>IF($B14="","",IF(T$4&gt;2,(S14*(1+'Rent Roll Analysis'!$AK12/12)), IF(AND('Monthly Cash Flow'!T$4&gt;1,'Monthly Cash Flow'!T$4&lt;=2),'Monthly Cash Flow'!S14*(1+'Rent Roll Analysis'!$AE12/12),'Monthly Cash Flow'!S14*(1+'Rent Roll Analysis'!$AB12/12))))</f>
        <v/>
      </c>
      <c r="U14" s="1428" t="str">
        <f>IF($B14="","",IF(U$4&gt;2,(T14*(1+'Rent Roll Analysis'!$AK12/12)), IF(AND('Monthly Cash Flow'!U$4&gt;1,'Monthly Cash Flow'!U$4&lt;=2),'Monthly Cash Flow'!T14*(1+'Rent Roll Analysis'!$AE12/12),'Monthly Cash Flow'!T14*(1+'Rent Roll Analysis'!$AB12/12))))</f>
        <v/>
      </c>
      <c r="V14" s="1428" t="str">
        <f>IF($B14="","",IF(V$4&gt;2,(U14*(1+'Rent Roll Analysis'!$AK12/12)), IF(AND('Monthly Cash Flow'!V$4&gt;1,'Monthly Cash Flow'!V$4&lt;=2),'Monthly Cash Flow'!U14*(1+'Rent Roll Analysis'!$AE12/12),'Monthly Cash Flow'!U14*(1+'Rent Roll Analysis'!$AB12/12))))</f>
        <v/>
      </c>
      <c r="W14" s="1428" t="str">
        <f>IF($B14="","",IF(W$4&gt;2,(V14*(1+'Rent Roll Analysis'!$AK12/12)), IF(AND('Monthly Cash Flow'!W$4&gt;1,'Monthly Cash Flow'!W$4&lt;=2),'Monthly Cash Flow'!V14*(1+'Rent Roll Analysis'!$AE12/12),'Monthly Cash Flow'!V14*(1+'Rent Roll Analysis'!$AB12/12))))</f>
        <v/>
      </c>
      <c r="X14" s="1428" t="str">
        <f>IF($B14="","",IF(X$4&gt;2,(W14*(1+'Rent Roll Analysis'!$AK12/12)), IF(AND('Monthly Cash Flow'!X$4&gt;1,'Monthly Cash Flow'!X$4&lt;=2),'Monthly Cash Flow'!W14*(1+'Rent Roll Analysis'!$AE12/12),'Monthly Cash Flow'!W14*(1+'Rent Roll Analysis'!$AB12/12))))</f>
        <v/>
      </c>
      <c r="Y14" s="1428" t="str">
        <f>IF($B14="","",IF(Y$4&gt;2,(X14*(1+'Rent Roll Analysis'!$AK12/12)), IF(AND('Monthly Cash Flow'!Y$4&gt;1,'Monthly Cash Flow'!Y$4&lt;=2),'Monthly Cash Flow'!X14*(1+'Rent Roll Analysis'!$AE12/12),'Monthly Cash Flow'!X14*(1+'Rent Roll Analysis'!$AB12/12))))</f>
        <v/>
      </c>
      <c r="Z14" s="1428" t="str">
        <f>IF($B14="","",IF(Z$4&gt;2,(Y14*(1+'Rent Roll Analysis'!$AK12/12)), IF(AND('Monthly Cash Flow'!Z$4&gt;1,'Monthly Cash Flow'!Z$4&lt;=2),'Monthly Cash Flow'!Y14*(1+'Rent Roll Analysis'!$AE12/12),'Monthly Cash Flow'!Y14*(1+'Rent Roll Analysis'!$AB12/12))))</f>
        <v/>
      </c>
      <c r="AA14" s="1428" t="str">
        <f>IF($B14="","",IF(AA$4&gt;2,(Z14*(1+'Rent Roll Analysis'!$AK12/12)), IF(AND('Monthly Cash Flow'!AA$4&gt;1,'Monthly Cash Flow'!AA$4&lt;=2),'Monthly Cash Flow'!Z14*(1+'Rent Roll Analysis'!$AE12/12),'Monthly Cash Flow'!Z14*(1+'Rent Roll Analysis'!$AB12/12))))</f>
        <v/>
      </c>
      <c r="AB14" s="1428" t="str">
        <f>IF($B14="","",IF(AB$4&gt;2,(AA14*(1+'Rent Roll Analysis'!$AK12/12)), IF(AND('Monthly Cash Flow'!AB$4&gt;1,'Monthly Cash Flow'!AB$4&lt;=2),'Monthly Cash Flow'!AA14*(1+'Rent Roll Analysis'!$AE12/12),'Monthly Cash Flow'!AA14*(1+'Rent Roll Analysis'!$AB12/12))))</f>
        <v/>
      </c>
      <c r="AC14" s="1428" t="str">
        <f>IF($B14="","",IF(AC$4&gt;2,(AB14*(1+'Rent Roll Analysis'!$AK12/12)), IF(AND('Monthly Cash Flow'!AC$4&gt;1,'Monthly Cash Flow'!AC$4&lt;=2),'Monthly Cash Flow'!AB14*(1+'Rent Roll Analysis'!$AE12/12),'Monthly Cash Flow'!AB14*(1+'Rent Roll Analysis'!$AB12/12))))</f>
        <v/>
      </c>
      <c r="AD14" s="1428" t="str">
        <f>IF($B14="","",IF(AD$4&gt;2,(AC14*(1+'Rent Roll Analysis'!$AK12/12)), IF(AND('Monthly Cash Flow'!AD$4&gt;1,'Monthly Cash Flow'!AD$4&lt;=2),'Monthly Cash Flow'!AC14*(1+'Rent Roll Analysis'!$AE12/12),'Monthly Cash Flow'!AC14*(1+'Rent Roll Analysis'!$AB12/12))))</f>
        <v/>
      </c>
      <c r="AE14" s="1428" t="str">
        <f>IF($B14="","",IF(AE$4&gt;2,(AD14*(1+'Rent Roll Analysis'!$AK12/12)), IF(AND('Monthly Cash Flow'!AE$4&gt;1,'Monthly Cash Flow'!AE$4&lt;=2),'Monthly Cash Flow'!AD14*(1+'Rent Roll Analysis'!$AE12/12),'Monthly Cash Flow'!AD14*(1+'Rent Roll Analysis'!$AB12/12))))</f>
        <v/>
      </c>
      <c r="AF14" s="1428" t="str">
        <f>IF($B14="","",IF(AF$4&gt;2,(AE14*(1+'Rent Roll Analysis'!$AK12/12)), IF(AND('Monthly Cash Flow'!AF$4&gt;1,'Monthly Cash Flow'!AF$4&lt;=2),'Monthly Cash Flow'!AE14*(1+'Rent Roll Analysis'!$AE12/12),'Monthly Cash Flow'!AE14*(1+'Rent Roll Analysis'!$AB12/12))))</f>
        <v/>
      </c>
      <c r="AG14" s="1428" t="str">
        <f>IF($B14="","",IF(AG$4&gt;2,(AF14*(1+'Rent Roll Analysis'!$AK12/12)), IF(AND('Monthly Cash Flow'!AG$4&gt;1,'Monthly Cash Flow'!AG$4&lt;=2),'Monthly Cash Flow'!AF14*(1+'Rent Roll Analysis'!$AE12/12),'Monthly Cash Flow'!AF14*(1+'Rent Roll Analysis'!$AB12/12))))</f>
        <v/>
      </c>
      <c r="AH14" s="1428" t="str">
        <f>IF($B14="","",IF(AH$4&gt;2,(AG14*(1+'Rent Roll Analysis'!$AK12/12)), IF(AND('Monthly Cash Flow'!AH$4&gt;1,'Monthly Cash Flow'!AH$4&lt;=2),'Monthly Cash Flow'!AG14*(1+'Rent Roll Analysis'!$AE12/12),'Monthly Cash Flow'!AG14*(1+'Rent Roll Analysis'!$AB12/12))))</f>
        <v/>
      </c>
      <c r="AI14" s="1428" t="str">
        <f>IF($B14="","",IF(AI$4&gt;2,(AH14*(1+'Rent Roll Analysis'!$AK12/12)), IF(AND('Monthly Cash Flow'!AI$4&gt;1,'Monthly Cash Flow'!AI$4&lt;=2),'Monthly Cash Flow'!AH14*(1+'Rent Roll Analysis'!$AE12/12),'Monthly Cash Flow'!AH14*(1+'Rent Roll Analysis'!$AB12/12))))</f>
        <v/>
      </c>
      <c r="AJ14" s="1428" t="str">
        <f>IF($B14="","",IF(AJ$4&gt;2,(AI14*(1+'Rent Roll Analysis'!$AK12/12)), IF(AND('Monthly Cash Flow'!AJ$4&gt;1,'Monthly Cash Flow'!AJ$4&lt;=2),'Monthly Cash Flow'!AI14*(1+'Rent Roll Analysis'!$AE12/12),'Monthly Cash Flow'!AI14*(1+'Rent Roll Analysis'!$AB12/12))))</f>
        <v/>
      </c>
      <c r="AK14" s="1428" t="str">
        <f>IF($B14="","",IF(AK$4&gt;2,(AJ14*(1+'Rent Roll Analysis'!$AK12/12)), IF(AND('Monthly Cash Flow'!AK$4&gt;1,'Monthly Cash Flow'!AK$4&lt;=2),'Monthly Cash Flow'!AJ14*(1+'Rent Roll Analysis'!$AE12/12),'Monthly Cash Flow'!AJ14*(1+'Rent Roll Analysis'!$AB12/12))))</f>
        <v/>
      </c>
      <c r="AL14" s="1428" t="str">
        <f>IF($B14="","",IF(AL$4&gt;2,(AK14*(1+'Rent Roll Analysis'!$AK12/12)), IF(AND('Monthly Cash Flow'!AL$4&gt;1,'Monthly Cash Flow'!AL$4&lt;=2),'Monthly Cash Flow'!AK14*(1+'Rent Roll Analysis'!$AE12/12),'Monthly Cash Flow'!AK14*(1+'Rent Roll Analysis'!$AB12/12))))</f>
        <v/>
      </c>
      <c r="AM14" s="1428" t="str">
        <f>IF($B14="","",IF(AM$4&gt;2,(AL14*(1+'Rent Roll Analysis'!$AK12/12)), IF(AND('Monthly Cash Flow'!AM$4&gt;1,'Monthly Cash Flow'!AM$4&lt;=2),'Monthly Cash Flow'!AL14*(1+'Rent Roll Analysis'!$AE12/12),'Monthly Cash Flow'!AL14*(1+'Rent Roll Analysis'!$AB12/12))))</f>
        <v/>
      </c>
      <c r="AN14" s="1428" t="str">
        <f>IF($B14="","",IF(AN$4&gt;2,(AM14*(1+'Rent Roll Analysis'!$AK12/12)), IF(AND('Monthly Cash Flow'!AN$4&gt;1,'Monthly Cash Flow'!AN$4&lt;=2),'Monthly Cash Flow'!AM14*(1+'Rent Roll Analysis'!$AE12/12),'Monthly Cash Flow'!AM14*(1+'Rent Roll Analysis'!$AB12/12))))</f>
        <v/>
      </c>
      <c r="AO14" s="1428" t="str">
        <f>IF($B14="","",IF(AO$4&gt;2,(AN14*(1+'Rent Roll Analysis'!$AK12/12)), IF(AND('Monthly Cash Flow'!AO$4&gt;1,'Monthly Cash Flow'!AO$4&lt;=2),'Monthly Cash Flow'!AN14*(1+'Rent Roll Analysis'!$AE12/12),'Monthly Cash Flow'!AN14*(1+'Rent Roll Analysis'!$AB12/12))))</f>
        <v/>
      </c>
      <c r="AP14" s="1428" t="str">
        <f>IF($B14="","",IF(AP$4&gt;2,(AO14*(1+'Rent Roll Analysis'!$AK12/12)), IF(AND('Monthly Cash Flow'!AP$4&gt;1,'Monthly Cash Flow'!AP$4&lt;=2),'Monthly Cash Flow'!AO14*(1+'Rent Roll Analysis'!$AE12/12),'Monthly Cash Flow'!AO14*(1+'Rent Roll Analysis'!$AB12/12))))</f>
        <v/>
      </c>
      <c r="AQ14" s="1428" t="str">
        <f>IF($B14="","",IF(AQ$4&gt;2,(AP14*(1+'Rent Roll Analysis'!$AK12/12)), IF(AND('Monthly Cash Flow'!AQ$4&gt;1,'Monthly Cash Flow'!AQ$4&lt;=2),'Monthly Cash Flow'!AP14*(1+'Rent Roll Analysis'!$AE12/12),'Monthly Cash Flow'!AP14*(1+'Rent Roll Analysis'!$AB12/12))))</f>
        <v/>
      </c>
      <c r="AR14" s="1428" t="str">
        <f>IF($B14="","",IF(AR$4&gt;2,(AQ14*(1+'Rent Roll Analysis'!$AK12/12)), IF(AND('Monthly Cash Flow'!AR$4&gt;1,'Monthly Cash Flow'!AR$4&lt;=2),'Monthly Cash Flow'!AQ14*(1+'Rent Roll Analysis'!$AE12/12),'Monthly Cash Flow'!AQ14*(1+'Rent Roll Analysis'!$AB12/12))))</f>
        <v/>
      </c>
      <c r="AS14" s="1428" t="str">
        <f>IF($B14="","",IF(AS$4&gt;2,(AR14*(1+'Rent Roll Analysis'!$AK12/12)), IF(AND('Monthly Cash Flow'!AS$4&gt;1,'Monthly Cash Flow'!AS$4&lt;=2),'Monthly Cash Flow'!AR14*(1+'Rent Roll Analysis'!$AE12/12),'Monthly Cash Flow'!AR14*(1+'Rent Roll Analysis'!$AB12/12))))</f>
        <v/>
      </c>
      <c r="AT14" s="1428" t="str">
        <f>IF($B14="","",IF(AT$4&gt;2,(AS14*(1+'Rent Roll Analysis'!$AK12/12)), IF(AND('Monthly Cash Flow'!AT$4&gt;1,'Monthly Cash Flow'!AT$4&lt;=2),'Monthly Cash Flow'!AS14*(1+'Rent Roll Analysis'!$AE12/12),'Monthly Cash Flow'!AS14*(1+'Rent Roll Analysis'!$AB12/12))))</f>
        <v/>
      </c>
      <c r="AU14" s="1428" t="str">
        <f>IF($B14="","",IF(AU$4&gt;2,(AT14*(1+'Rent Roll Analysis'!$AK12/12)), IF(AND('Monthly Cash Flow'!AU$4&gt;1,'Monthly Cash Flow'!AU$4&lt;=2),'Monthly Cash Flow'!AT14*(1+'Rent Roll Analysis'!$AE12/12),'Monthly Cash Flow'!AT14*(1+'Rent Roll Analysis'!$AB12/12))))</f>
        <v/>
      </c>
      <c r="AV14" s="1428" t="str">
        <f>IF($B14="","",IF(AV$4&gt;2,(AU14*(1+'Rent Roll Analysis'!$AK12/12)), IF(AND('Monthly Cash Flow'!AV$4&gt;1,'Monthly Cash Flow'!AV$4&lt;=2),'Monthly Cash Flow'!AU14*(1+'Rent Roll Analysis'!$AE12/12),'Monthly Cash Flow'!AU14*(1+'Rent Roll Analysis'!$AB12/12))))</f>
        <v/>
      </c>
      <c r="AW14" s="1428" t="str">
        <f>IF($B14="","",IF(AW$4&gt;2,(AV14*(1+'Rent Roll Analysis'!$AK12/12)), IF(AND('Monthly Cash Flow'!AW$4&gt;1,'Monthly Cash Flow'!AW$4&lt;=2),'Monthly Cash Flow'!AV14*(1+'Rent Roll Analysis'!$AE12/12),'Monthly Cash Flow'!AV14*(1+'Rent Roll Analysis'!$AB12/12))))</f>
        <v/>
      </c>
      <c r="AX14" s="1428" t="str">
        <f>IF($B14="","",IF(AX$4&gt;2,(AW14*(1+'Rent Roll Analysis'!$AK12/12)), IF(AND('Monthly Cash Flow'!AX$4&gt;1,'Monthly Cash Flow'!AX$4&lt;=2),'Monthly Cash Flow'!AW14*(1+'Rent Roll Analysis'!$AE12/12),'Monthly Cash Flow'!AW14*(1+'Rent Roll Analysis'!$AB12/12))))</f>
        <v/>
      </c>
      <c r="AY14" s="1428" t="str">
        <f>IF($B14="","",IF(AY$4&gt;2,(AX14*(1+'Rent Roll Analysis'!$AK12/12)), IF(AND('Monthly Cash Flow'!AY$4&gt;1,'Monthly Cash Flow'!AY$4&lt;=2),'Monthly Cash Flow'!AX14*(1+'Rent Roll Analysis'!$AE12/12),'Monthly Cash Flow'!AX14*(1+'Rent Roll Analysis'!$AB12/12))))</f>
        <v/>
      </c>
      <c r="AZ14" s="1428" t="str">
        <f>IF($B14="","",IF(AZ$4&gt;2,(AY14*(1+'Rent Roll Analysis'!$AK12/12)), IF(AND('Monthly Cash Flow'!AZ$4&gt;1,'Monthly Cash Flow'!AZ$4&lt;=2),'Monthly Cash Flow'!AY14*(1+'Rent Roll Analysis'!$AE12/12),'Monthly Cash Flow'!AY14*(1+'Rent Roll Analysis'!$AB12/12))))</f>
        <v/>
      </c>
      <c r="BA14" s="1428" t="str">
        <f>IF($B14="","",IF(BA$4&gt;2,(AZ14*(1+'Rent Roll Analysis'!$AK12/12)), IF(AND('Monthly Cash Flow'!BA$4&gt;1,'Monthly Cash Flow'!BA$4&lt;=2),'Monthly Cash Flow'!AZ14*(1+'Rent Roll Analysis'!$AE12/12),'Monthly Cash Flow'!AZ14*(1+'Rent Roll Analysis'!$AB12/12))))</f>
        <v/>
      </c>
      <c r="BB14" s="1428" t="str">
        <f>IF($B14="","",IF(BB$4&gt;2,(BA14*(1+'Rent Roll Analysis'!$AK12/12)), IF(AND('Monthly Cash Flow'!BB$4&gt;1,'Monthly Cash Flow'!BB$4&lt;=2),'Monthly Cash Flow'!BA14*(1+'Rent Roll Analysis'!$AE12/12),'Monthly Cash Flow'!BA14*(1+'Rent Roll Analysis'!$AB12/12))))</f>
        <v/>
      </c>
      <c r="BC14" s="1428" t="str">
        <f>IF($B14="","",IF(BC$4&gt;2,(BB14*(1+'Rent Roll Analysis'!$AK12/12)), IF(AND('Monthly Cash Flow'!BC$4&gt;1,'Monthly Cash Flow'!BC$4&lt;=2),'Monthly Cash Flow'!BB14*(1+'Rent Roll Analysis'!$AE12/12),'Monthly Cash Flow'!BB14*(1+'Rent Roll Analysis'!$AB12/12))))</f>
        <v/>
      </c>
      <c r="BD14" s="1428" t="str">
        <f>IF($B14="","",IF(BD$4&gt;2,(BC14*(1+'Rent Roll Analysis'!$AK12/12)), IF(AND('Monthly Cash Flow'!BD$4&gt;1,'Monthly Cash Flow'!BD$4&lt;=2),'Monthly Cash Flow'!BC14*(1+'Rent Roll Analysis'!$AE12/12),'Monthly Cash Flow'!BC14*(1+'Rent Roll Analysis'!$AB12/12))))</f>
        <v/>
      </c>
      <c r="BE14" s="1428" t="str">
        <f>IF($B14="","",IF(BE$4&gt;2,(BD14*(1+'Rent Roll Analysis'!$AK12/12)), IF(AND('Monthly Cash Flow'!BE$4&gt;1,'Monthly Cash Flow'!BE$4&lt;=2),'Monthly Cash Flow'!BD14*(1+'Rent Roll Analysis'!$AE12/12),'Monthly Cash Flow'!BD14*(1+'Rent Roll Analysis'!$AB12/12))))</f>
        <v/>
      </c>
      <c r="BF14" s="1428" t="str">
        <f>IF($B14="","",IF(BF$4&gt;2,(BE14*(1+'Rent Roll Analysis'!$AK12/12)), IF(AND('Monthly Cash Flow'!BF$4&gt;1,'Monthly Cash Flow'!BF$4&lt;=2),'Monthly Cash Flow'!BE14*(1+'Rent Roll Analysis'!$AE12/12),'Monthly Cash Flow'!BE14*(1+'Rent Roll Analysis'!$AB12/12))))</f>
        <v/>
      </c>
      <c r="BG14" s="1428" t="str">
        <f>IF($B14="","",IF(BG$4&gt;2,(BF14*(1+'Rent Roll Analysis'!$AK12/12)), IF(AND('Monthly Cash Flow'!BG$4&gt;1,'Monthly Cash Flow'!BG$4&lt;=2),'Monthly Cash Flow'!BF14*(1+'Rent Roll Analysis'!$AE12/12),'Monthly Cash Flow'!BF14*(1+'Rent Roll Analysis'!$AB12/12))))</f>
        <v/>
      </c>
      <c r="BH14" s="1428" t="str">
        <f>IF($B14="","",IF(BH$4&gt;2,(BG14*(1+'Rent Roll Analysis'!$AK12/12)), IF(AND('Monthly Cash Flow'!BH$4&gt;1,'Monthly Cash Flow'!BH$4&lt;=2),'Monthly Cash Flow'!BG14*(1+'Rent Roll Analysis'!$AE12/12),'Monthly Cash Flow'!BG14*(1+'Rent Roll Analysis'!$AB12/12))))</f>
        <v/>
      </c>
      <c r="BI14" s="1428" t="str">
        <f>IF($B14="","",IF(BI$4&gt;2,(BH14*(1+'Rent Roll Analysis'!$AK12/12)), IF(AND('Monthly Cash Flow'!BI$4&gt;1,'Monthly Cash Flow'!BI$4&lt;=2),'Monthly Cash Flow'!BH14*(1+'Rent Roll Analysis'!$AE12/12),'Monthly Cash Flow'!BH14*(1+'Rent Roll Analysis'!$AB12/12))))</f>
        <v/>
      </c>
      <c r="BJ14" s="1428" t="str">
        <f>IF($B14="","",IF(BJ$4&gt;2,(BI14*(1+'Rent Roll Analysis'!$AK12/12)), IF(AND('Monthly Cash Flow'!BJ$4&gt;1,'Monthly Cash Flow'!BJ$4&lt;=2),'Monthly Cash Flow'!BI14*(1+'Rent Roll Analysis'!$AE12/12),'Monthly Cash Flow'!BI14*(1+'Rent Roll Analysis'!$AB12/12))))</f>
        <v/>
      </c>
      <c r="BK14" s="1428" t="str">
        <f>IF($B14="","",IF(BK$4&gt;2,(BJ14*(1+'Rent Roll Analysis'!$AK12/12)), IF(AND('Monthly Cash Flow'!BK$4&gt;1,'Monthly Cash Flow'!BK$4&lt;=2),'Monthly Cash Flow'!BJ14*(1+'Rent Roll Analysis'!$AE12/12),'Monthly Cash Flow'!BJ14*(1+'Rent Roll Analysis'!$AB12/12))))</f>
        <v/>
      </c>
      <c r="BL14" s="1428" t="str">
        <f>IF($B14="","",IF(BL$4&gt;2,(BK14*(1+'Rent Roll Analysis'!$AK12/12)), IF(AND('Monthly Cash Flow'!BL$4&gt;1,'Monthly Cash Flow'!BL$4&lt;=2),'Monthly Cash Flow'!BK14*(1+'Rent Roll Analysis'!$AE12/12),'Monthly Cash Flow'!BK14*(1+'Rent Roll Analysis'!$AB12/12))))</f>
        <v/>
      </c>
      <c r="BM14" s="1428" t="str">
        <f>IF($B14="","",IF(BM$4&gt;2,(BL14*(1+'Rent Roll Analysis'!$AK12/12)), IF(AND('Monthly Cash Flow'!BM$4&gt;1,'Monthly Cash Flow'!BM$4&lt;=2),'Monthly Cash Flow'!BL14*(1+'Rent Roll Analysis'!$AE12/12),'Monthly Cash Flow'!BL14*(1+'Rent Roll Analysis'!$AB12/12))))</f>
        <v/>
      </c>
      <c r="BN14" s="1428" t="str">
        <f>IF($B14="","",IF(BN$4&gt;2,(BM14*(1+'Rent Roll Analysis'!$AK12/12)), IF(AND('Monthly Cash Flow'!BN$4&gt;1,'Monthly Cash Flow'!BN$4&lt;=2),'Monthly Cash Flow'!BM14*(1+'Rent Roll Analysis'!$AE12/12),'Monthly Cash Flow'!BM14*(1+'Rent Roll Analysis'!$AB12/12))))</f>
        <v/>
      </c>
      <c r="BO14" s="1428" t="str">
        <f>IF($B14="","",IF(BO$4&gt;2,(BN14*(1+'Rent Roll Analysis'!$AK12/12)), IF(AND('Monthly Cash Flow'!BO$4&gt;1,'Monthly Cash Flow'!BO$4&lt;=2),'Monthly Cash Flow'!BN14*(1+'Rent Roll Analysis'!$AE12/12),'Monthly Cash Flow'!BN14*(1+'Rent Roll Analysis'!$AB12/12))))</f>
        <v/>
      </c>
      <c r="BP14" s="1428" t="str">
        <f>IF($B14="","",IF(BP$4&gt;2,(BO14*(1+'Rent Roll Analysis'!$AK12/12)), IF(AND('Monthly Cash Flow'!BP$4&gt;1,'Monthly Cash Flow'!BP$4&lt;=2),'Monthly Cash Flow'!BO14*(1+'Rent Roll Analysis'!$AE12/12),'Monthly Cash Flow'!BO14*(1+'Rent Roll Analysis'!$AB12/12))))</f>
        <v/>
      </c>
      <c r="BQ14" s="1428" t="str">
        <f>IF($B14="","",IF(BQ$4&gt;2,(BP14*(1+'Rent Roll Analysis'!$AK12/12)), IF(AND('Monthly Cash Flow'!BQ$4&gt;1,'Monthly Cash Flow'!BQ$4&lt;=2),'Monthly Cash Flow'!BP14*(1+'Rent Roll Analysis'!$AE12/12),'Monthly Cash Flow'!BP14*(1+'Rent Roll Analysis'!$AB12/12))))</f>
        <v/>
      </c>
      <c r="BR14" s="1428" t="str">
        <f>IF($B14="","",IF(BR$4&gt;2,(BQ14*(1+'Rent Roll Analysis'!$AK12/12)), IF(AND('Monthly Cash Flow'!BR$4&gt;1,'Monthly Cash Flow'!BR$4&lt;=2),'Monthly Cash Flow'!BQ14*(1+'Rent Roll Analysis'!$AE12/12),'Monthly Cash Flow'!BQ14*(1+'Rent Roll Analysis'!$AB12/12))))</f>
        <v/>
      </c>
      <c r="BS14" s="1428" t="str">
        <f>IF($B14="","",IF(BS$4&gt;2,(BR14*(1+'Rent Roll Analysis'!$AK12/12)), IF(AND('Monthly Cash Flow'!BS$4&gt;1,'Monthly Cash Flow'!BS$4&lt;=2),'Monthly Cash Flow'!BR14*(1+'Rent Roll Analysis'!$AE12/12),'Monthly Cash Flow'!BR14*(1+'Rent Roll Analysis'!$AB12/12))))</f>
        <v/>
      </c>
      <c r="BT14" s="1428" t="str">
        <f>IF($B14="","",IF(BT$4&gt;2,(BS14*(1+'Rent Roll Analysis'!$AK12/12)), IF(AND('Monthly Cash Flow'!BT$4&gt;1,'Monthly Cash Flow'!BT$4&lt;=2),'Monthly Cash Flow'!BS14*(1+'Rent Roll Analysis'!$AE12/12),'Monthly Cash Flow'!BS14*(1+'Rent Roll Analysis'!$AB12/12))))</f>
        <v/>
      </c>
      <c r="BU14" s="1428" t="str">
        <f>IF($B14="","",IF(BU$4&gt;2,(BT14*(1+'Rent Roll Analysis'!$AK12/12)), IF(AND('Monthly Cash Flow'!BU$4&gt;1,'Monthly Cash Flow'!BU$4&lt;=2),'Monthly Cash Flow'!BT14*(1+'Rent Roll Analysis'!$AE12/12),'Monthly Cash Flow'!BT14*(1+'Rent Roll Analysis'!$AB12/12))))</f>
        <v/>
      </c>
      <c r="BV14" s="1428" t="str">
        <f>IF($B14="","",IF(BV$4&gt;2,(BU14*(1+'Rent Roll Analysis'!$AK12/12)), IF(AND('Monthly Cash Flow'!BV$4&gt;1,'Monthly Cash Flow'!BV$4&lt;=2),'Monthly Cash Flow'!BU14*(1+'Rent Roll Analysis'!$AE12/12),'Monthly Cash Flow'!BU14*(1+'Rent Roll Analysis'!$AB12/12))))</f>
        <v/>
      </c>
      <c r="BW14" s="1428" t="str">
        <f>IF($B14="","",IF(BW$4&gt;2,(BV14*(1+'Rent Roll Analysis'!$AK12/12)), IF(AND('Monthly Cash Flow'!BW$4&gt;1,'Monthly Cash Flow'!BW$4&lt;=2),'Monthly Cash Flow'!BV14*(1+'Rent Roll Analysis'!$AE12/12),'Monthly Cash Flow'!BV14*(1+'Rent Roll Analysis'!$AB12/12))))</f>
        <v/>
      </c>
      <c r="BX14" s="1428" t="str">
        <f>IF($B14="","",IF(BX$4&gt;2,(BW14*(1+'Rent Roll Analysis'!$AK12/12)), IF(AND('Monthly Cash Flow'!BX$4&gt;1,'Monthly Cash Flow'!BX$4&lt;=2),'Monthly Cash Flow'!BW14*(1+'Rent Roll Analysis'!$AE12/12),'Monthly Cash Flow'!BW14*(1+'Rent Roll Analysis'!$AB12/12))))</f>
        <v/>
      </c>
      <c r="BY14" s="1428" t="str">
        <f>IF($B14="","",IF(BY$4&gt;2,(BX14*(1+'Rent Roll Analysis'!$AK12/12)), IF(AND('Monthly Cash Flow'!BY$4&gt;1,'Monthly Cash Flow'!BY$4&lt;=2),'Monthly Cash Flow'!BX14*(1+'Rent Roll Analysis'!$AE12/12),'Monthly Cash Flow'!BX14*(1+'Rent Roll Analysis'!$AB12/12))))</f>
        <v/>
      </c>
      <c r="BZ14" s="1428" t="str">
        <f>IF($B14="","",IF(BZ$4&gt;2,(BY14*(1+'Rent Roll Analysis'!$AK12/12)), IF(AND('Monthly Cash Flow'!BZ$4&gt;1,'Monthly Cash Flow'!BZ$4&lt;=2),'Monthly Cash Flow'!BY14*(1+'Rent Roll Analysis'!$AE12/12),'Monthly Cash Flow'!BY14*(1+'Rent Roll Analysis'!$AB12/12))))</f>
        <v/>
      </c>
      <c r="CA14" s="1428" t="str">
        <f>IF($B14="","",IF(CA$4&gt;2,(BZ14*(1+'Rent Roll Analysis'!$AK12/12)), IF(AND('Monthly Cash Flow'!CA$4&gt;1,'Monthly Cash Flow'!CA$4&lt;=2),'Monthly Cash Flow'!BZ14*(1+'Rent Roll Analysis'!$AE12/12),'Monthly Cash Flow'!BZ14*(1+'Rent Roll Analysis'!$AB12/12))))</f>
        <v/>
      </c>
      <c r="CB14" s="1428" t="str">
        <f>IF($B14="","",IF(CB$4&gt;2,(CA14*(1+'Rent Roll Analysis'!$AK12/12)), IF(AND('Monthly Cash Flow'!CB$4&gt;1,'Monthly Cash Flow'!CB$4&lt;=2),'Monthly Cash Flow'!CA14*(1+'Rent Roll Analysis'!$AE12/12),'Monthly Cash Flow'!CA14*(1+'Rent Roll Analysis'!$AB12/12))))</f>
        <v/>
      </c>
      <c r="CC14" s="1428" t="str">
        <f>IF($B14="","",IF(CC$4&gt;2,(CB14*(1+'Rent Roll Analysis'!$AK12/12)), IF(AND('Monthly Cash Flow'!CC$4&gt;1,'Monthly Cash Flow'!CC$4&lt;=2),'Monthly Cash Flow'!CB14*(1+'Rent Roll Analysis'!$AE12/12),'Monthly Cash Flow'!CB14*(1+'Rent Roll Analysis'!$AB12/12))))</f>
        <v/>
      </c>
      <c r="CD14" s="1428" t="str">
        <f>IF($B14="","",IF(CD$4&gt;2,(CC14*(1+'Rent Roll Analysis'!$AK12/12)), IF(AND('Monthly Cash Flow'!CD$4&gt;1,'Monthly Cash Flow'!CD$4&lt;=2),'Monthly Cash Flow'!CC14*(1+'Rent Roll Analysis'!$AE12/12),'Monthly Cash Flow'!CC14*(1+'Rent Roll Analysis'!$AB12/12))))</f>
        <v/>
      </c>
      <c r="CE14" s="1428" t="str">
        <f>IF($B14="","",IF(CE$4&gt;2,(CD14*(1+'Rent Roll Analysis'!$AK12/12)), IF(AND('Monthly Cash Flow'!CE$4&gt;1,'Monthly Cash Flow'!CE$4&lt;=2),'Monthly Cash Flow'!CD14*(1+'Rent Roll Analysis'!$AE12/12),'Monthly Cash Flow'!CD14*(1+'Rent Roll Analysis'!$AB12/12))))</f>
        <v/>
      </c>
      <c r="CF14" s="1428" t="str">
        <f>IF($B14="","",IF(CF$4&gt;2,(CE14*(1+'Rent Roll Analysis'!$AK12/12)), IF(AND('Monthly Cash Flow'!CF$4&gt;1,'Monthly Cash Flow'!CF$4&lt;=2),'Monthly Cash Flow'!CE14*(1+'Rent Roll Analysis'!$AE12/12),'Monthly Cash Flow'!CE14*(1+'Rent Roll Analysis'!$AB12/12))))</f>
        <v/>
      </c>
      <c r="CG14" s="1428" t="str">
        <f>IF($B14="","",IF(CG$4&gt;2,(CF14*(1+'Rent Roll Analysis'!$AK12/12)), IF(AND('Monthly Cash Flow'!CG$4&gt;1,'Monthly Cash Flow'!CG$4&lt;=2),'Monthly Cash Flow'!CF14*(1+'Rent Roll Analysis'!$AE12/12),'Monthly Cash Flow'!CF14*(1+'Rent Roll Analysis'!$AB12/12))))</f>
        <v/>
      </c>
      <c r="CH14" s="1428" t="str">
        <f>IF($B14="","",IF(CH$4&gt;2,(CG14*(1+'Rent Roll Analysis'!$AK12/12)), IF(AND('Monthly Cash Flow'!CH$4&gt;1,'Monthly Cash Flow'!CH$4&lt;=2),'Monthly Cash Flow'!CG14*(1+'Rent Roll Analysis'!$AE12/12),'Monthly Cash Flow'!CG14*(1+'Rent Roll Analysis'!$AB12/12))))</f>
        <v/>
      </c>
      <c r="CI14" s="1428" t="str">
        <f>IF($B14="","",IF(CI$4&gt;2,(CH14*(1+'Rent Roll Analysis'!$AK12/12)), IF(AND('Monthly Cash Flow'!CI$4&gt;1,'Monthly Cash Flow'!CI$4&lt;=2),'Monthly Cash Flow'!CH14*(1+'Rent Roll Analysis'!$AE12/12),'Monthly Cash Flow'!CH14*(1+'Rent Roll Analysis'!$AB12/12))))</f>
        <v/>
      </c>
      <c r="CJ14" s="1428" t="str">
        <f>IF($B14="","",IF(CJ$4&gt;2,(CI14*(1+'Rent Roll Analysis'!$AK12/12)), IF(AND('Monthly Cash Flow'!CJ$4&gt;1,'Monthly Cash Flow'!CJ$4&lt;=2),'Monthly Cash Flow'!CI14*(1+'Rent Roll Analysis'!$AE12/12),'Monthly Cash Flow'!CI14*(1+'Rent Roll Analysis'!$AB12/12))))</f>
        <v/>
      </c>
      <c r="CK14" s="1428" t="str">
        <f>IF($B14="","",IF(CK$4&gt;2,(CJ14*(1+'Rent Roll Analysis'!$AK12/12)), IF(AND('Monthly Cash Flow'!CK$4&gt;1,'Monthly Cash Flow'!CK$4&lt;=2),'Monthly Cash Flow'!CJ14*(1+'Rent Roll Analysis'!$AE12/12),'Monthly Cash Flow'!CJ14*(1+'Rent Roll Analysis'!$AB12/12))))</f>
        <v/>
      </c>
      <c r="CL14" s="1428" t="str">
        <f>IF($B14="","",IF(CL$4&gt;2,(CK14*(1+'Rent Roll Analysis'!$AK12/12)), IF(AND('Monthly Cash Flow'!CL$4&gt;1,'Monthly Cash Flow'!CL$4&lt;=2),'Monthly Cash Flow'!CK14*(1+'Rent Roll Analysis'!$AE12/12),'Monthly Cash Flow'!CK14*(1+'Rent Roll Analysis'!$AB12/12))))</f>
        <v/>
      </c>
      <c r="CM14" s="1428" t="str">
        <f>IF($B14="","",IF(CM$4&gt;2,(CL14*(1+'Rent Roll Analysis'!$AK12/12)), IF(AND('Monthly Cash Flow'!CM$4&gt;1,'Monthly Cash Flow'!CM$4&lt;=2),'Monthly Cash Flow'!CL14*(1+'Rent Roll Analysis'!$AE12/12),'Monthly Cash Flow'!CL14*(1+'Rent Roll Analysis'!$AB12/12))))</f>
        <v/>
      </c>
      <c r="CN14" s="1428" t="str">
        <f>IF($B14="","",IF(CN$4&gt;2,(CM14*(1+'Rent Roll Analysis'!$AK12/12)), IF(AND('Monthly Cash Flow'!CN$4&gt;1,'Monthly Cash Flow'!CN$4&lt;=2),'Monthly Cash Flow'!CM14*(1+'Rent Roll Analysis'!$AE12/12),'Monthly Cash Flow'!CM14*(1+'Rent Roll Analysis'!$AB12/12))))</f>
        <v/>
      </c>
      <c r="CO14" s="1428" t="str">
        <f>IF($B14="","",IF(CO$4&gt;2,(CN14*(1+'Rent Roll Analysis'!$AK12/12)), IF(AND('Monthly Cash Flow'!CO$4&gt;1,'Monthly Cash Flow'!CO$4&lt;=2),'Monthly Cash Flow'!CN14*(1+'Rent Roll Analysis'!$AE12/12),'Monthly Cash Flow'!CN14*(1+'Rent Roll Analysis'!$AB12/12))))</f>
        <v/>
      </c>
      <c r="CP14" s="1428" t="str">
        <f>IF($B14="","",IF(CP$4&gt;2,(CO14*(1+'Rent Roll Analysis'!$AK12/12)), IF(AND('Monthly Cash Flow'!CP$4&gt;1,'Monthly Cash Flow'!CP$4&lt;=2),'Monthly Cash Flow'!CO14*(1+'Rent Roll Analysis'!$AE12/12),'Monthly Cash Flow'!CO14*(1+'Rent Roll Analysis'!$AB12/12))))</f>
        <v/>
      </c>
      <c r="CQ14" s="1428" t="str">
        <f>IF($B14="","",IF(CQ$4&gt;2,(CP14*(1+'Rent Roll Analysis'!$AK12/12)), IF(AND('Monthly Cash Flow'!CQ$4&gt;1,'Monthly Cash Flow'!CQ$4&lt;=2),'Monthly Cash Flow'!CP14*(1+'Rent Roll Analysis'!$AE12/12),'Monthly Cash Flow'!CP14*(1+'Rent Roll Analysis'!$AB12/12))))</f>
        <v/>
      </c>
      <c r="CR14" s="1428" t="str">
        <f>IF($B14="","",IF(CR$4&gt;2,(CQ14*(1+'Rent Roll Analysis'!$AK12/12)), IF(AND('Monthly Cash Flow'!CR$4&gt;1,'Monthly Cash Flow'!CR$4&lt;=2),'Monthly Cash Flow'!CQ14*(1+'Rent Roll Analysis'!$AE12/12),'Monthly Cash Flow'!CQ14*(1+'Rent Roll Analysis'!$AB12/12))))</f>
        <v/>
      </c>
      <c r="CS14" s="1428" t="str">
        <f>IF($B14="","",IF(CS$4&gt;2,(CR14*(1+'Rent Roll Analysis'!$AK12/12)), IF(AND('Monthly Cash Flow'!CS$4&gt;1,'Monthly Cash Flow'!CS$4&lt;=2),'Monthly Cash Flow'!CR14*(1+'Rent Roll Analysis'!$AE12/12),'Monthly Cash Flow'!CR14*(1+'Rent Roll Analysis'!$AB12/12))))</f>
        <v/>
      </c>
      <c r="CT14" s="1428" t="str">
        <f>IF($B14="","",IF(CT$4&gt;2,(CS14*(1+'Rent Roll Analysis'!$AK12/12)), IF(AND('Monthly Cash Flow'!CT$4&gt;1,'Monthly Cash Flow'!CT$4&lt;=2),'Monthly Cash Flow'!CS14*(1+'Rent Roll Analysis'!$AE12/12),'Monthly Cash Flow'!CS14*(1+'Rent Roll Analysis'!$AB12/12))))</f>
        <v/>
      </c>
      <c r="CU14" s="1428" t="str">
        <f>IF($B14="","",IF(CU$4&gt;2,(CT14*(1+'Rent Roll Analysis'!$AK12/12)), IF(AND('Monthly Cash Flow'!CU$4&gt;1,'Monthly Cash Flow'!CU$4&lt;=2),'Monthly Cash Flow'!CT14*(1+'Rent Roll Analysis'!$AE12/12),'Monthly Cash Flow'!CT14*(1+'Rent Roll Analysis'!$AB12/12))))</f>
        <v/>
      </c>
      <c r="CV14" s="1428" t="str">
        <f>IF($B14="","",IF(CV$4&gt;2,(CU14*(1+'Rent Roll Analysis'!$AK12/12)), IF(AND('Monthly Cash Flow'!CV$4&gt;1,'Monthly Cash Flow'!CV$4&lt;=2),'Monthly Cash Flow'!CU14*(1+'Rent Roll Analysis'!$AE12/12),'Monthly Cash Flow'!CU14*(1+'Rent Roll Analysis'!$AB12/12))))</f>
        <v/>
      </c>
      <c r="CW14" s="1428" t="str">
        <f>IF($B14="","",IF(CW$4&gt;2,(CV14*(1+'Rent Roll Analysis'!$AK12/12)), IF(AND('Monthly Cash Flow'!CW$4&gt;1,'Monthly Cash Flow'!CW$4&lt;=2),'Monthly Cash Flow'!CV14*(1+'Rent Roll Analysis'!$AE12/12),'Monthly Cash Flow'!CV14*(1+'Rent Roll Analysis'!$AB12/12))))</f>
        <v/>
      </c>
      <c r="CX14" s="1428" t="str">
        <f>IF($B14="","",IF(CX$4&gt;2,(CW14*(1+'Rent Roll Analysis'!$AK12/12)), IF(AND('Monthly Cash Flow'!CX$4&gt;1,'Monthly Cash Flow'!CX$4&lt;=2),'Monthly Cash Flow'!CW14*(1+'Rent Roll Analysis'!$AE12/12),'Monthly Cash Flow'!CW14*(1+'Rent Roll Analysis'!$AB12/12))))</f>
        <v/>
      </c>
      <c r="CY14" s="1428" t="str">
        <f>IF($B14="","",IF(CY$4&gt;2,(CX14*(1+'Rent Roll Analysis'!$AK12/12)), IF(AND('Monthly Cash Flow'!CY$4&gt;1,'Monthly Cash Flow'!CY$4&lt;=2),'Monthly Cash Flow'!CX14*(1+'Rent Roll Analysis'!$AE12/12),'Monthly Cash Flow'!CX14*(1+'Rent Roll Analysis'!$AB12/12))))</f>
        <v/>
      </c>
      <c r="CZ14" s="1428" t="str">
        <f>IF($B14="","",IF(CZ$4&gt;2,(CY14*(1+'Rent Roll Analysis'!$AK12/12)), IF(AND('Monthly Cash Flow'!CZ$4&gt;1,'Monthly Cash Flow'!CZ$4&lt;=2),'Monthly Cash Flow'!CY14*(1+'Rent Roll Analysis'!$AE12/12),'Monthly Cash Flow'!CY14*(1+'Rent Roll Analysis'!$AB12/12))))</f>
        <v/>
      </c>
      <c r="DA14" s="1428" t="str">
        <f>IF($B14="","",IF(DA$4&gt;2,(CZ14*(1+'Rent Roll Analysis'!$AK12/12)), IF(AND('Monthly Cash Flow'!DA$4&gt;1,'Monthly Cash Flow'!DA$4&lt;=2),'Monthly Cash Flow'!CZ14*(1+'Rent Roll Analysis'!$AE12/12),'Monthly Cash Flow'!CZ14*(1+'Rent Roll Analysis'!$AB12/12))))</f>
        <v/>
      </c>
      <c r="DB14" s="1428" t="str">
        <f>IF($B14="","",IF(DB$4&gt;2,(DA14*(1+'Rent Roll Analysis'!$AK12/12)), IF(AND('Monthly Cash Flow'!DB$4&gt;1,'Monthly Cash Flow'!DB$4&lt;=2),'Monthly Cash Flow'!DA14*(1+'Rent Roll Analysis'!$AE12/12),'Monthly Cash Flow'!DA14*(1+'Rent Roll Analysis'!$AB12/12))))</f>
        <v/>
      </c>
      <c r="DC14" s="1428" t="str">
        <f>IF($B14="","",IF(DC$4&gt;2,(DB14*(1+'Rent Roll Analysis'!$AK12/12)), IF(AND('Monthly Cash Flow'!DC$4&gt;1,'Monthly Cash Flow'!DC$4&lt;=2),'Monthly Cash Flow'!DB14*(1+'Rent Roll Analysis'!$AE12/12),'Monthly Cash Flow'!DB14*(1+'Rent Roll Analysis'!$AB12/12))))</f>
        <v/>
      </c>
      <c r="DD14" s="1428" t="str">
        <f>IF($B14="","",IF(DD$4&gt;2,(DC14*(1+'Rent Roll Analysis'!$AK12/12)), IF(AND('Monthly Cash Flow'!DD$4&gt;1,'Monthly Cash Flow'!DD$4&lt;=2),'Monthly Cash Flow'!DC14*(1+'Rent Roll Analysis'!$AE12/12),'Monthly Cash Flow'!DC14*(1+'Rent Roll Analysis'!$AB12/12))))</f>
        <v/>
      </c>
      <c r="DE14" s="1428" t="str">
        <f>IF($B14="","",IF(DE$4&gt;2,(DD14*(1+'Rent Roll Analysis'!$AK12/12)), IF(AND('Monthly Cash Flow'!DE$4&gt;1,'Monthly Cash Flow'!DE$4&lt;=2),'Monthly Cash Flow'!DD14*(1+'Rent Roll Analysis'!$AE12/12),'Monthly Cash Flow'!DD14*(1+'Rent Roll Analysis'!$AB12/12))))</f>
        <v/>
      </c>
      <c r="DF14" s="1428" t="str">
        <f>IF($B14="","",IF(DF$4&gt;2,(DE14*(1+'Rent Roll Analysis'!$AK12/12)), IF(AND('Monthly Cash Flow'!DF$4&gt;1,'Monthly Cash Flow'!DF$4&lt;=2),'Monthly Cash Flow'!DE14*(1+'Rent Roll Analysis'!$AE12/12),'Monthly Cash Flow'!DE14*(1+'Rent Roll Analysis'!$AB12/12))))</f>
        <v/>
      </c>
      <c r="DG14" s="1428" t="str">
        <f>IF($B14="","",IF(DG$4&gt;2,(DF14*(1+'Rent Roll Analysis'!$AK12/12)), IF(AND('Monthly Cash Flow'!DG$4&gt;1,'Monthly Cash Flow'!DG$4&lt;=2),'Monthly Cash Flow'!DF14*(1+'Rent Roll Analysis'!$AE12/12),'Monthly Cash Flow'!DF14*(1+'Rent Roll Analysis'!$AB12/12))))</f>
        <v/>
      </c>
      <c r="DH14" s="1428" t="str">
        <f>IF($B14="","",IF(DH$4&gt;2,(DG14*(1+'Rent Roll Analysis'!$AK12/12)), IF(AND('Monthly Cash Flow'!DH$4&gt;1,'Monthly Cash Flow'!DH$4&lt;=2),'Monthly Cash Flow'!DG14*(1+'Rent Roll Analysis'!$AE12/12),'Monthly Cash Flow'!DG14*(1+'Rent Roll Analysis'!$AB12/12))))</f>
        <v/>
      </c>
      <c r="DI14" s="1428" t="str">
        <f>IF($B14="","",IF(DI$4&gt;2,(DH14*(1+'Rent Roll Analysis'!$AK12/12)), IF(AND('Monthly Cash Flow'!DI$4&gt;1,'Monthly Cash Flow'!DI$4&lt;=2),'Monthly Cash Flow'!DH14*(1+'Rent Roll Analysis'!$AE12/12),'Monthly Cash Flow'!DH14*(1+'Rent Roll Analysis'!$AB12/12))))</f>
        <v/>
      </c>
      <c r="DJ14" s="1428" t="str">
        <f>IF($B14="","",IF(DJ$4&gt;2,(DI14*(1+'Rent Roll Analysis'!$AK12/12)), IF(AND('Monthly Cash Flow'!DJ$4&gt;1,'Monthly Cash Flow'!DJ$4&lt;=2),'Monthly Cash Flow'!DI14*(1+'Rent Roll Analysis'!$AE12/12),'Monthly Cash Flow'!DI14*(1+'Rent Roll Analysis'!$AB12/12))))</f>
        <v/>
      </c>
      <c r="DK14" s="1428" t="str">
        <f>IF($B14="","",IF(DK$4&gt;2,(DJ14*(1+'Rent Roll Analysis'!$AK12/12)), IF(AND('Monthly Cash Flow'!DK$4&gt;1,'Monthly Cash Flow'!DK$4&lt;=2),'Monthly Cash Flow'!DJ14*(1+'Rent Roll Analysis'!$AE12/12),'Monthly Cash Flow'!DJ14*(1+'Rent Roll Analysis'!$AB12/12))))</f>
        <v/>
      </c>
      <c r="DL14" s="1428" t="str">
        <f>IF($B14="","",IF(DL$4&gt;2,(DK14*(1+'Rent Roll Analysis'!$AK12/12)), IF(AND('Monthly Cash Flow'!DL$4&gt;1,'Monthly Cash Flow'!DL$4&lt;=2),'Monthly Cash Flow'!DK14*(1+'Rent Roll Analysis'!$AE12/12),'Monthly Cash Flow'!DK14*(1+'Rent Roll Analysis'!$AB12/12))))</f>
        <v/>
      </c>
      <c r="DM14" s="1428" t="str">
        <f>IF($B14="","",IF(DM$4&gt;2,(DL14*(1+'Rent Roll Analysis'!$AK12/12)), IF(AND('Monthly Cash Flow'!DM$4&gt;1,'Monthly Cash Flow'!DM$4&lt;=2),'Monthly Cash Flow'!DL14*(1+'Rent Roll Analysis'!$AE12/12),'Monthly Cash Flow'!DL14*(1+'Rent Roll Analysis'!$AB12/12))))</f>
        <v/>
      </c>
      <c r="DN14" s="1428" t="str">
        <f>IF($B14="","",IF(DN$4&gt;2,(DM14*(1+'Rent Roll Analysis'!$AK12/12)), IF(AND('Monthly Cash Flow'!DN$4&gt;1,'Monthly Cash Flow'!DN$4&lt;=2),'Monthly Cash Flow'!DM14*(1+'Rent Roll Analysis'!$AE12/12),'Monthly Cash Flow'!DM14*(1+'Rent Roll Analysis'!$AB12/12))))</f>
        <v/>
      </c>
      <c r="DO14" s="1428" t="str">
        <f>IF($B14="","",IF(DO$4&gt;2,(DN14*(1+'Rent Roll Analysis'!$AK12/12)), IF(AND('Monthly Cash Flow'!DO$4&gt;1,'Monthly Cash Flow'!DO$4&lt;=2),'Monthly Cash Flow'!DN14*(1+'Rent Roll Analysis'!$AE12/12),'Monthly Cash Flow'!DN14*(1+'Rent Roll Analysis'!$AB12/12))))</f>
        <v/>
      </c>
      <c r="DP14" s="1428" t="str">
        <f>IF($B14="","",IF(DP$4&gt;2,(DO14*(1+'Rent Roll Analysis'!$AK12/12)), IF(AND('Monthly Cash Flow'!DP$4&gt;1,'Monthly Cash Flow'!DP$4&lt;=2),'Monthly Cash Flow'!DO14*(1+'Rent Roll Analysis'!$AE12/12),'Monthly Cash Flow'!DO14*(1+'Rent Roll Analysis'!$AB12/12))))</f>
        <v/>
      </c>
      <c r="DQ14" s="1428" t="str">
        <f>IF($B14="","",IF(DQ$4&gt;2,(DP14*(1+'Rent Roll Analysis'!$AK12/12)), IF(AND('Monthly Cash Flow'!DQ$4&gt;1,'Monthly Cash Flow'!DQ$4&lt;=2),'Monthly Cash Flow'!DP14*(1+'Rent Roll Analysis'!$AE12/12),'Monthly Cash Flow'!DP14*(1+'Rent Roll Analysis'!$AB12/12))))</f>
        <v/>
      </c>
      <c r="DR14" s="1428" t="str">
        <f>IF($B14="","",IF(DR$4&gt;2,(DQ14*(1+'Rent Roll Analysis'!$AK12/12)), IF(AND('Monthly Cash Flow'!DR$4&gt;1,'Monthly Cash Flow'!DR$4&lt;=2),'Monthly Cash Flow'!DQ14*(1+'Rent Roll Analysis'!$AE12/12),'Monthly Cash Flow'!DQ14*(1+'Rent Roll Analysis'!$AB12/12))))</f>
        <v/>
      </c>
      <c r="DS14" s="1428" t="str">
        <f>IF($B14="","",IF(DS$4&gt;2,(DR14*(1+'Rent Roll Analysis'!$AK12/12)), IF(AND('Monthly Cash Flow'!DS$4&gt;1,'Monthly Cash Flow'!DS$4&lt;=2),'Monthly Cash Flow'!DR14*(1+'Rent Roll Analysis'!$AE12/12),'Monthly Cash Flow'!DR14*(1+'Rent Roll Analysis'!$AB12/12))))</f>
        <v/>
      </c>
      <c r="DT14" s="1428" t="str">
        <f>IF($B14="","",IF(DT$4&gt;2,(DS14*(1+'Rent Roll Analysis'!$AK12/12)), IF(AND('Monthly Cash Flow'!DT$4&gt;1,'Monthly Cash Flow'!DT$4&lt;=2),'Monthly Cash Flow'!DS14*(1+'Rent Roll Analysis'!$AE12/12),'Monthly Cash Flow'!DS14*(1+'Rent Roll Analysis'!$AB12/12))))</f>
        <v/>
      </c>
      <c r="DU14" s="385" t="s">
        <v>557</v>
      </c>
      <c r="DV14" s="375"/>
    </row>
    <row r="15" spans="1:126" s="92" customFormat="1" ht="20.149999999999999" customHeight="1" outlineLevel="1">
      <c r="A15" s="375"/>
      <c r="B15" s="383" t="str">
        <f>'Rent Roll Analysis'!C13</f>
        <v/>
      </c>
      <c r="C15" s="376"/>
      <c r="D15" s="1426" t="str">
        <f>IF('Rent Roll Analysis'!C13="","",'Rent Roll Analysis'!N13*'Rent Roll Analysis'!E13)</f>
        <v/>
      </c>
      <c r="E15" s="1428" t="str">
        <f t="shared" si="113"/>
        <v/>
      </c>
      <c r="F15" s="1428" t="str">
        <f>IF($B15="","",IF(F$4&gt;2,(E15*(1+'Rent Roll Analysis'!$AK13/12)), IF(AND('Monthly Cash Flow'!F$4&gt;1,'Monthly Cash Flow'!F$4&lt;=2),'Monthly Cash Flow'!E15*(1+'Rent Roll Analysis'!$AE13/12),'Monthly Cash Flow'!E15*(1+'Rent Roll Analysis'!$AB13/12))))</f>
        <v/>
      </c>
      <c r="G15" s="1428" t="str">
        <f>IF($B15="","",IF(G$4&gt;2,(F15*(1+'Rent Roll Analysis'!$AK13/12)), IF(AND('Monthly Cash Flow'!G$4&gt;1,'Monthly Cash Flow'!G$4&lt;=2),'Monthly Cash Flow'!F15*(1+'Rent Roll Analysis'!$AE13/12),'Monthly Cash Flow'!F15*(1+'Rent Roll Analysis'!$AB13/12))))</f>
        <v/>
      </c>
      <c r="H15" s="1428" t="str">
        <f>IF($B15="","",IF(H$4&gt;2,(G15*(1+'Rent Roll Analysis'!$AK13/12)), IF(AND('Monthly Cash Flow'!H$4&gt;1,'Monthly Cash Flow'!H$4&lt;=2),'Monthly Cash Flow'!G15*(1+'Rent Roll Analysis'!$AE13/12),'Monthly Cash Flow'!G15*(1+'Rent Roll Analysis'!$AB13/12))))</f>
        <v/>
      </c>
      <c r="I15" s="1428" t="str">
        <f>IF($B15="","",IF(I$4&gt;2,(H15*(1+'Rent Roll Analysis'!$AK13/12)), IF(AND('Monthly Cash Flow'!I$4&gt;1,'Monthly Cash Flow'!I$4&lt;=2),'Monthly Cash Flow'!H15*(1+'Rent Roll Analysis'!$AE13/12),'Monthly Cash Flow'!H15*(1+'Rent Roll Analysis'!$AB13/12))))</f>
        <v/>
      </c>
      <c r="J15" s="1428" t="str">
        <f>IF($B15="","",IF(J$4&gt;2,(I15*(1+'Rent Roll Analysis'!$AK13/12)), IF(AND('Monthly Cash Flow'!J$4&gt;1,'Monthly Cash Flow'!J$4&lt;=2),'Monthly Cash Flow'!I15*(1+'Rent Roll Analysis'!$AE13/12),'Monthly Cash Flow'!I15*(1+'Rent Roll Analysis'!$AB13/12))))</f>
        <v/>
      </c>
      <c r="K15" s="1428" t="str">
        <f>IF($B15="","",IF(K$4&gt;2,(J15*(1+'Rent Roll Analysis'!$AK13/12)), IF(AND('Monthly Cash Flow'!K$4&gt;1,'Monthly Cash Flow'!K$4&lt;=2),'Monthly Cash Flow'!J15*(1+'Rent Roll Analysis'!$AE13/12),'Monthly Cash Flow'!J15*(1+'Rent Roll Analysis'!$AB13/12))))</f>
        <v/>
      </c>
      <c r="L15" s="1428" t="str">
        <f>IF($B15="","",IF(L$4&gt;2,(K15*(1+'Rent Roll Analysis'!$AK13/12)), IF(AND('Monthly Cash Flow'!L$4&gt;1,'Monthly Cash Flow'!L$4&lt;=2),'Monthly Cash Flow'!K15*(1+'Rent Roll Analysis'!$AE13/12),'Monthly Cash Flow'!K15*(1+'Rent Roll Analysis'!$AB13/12))))</f>
        <v/>
      </c>
      <c r="M15" s="1428" t="str">
        <f>IF($B15="","",IF(M$4&gt;2,(L15*(1+'Rent Roll Analysis'!$AK13/12)), IF(AND('Monthly Cash Flow'!M$4&gt;1,'Monthly Cash Flow'!M$4&lt;=2),'Monthly Cash Flow'!L15*(1+'Rent Roll Analysis'!$AE13/12),'Monthly Cash Flow'!L15*(1+'Rent Roll Analysis'!$AB13/12))))</f>
        <v/>
      </c>
      <c r="N15" s="1428" t="str">
        <f>IF($B15="","",IF(N$4&gt;2,(M15*(1+'Rent Roll Analysis'!$AK13/12)), IF(AND('Monthly Cash Flow'!N$4&gt;1,'Monthly Cash Flow'!N$4&lt;=2),'Monthly Cash Flow'!M15*(1+'Rent Roll Analysis'!$AE13/12),'Monthly Cash Flow'!M15*(1+'Rent Roll Analysis'!$AB13/12))))</f>
        <v/>
      </c>
      <c r="O15" s="1428" t="str">
        <f>IF($B15="","",IF(O$4&gt;2,(N15*(1+'Rent Roll Analysis'!$AK13/12)), IF(AND('Monthly Cash Flow'!O$4&gt;1,'Monthly Cash Flow'!O$4&lt;=2),'Monthly Cash Flow'!N15*(1+'Rent Roll Analysis'!$AE13/12),'Monthly Cash Flow'!N15*(1+'Rent Roll Analysis'!$AB13/12))))</f>
        <v/>
      </c>
      <c r="P15" s="1428" t="str">
        <f>IF($B15="","",IF(P$4&gt;2,(O15*(1+'Rent Roll Analysis'!$AK13/12)), IF(AND('Monthly Cash Flow'!P$4&gt;1,'Monthly Cash Flow'!P$4&lt;=2),'Monthly Cash Flow'!O15*(1+'Rent Roll Analysis'!$AE13/12),'Monthly Cash Flow'!O15*(1+'Rent Roll Analysis'!$AB13/12))))</f>
        <v/>
      </c>
      <c r="Q15" s="1428" t="str">
        <f>IF($B15="","",IF(Q$4&gt;2,(P15*(1+'Rent Roll Analysis'!$AK13/12)), IF(AND('Monthly Cash Flow'!Q$4&gt;1,'Monthly Cash Flow'!Q$4&lt;=2),'Monthly Cash Flow'!P15*(1+'Rent Roll Analysis'!$AE13/12),'Monthly Cash Flow'!P15*(1+'Rent Roll Analysis'!$AB13/12))))</f>
        <v/>
      </c>
      <c r="R15" s="1428" t="str">
        <f>IF($B15="","",IF(R$4&gt;2,(Q15*(1+'Rent Roll Analysis'!$AK13/12)), IF(AND('Monthly Cash Flow'!R$4&gt;1,'Monthly Cash Flow'!R$4&lt;=2),'Monthly Cash Flow'!Q15*(1+'Rent Roll Analysis'!$AE13/12),'Monthly Cash Flow'!Q15*(1+'Rent Roll Analysis'!$AB13/12))))</f>
        <v/>
      </c>
      <c r="S15" s="1428" t="str">
        <f>IF($B15="","",IF(S$4&gt;2,(R15*(1+'Rent Roll Analysis'!$AK13/12)), IF(AND('Monthly Cash Flow'!S$4&gt;1,'Monthly Cash Flow'!S$4&lt;=2),'Monthly Cash Flow'!R15*(1+'Rent Roll Analysis'!$AE13/12),'Monthly Cash Flow'!R15*(1+'Rent Roll Analysis'!$AB13/12))))</f>
        <v/>
      </c>
      <c r="T15" s="1428" t="str">
        <f>IF($B15="","",IF(T$4&gt;2,(S15*(1+'Rent Roll Analysis'!$AK13/12)), IF(AND('Monthly Cash Flow'!T$4&gt;1,'Monthly Cash Flow'!T$4&lt;=2),'Monthly Cash Flow'!S15*(1+'Rent Roll Analysis'!$AE13/12),'Monthly Cash Flow'!S15*(1+'Rent Roll Analysis'!$AB13/12))))</f>
        <v/>
      </c>
      <c r="U15" s="1428" t="str">
        <f>IF($B15="","",IF(U$4&gt;2,(T15*(1+'Rent Roll Analysis'!$AK13/12)), IF(AND('Monthly Cash Flow'!U$4&gt;1,'Monthly Cash Flow'!U$4&lt;=2),'Monthly Cash Flow'!T15*(1+'Rent Roll Analysis'!$AE13/12),'Monthly Cash Flow'!T15*(1+'Rent Roll Analysis'!$AB13/12))))</f>
        <v/>
      </c>
      <c r="V15" s="1428" t="str">
        <f>IF($B15="","",IF(V$4&gt;2,(U15*(1+'Rent Roll Analysis'!$AK13/12)), IF(AND('Monthly Cash Flow'!V$4&gt;1,'Monthly Cash Flow'!V$4&lt;=2),'Monthly Cash Flow'!U15*(1+'Rent Roll Analysis'!$AE13/12),'Monthly Cash Flow'!U15*(1+'Rent Roll Analysis'!$AB13/12))))</f>
        <v/>
      </c>
      <c r="W15" s="1428" t="str">
        <f>IF($B15="","",IF(W$4&gt;2,(V15*(1+'Rent Roll Analysis'!$AK13/12)), IF(AND('Monthly Cash Flow'!W$4&gt;1,'Monthly Cash Flow'!W$4&lt;=2),'Monthly Cash Flow'!V15*(1+'Rent Roll Analysis'!$AE13/12),'Monthly Cash Flow'!V15*(1+'Rent Roll Analysis'!$AB13/12))))</f>
        <v/>
      </c>
      <c r="X15" s="1428" t="str">
        <f>IF($B15="","",IF(X$4&gt;2,(W15*(1+'Rent Roll Analysis'!$AK13/12)), IF(AND('Monthly Cash Flow'!X$4&gt;1,'Monthly Cash Flow'!X$4&lt;=2),'Monthly Cash Flow'!W15*(1+'Rent Roll Analysis'!$AE13/12),'Monthly Cash Flow'!W15*(1+'Rent Roll Analysis'!$AB13/12))))</f>
        <v/>
      </c>
      <c r="Y15" s="1428" t="str">
        <f>IF($B15="","",IF(Y$4&gt;2,(X15*(1+'Rent Roll Analysis'!$AK13/12)), IF(AND('Monthly Cash Flow'!Y$4&gt;1,'Monthly Cash Flow'!Y$4&lt;=2),'Monthly Cash Flow'!X15*(1+'Rent Roll Analysis'!$AE13/12),'Monthly Cash Flow'!X15*(1+'Rent Roll Analysis'!$AB13/12))))</f>
        <v/>
      </c>
      <c r="Z15" s="1428" t="str">
        <f>IF($B15="","",IF(Z$4&gt;2,(Y15*(1+'Rent Roll Analysis'!$AK13/12)), IF(AND('Monthly Cash Flow'!Z$4&gt;1,'Monthly Cash Flow'!Z$4&lt;=2),'Monthly Cash Flow'!Y15*(1+'Rent Roll Analysis'!$AE13/12),'Monthly Cash Flow'!Y15*(1+'Rent Roll Analysis'!$AB13/12))))</f>
        <v/>
      </c>
      <c r="AA15" s="1428" t="str">
        <f>IF($B15="","",IF(AA$4&gt;2,(Z15*(1+'Rent Roll Analysis'!$AK13/12)), IF(AND('Monthly Cash Flow'!AA$4&gt;1,'Monthly Cash Flow'!AA$4&lt;=2),'Monthly Cash Flow'!Z15*(1+'Rent Roll Analysis'!$AE13/12),'Monthly Cash Flow'!Z15*(1+'Rent Roll Analysis'!$AB13/12))))</f>
        <v/>
      </c>
      <c r="AB15" s="1428" t="str">
        <f>IF($B15="","",IF(AB$4&gt;2,(AA15*(1+'Rent Roll Analysis'!$AK13/12)), IF(AND('Monthly Cash Flow'!AB$4&gt;1,'Monthly Cash Flow'!AB$4&lt;=2),'Monthly Cash Flow'!AA15*(1+'Rent Roll Analysis'!$AE13/12),'Monthly Cash Flow'!AA15*(1+'Rent Roll Analysis'!$AB13/12))))</f>
        <v/>
      </c>
      <c r="AC15" s="1428" t="str">
        <f>IF($B15="","",IF(AC$4&gt;2,(AB15*(1+'Rent Roll Analysis'!$AK13/12)), IF(AND('Monthly Cash Flow'!AC$4&gt;1,'Monthly Cash Flow'!AC$4&lt;=2),'Monthly Cash Flow'!AB15*(1+'Rent Roll Analysis'!$AE13/12),'Monthly Cash Flow'!AB15*(1+'Rent Roll Analysis'!$AB13/12))))</f>
        <v/>
      </c>
      <c r="AD15" s="1428" t="str">
        <f>IF($B15="","",IF(AD$4&gt;2,(AC15*(1+'Rent Roll Analysis'!$AK13/12)), IF(AND('Monthly Cash Flow'!AD$4&gt;1,'Monthly Cash Flow'!AD$4&lt;=2),'Monthly Cash Flow'!AC15*(1+'Rent Roll Analysis'!$AE13/12),'Monthly Cash Flow'!AC15*(1+'Rent Roll Analysis'!$AB13/12))))</f>
        <v/>
      </c>
      <c r="AE15" s="1428" t="str">
        <f>IF($B15="","",IF(AE$4&gt;2,(AD15*(1+'Rent Roll Analysis'!$AK13/12)), IF(AND('Monthly Cash Flow'!AE$4&gt;1,'Monthly Cash Flow'!AE$4&lt;=2),'Monthly Cash Flow'!AD15*(1+'Rent Roll Analysis'!$AE13/12),'Monthly Cash Flow'!AD15*(1+'Rent Roll Analysis'!$AB13/12))))</f>
        <v/>
      </c>
      <c r="AF15" s="1428" t="str">
        <f>IF($B15="","",IF(AF$4&gt;2,(AE15*(1+'Rent Roll Analysis'!$AK13/12)), IF(AND('Monthly Cash Flow'!AF$4&gt;1,'Monthly Cash Flow'!AF$4&lt;=2),'Monthly Cash Flow'!AE15*(1+'Rent Roll Analysis'!$AE13/12),'Monthly Cash Flow'!AE15*(1+'Rent Roll Analysis'!$AB13/12))))</f>
        <v/>
      </c>
      <c r="AG15" s="1428" t="str">
        <f>IF($B15="","",IF(AG$4&gt;2,(AF15*(1+'Rent Roll Analysis'!$AK13/12)), IF(AND('Monthly Cash Flow'!AG$4&gt;1,'Monthly Cash Flow'!AG$4&lt;=2),'Monthly Cash Flow'!AF15*(1+'Rent Roll Analysis'!$AE13/12),'Monthly Cash Flow'!AF15*(1+'Rent Roll Analysis'!$AB13/12))))</f>
        <v/>
      </c>
      <c r="AH15" s="1428" t="str">
        <f>IF($B15="","",IF(AH$4&gt;2,(AG15*(1+'Rent Roll Analysis'!$AK13/12)), IF(AND('Monthly Cash Flow'!AH$4&gt;1,'Monthly Cash Flow'!AH$4&lt;=2),'Monthly Cash Flow'!AG15*(1+'Rent Roll Analysis'!$AE13/12),'Monthly Cash Flow'!AG15*(1+'Rent Roll Analysis'!$AB13/12))))</f>
        <v/>
      </c>
      <c r="AI15" s="1428" t="str">
        <f>IF($B15="","",IF(AI$4&gt;2,(AH15*(1+'Rent Roll Analysis'!$AK13/12)), IF(AND('Monthly Cash Flow'!AI$4&gt;1,'Monthly Cash Flow'!AI$4&lt;=2),'Monthly Cash Flow'!AH15*(1+'Rent Roll Analysis'!$AE13/12),'Monthly Cash Flow'!AH15*(1+'Rent Roll Analysis'!$AB13/12))))</f>
        <v/>
      </c>
      <c r="AJ15" s="1428" t="str">
        <f>IF($B15="","",IF(AJ$4&gt;2,(AI15*(1+'Rent Roll Analysis'!$AK13/12)), IF(AND('Monthly Cash Flow'!AJ$4&gt;1,'Monthly Cash Flow'!AJ$4&lt;=2),'Monthly Cash Flow'!AI15*(1+'Rent Roll Analysis'!$AE13/12),'Monthly Cash Flow'!AI15*(1+'Rent Roll Analysis'!$AB13/12))))</f>
        <v/>
      </c>
      <c r="AK15" s="1428" t="str">
        <f>IF($B15="","",IF(AK$4&gt;2,(AJ15*(1+'Rent Roll Analysis'!$AK13/12)), IF(AND('Monthly Cash Flow'!AK$4&gt;1,'Monthly Cash Flow'!AK$4&lt;=2),'Monthly Cash Flow'!AJ15*(1+'Rent Roll Analysis'!$AE13/12),'Monthly Cash Flow'!AJ15*(1+'Rent Roll Analysis'!$AB13/12))))</f>
        <v/>
      </c>
      <c r="AL15" s="1428" t="str">
        <f>IF($B15="","",IF(AL$4&gt;2,(AK15*(1+'Rent Roll Analysis'!$AK13/12)), IF(AND('Monthly Cash Flow'!AL$4&gt;1,'Monthly Cash Flow'!AL$4&lt;=2),'Monthly Cash Flow'!AK15*(1+'Rent Roll Analysis'!$AE13/12),'Monthly Cash Flow'!AK15*(1+'Rent Roll Analysis'!$AB13/12))))</f>
        <v/>
      </c>
      <c r="AM15" s="1428" t="str">
        <f>IF($B15="","",IF(AM$4&gt;2,(AL15*(1+'Rent Roll Analysis'!$AK13/12)), IF(AND('Monthly Cash Flow'!AM$4&gt;1,'Monthly Cash Flow'!AM$4&lt;=2),'Monthly Cash Flow'!AL15*(1+'Rent Roll Analysis'!$AE13/12),'Monthly Cash Flow'!AL15*(1+'Rent Roll Analysis'!$AB13/12))))</f>
        <v/>
      </c>
      <c r="AN15" s="1428" t="str">
        <f>IF($B15="","",IF(AN$4&gt;2,(AM15*(1+'Rent Roll Analysis'!$AK13/12)), IF(AND('Monthly Cash Flow'!AN$4&gt;1,'Monthly Cash Flow'!AN$4&lt;=2),'Monthly Cash Flow'!AM15*(1+'Rent Roll Analysis'!$AE13/12),'Monthly Cash Flow'!AM15*(1+'Rent Roll Analysis'!$AB13/12))))</f>
        <v/>
      </c>
      <c r="AO15" s="1428" t="str">
        <f>IF($B15="","",IF(AO$4&gt;2,(AN15*(1+'Rent Roll Analysis'!$AK13/12)), IF(AND('Monthly Cash Flow'!AO$4&gt;1,'Monthly Cash Flow'!AO$4&lt;=2),'Monthly Cash Flow'!AN15*(1+'Rent Roll Analysis'!$AE13/12),'Monthly Cash Flow'!AN15*(1+'Rent Roll Analysis'!$AB13/12))))</f>
        <v/>
      </c>
      <c r="AP15" s="1428" t="str">
        <f>IF($B15="","",IF(AP$4&gt;2,(AO15*(1+'Rent Roll Analysis'!$AK13/12)), IF(AND('Monthly Cash Flow'!AP$4&gt;1,'Monthly Cash Flow'!AP$4&lt;=2),'Monthly Cash Flow'!AO15*(1+'Rent Roll Analysis'!$AE13/12),'Monthly Cash Flow'!AO15*(1+'Rent Roll Analysis'!$AB13/12))))</f>
        <v/>
      </c>
      <c r="AQ15" s="1428" t="str">
        <f>IF($B15="","",IF(AQ$4&gt;2,(AP15*(1+'Rent Roll Analysis'!$AK13/12)), IF(AND('Monthly Cash Flow'!AQ$4&gt;1,'Monthly Cash Flow'!AQ$4&lt;=2),'Monthly Cash Flow'!AP15*(1+'Rent Roll Analysis'!$AE13/12),'Monthly Cash Flow'!AP15*(1+'Rent Roll Analysis'!$AB13/12))))</f>
        <v/>
      </c>
      <c r="AR15" s="1428" t="str">
        <f>IF($B15="","",IF(AR$4&gt;2,(AQ15*(1+'Rent Roll Analysis'!$AK13/12)), IF(AND('Monthly Cash Flow'!AR$4&gt;1,'Monthly Cash Flow'!AR$4&lt;=2),'Monthly Cash Flow'!AQ15*(1+'Rent Roll Analysis'!$AE13/12),'Monthly Cash Flow'!AQ15*(1+'Rent Roll Analysis'!$AB13/12))))</f>
        <v/>
      </c>
      <c r="AS15" s="1428" t="str">
        <f>IF($B15="","",IF(AS$4&gt;2,(AR15*(1+'Rent Roll Analysis'!$AK13/12)), IF(AND('Monthly Cash Flow'!AS$4&gt;1,'Monthly Cash Flow'!AS$4&lt;=2),'Monthly Cash Flow'!AR15*(1+'Rent Roll Analysis'!$AE13/12),'Monthly Cash Flow'!AR15*(1+'Rent Roll Analysis'!$AB13/12))))</f>
        <v/>
      </c>
      <c r="AT15" s="1428" t="str">
        <f>IF($B15="","",IF(AT$4&gt;2,(AS15*(1+'Rent Roll Analysis'!$AK13/12)), IF(AND('Monthly Cash Flow'!AT$4&gt;1,'Monthly Cash Flow'!AT$4&lt;=2),'Monthly Cash Flow'!AS15*(1+'Rent Roll Analysis'!$AE13/12),'Monthly Cash Flow'!AS15*(1+'Rent Roll Analysis'!$AB13/12))))</f>
        <v/>
      </c>
      <c r="AU15" s="1428" t="str">
        <f>IF($B15="","",IF(AU$4&gt;2,(AT15*(1+'Rent Roll Analysis'!$AK13/12)), IF(AND('Monthly Cash Flow'!AU$4&gt;1,'Monthly Cash Flow'!AU$4&lt;=2),'Monthly Cash Flow'!AT15*(1+'Rent Roll Analysis'!$AE13/12),'Monthly Cash Flow'!AT15*(1+'Rent Roll Analysis'!$AB13/12))))</f>
        <v/>
      </c>
      <c r="AV15" s="1428" t="str">
        <f>IF($B15="","",IF(AV$4&gt;2,(AU15*(1+'Rent Roll Analysis'!$AK13/12)), IF(AND('Monthly Cash Flow'!AV$4&gt;1,'Monthly Cash Flow'!AV$4&lt;=2),'Monthly Cash Flow'!AU15*(1+'Rent Roll Analysis'!$AE13/12),'Monthly Cash Flow'!AU15*(1+'Rent Roll Analysis'!$AB13/12))))</f>
        <v/>
      </c>
      <c r="AW15" s="1428" t="str">
        <f>IF($B15="","",IF(AW$4&gt;2,(AV15*(1+'Rent Roll Analysis'!$AK13/12)), IF(AND('Monthly Cash Flow'!AW$4&gt;1,'Monthly Cash Flow'!AW$4&lt;=2),'Monthly Cash Flow'!AV15*(1+'Rent Roll Analysis'!$AE13/12),'Monthly Cash Flow'!AV15*(1+'Rent Roll Analysis'!$AB13/12))))</f>
        <v/>
      </c>
      <c r="AX15" s="1428" t="str">
        <f>IF($B15="","",IF(AX$4&gt;2,(AW15*(1+'Rent Roll Analysis'!$AK13/12)), IF(AND('Monthly Cash Flow'!AX$4&gt;1,'Monthly Cash Flow'!AX$4&lt;=2),'Monthly Cash Flow'!AW15*(1+'Rent Roll Analysis'!$AE13/12),'Monthly Cash Flow'!AW15*(1+'Rent Roll Analysis'!$AB13/12))))</f>
        <v/>
      </c>
      <c r="AY15" s="1428" t="str">
        <f>IF($B15="","",IF(AY$4&gt;2,(AX15*(1+'Rent Roll Analysis'!$AK13/12)), IF(AND('Monthly Cash Flow'!AY$4&gt;1,'Monthly Cash Flow'!AY$4&lt;=2),'Monthly Cash Flow'!AX15*(1+'Rent Roll Analysis'!$AE13/12),'Monthly Cash Flow'!AX15*(1+'Rent Roll Analysis'!$AB13/12))))</f>
        <v/>
      </c>
      <c r="AZ15" s="1428" t="str">
        <f>IF($B15="","",IF(AZ$4&gt;2,(AY15*(1+'Rent Roll Analysis'!$AK13/12)), IF(AND('Monthly Cash Flow'!AZ$4&gt;1,'Monthly Cash Flow'!AZ$4&lt;=2),'Monthly Cash Flow'!AY15*(1+'Rent Roll Analysis'!$AE13/12),'Monthly Cash Flow'!AY15*(1+'Rent Roll Analysis'!$AB13/12))))</f>
        <v/>
      </c>
      <c r="BA15" s="1428" t="str">
        <f>IF($B15="","",IF(BA$4&gt;2,(AZ15*(1+'Rent Roll Analysis'!$AK13/12)), IF(AND('Monthly Cash Flow'!BA$4&gt;1,'Monthly Cash Flow'!BA$4&lt;=2),'Monthly Cash Flow'!AZ15*(1+'Rent Roll Analysis'!$AE13/12),'Monthly Cash Flow'!AZ15*(1+'Rent Roll Analysis'!$AB13/12))))</f>
        <v/>
      </c>
      <c r="BB15" s="1428" t="str">
        <f>IF($B15="","",IF(BB$4&gt;2,(BA15*(1+'Rent Roll Analysis'!$AK13/12)), IF(AND('Monthly Cash Flow'!BB$4&gt;1,'Monthly Cash Flow'!BB$4&lt;=2),'Monthly Cash Flow'!BA15*(1+'Rent Roll Analysis'!$AE13/12),'Monthly Cash Flow'!BA15*(1+'Rent Roll Analysis'!$AB13/12))))</f>
        <v/>
      </c>
      <c r="BC15" s="1428" t="str">
        <f>IF($B15="","",IF(BC$4&gt;2,(BB15*(1+'Rent Roll Analysis'!$AK13/12)), IF(AND('Monthly Cash Flow'!BC$4&gt;1,'Monthly Cash Flow'!BC$4&lt;=2),'Monthly Cash Flow'!BB15*(1+'Rent Roll Analysis'!$AE13/12),'Monthly Cash Flow'!BB15*(1+'Rent Roll Analysis'!$AB13/12))))</f>
        <v/>
      </c>
      <c r="BD15" s="1428" t="str">
        <f>IF($B15="","",IF(BD$4&gt;2,(BC15*(1+'Rent Roll Analysis'!$AK13/12)), IF(AND('Monthly Cash Flow'!BD$4&gt;1,'Monthly Cash Flow'!BD$4&lt;=2),'Monthly Cash Flow'!BC15*(1+'Rent Roll Analysis'!$AE13/12),'Monthly Cash Flow'!BC15*(1+'Rent Roll Analysis'!$AB13/12))))</f>
        <v/>
      </c>
      <c r="BE15" s="1428" t="str">
        <f>IF($B15="","",IF(BE$4&gt;2,(BD15*(1+'Rent Roll Analysis'!$AK13/12)), IF(AND('Monthly Cash Flow'!BE$4&gt;1,'Monthly Cash Flow'!BE$4&lt;=2),'Monthly Cash Flow'!BD15*(1+'Rent Roll Analysis'!$AE13/12),'Monthly Cash Flow'!BD15*(1+'Rent Roll Analysis'!$AB13/12))))</f>
        <v/>
      </c>
      <c r="BF15" s="1428" t="str">
        <f>IF($B15="","",IF(BF$4&gt;2,(BE15*(1+'Rent Roll Analysis'!$AK13/12)), IF(AND('Monthly Cash Flow'!BF$4&gt;1,'Monthly Cash Flow'!BF$4&lt;=2),'Monthly Cash Flow'!BE15*(1+'Rent Roll Analysis'!$AE13/12),'Monthly Cash Flow'!BE15*(1+'Rent Roll Analysis'!$AB13/12))))</f>
        <v/>
      </c>
      <c r="BG15" s="1428" t="str">
        <f>IF($B15="","",IF(BG$4&gt;2,(BF15*(1+'Rent Roll Analysis'!$AK13/12)), IF(AND('Monthly Cash Flow'!BG$4&gt;1,'Monthly Cash Flow'!BG$4&lt;=2),'Monthly Cash Flow'!BF15*(1+'Rent Roll Analysis'!$AE13/12),'Monthly Cash Flow'!BF15*(1+'Rent Roll Analysis'!$AB13/12))))</f>
        <v/>
      </c>
      <c r="BH15" s="1428" t="str">
        <f>IF($B15="","",IF(BH$4&gt;2,(BG15*(1+'Rent Roll Analysis'!$AK13/12)), IF(AND('Monthly Cash Flow'!BH$4&gt;1,'Monthly Cash Flow'!BH$4&lt;=2),'Monthly Cash Flow'!BG15*(1+'Rent Roll Analysis'!$AE13/12),'Monthly Cash Flow'!BG15*(1+'Rent Roll Analysis'!$AB13/12))))</f>
        <v/>
      </c>
      <c r="BI15" s="1428" t="str">
        <f>IF($B15="","",IF(BI$4&gt;2,(BH15*(1+'Rent Roll Analysis'!$AK13/12)), IF(AND('Monthly Cash Flow'!BI$4&gt;1,'Monthly Cash Flow'!BI$4&lt;=2),'Monthly Cash Flow'!BH15*(1+'Rent Roll Analysis'!$AE13/12),'Monthly Cash Flow'!BH15*(1+'Rent Roll Analysis'!$AB13/12))))</f>
        <v/>
      </c>
      <c r="BJ15" s="1428" t="str">
        <f>IF($B15="","",IF(BJ$4&gt;2,(BI15*(1+'Rent Roll Analysis'!$AK13/12)), IF(AND('Monthly Cash Flow'!BJ$4&gt;1,'Monthly Cash Flow'!BJ$4&lt;=2),'Monthly Cash Flow'!BI15*(1+'Rent Roll Analysis'!$AE13/12),'Monthly Cash Flow'!BI15*(1+'Rent Roll Analysis'!$AB13/12))))</f>
        <v/>
      </c>
      <c r="BK15" s="1428" t="str">
        <f>IF($B15="","",IF(BK$4&gt;2,(BJ15*(1+'Rent Roll Analysis'!$AK13/12)), IF(AND('Monthly Cash Flow'!BK$4&gt;1,'Monthly Cash Flow'!BK$4&lt;=2),'Monthly Cash Flow'!BJ15*(1+'Rent Roll Analysis'!$AE13/12),'Monthly Cash Flow'!BJ15*(1+'Rent Roll Analysis'!$AB13/12))))</f>
        <v/>
      </c>
      <c r="BL15" s="1428" t="str">
        <f>IF($B15="","",IF(BL$4&gt;2,(BK15*(1+'Rent Roll Analysis'!$AK13/12)), IF(AND('Monthly Cash Flow'!BL$4&gt;1,'Monthly Cash Flow'!BL$4&lt;=2),'Monthly Cash Flow'!BK15*(1+'Rent Roll Analysis'!$AE13/12),'Monthly Cash Flow'!BK15*(1+'Rent Roll Analysis'!$AB13/12))))</f>
        <v/>
      </c>
      <c r="BM15" s="1428" t="str">
        <f>IF($B15="","",IF(BM$4&gt;2,(BL15*(1+'Rent Roll Analysis'!$AK13/12)), IF(AND('Monthly Cash Flow'!BM$4&gt;1,'Monthly Cash Flow'!BM$4&lt;=2),'Monthly Cash Flow'!BL15*(1+'Rent Roll Analysis'!$AE13/12),'Monthly Cash Flow'!BL15*(1+'Rent Roll Analysis'!$AB13/12))))</f>
        <v/>
      </c>
      <c r="BN15" s="1428" t="str">
        <f>IF($B15="","",IF(BN$4&gt;2,(BM15*(1+'Rent Roll Analysis'!$AK13/12)), IF(AND('Monthly Cash Flow'!BN$4&gt;1,'Monthly Cash Flow'!BN$4&lt;=2),'Monthly Cash Flow'!BM15*(1+'Rent Roll Analysis'!$AE13/12),'Monthly Cash Flow'!BM15*(1+'Rent Roll Analysis'!$AB13/12))))</f>
        <v/>
      </c>
      <c r="BO15" s="1428" t="str">
        <f>IF($B15="","",IF(BO$4&gt;2,(BN15*(1+'Rent Roll Analysis'!$AK13/12)), IF(AND('Monthly Cash Flow'!BO$4&gt;1,'Monthly Cash Flow'!BO$4&lt;=2),'Monthly Cash Flow'!BN15*(1+'Rent Roll Analysis'!$AE13/12),'Monthly Cash Flow'!BN15*(1+'Rent Roll Analysis'!$AB13/12))))</f>
        <v/>
      </c>
      <c r="BP15" s="1428" t="str">
        <f>IF($B15="","",IF(BP$4&gt;2,(BO15*(1+'Rent Roll Analysis'!$AK13/12)), IF(AND('Monthly Cash Flow'!BP$4&gt;1,'Monthly Cash Flow'!BP$4&lt;=2),'Monthly Cash Flow'!BO15*(1+'Rent Roll Analysis'!$AE13/12),'Monthly Cash Flow'!BO15*(1+'Rent Roll Analysis'!$AB13/12))))</f>
        <v/>
      </c>
      <c r="BQ15" s="1428" t="str">
        <f>IF($B15="","",IF(BQ$4&gt;2,(BP15*(1+'Rent Roll Analysis'!$AK13/12)), IF(AND('Monthly Cash Flow'!BQ$4&gt;1,'Monthly Cash Flow'!BQ$4&lt;=2),'Monthly Cash Flow'!BP15*(1+'Rent Roll Analysis'!$AE13/12),'Monthly Cash Flow'!BP15*(1+'Rent Roll Analysis'!$AB13/12))))</f>
        <v/>
      </c>
      <c r="BR15" s="1428" t="str">
        <f>IF($B15="","",IF(BR$4&gt;2,(BQ15*(1+'Rent Roll Analysis'!$AK13/12)), IF(AND('Monthly Cash Flow'!BR$4&gt;1,'Monthly Cash Flow'!BR$4&lt;=2),'Monthly Cash Flow'!BQ15*(1+'Rent Roll Analysis'!$AE13/12),'Monthly Cash Flow'!BQ15*(1+'Rent Roll Analysis'!$AB13/12))))</f>
        <v/>
      </c>
      <c r="BS15" s="1428" t="str">
        <f>IF($B15="","",IF(BS$4&gt;2,(BR15*(1+'Rent Roll Analysis'!$AK13/12)), IF(AND('Monthly Cash Flow'!BS$4&gt;1,'Monthly Cash Flow'!BS$4&lt;=2),'Monthly Cash Flow'!BR15*(1+'Rent Roll Analysis'!$AE13/12),'Monthly Cash Flow'!BR15*(1+'Rent Roll Analysis'!$AB13/12))))</f>
        <v/>
      </c>
      <c r="BT15" s="1428" t="str">
        <f>IF($B15="","",IF(BT$4&gt;2,(BS15*(1+'Rent Roll Analysis'!$AK13/12)), IF(AND('Monthly Cash Flow'!BT$4&gt;1,'Monthly Cash Flow'!BT$4&lt;=2),'Monthly Cash Flow'!BS15*(1+'Rent Roll Analysis'!$AE13/12),'Monthly Cash Flow'!BS15*(1+'Rent Roll Analysis'!$AB13/12))))</f>
        <v/>
      </c>
      <c r="BU15" s="1428" t="str">
        <f>IF($B15="","",IF(BU$4&gt;2,(BT15*(1+'Rent Roll Analysis'!$AK13/12)), IF(AND('Monthly Cash Flow'!BU$4&gt;1,'Monthly Cash Flow'!BU$4&lt;=2),'Monthly Cash Flow'!BT15*(1+'Rent Roll Analysis'!$AE13/12),'Monthly Cash Flow'!BT15*(1+'Rent Roll Analysis'!$AB13/12))))</f>
        <v/>
      </c>
      <c r="BV15" s="1428" t="str">
        <f>IF($B15="","",IF(BV$4&gt;2,(BU15*(1+'Rent Roll Analysis'!$AK13/12)), IF(AND('Monthly Cash Flow'!BV$4&gt;1,'Monthly Cash Flow'!BV$4&lt;=2),'Monthly Cash Flow'!BU15*(1+'Rent Roll Analysis'!$AE13/12),'Monthly Cash Flow'!BU15*(1+'Rent Roll Analysis'!$AB13/12))))</f>
        <v/>
      </c>
      <c r="BW15" s="1428" t="str">
        <f>IF($B15="","",IF(BW$4&gt;2,(BV15*(1+'Rent Roll Analysis'!$AK13/12)), IF(AND('Monthly Cash Flow'!BW$4&gt;1,'Monthly Cash Flow'!BW$4&lt;=2),'Monthly Cash Flow'!BV15*(1+'Rent Roll Analysis'!$AE13/12),'Monthly Cash Flow'!BV15*(1+'Rent Roll Analysis'!$AB13/12))))</f>
        <v/>
      </c>
      <c r="BX15" s="1428" t="str">
        <f>IF($B15="","",IF(BX$4&gt;2,(BW15*(1+'Rent Roll Analysis'!$AK13/12)), IF(AND('Monthly Cash Flow'!BX$4&gt;1,'Monthly Cash Flow'!BX$4&lt;=2),'Monthly Cash Flow'!BW15*(1+'Rent Roll Analysis'!$AE13/12),'Monthly Cash Flow'!BW15*(1+'Rent Roll Analysis'!$AB13/12))))</f>
        <v/>
      </c>
      <c r="BY15" s="1428" t="str">
        <f>IF($B15="","",IF(BY$4&gt;2,(BX15*(1+'Rent Roll Analysis'!$AK13/12)), IF(AND('Monthly Cash Flow'!BY$4&gt;1,'Monthly Cash Flow'!BY$4&lt;=2),'Monthly Cash Flow'!BX15*(1+'Rent Roll Analysis'!$AE13/12),'Monthly Cash Flow'!BX15*(1+'Rent Roll Analysis'!$AB13/12))))</f>
        <v/>
      </c>
      <c r="BZ15" s="1428" t="str">
        <f>IF($B15="","",IF(BZ$4&gt;2,(BY15*(1+'Rent Roll Analysis'!$AK13/12)), IF(AND('Monthly Cash Flow'!BZ$4&gt;1,'Monthly Cash Flow'!BZ$4&lt;=2),'Monthly Cash Flow'!BY15*(1+'Rent Roll Analysis'!$AE13/12),'Monthly Cash Flow'!BY15*(1+'Rent Roll Analysis'!$AB13/12))))</f>
        <v/>
      </c>
      <c r="CA15" s="1428" t="str">
        <f>IF($B15="","",IF(CA$4&gt;2,(BZ15*(1+'Rent Roll Analysis'!$AK13/12)), IF(AND('Monthly Cash Flow'!CA$4&gt;1,'Monthly Cash Flow'!CA$4&lt;=2),'Monthly Cash Flow'!BZ15*(1+'Rent Roll Analysis'!$AE13/12),'Monthly Cash Flow'!BZ15*(1+'Rent Roll Analysis'!$AB13/12))))</f>
        <v/>
      </c>
      <c r="CB15" s="1428" t="str">
        <f>IF($B15="","",IF(CB$4&gt;2,(CA15*(1+'Rent Roll Analysis'!$AK13/12)), IF(AND('Monthly Cash Flow'!CB$4&gt;1,'Monthly Cash Flow'!CB$4&lt;=2),'Monthly Cash Flow'!CA15*(1+'Rent Roll Analysis'!$AE13/12),'Monthly Cash Flow'!CA15*(1+'Rent Roll Analysis'!$AB13/12))))</f>
        <v/>
      </c>
      <c r="CC15" s="1428" t="str">
        <f>IF($B15="","",IF(CC$4&gt;2,(CB15*(1+'Rent Roll Analysis'!$AK13/12)), IF(AND('Monthly Cash Flow'!CC$4&gt;1,'Monthly Cash Flow'!CC$4&lt;=2),'Monthly Cash Flow'!CB15*(1+'Rent Roll Analysis'!$AE13/12),'Monthly Cash Flow'!CB15*(1+'Rent Roll Analysis'!$AB13/12))))</f>
        <v/>
      </c>
      <c r="CD15" s="1428" t="str">
        <f>IF($B15="","",IF(CD$4&gt;2,(CC15*(1+'Rent Roll Analysis'!$AK13/12)), IF(AND('Monthly Cash Flow'!CD$4&gt;1,'Monthly Cash Flow'!CD$4&lt;=2),'Monthly Cash Flow'!CC15*(1+'Rent Roll Analysis'!$AE13/12),'Monthly Cash Flow'!CC15*(1+'Rent Roll Analysis'!$AB13/12))))</f>
        <v/>
      </c>
      <c r="CE15" s="1428" t="str">
        <f>IF($B15="","",IF(CE$4&gt;2,(CD15*(1+'Rent Roll Analysis'!$AK13/12)), IF(AND('Monthly Cash Flow'!CE$4&gt;1,'Monthly Cash Flow'!CE$4&lt;=2),'Monthly Cash Flow'!CD15*(1+'Rent Roll Analysis'!$AE13/12),'Monthly Cash Flow'!CD15*(1+'Rent Roll Analysis'!$AB13/12))))</f>
        <v/>
      </c>
      <c r="CF15" s="1428" t="str">
        <f>IF($B15="","",IF(CF$4&gt;2,(CE15*(1+'Rent Roll Analysis'!$AK13/12)), IF(AND('Monthly Cash Flow'!CF$4&gt;1,'Monthly Cash Flow'!CF$4&lt;=2),'Monthly Cash Flow'!CE15*(1+'Rent Roll Analysis'!$AE13/12),'Monthly Cash Flow'!CE15*(1+'Rent Roll Analysis'!$AB13/12))))</f>
        <v/>
      </c>
      <c r="CG15" s="1428" t="str">
        <f>IF($B15="","",IF(CG$4&gt;2,(CF15*(1+'Rent Roll Analysis'!$AK13/12)), IF(AND('Monthly Cash Flow'!CG$4&gt;1,'Monthly Cash Flow'!CG$4&lt;=2),'Monthly Cash Flow'!CF15*(1+'Rent Roll Analysis'!$AE13/12),'Monthly Cash Flow'!CF15*(1+'Rent Roll Analysis'!$AB13/12))))</f>
        <v/>
      </c>
      <c r="CH15" s="1428" t="str">
        <f>IF($B15="","",IF(CH$4&gt;2,(CG15*(1+'Rent Roll Analysis'!$AK13/12)), IF(AND('Monthly Cash Flow'!CH$4&gt;1,'Monthly Cash Flow'!CH$4&lt;=2),'Monthly Cash Flow'!CG15*(1+'Rent Roll Analysis'!$AE13/12),'Monthly Cash Flow'!CG15*(1+'Rent Roll Analysis'!$AB13/12))))</f>
        <v/>
      </c>
      <c r="CI15" s="1428" t="str">
        <f>IF($B15="","",IF(CI$4&gt;2,(CH15*(1+'Rent Roll Analysis'!$AK13/12)), IF(AND('Monthly Cash Flow'!CI$4&gt;1,'Monthly Cash Flow'!CI$4&lt;=2),'Monthly Cash Flow'!CH15*(1+'Rent Roll Analysis'!$AE13/12),'Monthly Cash Flow'!CH15*(1+'Rent Roll Analysis'!$AB13/12))))</f>
        <v/>
      </c>
      <c r="CJ15" s="1428" t="str">
        <f>IF($B15="","",IF(CJ$4&gt;2,(CI15*(1+'Rent Roll Analysis'!$AK13/12)), IF(AND('Monthly Cash Flow'!CJ$4&gt;1,'Monthly Cash Flow'!CJ$4&lt;=2),'Monthly Cash Flow'!CI15*(1+'Rent Roll Analysis'!$AE13/12),'Monthly Cash Flow'!CI15*(1+'Rent Roll Analysis'!$AB13/12))))</f>
        <v/>
      </c>
      <c r="CK15" s="1428" t="str">
        <f>IF($B15="","",IF(CK$4&gt;2,(CJ15*(1+'Rent Roll Analysis'!$AK13/12)), IF(AND('Monthly Cash Flow'!CK$4&gt;1,'Monthly Cash Flow'!CK$4&lt;=2),'Monthly Cash Flow'!CJ15*(1+'Rent Roll Analysis'!$AE13/12),'Monthly Cash Flow'!CJ15*(1+'Rent Roll Analysis'!$AB13/12))))</f>
        <v/>
      </c>
      <c r="CL15" s="1428" t="str">
        <f>IF($B15="","",IF(CL$4&gt;2,(CK15*(1+'Rent Roll Analysis'!$AK13/12)), IF(AND('Monthly Cash Flow'!CL$4&gt;1,'Monthly Cash Flow'!CL$4&lt;=2),'Monthly Cash Flow'!CK15*(1+'Rent Roll Analysis'!$AE13/12),'Monthly Cash Flow'!CK15*(1+'Rent Roll Analysis'!$AB13/12))))</f>
        <v/>
      </c>
      <c r="CM15" s="1428" t="str">
        <f>IF($B15="","",IF(CM$4&gt;2,(CL15*(1+'Rent Roll Analysis'!$AK13/12)), IF(AND('Monthly Cash Flow'!CM$4&gt;1,'Monthly Cash Flow'!CM$4&lt;=2),'Monthly Cash Flow'!CL15*(1+'Rent Roll Analysis'!$AE13/12),'Monthly Cash Flow'!CL15*(1+'Rent Roll Analysis'!$AB13/12))))</f>
        <v/>
      </c>
      <c r="CN15" s="1428" t="str">
        <f>IF($B15="","",IF(CN$4&gt;2,(CM15*(1+'Rent Roll Analysis'!$AK13/12)), IF(AND('Monthly Cash Flow'!CN$4&gt;1,'Monthly Cash Flow'!CN$4&lt;=2),'Monthly Cash Flow'!CM15*(1+'Rent Roll Analysis'!$AE13/12),'Monthly Cash Flow'!CM15*(1+'Rent Roll Analysis'!$AB13/12))))</f>
        <v/>
      </c>
      <c r="CO15" s="1428" t="str">
        <f>IF($B15="","",IF(CO$4&gt;2,(CN15*(1+'Rent Roll Analysis'!$AK13/12)), IF(AND('Monthly Cash Flow'!CO$4&gt;1,'Monthly Cash Flow'!CO$4&lt;=2),'Monthly Cash Flow'!CN15*(1+'Rent Roll Analysis'!$AE13/12),'Monthly Cash Flow'!CN15*(1+'Rent Roll Analysis'!$AB13/12))))</f>
        <v/>
      </c>
      <c r="CP15" s="1428" t="str">
        <f>IF($B15="","",IF(CP$4&gt;2,(CO15*(1+'Rent Roll Analysis'!$AK13/12)), IF(AND('Monthly Cash Flow'!CP$4&gt;1,'Monthly Cash Flow'!CP$4&lt;=2),'Monthly Cash Flow'!CO15*(1+'Rent Roll Analysis'!$AE13/12),'Monthly Cash Flow'!CO15*(1+'Rent Roll Analysis'!$AB13/12))))</f>
        <v/>
      </c>
      <c r="CQ15" s="1428" t="str">
        <f>IF($B15="","",IF(CQ$4&gt;2,(CP15*(1+'Rent Roll Analysis'!$AK13/12)), IF(AND('Monthly Cash Flow'!CQ$4&gt;1,'Monthly Cash Flow'!CQ$4&lt;=2),'Monthly Cash Flow'!CP15*(1+'Rent Roll Analysis'!$AE13/12),'Monthly Cash Flow'!CP15*(1+'Rent Roll Analysis'!$AB13/12))))</f>
        <v/>
      </c>
      <c r="CR15" s="1428" t="str">
        <f>IF($B15="","",IF(CR$4&gt;2,(CQ15*(1+'Rent Roll Analysis'!$AK13/12)), IF(AND('Monthly Cash Flow'!CR$4&gt;1,'Monthly Cash Flow'!CR$4&lt;=2),'Monthly Cash Flow'!CQ15*(1+'Rent Roll Analysis'!$AE13/12),'Monthly Cash Flow'!CQ15*(1+'Rent Roll Analysis'!$AB13/12))))</f>
        <v/>
      </c>
      <c r="CS15" s="1428" t="str">
        <f>IF($B15="","",IF(CS$4&gt;2,(CR15*(1+'Rent Roll Analysis'!$AK13/12)), IF(AND('Monthly Cash Flow'!CS$4&gt;1,'Monthly Cash Flow'!CS$4&lt;=2),'Monthly Cash Flow'!CR15*(1+'Rent Roll Analysis'!$AE13/12),'Monthly Cash Flow'!CR15*(1+'Rent Roll Analysis'!$AB13/12))))</f>
        <v/>
      </c>
      <c r="CT15" s="1428" t="str">
        <f>IF($B15="","",IF(CT$4&gt;2,(CS15*(1+'Rent Roll Analysis'!$AK13/12)), IF(AND('Monthly Cash Flow'!CT$4&gt;1,'Monthly Cash Flow'!CT$4&lt;=2),'Monthly Cash Flow'!CS15*(1+'Rent Roll Analysis'!$AE13/12),'Monthly Cash Flow'!CS15*(1+'Rent Roll Analysis'!$AB13/12))))</f>
        <v/>
      </c>
      <c r="CU15" s="1428" t="str">
        <f>IF($B15="","",IF(CU$4&gt;2,(CT15*(1+'Rent Roll Analysis'!$AK13/12)), IF(AND('Monthly Cash Flow'!CU$4&gt;1,'Monthly Cash Flow'!CU$4&lt;=2),'Monthly Cash Flow'!CT15*(1+'Rent Roll Analysis'!$AE13/12),'Monthly Cash Flow'!CT15*(1+'Rent Roll Analysis'!$AB13/12))))</f>
        <v/>
      </c>
      <c r="CV15" s="1428" t="str">
        <f>IF($B15="","",IF(CV$4&gt;2,(CU15*(1+'Rent Roll Analysis'!$AK13/12)), IF(AND('Monthly Cash Flow'!CV$4&gt;1,'Monthly Cash Flow'!CV$4&lt;=2),'Monthly Cash Flow'!CU15*(1+'Rent Roll Analysis'!$AE13/12),'Monthly Cash Flow'!CU15*(1+'Rent Roll Analysis'!$AB13/12))))</f>
        <v/>
      </c>
      <c r="CW15" s="1428" t="str">
        <f>IF($B15="","",IF(CW$4&gt;2,(CV15*(1+'Rent Roll Analysis'!$AK13/12)), IF(AND('Monthly Cash Flow'!CW$4&gt;1,'Monthly Cash Flow'!CW$4&lt;=2),'Monthly Cash Flow'!CV15*(1+'Rent Roll Analysis'!$AE13/12),'Monthly Cash Flow'!CV15*(1+'Rent Roll Analysis'!$AB13/12))))</f>
        <v/>
      </c>
      <c r="CX15" s="1428" t="str">
        <f>IF($B15="","",IF(CX$4&gt;2,(CW15*(1+'Rent Roll Analysis'!$AK13/12)), IF(AND('Monthly Cash Flow'!CX$4&gt;1,'Monthly Cash Flow'!CX$4&lt;=2),'Monthly Cash Flow'!CW15*(1+'Rent Roll Analysis'!$AE13/12),'Monthly Cash Flow'!CW15*(1+'Rent Roll Analysis'!$AB13/12))))</f>
        <v/>
      </c>
      <c r="CY15" s="1428" t="str">
        <f>IF($B15="","",IF(CY$4&gt;2,(CX15*(1+'Rent Roll Analysis'!$AK13/12)), IF(AND('Monthly Cash Flow'!CY$4&gt;1,'Monthly Cash Flow'!CY$4&lt;=2),'Monthly Cash Flow'!CX15*(1+'Rent Roll Analysis'!$AE13/12),'Monthly Cash Flow'!CX15*(1+'Rent Roll Analysis'!$AB13/12))))</f>
        <v/>
      </c>
      <c r="CZ15" s="1428" t="str">
        <f>IF($B15="","",IF(CZ$4&gt;2,(CY15*(1+'Rent Roll Analysis'!$AK13/12)), IF(AND('Monthly Cash Flow'!CZ$4&gt;1,'Monthly Cash Flow'!CZ$4&lt;=2),'Monthly Cash Flow'!CY15*(1+'Rent Roll Analysis'!$AE13/12),'Monthly Cash Flow'!CY15*(1+'Rent Roll Analysis'!$AB13/12))))</f>
        <v/>
      </c>
      <c r="DA15" s="1428" t="str">
        <f>IF($B15="","",IF(DA$4&gt;2,(CZ15*(1+'Rent Roll Analysis'!$AK13/12)), IF(AND('Monthly Cash Flow'!DA$4&gt;1,'Monthly Cash Flow'!DA$4&lt;=2),'Monthly Cash Flow'!CZ15*(1+'Rent Roll Analysis'!$AE13/12),'Monthly Cash Flow'!CZ15*(1+'Rent Roll Analysis'!$AB13/12))))</f>
        <v/>
      </c>
      <c r="DB15" s="1428" t="str">
        <f>IF($B15="","",IF(DB$4&gt;2,(DA15*(1+'Rent Roll Analysis'!$AK13/12)), IF(AND('Monthly Cash Flow'!DB$4&gt;1,'Monthly Cash Flow'!DB$4&lt;=2),'Monthly Cash Flow'!DA15*(1+'Rent Roll Analysis'!$AE13/12),'Monthly Cash Flow'!DA15*(1+'Rent Roll Analysis'!$AB13/12))))</f>
        <v/>
      </c>
      <c r="DC15" s="1428" t="str">
        <f>IF($B15="","",IF(DC$4&gt;2,(DB15*(1+'Rent Roll Analysis'!$AK13/12)), IF(AND('Monthly Cash Flow'!DC$4&gt;1,'Monthly Cash Flow'!DC$4&lt;=2),'Monthly Cash Flow'!DB15*(1+'Rent Roll Analysis'!$AE13/12),'Monthly Cash Flow'!DB15*(1+'Rent Roll Analysis'!$AB13/12))))</f>
        <v/>
      </c>
      <c r="DD15" s="1428" t="str">
        <f>IF($B15="","",IF(DD$4&gt;2,(DC15*(1+'Rent Roll Analysis'!$AK13/12)), IF(AND('Monthly Cash Flow'!DD$4&gt;1,'Monthly Cash Flow'!DD$4&lt;=2),'Monthly Cash Flow'!DC15*(1+'Rent Roll Analysis'!$AE13/12),'Monthly Cash Flow'!DC15*(1+'Rent Roll Analysis'!$AB13/12))))</f>
        <v/>
      </c>
      <c r="DE15" s="1428" t="str">
        <f>IF($B15="","",IF(DE$4&gt;2,(DD15*(1+'Rent Roll Analysis'!$AK13/12)), IF(AND('Monthly Cash Flow'!DE$4&gt;1,'Monthly Cash Flow'!DE$4&lt;=2),'Monthly Cash Flow'!DD15*(1+'Rent Roll Analysis'!$AE13/12),'Monthly Cash Flow'!DD15*(1+'Rent Roll Analysis'!$AB13/12))))</f>
        <v/>
      </c>
      <c r="DF15" s="1428" t="str">
        <f>IF($B15="","",IF(DF$4&gt;2,(DE15*(1+'Rent Roll Analysis'!$AK13/12)), IF(AND('Monthly Cash Flow'!DF$4&gt;1,'Monthly Cash Flow'!DF$4&lt;=2),'Monthly Cash Flow'!DE15*(1+'Rent Roll Analysis'!$AE13/12),'Monthly Cash Flow'!DE15*(1+'Rent Roll Analysis'!$AB13/12))))</f>
        <v/>
      </c>
      <c r="DG15" s="1428" t="str">
        <f>IF($B15="","",IF(DG$4&gt;2,(DF15*(1+'Rent Roll Analysis'!$AK13/12)), IF(AND('Monthly Cash Flow'!DG$4&gt;1,'Monthly Cash Flow'!DG$4&lt;=2),'Monthly Cash Flow'!DF15*(1+'Rent Roll Analysis'!$AE13/12),'Monthly Cash Flow'!DF15*(1+'Rent Roll Analysis'!$AB13/12))))</f>
        <v/>
      </c>
      <c r="DH15" s="1428" t="str">
        <f>IF($B15="","",IF(DH$4&gt;2,(DG15*(1+'Rent Roll Analysis'!$AK13/12)), IF(AND('Monthly Cash Flow'!DH$4&gt;1,'Monthly Cash Flow'!DH$4&lt;=2),'Monthly Cash Flow'!DG15*(1+'Rent Roll Analysis'!$AE13/12),'Monthly Cash Flow'!DG15*(1+'Rent Roll Analysis'!$AB13/12))))</f>
        <v/>
      </c>
      <c r="DI15" s="1428" t="str">
        <f>IF($B15="","",IF(DI$4&gt;2,(DH15*(1+'Rent Roll Analysis'!$AK13/12)), IF(AND('Monthly Cash Flow'!DI$4&gt;1,'Monthly Cash Flow'!DI$4&lt;=2),'Monthly Cash Flow'!DH15*(1+'Rent Roll Analysis'!$AE13/12),'Monthly Cash Flow'!DH15*(1+'Rent Roll Analysis'!$AB13/12))))</f>
        <v/>
      </c>
      <c r="DJ15" s="1428" t="str">
        <f>IF($B15="","",IF(DJ$4&gt;2,(DI15*(1+'Rent Roll Analysis'!$AK13/12)), IF(AND('Monthly Cash Flow'!DJ$4&gt;1,'Monthly Cash Flow'!DJ$4&lt;=2),'Monthly Cash Flow'!DI15*(1+'Rent Roll Analysis'!$AE13/12),'Monthly Cash Flow'!DI15*(1+'Rent Roll Analysis'!$AB13/12))))</f>
        <v/>
      </c>
      <c r="DK15" s="1428" t="str">
        <f>IF($B15="","",IF(DK$4&gt;2,(DJ15*(1+'Rent Roll Analysis'!$AK13/12)), IF(AND('Monthly Cash Flow'!DK$4&gt;1,'Monthly Cash Flow'!DK$4&lt;=2),'Monthly Cash Flow'!DJ15*(1+'Rent Roll Analysis'!$AE13/12),'Monthly Cash Flow'!DJ15*(1+'Rent Roll Analysis'!$AB13/12))))</f>
        <v/>
      </c>
      <c r="DL15" s="1428" t="str">
        <f>IF($B15="","",IF(DL$4&gt;2,(DK15*(1+'Rent Roll Analysis'!$AK13/12)), IF(AND('Monthly Cash Flow'!DL$4&gt;1,'Monthly Cash Flow'!DL$4&lt;=2),'Monthly Cash Flow'!DK15*(1+'Rent Roll Analysis'!$AE13/12),'Monthly Cash Flow'!DK15*(1+'Rent Roll Analysis'!$AB13/12))))</f>
        <v/>
      </c>
      <c r="DM15" s="1428" t="str">
        <f>IF($B15="","",IF(DM$4&gt;2,(DL15*(1+'Rent Roll Analysis'!$AK13/12)), IF(AND('Monthly Cash Flow'!DM$4&gt;1,'Monthly Cash Flow'!DM$4&lt;=2),'Monthly Cash Flow'!DL15*(1+'Rent Roll Analysis'!$AE13/12),'Monthly Cash Flow'!DL15*(1+'Rent Roll Analysis'!$AB13/12))))</f>
        <v/>
      </c>
      <c r="DN15" s="1428" t="str">
        <f>IF($B15="","",IF(DN$4&gt;2,(DM15*(1+'Rent Roll Analysis'!$AK13/12)), IF(AND('Monthly Cash Flow'!DN$4&gt;1,'Monthly Cash Flow'!DN$4&lt;=2),'Monthly Cash Flow'!DM15*(1+'Rent Roll Analysis'!$AE13/12),'Monthly Cash Flow'!DM15*(1+'Rent Roll Analysis'!$AB13/12))))</f>
        <v/>
      </c>
      <c r="DO15" s="1428" t="str">
        <f>IF($B15="","",IF(DO$4&gt;2,(DN15*(1+'Rent Roll Analysis'!$AK13/12)), IF(AND('Monthly Cash Flow'!DO$4&gt;1,'Monthly Cash Flow'!DO$4&lt;=2),'Monthly Cash Flow'!DN15*(1+'Rent Roll Analysis'!$AE13/12),'Monthly Cash Flow'!DN15*(1+'Rent Roll Analysis'!$AB13/12))))</f>
        <v/>
      </c>
      <c r="DP15" s="1428" t="str">
        <f>IF($B15="","",IF(DP$4&gt;2,(DO15*(1+'Rent Roll Analysis'!$AK13/12)), IF(AND('Monthly Cash Flow'!DP$4&gt;1,'Monthly Cash Flow'!DP$4&lt;=2),'Monthly Cash Flow'!DO15*(1+'Rent Roll Analysis'!$AE13/12),'Monthly Cash Flow'!DO15*(1+'Rent Roll Analysis'!$AB13/12))))</f>
        <v/>
      </c>
      <c r="DQ15" s="1428" t="str">
        <f>IF($B15="","",IF(DQ$4&gt;2,(DP15*(1+'Rent Roll Analysis'!$AK13/12)), IF(AND('Monthly Cash Flow'!DQ$4&gt;1,'Monthly Cash Flow'!DQ$4&lt;=2),'Monthly Cash Flow'!DP15*(1+'Rent Roll Analysis'!$AE13/12),'Monthly Cash Flow'!DP15*(1+'Rent Roll Analysis'!$AB13/12))))</f>
        <v/>
      </c>
      <c r="DR15" s="1428" t="str">
        <f>IF($B15="","",IF(DR$4&gt;2,(DQ15*(1+'Rent Roll Analysis'!$AK13/12)), IF(AND('Monthly Cash Flow'!DR$4&gt;1,'Monthly Cash Flow'!DR$4&lt;=2),'Monthly Cash Flow'!DQ15*(1+'Rent Roll Analysis'!$AE13/12),'Monthly Cash Flow'!DQ15*(1+'Rent Roll Analysis'!$AB13/12))))</f>
        <v/>
      </c>
      <c r="DS15" s="1428" t="str">
        <f>IF($B15="","",IF(DS$4&gt;2,(DR15*(1+'Rent Roll Analysis'!$AK13/12)), IF(AND('Monthly Cash Flow'!DS$4&gt;1,'Monthly Cash Flow'!DS$4&lt;=2),'Monthly Cash Flow'!DR15*(1+'Rent Roll Analysis'!$AE13/12),'Monthly Cash Flow'!DR15*(1+'Rent Roll Analysis'!$AB13/12))))</f>
        <v/>
      </c>
      <c r="DT15" s="1428" t="str">
        <f>IF($B15="","",IF(DT$4&gt;2,(DS15*(1+'Rent Roll Analysis'!$AK13/12)), IF(AND('Monthly Cash Flow'!DT$4&gt;1,'Monthly Cash Flow'!DT$4&lt;=2),'Monthly Cash Flow'!DS15*(1+'Rent Roll Analysis'!$AE13/12),'Monthly Cash Flow'!DS15*(1+'Rent Roll Analysis'!$AB13/12))))</f>
        <v/>
      </c>
      <c r="DU15" s="385" t="s">
        <v>557</v>
      </c>
      <c r="DV15" s="375"/>
    </row>
    <row r="16" spans="1:126" s="92" customFormat="1" ht="20.149999999999999" customHeight="1" outlineLevel="1">
      <c r="A16" s="375"/>
      <c r="B16" s="383" t="str">
        <f>'Rent Roll Analysis'!C14</f>
        <v/>
      </c>
      <c r="C16" s="376"/>
      <c r="D16" s="1426" t="str">
        <f>IF('Rent Roll Analysis'!C14="","",'Rent Roll Analysis'!N14*'Rent Roll Analysis'!E14)</f>
        <v/>
      </c>
      <c r="E16" s="1428" t="str">
        <f t="shared" si="113"/>
        <v/>
      </c>
      <c r="F16" s="1428" t="str">
        <f>IF($B16="","",IF(F$4&gt;2,(E16*(1+'Rent Roll Analysis'!$AK14/12)), IF(AND('Monthly Cash Flow'!F$4&gt;1,'Monthly Cash Flow'!F$4&lt;=2),'Monthly Cash Flow'!E16*(1+'Rent Roll Analysis'!$AE14/12),'Monthly Cash Flow'!E16*(1+'Rent Roll Analysis'!$AB14/12))))</f>
        <v/>
      </c>
      <c r="G16" s="1428" t="str">
        <f>IF($B16="","",IF(G$4&gt;2,(F16*(1+'Rent Roll Analysis'!$AK14/12)), IF(AND('Monthly Cash Flow'!G$4&gt;1,'Monthly Cash Flow'!G$4&lt;=2),'Monthly Cash Flow'!F16*(1+'Rent Roll Analysis'!$AE14/12),'Monthly Cash Flow'!F16*(1+'Rent Roll Analysis'!$AB14/12))))</f>
        <v/>
      </c>
      <c r="H16" s="1428" t="str">
        <f>IF($B16="","",IF(H$4&gt;2,(G16*(1+'Rent Roll Analysis'!$AK14/12)), IF(AND('Monthly Cash Flow'!H$4&gt;1,'Monthly Cash Flow'!H$4&lt;=2),'Monthly Cash Flow'!G16*(1+'Rent Roll Analysis'!$AE14/12),'Monthly Cash Flow'!G16*(1+'Rent Roll Analysis'!$AB14/12))))</f>
        <v/>
      </c>
      <c r="I16" s="1428" t="str">
        <f>IF($B16="","",IF(I$4&gt;2,(H16*(1+'Rent Roll Analysis'!$AK14/12)), IF(AND('Monthly Cash Flow'!I$4&gt;1,'Monthly Cash Flow'!I$4&lt;=2),'Monthly Cash Flow'!H16*(1+'Rent Roll Analysis'!$AE14/12),'Monthly Cash Flow'!H16*(1+'Rent Roll Analysis'!$AB14/12))))</f>
        <v/>
      </c>
      <c r="J16" s="1428" t="str">
        <f>IF($B16="","",IF(J$4&gt;2,(I16*(1+'Rent Roll Analysis'!$AK14/12)), IF(AND('Monthly Cash Flow'!J$4&gt;1,'Monthly Cash Flow'!J$4&lt;=2),'Monthly Cash Flow'!I16*(1+'Rent Roll Analysis'!$AE14/12),'Monthly Cash Flow'!I16*(1+'Rent Roll Analysis'!$AB14/12))))</f>
        <v/>
      </c>
      <c r="K16" s="1428" t="str">
        <f>IF($B16="","",IF(K$4&gt;2,(J16*(1+'Rent Roll Analysis'!$AK14/12)), IF(AND('Monthly Cash Flow'!K$4&gt;1,'Monthly Cash Flow'!K$4&lt;=2),'Monthly Cash Flow'!J16*(1+'Rent Roll Analysis'!$AE14/12),'Monthly Cash Flow'!J16*(1+'Rent Roll Analysis'!$AB14/12))))</f>
        <v/>
      </c>
      <c r="L16" s="1428" t="str">
        <f>IF($B16="","",IF(L$4&gt;2,(K16*(1+'Rent Roll Analysis'!$AK14/12)), IF(AND('Monthly Cash Flow'!L$4&gt;1,'Monthly Cash Flow'!L$4&lt;=2),'Monthly Cash Flow'!K16*(1+'Rent Roll Analysis'!$AE14/12),'Monthly Cash Flow'!K16*(1+'Rent Roll Analysis'!$AB14/12))))</f>
        <v/>
      </c>
      <c r="M16" s="1428" t="str">
        <f>IF($B16="","",IF(M$4&gt;2,(L16*(1+'Rent Roll Analysis'!$AK14/12)), IF(AND('Monthly Cash Flow'!M$4&gt;1,'Monthly Cash Flow'!M$4&lt;=2),'Monthly Cash Flow'!L16*(1+'Rent Roll Analysis'!$AE14/12),'Monthly Cash Flow'!L16*(1+'Rent Roll Analysis'!$AB14/12))))</f>
        <v/>
      </c>
      <c r="N16" s="1428" t="str">
        <f>IF($B16="","",IF(N$4&gt;2,(M16*(1+'Rent Roll Analysis'!$AK14/12)), IF(AND('Monthly Cash Flow'!N$4&gt;1,'Monthly Cash Flow'!N$4&lt;=2),'Monthly Cash Flow'!M16*(1+'Rent Roll Analysis'!$AE14/12),'Monthly Cash Flow'!M16*(1+'Rent Roll Analysis'!$AB14/12))))</f>
        <v/>
      </c>
      <c r="O16" s="1428" t="str">
        <f>IF($B16="","",IF(O$4&gt;2,(N16*(1+'Rent Roll Analysis'!$AK14/12)), IF(AND('Monthly Cash Flow'!O$4&gt;1,'Monthly Cash Flow'!O$4&lt;=2),'Monthly Cash Flow'!N16*(1+'Rent Roll Analysis'!$AE14/12),'Monthly Cash Flow'!N16*(1+'Rent Roll Analysis'!$AB14/12))))</f>
        <v/>
      </c>
      <c r="P16" s="1428" t="str">
        <f>IF($B16="","",IF(P$4&gt;2,(O16*(1+'Rent Roll Analysis'!$AK14/12)), IF(AND('Monthly Cash Flow'!P$4&gt;1,'Monthly Cash Flow'!P$4&lt;=2),'Monthly Cash Flow'!O16*(1+'Rent Roll Analysis'!$AE14/12),'Monthly Cash Flow'!O16*(1+'Rent Roll Analysis'!$AB14/12))))</f>
        <v/>
      </c>
      <c r="Q16" s="1428" t="str">
        <f>IF($B16="","",IF(Q$4&gt;2,(P16*(1+'Rent Roll Analysis'!$AK14/12)), IF(AND('Monthly Cash Flow'!Q$4&gt;1,'Monthly Cash Flow'!Q$4&lt;=2),'Monthly Cash Flow'!P16*(1+'Rent Roll Analysis'!$AE14/12),'Monthly Cash Flow'!P16*(1+'Rent Roll Analysis'!$AB14/12))))</f>
        <v/>
      </c>
      <c r="R16" s="1428" t="str">
        <f>IF($B16="","",IF(R$4&gt;2,(Q16*(1+'Rent Roll Analysis'!$AK14/12)), IF(AND('Monthly Cash Flow'!R$4&gt;1,'Monthly Cash Flow'!R$4&lt;=2),'Monthly Cash Flow'!Q16*(1+'Rent Roll Analysis'!$AE14/12),'Monthly Cash Flow'!Q16*(1+'Rent Roll Analysis'!$AB14/12))))</f>
        <v/>
      </c>
      <c r="S16" s="1428" t="str">
        <f>IF($B16="","",IF(S$4&gt;2,(R16*(1+'Rent Roll Analysis'!$AK14/12)), IF(AND('Monthly Cash Flow'!S$4&gt;1,'Monthly Cash Flow'!S$4&lt;=2),'Monthly Cash Flow'!R16*(1+'Rent Roll Analysis'!$AE14/12),'Monthly Cash Flow'!R16*(1+'Rent Roll Analysis'!$AB14/12))))</f>
        <v/>
      </c>
      <c r="T16" s="1428" t="str">
        <f>IF($B16="","",IF(T$4&gt;2,(S16*(1+'Rent Roll Analysis'!$AK14/12)), IF(AND('Monthly Cash Flow'!T$4&gt;1,'Monthly Cash Flow'!T$4&lt;=2),'Monthly Cash Flow'!S16*(1+'Rent Roll Analysis'!$AE14/12),'Monthly Cash Flow'!S16*(1+'Rent Roll Analysis'!$AB14/12))))</f>
        <v/>
      </c>
      <c r="U16" s="1428" t="str">
        <f>IF($B16="","",IF(U$4&gt;2,(T16*(1+'Rent Roll Analysis'!$AK14/12)), IF(AND('Monthly Cash Flow'!U$4&gt;1,'Monthly Cash Flow'!U$4&lt;=2),'Monthly Cash Flow'!T16*(1+'Rent Roll Analysis'!$AE14/12),'Monthly Cash Flow'!T16*(1+'Rent Roll Analysis'!$AB14/12))))</f>
        <v/>
      </c>
      <c r="V16" s="1428" t="str">
        <f>IF($B16="","",IF(V$4&gt;2,(U16*(1+'Rent Roll Analysis'!$AK14/12)), IF(AND('Monthly Cash Flow'!V$4&gt;1,'Monthly Cash Flow'!V$4&lt;=2),'Monthly Cash Flow'!U16*(1+'Rent Roll Analysis'!$AE14/12),'Monthly Cash Flow'!U16*(1+'Rent Roll Analysis'!$AB14/12))))</f>
        <v/>
      </c>
      <c r="W16" s="1428" t="str">
        <f>IF($B16="","",IF(W$4&gt;2,(V16*(1+'Rent Roll Analysis'!$AK14/12)), IF(AND('Monthly Cash Flow'!W$4&gt;1,'Monthly Cash Flow'!W$4&lt;=2),'Monthly Cash Flow'!V16*(1+'Rent Roll Analysis'!$AE14/12),'Monthly Cash Flow'!V16*(1+'Rent Roll Analysis'!$AB14/12))))</f>
        <v/>
      </c>
      <c r="X16" s="1428" t="str">
        <f>IF($B16="","",IF(X$4&gt;2,(W16*(1+'Rent Roll Analysis'!$AK14/12)), IF(AND('Monthly Cash Flow'!X$4&gt;1,'Monthly Cash Flow'!X$4&lt;=2),'Monthly Cash Flow'!W16*(1+'Rent Roll Analysis'!$AE14/12),'Monthly Cash Flow'!W16*(1+'Rent Roll Analysis'!$AB14/12))))</f>
        <v/>
      </c>
      <c r="Y16" s="1428" t="str">
        <f>IF($B16="","",IF(Y$4&gt;2,(X16*(1+'Rent Roll Analysis'!$AK14/12)), IF(AND('Monthly Cash Flow'!Y$4&gt;1,'Monthly Cash Flow'!Y$4&lt;=2),'Monthly Cash Flow'!X16*(1+'Rent Roll Analysis'!$AE14/12),'Monthly Cash Flow'!X16*(1+'Rent Roll Analysis'!$AB14/12))))</f>
        <v/>
      </c>
      <c r="Z16" s="1428" t="str">
        <f>IF($B16="","",IF(Z$4&gt;2,(Y16*(1+'Rent Roll Analysis'!$AK14/12)), IF(AND('Monthly Cash Flow'!Z$4&gt;1,'Monthly Cash Flow'!Z$4&lt;=2),'Monthly Cash Flow'!Y16*(1+'Rent Roll Analysis'!$AE14/12),'Monthly Cash Flow'!Y16*(1+'Rent Roll Analysis'!$AB14/12))))</f>
        <v/>
      </c>
      <c r="AA16" s="1428" t="str">
        <f>IF($B16="","",IF(AA$4&gt;2,(Z16*(1+'Rent Roll Analysis'!$AK14/12)), IF(AND('Monthly Cash Flow'!AA$4&gt;1,'Monthly Cash Flow'!AA$4&lt;=2),'Monthly Cash Flow'!Z16*(1+'Rent Roll Analysis'!$AE14/12),'Monthly Cash Flow'!Z16*(1+'Rent Roll Analysis'!$AB14/12))))</f>
        <v/>
      </c>
      <c r="AB16" s="1428" t="str">
        <f>IF($B16="","",IF(AB$4&gt;2,(AA16*(1+'Rent Roll Analysis'!$AK14/12)), IF(AND('Monthly Cash Flow'!AB$4&gt;1,'Monthly Cash Flow'!AB$4&lt;=2),'Monthly Cash Flow'!AA16*(1+'Rent Roll Analysis'!$AE14/12),'Monthly Cash Flow'!AA16*(1+'Rent Roll Analysis'!$AB14/12))))</f>
        <v/>
      </c>
      <c r="AC16" s="1428" t="str">
        <f>IF($B16="","",IF(AC$4&gt;2,(AB16*(1+'Rent Roll Analysis'!$AK14/12)), IF(AND('Monthly Cash Flow'!AC$4&gt;1,'Monthly Cash Flow'!AC$4&lt;=2),'Monthly Cash Flow'!AB16*(1+'Rent Roll Analysis'!$AE14/12),'Monthly Cash Flow'!AB16*(1+'Rent Roll Analysis'!$AB14/12))))</f>
        <v/>
      </c>
      <c r="AD16" s="1428" t="str">
        <f>IF($B16="","",IF(AD$4&gt;2,(AC16*(1+'Rent Roll Analysis'!$AK14/12)), IF(AND('Monthly Cash Flow'!AD$4&gt;1,'Monthly Cash Flow'!AD$4&lt;=2),'Monthly Cash Flow'!AC16*(1+'Rent Roll Analysis'!$AE14/12),'Monthly Cash Flow'!AC16*(1+'Rent Roll Analysis'!$AB14/12))))</f>
        <v/>
      </c>
      <c r="AE16" s="1428" t="str">
        <f>IF($B16="","",IF(AE$4&gt;2,(AD16*(1+'Rent Roll Analysis'!$AK14/12)), IF(AND('Monthly Cash Flow'!AE$4&gt;1,'Monthly Cash Flow'!AE$4&lt;=2),'Monthly Cash Flow'!AD16*(1+'Rent Roll Analysis'!$AE14/12),'Monthly Cash Flow'!AD16*(1+'Rent Roll Analysis'!$AB14/12))))</f>
        <v/>
      </c>
      <c r="AF16" s="1428" t="str">
        <f>IF($B16="","",IF(AF$4&gt;2,(AE16*(1+'Rent Roll Analysis'!$AK14/12)), IF(AND('Monthly Cash Flow'!AF$4&gt;1,'Monthly Cash Flow'!AF$4&lt;=2),'Monthly Cash Flow'!AE16*(1+'Rent Roll Analysis'!$AE14/12),'Monthly Cash Flow'!AE16*(1+'Rent Roll Analysis'!$AB14/12))))</f>
        <v/>
      </c>
      <c r="AG16" s="1428" t="str">
        <f>IF($B16="","",IF(AG$4&gt;2,(AF16*(1+'Rent Roll Analysis'!$AK14/12)), IF(AND('Monthly Cash Flow'!AG$4&gt;1,'Monthly Cash Flow'!AG$4&lt;=2),'Monthly Cash Flow'!AF16*(1+'Rent Roll Analysis'!$AE14/12),'Monthly Cash Flow'!AF16*(1+'Rent Roll Analysis'!$AB14/12))))</f>
        <v/>
      </c>
      <c r="AH16" s="1428" t="str">
        <f>IF($B16="","",IF(AH$4&gt;2,(AG16*(1+'Rent Roll Analysis'!$AK14/12)), IF(AND('Monthly Cash Flow'!AH$4&gt;1,'Monthly Cash Flow'!AH$4&lt;=2),'Monthly Cash Flow'!AG16*(1+'Rent Roll Analysis'!$AE14/12),'Monthly Cash Flow'!AG16*(1+'Rent Roll Analysis'!$AB14/12))))</f>
        <v/>
      </c>
      <c r="AI16" s="1428" t="str">
        <f>IF($B16="","",IF(AI$4&gt;2,(AH16*(1+'Rent Roll Analysis'!$AK14/12)), IF(AND('Monthly Cash Flow'!AI$4&gt;1,'Monthly Cash Flow'!AI$4&lt;=2),'Monthly Cash Flow'!AH16*(1+'Rent Roll Analysis'!$AE14/12),'Monthly Cash Flow'!AH16*(1+'Rent Roll Analysis'!$AB14/12))))</f>
        <v/>
      </c>
      <c r="AJ16" s="1428" t="str">
        <f>IF($B16="","",IF(AJ$4&gt;2,(AI16*(1+'Rent Roll Analysis'!$AK14/12)), IF(AND('Monthly Cash Flow'!AJ$4&gt;1,'Monthly Cash Flow'!AJ$4&lt;=2),'Monthly Cash Flow'!AI16*(1+'Rent Roll Analysis'!$AE14/12),'Monthly Cash Flow'!AI16*(1+'Rent Roll Analysis'!$AB14/12))))</f>
        <v/>
      </c>
      <c r="AK16" s="1428" t="str">
        <f>IF($B16="","",IF(AK$4&gt;2,(AJ16*(1+'Rent Roll Analysis'!$AK14/12)), IF(AND('Monthly Cash Flow'!AK$4&gt;1,'Monthly Cash Flow'!AK$4&lt;=2),'Monthly Cash Flow'!AJ16*(1+'Rent Roll Analysis'!$AE14/12),'Monthly Cash Flow'!AJ16*(1+'Rent Roll Analysis'!$AB14/12))))</f>
        <v/>
      </c>
      <c r="AL16" s="1428" t="str">
        <f>IF($B16="","",IF(AL$4&gt;2,(AK16*(1+'Rent Roll Analysis'!$AK14/12)), IF(AND('Monthly Cash Flow'!AL$4&gt;1,'Monthly Cash Flow'!AL$4&lt;=2),'Monthly Cash Flow'!AK16*(1+'Rent Roll Analysis'!$AE14/12),'Monthly Cash Flow'!AK16*(1+'Rent Roll Analysis'!$AB14/12))))</f>
        <v/>
      </c>
      <c r="AM16" s="1428" t="str">
        <f>IF($B16="","",IF(AM$4&gt;2,(AL16*(1+'Rent Roll Analysis'!$AK14/12)), IF(AND('Monthly Cash Flow'!AM$4&gt;1,'Monthly Cash Flow'!AM$4&lt;=2),'Monthly Cash Flow'!AL16*(1+'Rent Roll Analysis'!$AE14/12),'Monthly Cash Flow'!AL16*(1+'Rent Roll Analysis'!$AB14/12))))</f>
        <v/>
      </c>
      <c r="AN16" s="1428" t="str">
        <f>IF($B16="","",IF(AN$4&gt;2,(AM16*(1+'Rent Roll Analysis'!$AK14/12)), IF(AND('Monthly Cash Flow'!AN$4&gt;1,'Monthly Cash Flow'!AN$4&lt;=2),'Monthly Cash Flow'!AM16*(1+'Rent Roll Analysis'!$AE14/12),'Monthly Cash Flow'!AM16*(1+'Rent Roll Analysis'!$AB14/12))))</f>
        <v/>
      </c>
      <c r="AO16" s="1428" t="str">
        <f>IF($B16="","",IF(AO$4&gt;2,(AN16*(1+'Rent Roll Analysis'!$AK14/12)), IF(AND('Monthly Cash Flow'!AO$4&gt;1,'Monthly Cash Flow'!AO$4&lt;=2),'Monthly Cash Flow'!AN16*(1+'Rent Roll Analysis'!$AE14/12),'Monthly Cash Flow'!AN16*(1+'Rent Roll Analysis'!$AB14/12))))</f>
        <v/>
      </c>
      <c r="AP16" s="1428" t="str">
        <f>IF($B16="","",IF(AP$4&gt;2,(AO16*(1+'Rent Roll Analysis'!$AK14/12)), IF(AND('Monthly Cash Flow'!AP$4&gt;1,'Monthly Cash Flow'!AP$4&lt;=2),'Monthly Cash Flow'!AO16*(1+'Rent Roll Analysis'!$AE14/12),'Monthly Cash Flow'!AO16*(1+'Rent Roll Analysis'!$AB14/12))))</f>
        <v/>
      </c>
      <c r="AQ16" s="1428" t="str">
        <f>IF($B16="","",IF(AQ$4&gt;2,(AP16*(1+'Rent Roll Analysis'!$AK14/12)), IF(AND('Monthly Cash Flow'!AQ$4&gt;1,'Monthly Cash Flow'!AQ$4&lt;=2),'Monthly Cash Flow'!AP16*(1+'Rent Roll Analysis'!$AE14/12),'Monthly Cash Flow'!AP16*(1+'Rent Roll Analysis'!$AB14/12))))</f>
        <v/>
      </c>
      <c r="AR16" s="1428" t="str">
        <f>IF($B16="","",IF(AR$4&gt;2,(AQ16*(1+'Rent Roll Analysis'!$AK14/12)), IF(AND('Monthly Cash Flow'!AR$4&gt;1,'Monthly Cash Flow'!AR$4&lt;=2),'Monthly Cash Flow'!AQ16*(1+'Rent Roll Analysis'!$AE14/12),'Monthly Cash Flow'!AQ16*(1+'Rent Roll Analysis'!$AB14/12))))</f>
        <v/>
      </c>
      <c r="AS16" s="1428" t="str">
        <f>IF($B16="","",IF(AS$4&gt;2,(AR16*(1+'Rent Roll Analysis'!$AK14/12)), IF(AND('Monthly Cash Flow'!AS$4&gt;1,'Monthly Cash Flow'!AS$4&lt;=2),'Monthly Cash Flow'!AR16*(1+'Rent Roll Analysis'!$AE14/12),'Monthly Cash Flow'!AR16*(1+'Rent Roll Analysis'!$AB14/12))))</f>
        <v/>
      </c>
      <c r="AT16" s="1428" t="str">
        <f>IF($B16="","",IF(AT$4&gt;2,(AS16*(1+'Rent Roll Analysis'!$AK14/12)), IF(AND('Monthly Cash Flow'!AT$4&gt;1,'Monthly Cash Flow'!AT$4&lt;=2),'Monthly Cash Flow'!AS16*(1+'Rent Roll Analysis'!$AE14/12),'Monthly Cash Flow'!AS16*(1+'Rent Roll Analysis'!$AB14/12))))</f>
        <v/>
      </c>
      <c r="AU16" s="1428" t="str">
        <f>IF($B16="","",IF(AU$4&gt;2,(AT16*(1+'Rent Roll Analysis'!$AK14/12)), IF(AND('Monthly Cash Flow'!AU$4&gt;1,'Monthly Cash Flow'!AU$4&lt;=2),'Monthly Cash Flow'!AT16*(1+'Rent Roll Analysis'!$AE14/12),'Monthly Cash Flow'!AT16*(1+'Rent Roll Analysis'!$AB14/12))))</f>
        <v/>
      </c>
      <c r="AV16" s="1428" t="str">
        <f>IF($B16="","",IF(AV$4&gt;2,(AU16*(1+'Rent Roll Analysis'!$AK14/12)), IF(AND('Monthly Cash Flow'!AV$4&gt;1,'Monthly Cash Flow'!AV$4&lt;=2),'Monthly Cash Flow'!AU16*(1+'Rent Roll Analysis'!$AE14/12),'Monthly Cash Flow'!AU16*(1+'Rent Roll Analysis'!$AB14/12))))</f>
        <v/>
      </c>
      <c r="AW16" s="1428" t="str">
        <f>IF($B16="","",IF(AW$4&gt;2,(AV16*(1+'Rent Roll Analysis'!$AK14/12)), IF(AND('Monthly Cash Flow'!AW$4&gt;1,'Monthly Cash Flow'!AW$4&lt;=2),'Monthly Cash Flow'!AV16*(1+'Rent Roll Analysis'!$AE14/12),'Monthly Cash Flow'!AV16*(1+'Rent Roll Analysis'!$AB14/12))))</f>
        <v/>
      </c>
      <c r="AX16" s="1428" t="str">
        <f>IF($B16="","",IF(AX$4&gt;2,(AW16*(1+'Rent Roll Analysis'!$AK14/12)), IF(AND('Monthly Cash Flow'!AX$4&gt;1,'Monthly Cash Flow'!AX$4&lt;=2),'Monthly Cash Flow'!AW16*(1+'Rent Roll Analysis'!$AE14/12),'Monthly Cash Flow'!AW16*(1+'Rent Roll Analysis'!$AB14/12))))</f>
        <v/>
      </c>
      <c r="AY16" s="1428" t="str">
        <f>IF($B16="","",IF(AY$4&gt;2,(AX16*(1+'Rent Roll Analysis'!$AK14/12)), IF(AND('Monthly Cash Flow'!AY$4&gt;1,'Monthly Cash Flow'!AY$4&lt;=2),'Monthly Cash Flow'!AX16*(1+'Rent Roll Analysis'!$AE14/12),'Monthly Cash Flow'!AX16*(1+'Rent Roll Analysis'!$AB14/12))))</f>
        <v/>
      </c>
      <c r="AZ16" s="1428" t="str">
        <f>IF($B16="","",IF(AZ$4&gt;2,(AY16*(1+'Rent Roll Analysis'!$AK14/12)), IF(AND('Monthly Cash Flow'!AZ$4&gt;1,'Monthly Cash Flow'!AZ$4&lt;=2),'Monthly Cash Flow'!AY16*(1+'Rent Roll Analysis'!$AE14/12),'Monthly Cash Flow'!AY16*(1+'Rent Roll Analysis'!$AB14/12))))</f>
        <v/>
      </c>
      <c r="BA16" s="1428" t="str">
        <f>IF($B16="","",IF(BA$4&gt;2,(AZ16*(1+'Rent Roll Analysis'!$AK14/12)), IF(AND('Monthly Cash Flow'!BA$4&gt;1,'Monthly Cash Flow'!BA$4&lt;=2),'Monthly Cash Flow'!AZ16*(1+'Rent Roll Analysis'!$AE14/12),'Monthly Cash Flow'!AZ16*(1+'Rent Roll Analysis'!$AB14/12))))</f>
        <v/>
      </c>
      <c r="BB16" s="1428" t="str">
        <f>IF($B16="","",IF(BB$4&gt;2,(BA16*(1+'Rent Roll Analysis'!$AK14/12)), IF(AND('Monthly Cash Flow'!BB$4&gt;1,'Monthly Cash Flow'!BB$4&lt;=2),'Monthly Cash Flow'!BA16*(1+'Rent Roll Analysis'!$AE14/12),'Monthly Cash Flow'!BA16*(1+'Rent Roll Analysis'!$AB14/12))))</f>
        <v/>
      </c>
      <c r="BC16" s="1428" t="str">
        <f>IF($B16="","",IF(BC$4&gt;2,(BB16*(1+'Rent Roll Analysis'!$AK14/12)), IF(AND('Monthly Cash Flow'!BC$4&gt;1,'Monthly Cash Flow'!BC$4&lt;=2),'Monthly Cash Flow'!BB16*(1+'Rent Roll Analysis'!$AE14/12),'Monthly Cash Flow'!BB16*(1+'Rent Roll Analysis'!$AB14/12))))</f>
        <v/>
      </c>
      <c r="BD16" s="1428" t="str">
        <f>IF($B16="","",IF(BD$4&gt;2,(BC16*(1+'Rent Roll Analysis'!$AK14/12)), IF(AND('Monthly Cash Flow'!BD$4&gt;1,'Monthly Cash Flow'!BD$4&lt;=2),'Monthly Cash Flow'!BC16*(1+'Rent Roll Analysis'!$AE14/12),'Monthly Cash Flow'!BC16*(1+'Rent Roll Analysis'!$AB14/12))))</f>
        <v/>
      </c>
      <c r="BE16" s="1428" t="str">
        <f>IF($B16="","",IF(BE$4&gt;2,(BD16*(1+'Rent Roll Analysis'!$AK14/12)), IF(AND('Monthly Cash Flow'!BE$4&gt;1,'Monthly Cash Flow'!BE$4&lt;=2),'Monthly Cash Flow'!BD16*(1+'Rent Roll Analysis'!$AE14/12),'Monthly Cash Flow'!BD16*(1+'Rent Roll Analysis'!$AB14/12))))</f>
        <v/>
      </c>
      <c r="BF16" s="1428" t="str">
        <f>IF($B16="","",IF(BF$4&gt;2,(BE16*(1+'Rent Roll Analysis'!$AK14/12)), IF(AND('Monthly Cash Flow'!BF$4&gt;1,'Monthly Cash Flow'!BF$4&lt;=2),'Monthly Cash Flow'!BE16*(1+'Rent Roll Analysis'!$AE14/12),'Monthly Cash Flow'!BE16*(1+'Rent Roll Analysis'!$AB14/12))))</f>
        <v/>
      </c>
      <c r="BG16" s="1428" t="str">
        <f>IF($B16="","",IF(BG$4&gt;2,(BF16*(1+'Rent Roll Analysis'!$AK14/12)), IF(AND('Monthly Cash Flow'!BG$4&gt;1,'Monthly Cash Flow'!BG$4&lt;=2),'Monthly Cash Flow'!BF16*(1+'Rent Roll Analysis'!$AE14/12),'Monthly Cash Flow'!BF16*(1+'Rent Roll Analysis'!$AB14/12))))</f>
        <v/>
      </c>
      <c r="BH16" s="1428" t="str">
        <f>IF($B16="","",IF(BH$4&gt;2,(BG16*(1+'Rent Roll Analysis'!$AK14/12)), IF(AND('Monthly Cash Flow'!BH$4&gt;1,'Monthly Cash Flow'!BH$4&lt;=2),'Monthly Cash Flow'!BG16*(1+'Rent Roll Analysis'!$AE14/12),'Monthly Cash Flow'!BG16*(1+'Rent Roll Analysis'!$AB14/12))))</f>
        <v/>
      </c>
      <c r="BI16" s="1428" t="str">
        <f>IF($B16="","",IF(BI$4&gt;2,(BH16*(1+'Rent Roll Analysis'!$AK14/12)), IF(AND('Monthly Cash Flow'!BI$4&gt;1,'Monthly Cash Flow'!BI$4&lt;=2),'Monthly Cash Flow'!BH16*(1+'Rent Roll Analysis'!$AE14/12),'Monthly Cash Flow'!BH16*(1+'Rent Roll Analysis'!$AB14/12))))</f>
        <v/>
      </c>
      <c r="BJ16" s="1428" t="str">
        <f>IF($B16="","",IF(BJ$4&gt;2,(BI16*(1+'Rent Roll Analysis'!$AK14/12)), IF(AND('Monthly Cash Flow'!BJ$4&gt;1,'Monthly Cash Flow'!BJ$4&lt;=2),'Monthly Cash Flow'!BI16*(1+'Rent Roll Analysis'!$AE14/12),'Monthly Cash Flow'!BI16*(1+'Rent Roll Analysis'!$AB14/12))))</f>
        <v/>
      </c>
      <c r="BK16" s="1428" t="str">
        <f>IF($B16="","",IF(BK$4&gt;2,(BJ16*(1+'Rent Roll Analysis'!$AK14/12)), IF(AND('Monthly Cash Flow'!BK$4&gt;1,'Monthly Cash Flow'!BK$4&lt;=2),'Monthly Cash Flow'!BJ16*(1+'Rent Roll Analysis'!$AE14/12),'Monthly Cash Flow'!BJ16*(1+'Rent Roll Analysis'!$AB14/12))))</f>
        <v/>
      </c>
      <c r="BL16" s="1428" t="str">
        <f>IF($B16="","",IF(BL$4&gt;2,(BK16*(1+'Rent Roll Analysis'!$AK14/12)), IF(AND('Monthly Cash Flow'!BL$4&gt;1,'Monthly Cash Flow'!BL$4&lt;=2),'Monthly Cash Flow'!BK16*(1+'Rent Roll Analysis'!$AE14/12),'Monthly Cash Flow'!BK16*(1+'Rent Roll Analysis'!$AB14/12))))</f>
        <v/>
      </c>
      <c r="BM16" s="1428" t="str">
        <f>IF($B16="","",IF(BM$4&gt;2,(BL16*(1+'Rent Roll Analysis'!$AK14/12)), IF(AND('Monthly Cash Flow'!BM$4&gt;1,'Monthly Cash Flow'!BM$4&lt;=2),'Monthly Cash Flow'!BL16*(1+'Rent Roll Analysis'!$AE14/12),'Monthly Cash Flow'!BL16*(1+'Rent Roll Analysis'!$AB14/12))))</f>
        <v/>
      </c>
      <c r="BN16" s="1428" t="str">
        <f>IF($B16="","",IF(BN$4&gt;2,(BM16*(1+'Rent Roll Analysis'!$AK14/12)), IF(AND('Monthly Cash Flow'!BN$4&gt;1,'Monthly Cash Flow'!BN$4&lt;=2),'Monthly Cash Flow'!BM16*(1+'Rent Roll Analysis'!$AE14/12),'Monthly Cash Flow'!BM16*(1+'Rent Roll Analysis'!$AB14/12))))</f>
        <v/>
      </c>
      <c r="BO16" s="1428" t="str">
        <f>IF($B16="","",IF(BO$4&gt;2,(BN16*(1+'Rent Roll Analysis'!$AK14/12)), IF(AND('Monthly Cash Flow'!BO$4&gt;1,'Monthly Cash Flow'!BO$4&lt;=2),'Monthly Cash Flow'!BN16*(1+'Rent Roll Analysis'!$AE14/12),'Monthly Cash Flow'!BN16*(1+'Rent Roll Analysis'!$AB14/12))))</f>
        <v/>
      </c>
      <c r="BP16" s="1428" t="str">
        <f>IF($B16="","",IF(BP$4&gt;2,(BO16*(1+'Rent Roll Analysis'!$AK14/12)), IF(AND('Monthly Cash Flow'!BP$4&gt;1,'Monthly Cash Flow'!BP$4&lt;=2),'Monthly Cash Flow'!BO16*(1+'Rent Roll Analysis'!$AE14/12),'Monthly Cash Flow'!BO16*(1+'Rent Roll Analysis'!$AB14/12))))</f>
        <v/>
      </c>
      <c r="BQ16" s="1428" t="str">
        <f>IF($B16="","",IF(BQ$4&gt;2,(BP16*(1+'Rent Roll Analysis'!$AK14/12)), IF(AND('Monthly Cash Flow'!BQ$4&gt;1,'Monthly Cash Flow'!BQ$4&lt;=2),'Monthly Cash Flow'!BP16*(1+'Rent Roll Analysis'!$AE14/12),'Monthly Cash Flow'!BP16*(1+'Rent Roll Analysis'!$AB14/12))))</f>
        <v/>
      </c>
      <c r="BR16" s="1428" t="str">
        <f>IF($B16="","",IF(BR$4&gt;2,(BQ16*(1+'Rent Roll Analysis'!$AK14/12)), IF(AND('Monthly Cash Flow'!BR$4&gt;1,'Monthly Cash Flow'!BR$4&lt;=2),'Monthly Cash Flow'!BQ16*(1+'Rent Roll Analysis'!$AE14/12),'Monthly Cash Flow'!BQ16*(1+'Rent Roll Analysis'!$AB14/12))))</f>
        <v/>
      </c>
      <c r="BS16" s="1428" t="str">
        <f>IF($B16="","",IF(BS$4&gt;2,(BR16*(1+'Rent Roll Analysis'!$AK14/12)), IF(AND('Monthly Cash Flow'!BS$4&gt;1,'Monthly Cash Flow'!BS$4&lt;=2),'Monthly Cash Flow'!BR16*(1+'Rent Roll Analysis'!$AE14/12),'Monthly Cash Flow'!BR16*(1+'Rent Roll Analysis'!$AB14/12))))</f>
        <v/>
      </c>
      <c r="BT16" s="1428" t="str">
        <f>IF($B16="","",IF(BT$4&gt;2,(BS16*(1+'Rent Roll Analysis'!$AK14/12)), IF(AND('Monthly Cash Flow'!BT$4&gt;1,'Monthly Cash Flow'!BT$4&lt;=2),'Monthly Cash Flow'!BS16*(1+'Rent Roll Analysis'!$AE14/12),'Monthly Cash Flow'!BS16*(1+'Rent Roll Analysis'!$AB14/12))))</f>
        <v/>
      </c>
      <c r="BU16" s="1428" t="str">
        <f>IF($B16="","",IF(BU$4&gt;2,(BT16*(1+'Rent Roll Analysis'!$AK14/12)), IF(AND('Monthly Cash Flow'!BU$4&gt;1,'Monthly Cash Flow'!BU$4&lt;=2),'Monthly Cash Flow'!BT16*(1+'Rent Roll Analysis'!$AE14/12),'Monthly Cash Flow'!BT16*(1+'Rent Roll Analysis'!$AB14/12))))</f>
        <v/>
      </c>
      <c r="BV16" s="1428" t="str">
        <f>IF($B16="","",IF(BV$4&gt;2,(BU16*(1+'Rent Roll Analysis'!$AK14/12)), IF(AND('Monthly Cash Flow'!BV$4&gt;1,'Monthly Cash Flow'!BV$4&lt;=2),'Monthly Cash Flow'!BU16*(1+'Rent Roll Analysis'!$AE14/12),'Monthly Cash Flow'!BU16*(1+'Rent Roll Analysis'!$AB14/12))))</f>
        <v/>
      </c>
      <c r="BW16" s="1428" t="str">
        <f>IF($B16="","",IF(BW$4&gt;2,(BV16*(1+'Rent Roll Analysis'!$AK14/12)), IF(AND('Monthly Cash Flow'!BW$4&gt;1,'Monthly Cash Flow'!BW$4&lt;=2),'Monthly Cash Flow'!BV16*(1+'Rent Roll Analysis'!$AE14/12),'Monthly Cash Flow'!BV16*(1+'Rent Roll Analysis'!$AB14/12))))</f>
        <v/>
      </c>
      <c r="BX16" s="1428" t="str">
        <f>IF($B16="","",IF(BX$4&gt;2,(BW16*(1+'Rent Roll Analysis'!$AK14/12)), IF(AND('Monthly Cash Flow'!BX$4&gt;1,'Monthly Cash Flow'!BX$4&lt;=2),'Monthly Cash Flow'!BW16*(1+'Rent Roll Analysis'!$AE14/12),'Monthly Cash Flow'!BW16*(1+'Rent Roll Analysis'!$AB14/12))))</f>
        <v/>
      </c>
      <c r="BY16" s="1428" t="str">
        <f>IF($B16="","",IF(BY$4&gt;2,(BX16*(1+'Rent Roll Analysis'!$AK14/12)), IF(AND('Monthly Cash Flow'!BY$4&gt;1,'Monthly Cash Flow'!BY$4&lt;=2),'Monthly Cash Flow'!BX16*(1+'Rent Roll Analysis'!$AE14/12),'Monthly Cash Flow'!BX16*(1+'Rent Roll Analysis'!$AB14/12))))</f>
        <v/>
      </c>
      <c r="BZ16" s="1428" t="str">
        <f>IF($B16="","",IF(BZ$4&gt;2,(BY16*(1+'Rent Roll Analysis'!$AK14/12)), IF(AND('Monthly Cash Flow'!BZ$4&gt;1,'Monthly Cash Flow'!BZ$4&lt;=2),'Monthly Cash Flow'!BY16*(1+'Rent Roll Analysis'!$AE14/12),'Monthly Cash Flow'!BY16*(1+'Rent Roll Analysis'!$AB14/12))))</f>
        <v/>
      </c>
      <c r="CA16" s="1428" t="str">
        <f>IF($B16="","",IF(CA$4&gt;2,(BZ16*(1+'Rent Roll Analysis'!$AK14/12)), IF(AND('Monthly Cash Flow'!CA$4&gt;1,'Monthly Cash Flow'!CA$4&lt;=2),'Monthly Cash Flow'!BZ16*(1+'Rent Roll Analysis'!$AE14/12),'Monthly Cash Flow'!BZ16*(1+'Rent Roll Analysis'!$AB14/12))))</f>
        <v/>
      </c>
      <c r="CB16" s="1428" t="str">
        <f>IF($B16="","",IF(CB$4&gt;2,(CA16*(1+'Rent Roll Analysis'!$AK14/12)), IF(AND('Monthly Cash Flow'!CB$4&gt;1,'Monthly Cash Flow'!CB$4&lt;=2),'Monthly Cash Flow'!CA16*(1+'Rent Roll Analysis'!$AE14/12),'Monthly Cash Flow'!CA16*(1+'Rent Roll Analysis'!$AB14/12))))</f>
        <v/>
      </c>
      <c r="CC16" s="1428" t="str">
        <f>IF($B16="","",IF(CC$4&gt;2,(CB16*(1+'Rent Roll Analysis'!$AK14/12)), IF(AND('Monthly Cash Flow'!CC$4&gt;1,'Monthly Cash Flow'!CC$4&lt;=2),'Monthly Cash Flow'!CB16*(1+'Rent Roll Analysis'!$AE14/12),'Monthly Cash Flow'!CB16*(1+'Rent Roll Analysis'!$AB14/12))))</f>
        <v/>
      </c>
      <c r="CD16" s="1428" t="str">
        <f>IF($B16="","",IF(CD$4&gt;2,(CC16*(1+'Rent Roll Analysis'!$AK14/12)), IF(AND('Monthly Cash Flow'!CD$4&gt;1,'Monthly Cash Flow'!CD$4&lt;=2),'Monthly Cash Flow'!CC16*(1+'Rent Roll Analysis'!$AE14/12),'Monthly Cash Flow'!CC16*(1+'Rent Roll Analysis'!$AB14/12))))</f>
        <v/>
      </c>
      <c r="CE16" s="1428" t="str">
        <f>IF($B16="","",IF(CE$4&gt;2,(CD16*(1+'Rent Roll Analysis'!$AK14/12)), IF(AND('Monthly Cash Flow'!CE$4&gt;1,'Monthly Cash Flow'!CE$4&lt;=2),'Monthly Cash Flow'!CD16*(1+'Rent Roll Analysis'!$AE14/12),'Monthly Cash Flow'!CD16*(1+'Rent Roll Analysis'!$AB14/12))))</f>
        <v/>
      </c>
      <c r="CF16" s="1428" t="str">
        <f>IF($B16="","",IF(CF$4&gt;2,(CE16*(1+'Rent Roll Analysis'!$AK14/12)), IF(AND('Monthly Cash Flow'!CF$4&gt;1,'Monthly Cash Flow'!CF$4&lt;=2),'Monthly Cash Flow'!CE16*(1+'Rent Roll Analysis'!$AE14/12),'Monthly Cash Flow'!CE16*(1+'Rent Roll Analysis'!$AB14/12))))</f>
        <v/>
      </c>
      <c r="CG16" s="1428" t="str">
        <f>IF($B16="","",IF(CG$4&gt;2,(CF16*(1+'Rent Roll Analysis'!$AK14/12)), IF(AND('Monthly Cash Flow'!CG$4&gt;1,'Monthly Cash Flow'!CG$4&lt;=2),'Monthly Cash Flow'!CF16*(1+'Rent Roll Analysis'!$AE14/12),'Monthly Cash Flow'!CF16*(1+'Rent Roll Analysis'!$AB14/12))))</f>
        <v/>
      </c>
      <c r="CH16" s="1428" t="str">
        <f>IF($B16="","",IF(CH$4&gt;2,(CG16*(1+'Rent Roll Analysis'!$AK14/12)), IF(AND('Monthly Cash Flow'!CH$4&gt;1,'Monthly Cash Flow'!CH$4&lt;=2),'Monthly Cash Flow'!CG16*(1+'Rent Roll Analysis'!$AE14/12),'Monthly Cash Flow'!CG16*(1+'Rent Roll Analysis'!$AB14/12))))</f>
        <v/>
      </c>
      <c r="CI16" s="1428" t="str">
        <f>IF($B16="","",IF(CI$4&gt;2,(CH16*(1+'Rent Roll Analysis'!$AK14/12)), IF(AND('Monthly Cash Flow'!CI$4&gt;1,'Monthly Cash Flow'!CI$4&lt;=2),'Monthly Cash Flow'!CH16*(1+'Rent Roll Analysis'!$AE14/12),'Monthly Cash Flow'!CH16*(1+'Rent Roll Analysis'!$AB14/12))))</f>
        <v/>
      </c>
      <c r="CJ16" s="1428" t="str">
        <f>IF($B16="","",IF(CJ$4&gt;2,(CI16*(1+'Rent Roll Analysis'!$AK14/12)), IF(AND('Monthly Cash Flow'!CJ$4&gt;1,'Monthly Cash Flow'!CJ$4&lt;=2),'Monthly Cash Flow'!CI16*(1+'Rent Roll Analysis'!$AE14/12),'Monthly Cash Flow'!CI16*(1+'Rent Roll Analysis'!$AB14/12))))</f>
        <v/>
      </c>
      <c r="CK16" s="1428" t="str">
        <f>IF($B16="","",IF(CK$4&gt;2,(CJ16*(1+'Rent Roll Analysis'!$AK14/12)), IF(AND('Monthly Cash Flow'!CK$4&gt;1,'Monthly Cash Flow'!CK$4&lt;=2),'Monthly Cash Flow'!CJ16*(1+'Rent Roll Analysis'!$AE14/12),'Monthly Cash Flow'!CJ16*(1+'Rent Roll Analysis'!$AB14/12))))</f>
        <v/>
      </c>
      <c r="CL16" s="1428" t="str">
        <f>IF($B16="","",IF(CL$4&gt;2,(CK16*(1+'Rent Roll Analysis'!$AK14/12)), IF(AND('Monthly Cash Flow'!CL$4&gt;1,'Monthly Cash Flow'!CL$4&lt;=2),'Monthly Cash Flow'!CK16*(1+'Rent Roll Analysis'!$AE14/12),'Monthly Cash Flow'!CK16*(1+'Rent Roll Analysis'!$AB14/12))))</f>
        <v/>
      </c>
      <c r="CM16" s="1428" t="str">
        <f>IF($B16="","",IF(CM$4&gt;2,(CL16*(1+'Rent Roll Analysis'!$AK14/12)), IF(AND('Monthly Cash Flow'!CM$4&gt;1,'Monthly Cash Flow'!CM$4&lt;=2),'Monthly Cash Flow'!CL16*(1+'Rent Roll Analysis'!$AE14/12),'Monthly Cash Flow'!CL16*(1+'Rent Roll Analysis'!$AB14/12))))</f>
        <v/>
      </c>
      <c r="CN16" s="1428" t="str">
        <f>IF($B16="","",IF(CN$4&gt;2,(CM16*(1+'Rent Roll Analysis'!$AK14/12)), IF(AND('Monthly Cash Flow'!CN$4&gt;1,'Monthly Cash Flow'!CN$4&lt;=2),'Monthly Cash Flow'!CM16*(1+'Rent Roll Analysis'!$AE14/12),'Monthly Cash Flow'!CM16*(1+'Rent Roll Analysis'!$AB14/12))))</f>
        <v/>
      </c>
      <c r="CO16" s="1428" t="str">
        <f>IF($B16="","",IF(CO$4&gt;2,(CN16*(1+'Rent Roll Analysis'!$AK14/12)), IF(AND('Monthly Cash Flow'!CO$4&gt;1,'Monthly Cash Flow'!CO$4&lt;=2),'Monthly Cash Flow'!CN16*(1+'Rent Roll Analysis'!$AE14/12),'Monthly Cash Flow'!CN16*(1+'Rent Roll Analysis'!$AB14/12))))</f>
        <v/>
      </c>
      <c r="CP16" s="1428" t="str">
        <f>IF($B16="","",IF(CP$4&gt;2,(CO16*(1+'Rent Roll Analysis'!$AK14/12)), IF(AND('Monthly Cash Flow'!CP$4&gt;1,'Monthly Cash Flow'!CP$4&lt;=2),'Monthly Cash Flow'!CO16*(1+'Rent Roll Analysis'!$AE14/12),'Monthly Cash Flow'!CO16*(1+'Rent Roll Analysis'!$AB14/12))))</f>
        <v/>
      </c>
      <c r="CQ16" s="1428" t="str">
        <f>IF($B16="","",IF(CQ$4&gt;2,(CP16*(1+'Rent Roll Analysis'!$AK14/12)), IF(AND('Monthly Cash Flow'!CQ$4&gt;1,'Monthly Cash Flow'!CQ$4&lt;=2),'Monthly Cash Flow'!CP16*(1+'Rent Roll Analysis'!$AE14/12),'Monthly Cash Flow'!CP16*(1+'Rent Roll Analysis'!$AB14/12))))</f>
        <v/>
      </c>
      <c r="CR16" s="1428" t="str">
        <f>IF($B16="","",IF(CR$4&gt;2,(CQ16*(1+'Rent Roll Analysis'!$AK14/12)), IF(AND('Monthly Cash Flow'!CR$4&gt;1,'Monthly Cash Flow'!CR$4&lt;=2),'Monthly Cash Flow'!CQ16*(1+'Rent Roll Analysis'!$AE14/12),'Monthly Cash Flow'!CQ16*(1+'Rent Roll Analysis'!$AB14/12))))</f>
        <v/>
      </c>
      <c r="CS16" s="1428" t="str">
        <f>IF($B16="","",IF(CS$4&gt;2,(CR16*(1+'Rent Roll Analysis'!$AK14/12)), IF(AND('Monthly Cash Flow'!CS$4&gt;1,'Monthly Cash Flow'!CS$4&lt;=2),'Monthly Cash Flow'!CR16*(1+'Rent Roll Analysis'!$AE14/12),'Monthly Cash Flow'!CR16*(1+'Rent Roll Analysis'!$AB14/12))))</f>
        <v/>
      </c>
      <c r="CT16" s="1428" t="str">
        <f>IF($B16="","",IF(CT$4&gt;2,(CS16*(1+'Rent Roll Analysis'!$AK14/12)), IF(AND('Monthly Cash Flow'!CT$4&gt;1,'Monthly Cash Flow'!CT$4&lt;=2),'Monthly Cash Flow'!CS16*(1+'Rent Roll Analysis'!$AE14/12),'Monthly Cash Flow'!CS16*(1+'Rent Roll Analysis'!$AB14/12))))</f>
        <v/>
      </c>
      <c r="CU16" s="1428" t="str">
        <f>IF($B16="","",IF(CU$4&gt;2,(CT16*(1+'Rent Roll Analysis'!$AK14/12)), IF(AND('Monthly Cash Flow'!CU$4&gt;1,'Monthly Cash Flow'!CU$4&lt;=2),'Monthly Cash Flow'!CT16*(1+'Rent Roll Analysis'!$AE14/12),'Monthly Cash Flow'!CT16*(1+'Rent Roll Analysis'!$AB14/12))))</f>
        <v/>
      </c>
      <c r="CV16" s="1428" t="str">
        <f>IF($B16="","",IF(CV$4&gt;2,(CU16*(1+'Rent Roll Analysis'!$AK14/12)), IF(AND('Monthly Cash Flow'!CV$4&gt;1,'Monthly Cash Flow'!CV$4&lt;=2),'Monthly Cash Flow'!CU16*(1+'Rent Roll Analysis'!$AE14/12),'Monthly Cash Flow'!CU16*(1+'Rent Roll Analysis'!$AB14/12))))</f>
        <v/>
      </c>
      <c r="CW16" s="1428" t="str">
        <f>IF($B16="","",IF(CW$4&gt;2,(CV16*(1+'Rent Roll Analysis'!$AK14/12)), IF(AND('Monthly Cash Flow'!CW$4&gt;1,'Monthly Cash Flow'!CW$4&lt;=2),'Monthly Cash Flow'!CV16*(1+'Rent Roll Analysis'!$AE14/12),'Monthly Cash Flow'!CV16*(1+'Rent Roll Analysis'!$AB14/12))))</f>
        <v/>
      </c>
      <c r="CX16" s="1428" t="str">
        <f>IF($B16="","",IF(CX$4&gt;2,(CW16*(1+'Rent Roll Analysis'!$AK14/12)), IF(AND('Monthly Cash Flow'!CX$4&gt;1,'Monthly Cash Flow'!CX$4&lt;=2),'Monthly Cash Flow'!CW16*(1+'Rent Roll Analysis'!$AE14/12),'Monthly Cash Flow'!CW16*(1+'Rent Roll Analysis'!$AB14/12))))</f>
        <v/>
      </c>
      <c r="CY16" s="1428" t="str">
        <f>IF($B16="","",IF(CY$4&gt;2,(CX16*(1+'Rent Roll Analysis'!$AK14/12)), IF(AND('Monthly Cash Flow'!CY$4&gt;1,'Monthly Cash Flow'!CY$4&lt;=2),'Monthly Cash Flow'!CX16*(1+'Rent Roll Analysis'!$AE14/12),'Monthly Cash Flow'!CX16*(1+'Rent Roll Analysis'!$AB14/12))))</f>
        <v/>
      </c>
      <c r="CZ16" s="1428" t="str">
        <f>IF($B16="","",IF(CZ$4&gt;2,(CY16*(1+'Rent Roll Analysis'!$AK14/12)), IF(AND('Monthly Cash Flow'!CZ$4&gt;1,'Monthly Cash Flow'!CZ$4&lt;=2),'Monthly Cash Flow'!CY16*(1+'Rent Roll Analysis'!$AE14/12),'Monthly Cash Flow'!CY16*(1+'Rent Roll Analysis'!$AB14/12))))</f>
        <v/>
      </c>
      <c r="DA16" s="1428" t="str">
        <f>IF($B16="","",IF(DA$4&gt;2,(CZ16*(1+'Rent Roll Analysis'!$AK14/12)), IF(AND('Monthly Cash Flow'!DA$4&gt;1,'Monthly Cash Flow'!DA$4&lt;=2),'Monthly Cash Flow'!CZ16*(1+'Rent Roll Analysis'!$AE14/12),'Monthly Cash Flow'!CZ16*(1+'Rent Roll Analysis'!$AB14/12))))</f>
        <v/>
      </c>
      <c r="DB16" s="1428" t="str">
        <f>IF($B16="","",IF(DB$4&gt;2,(DA16*(1+'Rent Roll Analysis'!$AK14/12)), IF(AND('Monthly Cash Flow'!DB$4&gt;1,'Monthly Cash Flow'!DB$4&lt;=2),'Monthly Cash Flow'!DA16*(1+'Rent Roll Analysis'!$AE14/12),'Monthly Cash Flow'!DA16*(1+'Rent Roll Analysis'!$AB14/12))))</f>
        <v/>
      </c>
      <c r="DC16" s="1428" t="str">
        <f>IF($B16="","",IF(DC$4&gt;2,(DB16*(1+'Rent Roll Analysis'!$AK14/12)), IF(AND('Monthly Cash Flow'!DC$4&gt;1,'Monthly Cash Flow'!DC$4&lt;=2),'Monthly Cash Flow'!DB16*(1+'Rent Roll Analysis'!$AE14/12),'Monthly Cash Flow'!DB16*(1+'Rent Roll Analysis'!$AB14/12))))</f>
        <v/>
      </c>
      <c r="DD16" s="1428" t="str">
        <f>IF($B16="","",IF(DD$4&gt;2,(DC16*(1+'Rent Roll Analysis'!$AK14/12)), IF(AND('Monthly Cash Flow'!DD$4&gt;1,'Monthly Cash Flow'!DD$4&lt;=2),'Monthly Cash Flow'!DC16*(1+'Rent Roll Analysis'!$AE14/12),'Monthly Cash Flow'!DC16*(1+'Rent Roll Analysis'!$AB14/12))))</f>
        <v/>
      </c>
      <c r="DE16" s="1428" t="str">
        <f>IF($B16="","",IF(DE$4&gt;2,(DD16*(1+'Rent Roll Analysis'!$AK14/12)), IF(AND('Monthly Cash Flow'!DE$4&gt;1,'Monthly Cash Flow'!DE$4&lt;=2),'Monthly Cash Flow'!DD16*(1+'Rent Roll Analysis'!$AE14/12),'Monthly Cash Flow'!DD16*(1+'Rent Roll Analysis'!$AB14/12))))</f>
        <v/>
      </c>
      <c r="DF16" s="1428" t="str">
        <f>IF($B16="","",IF(DF$4&gt;2,(DE16*(1+'Rent Roll Analysis'!$AK14/12)), IF(AND('Monthly Cash Flow'!DF$4&gt;1,'Monthly Cash Flow'!DF$4&lt;=2),'Monthly Cash Flow'!DE16*(1+'Rent Roll Analysis'!$AE14/12),'Monthly Cash Flow'!DE16*(1+'Rent Roll Analysis'!$AB14/12))))</f>
        <v/>
      </c>
      <c r="DG16" s="1428" t="str">
        <f>IF($B16="","",IF(DG$4&gt;2,(DF16*(1+'Rent Roll Analysis'!$AK14/12)), IF(AND('Monthly Cash Flow'!DG$4&gt;1,'Monthly Cash Flow'!DG$4&lt;=2),'Monthly Cash Flow'!DF16*(1+'Rent Roll Analysis'!$AE14/12),'Monthly Cash Flow'!DF16*(1+'Rent Roll Analysis'!$AB14/12))))</f>
        <v/>
      </c>
      <c r="DH16" s="1428" t="str">
        <f>IF($B16="","",IF(DH$4&gt;2,(DG16*(1+'Rent Roll Analysis'!$AK14/12)), IF(AND('Monthly Cash Flow'!DH$4&gt;1,'Monthly Cash Flow'!DH$4&lt;=2),'Monthly Cash Flow'!DG16*(1+'Rent Roll Analysis'!$AE14/12),'Monthly Cash Flow'!DG16*(1+'Rent Roll Analysis'!$AB14/12))))</f>
        <v/>
      </c>
      <c r="DI16" s="1428" t="str">
        <f>IF($B16="","",IF(DI$4&gt;2,(DH16*(1+'Rent Roll Analysis'!$AK14/12)), IF(AND('Monthly Cash Flow'!DI$4&gt;1,'Monthly Cash Flow'!DI$4&lt;=2),'Monthly Cash Flow'!DH16*(1+'Rent Roll Analysis'!$AE14/12),'Monthly Cash Flow'!DH16*(1+'Rent Roll Analysis'!$AB14/12))))</f>
        <v/>
      </c>
      <c r="DJ16" s="1428" t="str">
        <f>IF($B16="","",IF(DJ$4&gt;2,(DI16*(1+'Rent Roll Analysis'!$AK14/12)), IF(AND('Monthly Cash Flow'!DJ$4&gt;1,'Monthly Cash Flow'!DJ$4&lt;=2),'Monthly Cash Flow'!DI16*(1+'Rent Roll Analysis'!$AE14/12),'Monthly Cash Flow'!DI16*(1+'Rent Roll Analysis'!$AB14/12))))</f>
        <v/>
      </c>
      <c r="DK16" s="1428" t="str">
        <f>IF($B16="","",IF(DK$4&gt;2,(DJ16*(1+'Rent Roll Analysis'!$AK14/12)), IF(AND('Monthly Cash Flow'!DK$4&gt;1,'Monthly Cash Flow'!DK$4&lt;=2),'Monthly Cash Flow'!DJ16*(1+'Rent Roll Analysis'!$AE14/12),'Monthly Cash Flow'!DJ16*(1+'Rent Roll Analysis'!$AB14/12))))</f>
        <v/>
      </c>
      <c r="DL16" s="1428" t="str">
        <f>IF($B16="","",IF(DL$4&gt;2,(DK16*(1+'Rent Roll Analysis'!$AK14/12)), IF(AND('Monthly Cash Flow'!DL$4&gt;1,'Monthly Cash Flow'!DL$4&lt;=2),'Monthly Cash Flow'!DK16*(1+'Rent Roll Analysis'!$AE14/12),'Monthly Cash Flow'!DK16*(1+'Rent Roll Analysis'!$AB14/12))))</f>
        <v/>
      </c>
      <c r="DM16" s="1428" t="str">
        <f>IF($B16="","",IF(DM$4&gt;2,(DL16*(1+'Rent Roll Analysis'!$AK14/12)), IF(AND('Monthly Cash Flow'!DM$4&gt;1,'Monthly Cash Flow'!DM$4&lt;=2),'Monthly Cash Flow'!DL16*(1+'Rent Roll Analysis'!$AE14/12),'Monthly Cash Flow'!DL16*(1+'Rent Roll Analysis'!$AB14/12))))</f>
        <v/>
      </c>
      <c r="DN16" s="1428" t="str">
        <f>IF($B16="","",IF(DN$4&gt;2,(DM16*(1+'Rent Roll Analysis'!$AK14/12)), IF(AND('Monthly Cash Flow'!DN$4&gt;1,'Monthly Cash Flow'!DN$4&lt;=2),'Monthly Cash Flow'!DM16*(1+'Rent Roll Analysis'!$AE14/12),'Monthly Cash Flow'!DM16*(1+'Rent Roll Analysis'!$AB14/12))))</f>
        <v/>
      </c>
      <c r="DO16" s="1428" t="str">
        <f>IF($B16="","",IF(DO$4&gt;2,(DN16*(1+'Rent Roll Analysis'!$AK14/12)), IF(AND('Monthly Cash Flow'!DO$4&gt;1,'Monthly Cash Flow'!DO$4&lt;=2),'Monthly Cash Flow'!DN16*(1+'Rent Roll Analysis'!$AE14/12),'Monthly Cash Flow'!DN16*(1+'Rent Roll Analysis'!$AB14/12))))</f>
        <v/>
      </c>
      <c r="DP16" s="1428" t="str">
        <f>IF($B16="","",IF(DP$4&gt;2,(DO16*(1+'Rent Roll Analysis'!$AK14/12)), IF(AND('Monthly Cash Flow'!DP$4&gt;1,'Monthly Cash Flow'!DP$4&lt;=2),'Monthly Cash Flow'!DO16*(1+'Rent Roll Analysis'!$AE14/12),'Monthly Cash Flow'!DO16*(1+'Rent Roll Analysis'!$AB14/12))))</f>
        <v/>
      </c>
      <c r="DQ16" s="1428" t="str">
        <f>IF($B16="","",IF(DQ$4&gt;2,(DP16*(1+'Rent Roll Analysis'!$AK14/12)), IF(AND('Monthly Cash Flow'!DQ$4&gt;1,'Monthly Cash Flow'!DQ$4&lt;=2),'Monthly Cash Flow'!DP16*(1+'Rent Roll Analysis'!$AE14/12),'Monthly Cash Flow'!DP16*(1+'Rent Roll Analysis'!$AB14/12))))</f>
        <v/>
      </c>
      <c r="DR16" s="1428" t="str">
        <f>IF($B16="","",IF(DR$4&gt;2,(DQ16*(1+'Rent Roll Analysis'!$AK14/12)), IF(AND('Monthly Cash Flow'!DR$4&gt;1,'Monthly Cash Flow'!DR$4&lt;=2),'Monthly Cash Flow'!DQ16*(1+'Rent Roll Analysis'!$AE14/12),'Monthly Cash Flow'!DQ16*(1+'Rent Roll Analysis'!$AB14/12))))</f>
        <v/>
      </c>
      <c r="DS16" s="1428" t="str">
        <f>IF($B16="","",IF(DS$4&gt;2,(DR16*(1+'Rent Roll Analysis'!$AK14/12)), IF(AND('Monthly Cash Flow'!DS$4&gt;1,'Monthly Cash Flow'!DS$4&lt;=2),'Monthly Cash Flow'!DR16*(1+'Rent Roll Analysis'!$AE14/12),'Monthly Cash Flow'!DR16*(1+'Rent Roll Analysis'!$AB14/12))))</f>
        <v/>
      </c>
      <c r="DT16" s="1428" t="str">
        <f>IF($B16="","",IF(DT$4&gt;2,(DS16*(1+'Rent Roll Analysis'!$AK14/12)), IF(AND('Monthly Cash Flow'!DT$4&gt;1,'Monthly Cash Flow'!DT$4&lt;=2),'Monthly Cash Flow'!DS16*(1+'Rent Roll Analysis'!$AE14/12),'Monthly Cash Flow'!DS16*(1+'Rent Roll Analysis'!$AB14/12))))</f>
        <v/>
      </c>
      <c r="DU16" s="385" t="s">
        <v>557</v>
      </c>
      <c r="DV16" s="375"/>
    </row>
    <row r="17" spans="1:126" s="92" customFormat="1" ht="20.149999999999999" customHeight="1" outlineLevel="1">
      <c r="A17" s="375"/>
      <c r="B17" s="383" t="str">
        <f>'Rent Roll Analysis'!C15</f>
        <v/>
      </c>
      <c r="C17" s="376"/>
      <c r="D17" s="1426" t="str">
        <f>IF('Rent Roll Analysis'!C15="","",'Rent Roll Analysis'!N15*'Rent Roll Analysis'!E15)</f>
        <v/>
      </c>
      <c r="E17" s="1428" t="str">
        <f t="shared" si="113"/>
        <v/>
      </c>
      <c r="F17" s="1428" t="str">
        <f>IF($B17="","",IF(F$4&gt;2,(E17*(1+'Rent Roll Analysis'!$AK15/12)), IF(AND('Monthly Cash Flow'!F$4&gt;1,'Monthly Cash Flow'!F$4&lt;=2),'Monthly Cash Flow'!E17*(1+'Rent Roll Analysis'!$AE15/12),'Monthly Cash Flow'!E17*(1+'Rent Roll Analysis'!$AB15/12))))</f>
        <v/>
      </c>
      <c r="G17" s="1428" t="str">
        <f>IF($B17="","",IF(G$4&gt;2,(F17*(1+'Rent Roll Analysis'!$AK15/12)), IF(AND('Monthly Cash Flow'!G$4&gt;1,'Monthly Cash Flow'!G$4&lt;=2),'Monthly Cash Flow'!F17*(1+'Rent Roll Analysis'!$AE15/12),'Monthly Cash Flow'!F17*(1+'Rent Roll Analysis'!$AB15/12))))</f>
        <v/>
      </c>
      <c r="H17" s="1428" t="str">
        <f>IF($B17="","",IF(H$4&gt;2,(G17*(1+'Rent Roll Analysis'!$AK15/12)), IF(AND('Monthly Cash Flow'!H$4&gt;1,'Monthly Cash Flow'!H$4&lt;=2),'Monthly Cash Flow'!G17*(1+'Rent Roll Analysis'!$AE15/12),'Monthly Cash Flow'!G17*(1+'Rent Roll Analysis'!$AB15/12))))</f>
        <v/>
      </c>
      <c r="I17" s="1428" t="str">
        <f>IF($B17="","",IF(I$4&gt;2,(H17*(1+'Rent Roll Analysis'!$AK15/12)), IF(AND('Monthly Cash Flow'!I$4&gt;1,'Monthly Cash Flow'!I$4&lt;=2),'Monthly Cash Flow'!H17*(1+'Rent Roll Analysis'!$AE15/12),'Monthly Cash Flow'!H17*(1+'Rent Roll Analysis'!$AB15/12))))</f>
        <v/>
      </c>
      <c r="J17" s="1428" t="str">
        <f>IF($B17="","",IF(J$4&gt;2,(I17*(1+'Rent Roll Analysis'!$AK15/12)), IF(AND('Monthly Cash Flow'!J$4&gt;1,'Monthly Cash Flow'!J$4&lt;=2),'Monthly Cash Flow'!I17*(1+'Rent Roll Analysis'!$AE15/12),'Monthly Cash Flow'!I17*(1+'Rent Roll Analysis'!$AB15/12))))</f>
        <v/>
      </c>
      <c r="K17" s="1428" t="str">
        <f>IF($B17="","",IF(K$4&gt;2,(J17*(1+'Rent Roll Analysis'!$AK15/12)), IF(AND('Monthly Cash Flow'!K$4&gt;1,'Monthly Cash Flow'!K$4&lt;=2),'Monthly Cash Flow'!J17*(1+'Rent Roll Analysis'!$AE15/12),'Monthly Cash Flow'!J17*(1+'Rent Roll Analysis'!$AB15/12))))</f>
        <v/>
      </c>
      <c r="L17" s="1428" t="str">
        <f>IF($B17="","",IF(L$4&gt;2,(K17*(1+'Rent Roll Analysis'!$AK15/12)), IF(AND('Monthly Cash Flow'!L$4&gt;1,'Monthly Cash Flow'!L$4&lt;=2),'Monthly Cash Flow'!K17*(1+'Rent Roll Analysis'!$AE15/12),'Monthly Cash Flow'!K17*(1+'Rent Roll Analysis'!$AB15/12))))</f>
        <v/>
      </c>
      <c r="M17" s="1428" t="str">
        <f>IF($B17="","",IF(M$4&gt;2,(L17*(1+'Rent Roll Analysis'!$AK15/12)), IF(AND('Monthly Cash Flow'!M$4&gt;1,'Monthly Cash Flow'!M$4&lt;=2),'Monthly Cash Flow'!L17*(1+'Rent Roll Analysis'!$AE15/12),'Monthly Cash Flow'!L17*(1+'Rent Roll Analysis'!$AB15/12))))</f>
        <v/>
      </c>
      <c r="N17" s="1428" t="str">
        <f>IF($B17="","",IF(N$4&gt;2,(M17*(1+'Rent Roll Analysis'!$AK15/12)), IF(AND('Monthly Cash Flow'!N$4&gt;1,'Monthly Cash Flow'!N$4&lt;=2),'Monthly Cash Flow'!M17*(1+'Rent Roll Analysis'!$AE15/12),'Monthly Cash Flow'!M17*(1+'Rent Roll Analysis'!$AB15/12))))</f>
        <v/>
      </c>
      <c r="O17" s="1428" t="str">
        <f>IF($B17="","",IF(O$4&gt;2,(N17*(1+'Rent Roll Analysis'!$AK15/12)), IF(AND('Monthly Cash Flow'!O$4&gt;1,'Monthly Cash Flow'!O$4&lt;=2),'Monthly Cash Flow'!N17*(1+'Rent Roll Analysis'!$AE15/12),'Monthly Cash Flow'!N17*(1+'Rent Roll Analysis'!$AB15/12))))</f>
        <v/>
      </c>
      <c r="P17" s="1428" t="str">
        <f>IF($B17="","",IF(P$4&gt;2,(O17*(1+'Rent Roll Analysis'!$AK15/12)), IF(AND('Monthly Cash Flow'!P$4&gt;1,'Monthly Cash Flow'!P$4&lt;=2),'Monthly Cash Flow'!O17*(1+'Rent Roll Analysis'!$AE15/12),'Monthly Cash Flow'!O17*(1+'Rent Roll Analysis'!$AB15/12))))</f>
        <v/>
      </c>
      <c r="Q17" s="1428" t="str">
        <f>IF($B17="","",IF(Q$4&gt;2,(P17*(1+'Rent Roll Analysis'!$AK15/12)), IF(AND('Monthly Cash Flow'!Q$4&gt;1,'Monthly Cash Flow'!Q$4&lt;=2),'Monthly Cash Flow'!P17*(1+'Rent Roll Analysis'!$AE15/12),'Monthly Cash Flow'!P17*(1+'Rent Roll Analysis'!$AB15/12))))</f>
        <v/>
      </c>
      <c r="R17" s="1428" t="str">
        <f>IF($B17="","",IF(R$4&gt;2,(Q17*(1+'Rent Roll Analysis'!$AK15/12)), IF(AND('Monthly Cash Flow'!R$4&gt;1,'Monthly Cash Flow'!R$4&lt;=2),'Monthly Cash Flow'!Q17*(1+'Rent Roll Analysis'!$AE15/12),'Monthly Cash Flow'!Q17*(1+'Rent Roll Analysis'!$AB15/12))))</f>
        <v/>
      </c>
      <c r="S17" s="1428" t="str">
        <f>IF($B17="","",IF(S$4&gt;2,(R17*(1+'Rent Roll Analysis'!$AK15/12)), IF(AND('Monthly Cash Flow'!S$4&gt;1,'Monthly Cash Flow'!S$4&lt;=2),'Monthly Cash Flow'!R17*(1+'Rent Roll Analysis'!$AE15/12),'Monthly Cash Flow'!R17*(1+'Rent Roll Analysis'!$AB15/12))))</f>
        <v/>
      </c>
      <c r="T17" s="1428" t="str">
        <f>IF($B17="","",IF(T$4&gt;2,(S17*(1+'Rent Roll Analysis'!$AK15/12)), IF(AND('Monthly Cash Flow'!T$4&gt;1,'Monthly Cash Flow'!T$4&lt;=2),'Monthly Cash Flow'!S17*(1+'Rent Roll Analysis'!$AE15/12),'Monthly Cash Flow'!S17*(1+'Rent Roll Analysis'!$AB15/12))))</f>
        <v/>
      </c>
      <c r="U17" s="1428" t="str">
        <f>IF($B17="","",IF(U$4&gt;2,(T17*(1+'Rent Roll Analysis'!$AK15/12)), IF(AND('Monthly Cash Flow'!U$4&gt;1,'Monthly Cash Flow'!U$4&lt;=2),'Monthly Cash Flow'!T17*(1+'Rent Roll Analysis'!$AE15/12),'Monthly Cash Flow'!T17*(1+'Rent Roll Analysis'!$AB15/12))))</f>
        <v/>
      </c>
      <c r="V17" s="1428" t="str">
        <f>IF($B17="","",IF(V$4&gt;2,(U17*(1+'Rent Roll Analysis'!$AK15/12)), IF(AND('Monthly Cash Flow'!V$4&gt;1,'Monthly Cash Flow'!V$4&lt;=2),'Monthly Cash Flow'!U17*(1+'Rent Roll Analysis'!$AE15/12),'Monthly Cash Flow'!U17*(1+'Rent Roll Analysis'!$AB15/12))))</f>
        <v/>
      </c>
      <c r="W17" s="1428" t="str">
        <f>IF($B17="","",IF(W$4&gt;2,(V17*(1+'Rent Roll Analysis'!$AK15/12)), IF(AND('Monthly Cash Flow'!W$4&gt;1,'Monthly Cash Flow'!W$4&lt;=2),'Monthly Cash Flow'!V17*(1+'Rent Roll Analysis'!$AE15/12),'Monthly Cash Flow'!V17*(1+'Rent Roll Analysis'!$AB15/12))))</f>
        <v/>
      </c>
      <c r="X17" s="1428" t="str">
        <f>IF($B17="","",IF(X$4&gt;2,(W17*(1+'Rent Roll Analysis'!$AK15/12)), IF(AND('Monthly Cash Flow'!X$4&gt;1,'Monthly Cash Flow'!X$4&lt;=2),'Monthly Cash Flow'!W17*(1+'Rent Roll Analysis'!$AE15/12),'Monthly Cash Flow'!W17*(1+'Rent Roll Analysis'!$AB15/12))))</f>
        <v/>
      </c>
      <c r="Y17" s="1428" t="str">
        <f>IF($B17="","",IF(Y$4&gt;2,(X17*(1+'Rent Roll Analysis'!$AK15/12)), IF(AND('Monthly Cash Flow'!Y$4&gt;1,'Monthly Cash Flow'!Y$4&lt;=2),'Monthly Cash Flow'!X17*(1+'Rent Roll Analysis'!$AE15/12),'Monthly Cash Flow'!X17*(1+'Rent Roll Analysis'!$AB15/12))))</f>
        <v/>
      </c>
      <c r="Z17" s="1428" t="str">
        <f>IF($B17="","",IF(Z$4&gt;2,(Y17*(1+'Rent Roll Analysis'!$AK15/12)), IF(AND('Monthly Cash Flow'!Z$4&gt;1,'Monthly Cash Flow'!Z$4&lt;=2),'Monthly Cash Flow'!Y17*(1+'Rent Roll Analysis'!$AE15/12),'Monthly Cash Flow'!Y17*(1+'Rent Roll Analysis'!$AB15/12))))</f>
        <v/>
      </c>
      <c r="AA17" s="1428" t="str">
        <f>IF($B17="","",IF(AA$4&gt;2,(Z17*(1+'Rent Roll Analysis'!$AK15/12)), IF(AND('Monthly Cash Flow'!AA$4&gt;1,'Monthly Cash Flow'!AA$4&lt;=2),'Monthly Cash Flow'!Z17*(1+'Rent Roll Analysis'!$AE15/12),'Monthly Cash Flow'!Z17*(1+'Rent Roll Analysis'!$AB15/12))))</f>
        <v/>
      </c>
      <c r="AB17" s="1428" t="str">
        <f>IF($B17="","",IF(AB$4&gt;2,(AA17*(1+'Rent Roll Analysis'!$AK15/12)), IF(AND('Monthly Cash Flow'!AB$4&gt;1,'Monthly Cash Flow'!AB$4&lt;=2),'Monthly Cash Flow'!AA17*(1+'Rent Roll Analysis'!$AE15/12),'Monthly Cash Flow'!AA17*(1+'Rent Roll Analysis'!$AB15/12))))</f>
        <v/>
      </c>
      <c r="AC17" s="1428" t="str">
        <f>IF($B17="","",IF(AC$4&gt;2,(AB17*(1+'Rent Roll Analysis'!$AK15/12)), IF(AND('Monthly Cash Flow'!AC$4&gt;1,'Monthly Cash Flow'!AC$4&lt;=2),'Monthly Cash Flow'!AB17*(1+'Rent Roll Analysis'!$AE15/12),'Monthly Cash Flow'!AB17*(1+'Rent Roll Analysis'!$AB15/12))))</f>
        <v/>
      </c>
      <c r="AD17" s="1428" t="str">
        <f>IF($B17="","",IF(AD$4&gt;2,(AC17*(1+'Rent Roll Analysis'!$AK15/12)), IF(AND('Monthly Cash Flow'!AD$4&gt;1,'Monthly Cash Flow'!AD$4&lt;=2),'Monthly Cash Flow'!AC17*(1+'Rent Roll Analysis'!$AE15/12),'Monthly Cash Flow'!AC17*(1+'Rent Roll Analysis'!$AB15/12))))</f>
        <v/>
      </c>
      <c r="AE17" s="1428" t="str">
        <f>IF($B17="","",IF(AE$4&gt;2,(AD17*(1+'Rent Roll Analysis'!$AK15/12)), IF(AND('Monthly Cash Flow'!AE$4&gt;1,'Monthly Cash Flow'!AE$4&lt;=2),'Monthly Cash Flow'!AD17*(1+'Rent Roll Analysis'!$AE15/12),'Monthly Cash Flow'!AD17*(1+'Rent Roll Analysis'!$AB15/12))))</f>
        <v/>
      </c>
      <c r="AF17" s="1428" t="str">
        <f>IF($B17="","",IF(AF$4&gt;2,(AE17*(1+'Rent Roll Analysis'!$AK15/12)), IF(AND('Monthly Cash Flow'!AF$4&gt;1,'Monthly Cash Flow'!AF$4&lt;=2),'Monthly Cash Flow'!AE17*(1+'Rent Roll Analysis'!$AE15/12),'Monthly Cash Flow'!AE17*(1+'Rent Roll Analysis'!$AB15/12))))</f>
        <v/>
      </c>
      <c r="AG17" s="1428" t="str">
        <f>IF($B17="","",IF(AG$4&gt;2,(AF17*(1+'Rent Roll Analysis'!$AK15/12)), IF(AND('Monthly Cash Flow'!AG$4&gt;1,'Monthly Cash Flow'!AG$4&lt;=2),'Monthly Cash Flow'!AF17*(1+'Rent Roll Analysis'!$AE15/12),'Monthly Cash Flow'!AF17*(1+'Rent Roll Analysis'!$AB15/12))))</f>
        <v/>
      </c>
      <c r="AH17" s="1428" t="str">
        <f>IF($B17="","",IF(AH$4&gt;2,(AG17*(1+'Rent Roll Analysis'!$AK15/12)), IF(AND('Monthly Cash Flow'!AH$4&gt;1,'Monthly Cash Flow'!AH$4&lt;=2),'Monthly Cash Flow'!AG17*(1+'Rent Roll Analysis'!$AE15/12),'Monthly Cash Flow'!AG17*(1+'Rent Roll Analysis'!$AB15/12))))</f>
        <v/>
      </c>
      <c r="AI17" s="1428" t="str">
        <f>IF($B17="","",IF(AI$4&gt;2,(AH17*(1+'Rent Roll Analysis'!$AK15/12)), IF(AND('Monthly Cash Flow'!AI$4&gt;1,'Monthly Cash Flow'!AI$4&lt;=2),'Monthly Cash Flow'!AH17*(1+'Rent Roll Analysis'!$AE15/12),'Monthly Cash Flow'!AH17*(1+'Rent Roll Analysis'!$AB15/12))))</f>
        <v/>
      </c>
      <c r="AJ17" s="1428" t="str">
        <f>IF($B17="","",IF(AJ$4&gt;2,(AI17*(1+'Rent Roll Analysis'!$AK15/12)), IF(AND('Monthly Cash Flow'!AJ$4&gt;1,'Monthly Cash Flow'!AJ$4&lt;=2),'Monthly Cash Flow'!AI17*(1+'Rent Roll Analysis'!$AE15/12),'Monthly Cash Flow'!AI17*(1+'Rent Roll Analysis'!$AB15/12))))</f>
        <v/>
      </c>
      <c r="AK17" s="1428" t="str">
        <f>IF($B17="","",IF(AK$4&gt;2,(AJ17*(1+'Rent Roll Analysis'!$AK15/12)), IF(AND('Monthly Cash Flow'!AK$4&gt;1,'Monthly Cash Flow'!AK$4&lt;=2),'Monthly Cash Flow'!AJ17*(1+'Rent Roll Analysis'!$AE15/12),'Monthly Cash Flow'!AJ17*(1+'Rent Roll Analysis'!$AB15/12))))</f>
        <v/>
      </c>
      <c r="AL17" s="1428" t="str">
        <f>IF($B17="","",IF(AL$4&gt;2,(AK17*(1+'Rent Roll Analysis'!$AK15/12)), IF(AND('Monthly Cash Flow'!AL$4&gt;1,'Monthly Cash Flow'!AL$4&lt;=2),'Monthly Cash Flow'!AK17*(1+'Rent Roll Analysis'!$AE15/12),'Monthly Cash Flow'!AK17*(1+'Rent Roll Analysis'!$AB15/12))))</f>
        <v/>
      </c>
      <c r="AM17" s="1428" t="str">
        <f>IF($B17="","",IF(AM$4&gt;2,(AL17*(1+'Rent Roll Analysis'!$AK15/12)), IF(AND('Monthly Cash Flow'!AM$4&gt;1,'Monthly Cash Flow'!AM$4&lt;=2),'Monthly Cash Flow'!AL17*(1+'Rent Roll Analysis'!$AE15/12),'Monthly Cash Flow'!AL17*(1+'Rent Roll Analysis'!$AB15/12))))</f>
        <v/>
      </c>
      <c r="AN17" s="1428" t="str">
        <f>IF($B17="","",IF(AN$4&gt;2,(AM17*(1+'Rent Roll Analysis'!$AK15/12)), IF(AND('Monthly Cash Flow'!AN$4&gt;1,'Monthly Cash Flow'!AN$4&lt;=2),'Monthly Cash Flow'!AM17*(1+'Rent Roll Analysis'!$AE15/12),'Monthly Cash Flow'!AM17*(1+'Rent Roll Analysis'!$AB15/12))))</f>
        <v/>
      </c>
      <c r="AO17" s="1428" t="str">
        <f>IF($B17="","",IF(AO$4&gt;2,(AN17*(1+'Rent Roll Analysis'!$AK15/12)), IF(AND('Monthly Cash Flow'!AO$4&gt;1,'Monthly Cash Flow'!AO$4&lt;=2),'Monthly Cash Flow'!AN17*(1+'Rent Roll Analysis'!$AE15/12),'Monthly Cash Flow'!AN17*(1+'Rent Roll Analysis'!$AB15/12))))</f>
        <v/>
      </c>
      <c r="AP17" s="1428" t="str">
        <f>IF($B17="","",IF(AP$4&gt;2,(AO17*(1+'Rent Roll Analysis'!$AK15/12)), IF(AND('Monthly Cash Flow'!AP$4&gt;1,'Monthly Cash Flow'!AP$4&lt;=2),'Monthly Cash Flow'!AO17*(1+'Rent Roll Analysis'!$AE15/12),'Monthly Cash Flow'!AO17*(1+'Rent Roll Analysis'!$AB15/12))))</f>
        <v/>
      </c>
      <c r="AQ17" s="1428" t="str">
        <f>IF($B17="","",IF(AQ$4&gt;2,(AP17*(1+'Rent Roll Analysis'!$AK15/12)), IF(AND('Monthly Cash Flow'!AQ$4&gt;1,'Monthly Cash Flow'!AQ$4&lt;=2),'Monthly Cash Flow'!AP17*(1+'Rent Roll Analysis'!$AE15/12),'Monthly Cash Flow'!AP17*(1+'Rent Roll Analysis'!$AB15/12))))</f>
        <v/>
      </c>
      <c r="AR17" s="1428" t="str">
        <f>IF($B17="","",IF(AR$4&gt;2,(AQ17*(1+'Rent Roll Analysis'!$AK15/12)), IF(AND('Monthly Cash Flow'!AR$4&gt;1,'Monthly Cash Flow'!AR$4&lt;=2),'Monthly Cash Flow'!AQ17*(1+'Rent Roll Analysis'!$AE15/12),'Monthly Cash Flow'!AQ17*(1+'Rent Roll Analysis'!$AB15/12))))</f>
        <v/>
      </c>
      <c r="AS17" s="1428" t="str">
        <f>IF($B17="","",IF(AS$4&gt;2,(AR17*(1+'Rent Roll Analysis'!$AK15/12)), IF(AND('Monthly Cash Flow'!AS$4&gt;1,'Monthly Cash Flow'!AS$4&lt;=2),'Monthly Cash Flow'!AR17*(1+'Rent Roll Analysis'!$AE15/12),'Monthly Cash Flow'!AR17*(1+'Rent Roll Analysis'!$AB15/12))))</f>
        <v/>
      </c>
      <c r="AT17" s="1428" t="str">
        <f>IF($B17="","",IF(AT$4&gt;2,(AS17*(1+'Rent Roll Analysis'!$AK15/12)), IF(AND('Monthly Cash Flow'!AT$4&gt;1,'Monthly Cash Flow'!AT$4&lt;=2),'Monthly Cash Flow'!AS17*(1+'Rent Roll Analysis'!$AE15/12),'Monthly Cash Flow'!AS17*(1+'Rent Roll Analysis'!$AB15/12))))</f>
        <v/>
      </c>
      <c r="AU17" s="1428" t="str">
        <f>IF($B17="","",IF(AU$4&gt;2,(AT17*(1+'Rent Roll Analysis'!$AK15/12)), IF(AND('Monthly Cash Flow'!AU$4&gt;1,'Monthly Cash Flow'!AU$4&lt;=2),'Monthly Cash Flow'!AT17*(1+'Rent Roll Analysis'!$AE15/12),'Monthly Cash Flow'!AT17*(1+'Rent Roll Analysis'!$AB15/12))))</f>
        <v/>
      </c>
      <c r="AV17" s="1428" t="str">
        <f>IF($B17="","",IF(AV$4&gt;2,(AU17*(1+'Rent Roll Analysis'!$AK15/12)), IF(AND('Monthly Cash Flow'!AV$4&gt;1,'Monthly Cash Flow'!AV$4&lt;=2),'Monthly Cash Flow'!AU17*(1+'Rent Roll Analysis'!$AE15/12),'Monthly Cash Flow'!AU17*(1+'Rent Roll Analysis'!$AB15/12))))</f>
        <v/>
      </c>
      <c r="AW17" s="1428" t="str">
        <f>IF($B17="","",IF(AW$4&gt;2,(AV17*(1+'Rent Roll Analysis'!$AK15/12)), IF(AND('Monthly Cash Flow'!AW$4&gt;1,'Monthly Cash Flow'!AW$4&lt;=2),'Monthly Cash Flow'!AV17*(1+'Rent Roll Analysis'!$AE15/12),'Monthly Cash Flow'!AV17*(1+'Rent Roll Analysis'!$AB15/12))))</f>
        <v/>
      </c>
      <c r="AX17" s="1428" t="str">
        <f>IF($B17="","",IF(AX$4&gt;2,(AW17*(1+'Rent Roll Analysis'!$AK15/12)), IF(AND('Monthly Cash Flow'!AX$4&gt;1,'Monthly Cash Flow'!AX$4&lt;=2),'Monthly Cash Flow'!AW17*(1+'Rent Roll Analysis'!$AE15/12),'Monthly Cash Flow'!AW17*(1+'Rent Roll Analysis'!$AB15/12))))</f>
        <v/>
      </c>
      <c r="AY17" s="1428" t="str">
        <f>IF($B17="","",IF(AY$4&gt;2,(AX17*(1+'Rent Roll Analysis'!$AK15/12)), IF(AND('Monthly Cash Flow'!AY$4&gt;1,'Monthly Cash Flow'!AY$4&lt;=2),'Monthly Cash Flow'!AX17*(1+'Rent Roll Analysis'!$AE15/12),'Monthly Cash Flow'!AX17*(1+'Rent Roll Analysis'!$AB15/12))))</f>
        <v/>
      </c>
      <c r="AZ17" s="1428" t="str">
        <f>IF($B17="","",IF(AZ$4&gt;2,(AY17*(1+'Rent Roll Analysis'!$AK15/12)), IF(AND('Monthly Cash Flow'!AZ$4&gt;1,'Monthly Cash Flow'!AZ$4&lt;=2),'Monthly Cash Flow'!AY17*(1+'Rent Roll Analysis'!$AE15/12),'Monthly Cash Flow'!AY17*(1+'Rent Roll Analysis'!$AB15/12))))</f>
        <v/>
      </c>
      <c r="BA17" s="1428" t="str">
        <f>IF($B17="","",IF(BA$4&gt;2,(AZ17*(1+'Rent Roll Analysis'!$AK15/12)), IF(AND('Monthly Cash Flow'!BA$4&gt;1,'Monthly Cash Flow'!BA$4&lt;=2),'Monthly Cash Flow'!AZ17*(1+'Rent Roll Analysis'!$AE15/12),'Monthly Cash Flow'!AZ17*(1+'Rent Roll Analysis'!$AB15/12))))</f>
        <v/>
      </c>
      <c r="BB17" s="1428" t="str">
        <f>IF($B17="","",IF(BB$4&gt;2,(BA17*(1+'Rent Roll Analysis'!$AK15/12)), IF(AND('Monthly Cash Flow'!BB$4&gt;1,'Monthly Cash Flow'!BB$4&lt;=2),'Monthly Cash Flow'!BA17*(1+'Rent Roll Analysis'!$AE15/12),'Monthly Cash Flow'!BA17*(1+'Rent Roll Analysis'!$AB15/12))))</f>
        <v/>
      </c>
      <c r="BC17" s="1428" t="str">
        <f>IF($B17="","",IF(BC$4&gt;2,(BB17*(1+'Rent Roll Analysis'!$AK15/12)), IF(AND('Monthly Cash Flow'!BC$4&gt;1,'Monthly Cash Flow'!BC$4&lt;=2),'Monthly Cash Flow'!BB17*(1+'Rent Roll Analysis'!$AE15/12),'Monthly Cash Flow'!BB17*(1+'Rent Roll Analysis'!$AB15/12))))</f>
        <v/>
      </c>
      <c r="BD17" s="1428" t="str">
        <f>IF($B17="","",IF(BD$4&gt;2,(BC17*(1+'Rent Roll Analysis'!$AK15/12)), IF(AND('Monthly Cash Flow'!BD$4&gt;1,'Monthly Cash Flow'!BD$4&lt;=2),'Monthly Cash Flow'!BC17*(1+'Rent Roll Analysis'!$AE15/12),'Monthly Cash Flow'!BC17*(1+'Rent Roll Analysis'!$AB15/12))))</f>
        <v/>
      </c>
      <c r="BE17" s="1428" t="str">
        <f>IF($B17="","",IF(BE$4&gt;2,(BD17*(1+'Rent Roll Analysis'!$AK15/12)), IF(AND('Monthly Cash Flow'!BE$4&gt;1,'Monthly Cash Flow'!BE$4&lt;=2),'Monthly Cash Flow'!BD17*(1+'Rent Roll Analysis'!$AE15/12),'Monthly Cash Flow'!BD17*(1+'Rent Roll Analysis'!$AB15/12))))</f>
        <v/>
      </c>
      <c r="BF17" s="1428" t="str">
        <f>IF($B17="","",IF(BF$4&gt;2,(BE17*(1+'Rent Roll Analysis'!$AK15/12)), IF(AND('Monthly Cash Flow'!BF$4&gt;1,'Monthly Cash Flow'!BF$4&lt;=2),'Monthly Cash Flow'!BE17*(1+'Rent Roll Analysis'!$AE15/12),'Monthly Cash Flow'!BE17*(1+'Rent Roll Analysis'!$AB15/12))))</f>
        <v/>
      </c>
      <c r="BG17" s="1428" t="str">
        <f>IF($B17="","",IF(BG$4&gt;2,(BF17*(1+'Rent Roll Analysis'!$AK15/12)), IF(AND('Monthly Cash Flow'!BG$4&gt;1,'Monthly Cash Flow'!BG$4&lt;=2),'Monthly Cash Flow'!BF17*(1+'Rent Roll Analysis'!$AE15/12),'Monthly Cash Flow'!BF17*(1+'Rent Roll Analysis'!$AB15/12))))</f>
        <v/>
      </c>
      <c r="BH17" s="1428" t="str">
        <f>IF($B17="","",IF(BH$4&gt;2,(BG17*(1+'Rent Roll Analysis'!$AK15/12)), IF(AND('Monthly Cash Flow'!BH$4&gt;1,'Monthly Cash Flow'!BH$4&lt;=2),'Monthly Cash Flow'!BG17*(1+'Rent Roll Analysis'!$AE15/12),'Monthly Cash Flow'!BG17*(1+'Rent Roll Analysis'!$AB15/12))))</f>
        <v/>
      </c>
      <c r="BI17" s="1428" t="str">
        <f>IF($B17="","",IF(BI$4&gt;2,(BH17*(1+'Rent Roll Analysis'!$AK15/12)), IF(AND('Monthly Cash Flow'!BI$4&gt;1,'Monthly Cash Flow'!BI$4&lt;=2),'Monthly Cash Flow'!BH17*(1+'Rent Roll Analysis'!$AE15/12),'Monthly Cash Flow'!BH17*(1+'Rent Roll Analysis'!$AB15/12))))</f>
        <v/>
      </c>
      <c r="BJ17" s="1428" t="str">
        <f>IF($B17="","",IF(BJ$4&gt;2,(BI17*(1+'Rent Roll Analysis'!$AK15/12)), IF(AND('Monthly Cash Flow'!BJ$4&gt;1,'Monthly Cash Flow'!BJ$4&lt;=2),'Monthly Cash Flow'!BI17*(1+'Rent Roll Analysis'!$AE15/12),'Monthly Cash Flow'!BI17*(1+'Rent Roll Analysis'!$AB15/12))))</f>
        <v/>
      </c>
      <c r="BK17" s="1428" t="str">
        <f>IF($B17="","",IF(BK$4&gt;2,(BJ17*(1+'Rent Roll Analysis'!$AK15/12)), IF(AND('Monthly Cash Flow'!BK$4&gt;1,'Monthly Cash Flow'!BK$4&lt;=2),'Monthly Cash Flow'!BJ17*(1+'Rent Roll Analysis'!$AE15/12),'Monthly Cash Flow'!BJ17*(1+'Rent Roll Analysis'!$AB15/12))))</f>
        <v/>
      </c>
      <c r="BL17" s="1428" t="str">
        <f>IF($B17="","",IF(BL$4&gt;2,(BK17*(1+'Rent Roll Analysis'!$AK15/12)), IF(AND('Monthly Cash Flow'!BL$4&gt;1,'Monthly Cash Flow'!BL$4&lt;=2),'Monthly Cash Flow'!BK17*(1+'Rent Roll Analysis'!$AE15/12),'Monthly Cash Flow'!BK17*(1+'Rent Roll Analysis'!$AB15/12))))</f>
        <v/>
      </c>
      <c r="BM17" s="1428" t="str">
        <f>IF($B17="","",IF(BM$4&gt;2,(BL17*(1+'Rent Roll Analysis'!$AK15/12)), IF(AND('Monthly Cash Flow'!BM$4&gt;1,'Monthly Cash Flow'!BM$4&lt;=2),'Monthly Cash Flow'!BL17*(1+'Rent Roll Analysis'!$AE15/12),'Monthly Cash Flow'!BL17*(1+'Rent Roll Analysis'!$AB15/12))))</f>
        <v/>
      </c>
      <c r="BN17" s="1428" t="str">
        <f>IF($B17="","",IF(BN$4&gt;2,(BM17*(1+'Rent Roll Analysis'!$AK15/12)), IF(AND('Monthly Cash Flow'!BN$4&gt;1,'Monthly Cash Flow'!BN$4&lt;=2),'Monthly Cash Flow'!BM17*(1+'Rent Roll Analysis'!$AE15/12),'Monthly Cash Flow'!BM17*(1+'Rent Roll Analysis'!$AB15/12))))</f>
        <v/>
      </c>
      <c r="BO17" s="1428" t="str">
        <f>IF($B17="","",IF(BO$4&gt;2,(BN17*(1+'Rent Roll Analysis'!$AK15/12)), IF(AND('Monthly Cash Flow'!BO$4&gt;1,'Monthly Cash Flow'!BO$4&lt;=2),'Monthly Cash Flow'!BN17*(1+'Rent Roll Analysis'!$AE15/12),'Monthly Cash Flow'!BN17*(1+'Rent Roll Analysis'!$AB15/12))))</f>
        <v/>
      </c>
      <c r="BP17" s="1428" t="str">
        <f>IF($B17="","",IF(BP$4&gt;2,(BO17*(1+'Rent Roll Analysis'!$AK15/12)), IF(AND('Monthly Cash Flow'!BP$4&gt;1,'Monthly Cash Flow'!BP$4&lt;=2),'Monthly Cash Flow'!BO17*(1+'Rent Roll Analysis'!$AE15/12),'Monthly Cash Flow'!BO17*(1+'Rent Roll Analysis'!$AB15/12))))</f>
        <v/>
      </c>
      <c r="BQ17" s="1428" t="str">
        <f>IF($B17="","",IF(BQ$4&gt;2,(BP17*(1+'Rent Roll Analysis'!$AK15/12)), IF(AND('Monthly Cash Flow'!BQ$4&gt;1,'Monthly Cash Flow'!BQ$4&lt;=2),'Monthly Cash Flow'!BP17*(1+'Rent Roll Analysis'!$AE15/12),'Monthly Cash Flow'!BP17*(1+'Rent Roll Analysis'!$AB15/12))))</f>
        <v/>
      </c>
      <c r="BR17" s="1428" t="str">
        <f>IF($B17="","",IF(BR$4&gt;2,(BQ17*(1+'Rent Roll Analysis'!$AK15/12)), IF(AND('Monthly Cash Flow'!BR$4&gt;1,'Monthly Cash Flow'!BR$4&lt;=2),'Monthly Cash Flow'!BQ17*(1+'Rent Roll Analysis'!$AE15/12),'Monthly Cash Flow'!BQ17*(1+'Rent Roll Analysis'!$AB15/12))))</f>
        <v/>
      </c>
      <c r="BS17" s="1428" t="str">
        <f>IF($B17="","",IF(BS$4&gt;2,(BR17*(1+'Rent Roll Analysis'!$AK15/12)), IF(AND('Monthly Cash Flow'!BS$4&gt;1,'Monthly Cash Flow'!BS$4&lt;=2),'Monthly Cash Flow'!BR17*(1+'Rent Roll Analysis'!$AE15/12),'Monthly Cash Flow'!BR17*(1+'Rent Roll Analysis'!$AB15/12))))</f>
        <v/>
      </c>
      <c r="BT17" s="1428" t="str">
        <f>IF($B17="","",IF(BT$4&gt;2,(BS17*(1+'Rent Roll Analysis'!$AK15/12)), IF(AND('Monthly Cash Flow'!BT$4&gt;1,'Monthly Cash Flow'!BT$4&lt;=2),'Monthly Cash Flow'!BS17*(1+'Rent Roll Analysis'!$AE15/12),'Monthly Cash Flow'!BS17*(1+'Rent Roll Analysis'!$AB15/12))))</f>
        <v/>
      </c>
      <c r="BU17" s="1428" t="str">
        <f>IF($B17="","",IF(BU$4&gt;2,(BT17*(1+'Rent Roll Analysis'!$AK15/12)), IF(AND('Monthly Cash Flow'!BU$4&gt;1,'Monthly Cash Flow'!BU$4&lt;=2),'Monthly Cash Flow'!BT17*(1+'Rent Roll Analysis'!$AE15/12),'Monthly Cash Flow'!BT17*(1+'Rent Roll Analysis'!$AB15/12))))</f>
        <v/>
      </c>
      <c r="BV17" s="1428" t="str">
        <f>IF($B17="","",IF(BV$4&gt;2,(BU17*(1+'Rent Roll Analysis'!$AK15/12)), IF(AND('Monthly Cash Flow'!BV$4&gt;1,'Monthly Cash Flow'!BV$4&lt;=2),'Monthly Cash Flow'!BU17*(1+'Rent Roll Analysis'!$AE15/12),'Monthly Cash Flow'!BU17*(1+'Rent Roll Analysis'!$AB15/12))))</f>
        <v/>
      </c>
      <c r="BW17" s="1428" t="str">
        <f>IF($B17="","",IF(BW$4&gt;2,(BV17*(1+'Rent Roll Analysis'!$AK15/12)), IF(AND('Monthly Cash Flow'!BW$4&gt;1,'Monthly Cash Flow'!BW$4&lt;=2),'Monthly Cash Flow'!BV17*(1+'Rent Roll Analysis'!$AE15/12),'Monthly Cash Flow'!BV17*(1+'Rent Roll Analysis'!$AB15/12))))</f>
        <v/>
      </c>
      <c r="BX17" s="1428" t="str">
        <f>IF($B17="","",IF(BX$4&gt;2,(BW17*(1+'Rent Roll Analysis'!$AK15/12)), IF(AND('Monthly Cash Flow'!BX$4&gt;1,'Monthly Cash Flow'!BX$4&lt;=2),'Monthly Cash Flow'!BW17*(1+'Rent Roll Analysis'!$AE15/12),'Monthly Cash Flow'!BW17*(1+'Rent Roll Analysis'!$AB15/12))))</f>
        <v/>
      </c>
      <c r="BY17" s="1428" t="str">
        <f>IF($B17="","",IF(BY$4&gt;2,(BX17*(1+'Rent Roll Analysis'!$AK15/12)), IF(AND('Monthly Cash Flow'!BY$4&gt;1,'Monthly Cash Flow'!BY$4&lt;=2),'Monthly Cash Flow'!BX17*(1+'Rent Roll Analysis'!$AE15/12),'Monthly Cash Flow'!BX17*(1+'Rent Roll Analysis'!$AB15/12))))</f>
        <v/>
      </c>
      <c r="BZ17" s="1428" t="str">
        <f>IF($B17="","",IF(BZ$4&gt;2,(BY17*(1+'Rent Roll Analysis'!$AK15/12)), IF(AND('Monthly Cash Flow'!BZ$4&gt;1,'Monthly Cash Flow'!BZ$4&lt;=2),'Monthly Cash Flow'!BY17*(1+'Rent Roll Analysis'!$AE15/12),'Monthly Cash Flow'!BY17*(1+'Rent Roll Analysis'!$AB15/12))))</f>
        <v/>
      </c>
      <c r="CA17" s="1428" t="str">
        <f>IF($B17="","",IF(CA$4&gt;2,(BZ17*(1+'Rent Roll Analysis'!$AK15/12)), IF(AND('Monthly Cash Flow'!CA$4&gt;1,'Monthly Cash Flow'!CA$4&lt;=2),'Monthly Cash Flow'!BZ17*(1+'Rent Roll Analysis'!$AE15/12),'Monthly Cash Flow'!BZ17*(1+'Rent Roll Analysis'!$AB15/12))))</f>
        <v/>
      </c>
      <c r="CB17" s="1428" t="str">
        <f>IF($B17="","",IF(CB$4&gt;2,(CA17*(1+'Rent Roll Analysis'!$AK15/12)), IF(AND('Monthly Cash Flow'!CB$4&gt;1,'Monthly Cash Flow'!CB$4&lt;=2),'Monthly Cash Flow'!CA17*(1+'Rent Roll Analysis'!$AE15/12),'Monthly Cash Flow'!CA17*(1+'Rent Roll Analysis'!$AB15/12))))</f>
        <v/>
      </c>
      <c r="CC17" s="1428" t="str">
        <f>IF($B17="","",IF(CC$4&gt;2,(CB17*(1+'Rent Roll Analysis'!$AK15/12)), IF(AND('Monthly Cash Flow'!CC$4&gt;1,'Monthly Cash Flow'!CC$4&lt;=2),'Monthly Cash Flow'!CB17*(1+'Rent Roll Analysis'!$AE15/12),'Monthly Cash Flow'!CB17*(1+'Rent Roll Analysis'!$AB15/12))))</f>
        <v/>
      </c>
      <c r="CD17" s="1428" t="str">
        <f>IF($B17="","",IF(CD$4&gt;2,(CC17*(1+'Rent Roll Analysis'!$AK15/12)), IF(AND('Monthly Cash Flow'!CD$4&gt;1,'Monthly Cash Flow'!CD$4&lt;=2),'Monthly Cash Flow'!CC17*(1+'Rent Roll Analysis'!$AE15/12),'Monthly Cash Flow'!CC17*(1+'Rent Roll Analysis'!$AB15/12))))</f>
        <v/>
      </c>
      <c r="CE17" s="1428" t="str">
        <f>IF($B17="","",IF(CE$4&gt;2,(CD17*(1+'Rent Roll Analysis'!$AK15/12)), IF(AND('Monthly Cash Flow'!CE$4&gt;1,'Monthly Cash Flow'!CE$4&lt;=2),'Monthly Cash Flow'!CD17*(1+'Rent Roll Analysis'!$AE15/12),'Monthly Cash Flow'!CD17*(1+'Rent Roll Analysis'!$AB15/12))))</f>
        <v/>
      </c>
      <c r="CF17" s="1428" t="str">
        <f>IF($B17="","",IF(CF$4&gt;2,(CE17*(1+'Rent Roll Analysis'!$AK15/12)), IF(AND('Monthly Cash Flow'!CF$4&gt;1,'Monthly Cash Flow'!CF$4&lt;=2),'Monthly Cash Flow'!CE17*(1+'Rent Roll Analysis'!$AE15/12),'Monthly Cash Flow'!CE17*(1+'Rent Roll Analysis'!$AB15/12))))</f>
        <v/>
      </c>
      <c r="CG17" s="1428" t="str">
        <f>IF($B17="","",IF(CG$4&gt;2,(CF17*(1+'Rent Roll Analysis'!$AK15/12)), IF(AND('Monthly Cash Flow'!CG$4&gt;1,'Monthly Cash Flow'!CG$4&lt;=2),'Monthly Cash Flow'!CF17*(1+'Rent Roll Analysis'!$AE15/12),'Monthly Cash Flow'!CF17*(1+'Rent Roll Analysis'!$AB15/12))))</f>
        <v/>
      </c>
      <c r="CH17" s="1428" t="str">
        <f>IF($B17="","",IF(CH$4&gt;2,(CG17*(1+'Rent Roll Analysis'!$AK15/12)), IF(AND('Monthly Cash Flow'!CH$4&gt;1,'Monthly Cash Flow'!CH$4&lt;=2),'Monthly Cash Flow'!CG17*(1+'Rent Roll Analysis'!$AE15/12),'Monthly Cash Flow'!CG17*(1+'Rent Roll Analysis'!$AB15/12))))</f>
        <v/>
      </c>
      <c r="CI17" s="1428" t="str">
        <f>IF($B17="","",IF(CI$4&gt;2,(CH17*(1+'Rent Roll Analysis'!$AK15/12)), IF(AND('Monthly Cash Flow'!CI$4&gt;1,'Monthly Cash Flow'!CI$4&lt;=2),'Monthly Cash Flow'!CH17*(1+'Rent Roll Analysis'!$AE15/12),'Monthly Cash Flow'!CH17*(1+'Rent Roll Analysis'!$AB15/12))))</f>
        <v/>
      </c>
      <c r="CJ17" s="1428" t="str">
        <f>IF($B17="","",IF(CJ$4&gt;2,(CI17*(1+'Rent Roll Analysis'!$AK15/12)), IF(AND('Monthly Cash Flow'!CJ$4&gt;1,'Monthly Cash Flow'!CJ$4&lt;=2),'Monthly Cash Flow'!CI17*(1+'Rent Roll Analysis'!$AE15/12),'Monthly Cash Flow'!CI17*(1+'Rent Roll Analysis'!$AB15/12))))</f>
        <v/>
      </c>
      <c r="CK17" s="1428" t="str">
        <f>IF($B17="","",IF(CK$4&gt;2,(CJ17*(1+'Rent Roll Analysis'!$AK15/12)), IF(AND('Monthly Cash Flow'!CK$4&gt;1,'Monthly Cash Flow'!CK$4&lt;=2),'Monthly Cash Flow'!CJ17*(1+'Rent Roll Analysis'!$AE15/12),'Monthly Cash Flow'!CJ17*(1+'Rent Roll Analysis'!$AB15/12))))</f>
        <v/>
      </c>
      <c r="CL17" s="1428" t="str">
        <f>IF($B17="","",IF(CL$4&gt;2,(CK17*(1+'Rent Roll Analysis'!$AK15/12)), IF(AND('Monthly Cash Flow'!CL$4&gt;1,'Monthly Cash Flow'!CL$4&lt;=2),'Monthly Cash Flow'!CK17*(1+'Rent Roll Analysis'!$AE15/12),'Monthly Cash Flow'!CK17*(1+'Rent Roll Analysis'!$AB15/12))))</f>
        <v/>
      </c>
      <c r="CM17" s="1428" t="str">
        <f>IF($B17="","",IF(CM$4&gt;2,(CL17*(1+'Rent Roll Analysis'!$AK15/12)), IF(AND('Monthly Cash Flow'!CM$4&gt;1,'Monthly Cash Flow'!CM$4&lt;=2),'Monthly Cash Flow'!CL17*(1+'Rent Roll Analysis'!$AE15/12),'Monthly Cash Flow'!CL17*(1+'Rent Roll Analysis'!$AB15/12))))</f>
        <v/>
      </c>
      <c r="CN17" s="1428" t="str">
        <f>IF($B17="","",IF(CN$4&gt;2,(CM17*(1+'Rent Roll Analysis'!$AK15/12)), IF(AND('Monthly Cash Flow'!CN$4&gt;1,'Monthly Cash Flow'!CN$4&lt;=2),'Monthly Cash Flow'!CM17*(1+'Rent Roll Analysis'!$AE15/12),'Monthly Cash Flow'!CM17*(1+'Rent Roll Analysis'!$AB15/12))))</f>
        <v/>
      </c>
      <c r="CO17" s="1428" t="str">
        <f>IF($B17="","",IF(CO$4&gt;2,(CN17*(1+'Rent Roll Analysis'!$AK15/12)), IF(AND('Monthly Cash Flow'!CO$4&gt;1,'Monthly Cash Flow'!CO$4&lt;=2),'Monthly Cash Flow'!CN17*(1+'Rent Roll Analysis'!$AE15/12),'Monthly Cash Flow'!CN17*(1+'Rent Roll Analysis'!$AB15/12))))</f>
        <v/>
      </c>
      <c r="CP17" s="1428" t="str">
        <f>IF($B17="","",IF(CP$4&gt;2,(CO17*(1+'Rent Roll Analysis'!$AK15/12)), IF(AND('Monthly Cash Flow'!CP$4&gt;1,'Monthly Cash Flow'!CP$4&lt;=2),'Monthly Cash Flow'!CO17*(1+'Rent Roll Analysis'!$AE15/12),'Monthly Cash Flow'!CO17*(1+'Rent Roll Analysis'!$AB15/12))))</f>
        <v/>
      </c>
      <c r="CQ17" s="1428" t="str">
        <f>IF($B17="","",IF(CQ$4&gt;2,(CP17*(1+'Rent Roll Analysis'!$AK15/12)), IF(AND('Monthly Cash Flow'!CQ$4&gt;1,'Monthly Cash Flow'!CQ$4&lt;=2),'Monthly Cash Flow'!CP17*(1+'Rent Roll Analysis'!$AE15/12),'Monthly Cash Flow'!CP17*(1+'Rent Roll Analysis'!$AB15/12))))</f>
        <v/>
      </c>
      <c r="CR17" s="1428" t="str">
        <f>IF($B17="","",IF(CR$4&gt;2,(CQ17*(1+'Rent Roll Analysis'!$AK15/12)), IF(AND('Monthly Cash Flow'!CR$4&gt;1,'Monthly Cash Flow'!CR$4&lt;=2),'Monthly Cash Flow'!CQ17*(1+'Rent Roll Analysis'!$AE15/12),'Monthly Cash Flow'!CQ17*(1+'Rent Roll Analysis'!$AB15/12))))</f>
        <v/>
      </c>
      <c r="CS17" s="1428" t="str">
        <f>IF($B17="","",IF(CS$4&gt;2,(CR17*(1+'Rent Roll Analysis'!$AK15/12)), IF(AND('Monthly Cash Flow'!CS$4&gt;1,'Monthly Cash Flow'!CS$4&lt;=2),'Monthly Cash Flow'!CR17*(1+'Rent Roll Analysis'!$AE15/12),'Monthly Cash Flow'!CR17*(1+'Rent Roll Analysis'!$AB15/12))))</f>
        <v/>
      </c>
      <c r="CT17" s="1428" t="str">
        <f>IF($B17="","",IF(CT$4&gt;2,(CS17*(1+'Rent Roll Analysis'!$AK15/12)), IF(AND('Monthly Cash Flow'!CT$4&gt;1,'Monthly Cash Flow'!CT$4&lt;=2),'Monthly Cash Flow'!CS17*(1+'Rent Roll Analysis'!$AE15/12),'Monthly Cash Flow'!CS17*(1+'Rent Roll Analysis'!$AB15/12))))</f>
        <v/>
      </c>
      <c r="CU17" s="1428" t="str">
        <f>IF($B17="","",IF(CU$4&gt;2,(CT17*(1+'Rent Roll Analysis'!$AK15/12)), IF(AND('Monthly Cash Flow'!CU$4&gt;1,'Monthly Cash Flow'!CU$4&lt;=2),'Monthly Cash Flow'!CT17*(1+'Rent Roll Analysis'!$AE15/12),'Monthly Cash Flow'!CT17*(1+'Rent Roll Analysis'!$AB15/12))))</f>
        <v/>
      </c>
      <c r="CV17" s="1428" t="str">
        <f>IF($B17="","",IF(CV$4&gt;2,(CU17*(1+'Rent Roll Analysis'!$AK15/12)), IF(AND('Monthly Cash Flow'!CV$4&gt;1,'Monthly Cash Flow'!CV$4&lt;=2),'Monthly Cash Flow'!CU17*(1+'Rent Roll Analysis'!$AE15/12),'Monthly Cash Flow'!CU17*(1+'Rent Roll Analysis'!$AB15/12))))</f>
        <v/>
      </c>
      <c r="CW17" s="1428" t="str">
        <f>IF($B17="","",IF(CW$4&gt;2,(CV17*(1+'Rent Roll Analysis'!$AK15/12)), IF(AND('Monthly Cash Flow'!CW$4&gt;1,'Monthly Cash Flow'!CW$4&lt;=2),'Monthly Cash Flow'!CV17*(1+'Rent Roll Analysis'!$AE15/12),'Monthly Cash Flow'!CV17*(1+'Rent Roll Analysis'!$AB15/12))))</f>
        <v/>
      </c>
      <c r="CX17" s="1428" t="str">
        <f>IF($B17="","",IF(CX$4&gt;2,(CW17*(1+'Rent Roll Analysis'!$AK15/12)), IF(AND('Monthly Cash Flow'!CX$4&gt;1,'Monthly Cash Flow'!CX$4&lt;=2),'Monthly Cash Flow'!CW17*(1+'Rent Roll Analysis'!$AE15/12),'Monthly Cash Flow'!CW17*(1+'Rent Roll Analysis'!$AB15/12))))</f>
        <v/>
      </c>
      <c r="CY17" s="1428" t="str">
        <f>IF($B17="","",IF(CY$4&gt;2,(CX17*(1+'Rent Roll Analysis'!$AK15/12)), IF(AND('Monthly Cash Flow'!CY$4&gt;1,'Monthly Cash Flow'!CY$4&lt;=2),'Monthly Cash Flow'!CX17*(1+'Rent Roll Analysis'!$AE15/12),'Monthly Cash Flow'!CX17*(1+'Rent Roll Analysis'!$AB15/12))))</f>
        <v/>
      </c>
      <c r="CZ17" s="1428" t="str">
        <f>IF($B17="","",IF(CZ$4&gt;2,(CY17*(1+'Rent Roll Analysis'!$AK15/12)), IF(AND('Monthly Cash Flow'!CZ$4&gt;1,'Monthly Cash Flow'!CZ$4&lt;=2),'Monthly Cash Flow'!CY17*(1+'Rent Roll Analysis'!$AE15/12),'Monthly Cash Flow'!CY17*(1+'Rent Roll Analysis'!$AB15/12))))</f>
        <v/>
      </c>
      <c r="DA17" s="1428" t="str">
        <f>IF($B17="","",IF(DA$4&gt;2,(CZ17*(1+'Rent Roll Analysis'!$AK15/12)), IF(AND('Monthly Cash Flow'!DA$4&gt;1,'Monthly Cash Flow'!DA$4&lt;=2),'Monthly Cash Flow'!CZ17*(1+'Rent Roll Analysis'!$AE15/12),'Monthly Cash Flow'!CZ17*(1+'Rent Roll Analysis'!$AB15/12))))</f>
        <v/>
      </c>
      <c r="DB17" s="1428" t="str">
        <f>IF($B17="","",IF(DB$4&gt;2,(DA17*(1+'Rent Roll Analysis'!$AK15/12)), IF(AND('Monthly Cash Flow'!DB$4&gt;1,'Monthly Cash Flow'!DB$4&lt;=2),'Monthly Cash Flow'!DA17*(1+'Rent Roll Analysis'!$AE15/12),'Monthly Cash Flow'!DA17*(1+'Rent Roll Analysis'!$AB15/12))))</f>
        <v/>
      </c>
      <c r="DC17" s="1428" t="str">
        <f>IF($B17="","",IF(DC$4&gt;2,(DB17*(1+'Rent Roll Analysis'!$AK15/12)), IF(AND('Monthly Cash Flow'!DC$4&gt;1,'Monthly Cash Flow'!DC$4&lt;=2),'Monthly Cash Flow'!DB17*(1+'Rent Roll Analysis'!$AE15/12),'Monthly Cash Flow'!DB17*(1+'Rent Roll Analysis'!$AB15/12))))</f>
        <v/>
      </c>
      <c r="DD17" s="1428" t="str">
        <f>IF($B17="","",IF(DD$4&gt;2,(DC17*(1+'Rent Roll Analysis'!$AK15/12)), IF(AND('Monthly Cash Flow'!DD$4&gt;1,'Monthly Cash Flow'!DD$4&lt;=2),'Monthly Cash Flow'!DC17*(1+'Rent Roll Analysis'!$AE15/12),'Monthly Cash Flow'!DC17*(1+'Rent Roll Analysis'!$AB15/12))))</f>
        <v/>
      </c>
      <c r="DE17" s="1428" t="str">
        <f>IF($B17="","",IF(DE$4&gt;2,(DD17*(1+'Rent Roll Analysis'!$AK15/12)), IF(AND('Monthly Cash Flow'!DE$4&gt;1,'Monthly Cash Flow'!DE$4&lt;=2),'Monthly Cash Flow'!DD17*(1+'Rent Roll Analysis'!$AE15/12),'Monthly Cash Flow'!DD17*(1+'Rent Roll Analysis'!$AB15/12))))</f>
        <v/>
      </c>
      <c r="DF17" s="1428" t="str">
        <f>IF($B17="","",IF(DF$4&gt;2,(DE17*(1+'Rent Roll Analysis'!$AK15/12)), IF(AND('Monthly Cash Flow'!DF$4&gt;1,'Monthly Cash Flow'!DF$4&lt;=2),'Monthly Cash Flow'!DE17*(1+'Rent Roll Analysis'!$AE15/12),'Monthly Cash Flow'!DE17*(1+'Rent Roll Analysis'!$AB15/12))))</f>
        <v/>
      </c>
      <c r="DG17" s="1428" t="str">
        <f>IF($B17="","",IF(DG$4&gt;2,(DF17*(1+'Rent Roll Analysis'!$AK15/12)), IF(AND('Monthly Cash Flow'!DG$4&gt;1,'Monthly Cash Flow'!DG$4&lt;=2),'Monthly Cash Flow'!DF17*(1+'Rent Roll Analysis'!$AE15/12),'Monthly Cash Flow'!DF17*(1+'Rent Roll Analysis'!$AB15/12))))</f>
        <v/>
      </c>
      <c r="DH17" s="1428" t="str">
        <f>IF($B17="","",IF(DH$4&gt;2,(DG17*(1+'Rent Roll Analysis'!$AK15/12)), IF(AND('Monthly Cash Flow'!DH$4&gt;1,'Monthly Cash Flow'!DH$4&lt;=2),'Monthly Cash Flow'!DG17*(1+'Rent Roll Analysis'!$AE15/12),'Monthly Cash Flow'!DG17*(1+'Rent Roll Analysis'!$AB15/12))))</f>
        <v/>
      </c>
      <c r="DI17" s="1428" t="str">
        <f>IF($B17="","",IF(DI$4&gt;2,(DH17*(1+'Rent Roll Analysis'!$AK15/12)), IF(AND('Monthly Cash Flow'!DI$4&gt;1,'Monthly Cash Flow'!DI$4&lt;=2),'Monthly Cash Flow'!DH17*(1+'Rent Roll Analysis'!$AE15/12),'Monthly Cash Flow'!DH17*(1+'Rent Roll Analysis'!$AB15/12))))</f>
        <v/>
      </c>
      <c r="DJ17" s="1428" t="str">
        <f>IF($B17="","",IF(DJ$4&gt;2,(DI17*(1+'Rent Roll Analysis'!$AK15/12)), IF(AND('Monthly Cash Flow'!DJ$4&gt;1,'Monthly Cash Flow'!DJ$4&lt;=2),'Monthly Cash Flow'!DI17*(1+'Rent Roll Analysis'!$AE15/12),'Monthly Cash Flow'!DI17*(1+'Rent Roll Analysis'!$AB15/12))))</f>
        <v/>
      </c>
      <c r="DK17" s="1428" t="str">
        <f>IF($B17="","",IF(DK$4&gt;2,(DJ17*(1+'Rent Roll Analysis'!$AK15/12)), IF(AND('Monthly Cash Flow'!DK$4&gt;1,'Monthly Cash Flow'!DK$4&lt;=2),'Monthly Cash Flow'!DJ17*(1+'Rent Roll Analysis'!$AE15/12),'Monthly Cash Flow'!DJ17*(1+'Rent Roll Analysis'!$AB15/12))))</f>
        <v/>
      </c>
      <c r="DL17" s="1428" t="str">
        <f>IF($B17="","",IF(DL$4&gt;2,(DK17*(1+'Rent Roll Analysis'!$AK15/12)), IF(AND('Monthly Cash Flow'!DL$4&gt;1,'Monthly Cash Flow'!DL$4&lt;=2),'Monthly Cash Flow'!DK17*(1+'Rent Roll Analysis'!$AE15/12),'Monthly Cash Flow'!DK17*(1+'Rent Roll Analysis'!$AB15/12))))</f>
        <v/>
      </c>
      <c r="DM17" s="1428" t="str">
        <f>IF($B17="","",IF(DM$4&gt;2,(DL17*(1+'Rent Roll Analysis'!$AK15/12)), IF(AND('Monthly Cash Flow'!DM$4&gt;1,'Monthly Cash Flow'!DM$4&lt;=2),'Monthly Cash Flow'!DL17*(1+'Rent Roll Analysis'!$AE15/12),'Monthly Cash Flow'!DL17*(1+'Rent Roll Analysis'!$AB15/12))))</f>
        <v/>
      </c>
      <c r="DN17" s="1428" t="str">
        <f>IF($B17="","",IF(DN$4&gt;2,(DM17*(1+'Rent Roll Analysis'!$AK15/12)), IF(AND('Monthly Cash Flow'!DN$4&gt;1,'Monthly Cash Flow'!DN$4&lt;=2),'Monthly Cash Flow'!DM17*(1+'Rent Roll Analysis'!$AE15/12),'Monthly Cash Flow'!DM17*(1+'Rent Roll Analysis'!$AB15/12))))</f>
        <v/>
      </c>
      <c r="DO17" s="1428" t="str">
        <f>IF($B17="","",IF(DO$4&gt;2,(DN17*(1+'Rent Roll Analysis'!$AK15/12)), IF(AND('Monthly Cash Flow'!DO$4&gt;1,'Monthly Cash Flow'!DO$4&lt;=2),'Monthly Cash Flow'!DN17*(1+'Rent Roll Analysis'!$AE15/12),'Monthly Cash Flow'!DN17*(1+'Rent Roll Analysis'!$AB15/12))))</f>
        <v/>
      </c>
      <c r="DP17" s="1428" t="str">
        <f>IF($B17="","",IF(DP$4&gt;2,(DO17*(1+'Rent Roll Analysis'!$AK15/12)), IF(AND('Monthly Cash Flow'!DP$4&gt;1,'Monthly Cash Flow'!DP$4&lt;=2),'Monthly Cash Flow'!DO17*(1+'Rent Roll Analysis'!$AE15/12),'Monthly Cash Flow'!DO17*(1+'Rent Roll Analysis'!$AB15/12))))</f>
        <v/>
      </c>
      <c r="DQ17" s="1428" t="str">
        <f>IF($B17="","",IF(DQ$4&gt;2,(DP17*(1+'Rent Roll Analysis'!$AK15/12)), IF(AND('Monthly Cash Flow'!DQ$4&gt;1,'Monthly Cash Flow'!DQ$4&lt;=2),'Monthly Cash Flow'!DP17*(1+'Rent Roll Analysis'!$AE15/12),'Monthly Cash Flow'!DP17*(1+'Rent Roll Analysis'!$AB15/12))))</f>
        <v/>
      </c>
      <c r="DR17" s="1428" t="str">
        <f>IF($B17="","",IF(DR$4&gt;2,(DQ17*(1+'Rent Roll Analysis'!$AK15/12)), IF(AND('Monthly Cash Flow'!DR$4&gt;1,'Monthly Cash Flow'!DR$4&lt;=2),'Monthly Cash Flow'!DQ17*(1+'Rent Roll Analysis'!$AE15/12),'Monthly Cash Flow'!DQ17*(1+'Rent Roll Analysis'!$AB15/12))))</f>
        <v/>
      </c>
      <c r="DS17" s="1428" t="str">
        <f>IF($B17="","",IF(DS$4&gt;2,(DR17*(1+'Rent Roll Analysis'!$AK15/12)), IF(AND('Monthly Cash Flow'!DS$4&gt;1,'Monthly Cash Flow'!DS$4&lt;=2),'Monthly Cash Flow'!DR17*(1+'Rent Roll Analysis'!$AE15/12),'Monthly Cash Flow'!DR17*(1+'Rent Roll Analysis'!$AB15/12))))</f>
        <v/>
      </c>
      <c r="DT17" s="1428" t="str">
        <f>IF($B17="","",IF(DT$4&gt;2,(DS17*(1+'Rent Roll Analysis'!$AK15/12)), IF(AND('Monthly Cash Flow'!DT$4&gt;1,'Monthly Cash Flow'!DT$4&lt;=2),'Monthly Cash Flow'!DS17*(1+'Rent Roll Analysis'!$AE15/12),'Monthly Cash Flow'!DS17*(1+'Rent Roll Analysis'!$AB15/12))))</f>
        <v/>
      </c>
      <c r="DU17" s="385" t="s">
        <v>557</v>
      </c>
      <c r="DV17" s="375"/>
    </row>
    <row r="18" spans="1:126" s="92" customFormat="1" ht="20.149999999999999" customHeight="1" outlineLevel="1">
      <c r="A18" s="375"/>
      <c r="B18" s="383" t="str">
        <f>'Rent Roll Analysis'!C16</f>
        <v/>
      </c>
      <c r="C18" s="376"/>
      <c r="D18" s="1426" t="str">
        <f>IF('Rent Roll Analysis'!C16="","",'Rent Roll Analysis'!N16*'Rent Roll Analysis'!E16)</f>
        <v/>
      </c>
      <c r="E18" s="1428" t="str">
        <f t="shared" si="113"/>
        <v/>
      </c>
      <c r="F18" s="1428" t="str">
        <f>IF($B18="","",IF(F$4&gt;2,(E18*(1+'Rent Roll Analysis'!$AK16/12)), IF(AND('Monthly Cash Flow'!F$4&gt;1,'Monthly Cash Flow'!F$4&lt;=2),'Monthly Cash Flow'!E18*(1+'Rent Roll Analysis'!$AE16/12),'Monthly Cash Flow'!E18*(1+'Rent Roll Analysis'!$AB16/12))))</f>
        <v/>
      </c>
      <c r="G18" s="1428" t="str">
        <f>IF($B18="","",IF(G$4&gt;2,(F18*(1+'Rent Roll Analysis'!$AK16/12)), IF(AND('Monthly Cash Flow'!G$4&gt;1,'Monthly Cash Flow'!G$4&lt;=2),'Monthly Cash Flow'!F18*(1+'Rent Roll Analysis'!$AE16/12),'Monthly Cash Flow'!F18*(1+'Rent Roll Analysis'!$AB16/12))))</f>
        <v/>
      </c>
      <c r="H18" s="1428" t="str">
        <f>IF($B18="","",IF(H$4&gt;2,(G18*(1+'Rent Roll Analysis'!$AK16/12)), IF(AND('Monthly Cash Flow'!H$4&gt;1,'Monthly Cash Flow'!H$4&lt;=2),'Monthly Cash Flow'!G18*(1+'Rent Roll Analysis'!$AE16/12),'Monthly Cash Flow'!G18*(1+'Rent Roll Analysis'!$AB16/12))))</f>
        <v/>
      </c>
      <c r="I18" s="1428" t="str">
        <f>IF($B18="","",IF(I$4&gt;2,(H18*(1+'Rent Roll Analysis'!$AK16/12)), IF(AND('Monthly Cash Flow'!I$4&gt;1,'Monthly Cash Flow'!I$4&lt;=2),'Monthly Cash Flow'!H18*(1+'Rent Roll Analysis'!$AE16/12),'Monthly Cash Flow'!H18*(1+'Rent Roll Analysis'!$AB16/12))))</f>
        <v/>
      </c>
      <c r="J18" s="1428" t="str">
        <f>IF($B18="","",IF(J$4&gt;2,(I18*(1+'Rent Roll Analysis'!$AK16/12)), IF(AND('Monthly Cash Flow'!J$4&gt;1,'Monthly Cash Flow'!J$4&lt;=2),'Monthly Cash Flow'!I18*(1+'Rent Roll Analysis'!$AE16/12),'Monthly Cash Flow'!I18*(1+'Rent Roll Analysis'!$AB16/12))))</f>
        <v/>
      </c>
      <c r="K18" s="1428" t="str">
        <f>IF($B18="","",IF(K$4&gt;2,(J18*(1+'Rent Roll Analysis'!$AK16/12)), IF(AND('Monthly Cash Flow'!K$4&gt;1,'Monthly Cash Flow'!K$4&lt;=2),'Monthly Cash Flow'!J18*(1+'Rent Roll Analysis'!$AE16/12),'Monthly Cash Flow'!J18*(1+'Rent Roll Analysis'!$AB16/12))))</f>
        <v/>
      </c>
      <c r="L18" s="1428" t="str">
        <f>IF($B18="","",IF(L$4&gt;2,(K18*(1+'Rent Roll Analysis'!$AK16/12)), IF(AND('Monthly Cash Flow'!L$4&gt;1,'Monthly Cash Flow'!L$4&lt;=2),'Monthly Cash Flow'!K18*(1+'Rent Roll Analysis'!$AE16/12),'Monthly Cash Flow'!K18*(1+'Rent Roll Analysis'!$AB16/12))))</f>
        <v/>
      </c>
      <c r="M18" s="1428" t="str">
        <f>IF($B18="","",IF(M$4&gt;2,(L18*(1+'Rent Roll Analysis'!$AK16/12)), IF(AND('Monthly Cash Flow'!M$4&gt;1,'Monthly Cash Flow'!M$4&lt;=2),'Monthly Cash Flow'!L18*(1+'Rent Roll Analysis'!$AE16/12),'Monthly Cash Flow'!L18*(1+'Rent Roll Analysis'!$AB16/12))))</f>
        <v/>
      </c>
      <c r="N18" s="1428" t="str">
        <f>IF($B18="","",IF(N$4&gt;2,(M18*(1+'Rent Roll Analysis'!$AK16/12)), IF(AND('Monthly Cash Flow'!N$4&gt;1,'Monthly Cash Flow'!N$4&lt;=2),'Monthly Cash Flow'!M18*(1+'Rent Roll Analysis'!$AE16/12),'Monthly Cash Flow'!M18*(1+'Rent Roll Analysis'!$AB16/12))))</f>
        <v/>
      </c>
      <c r="O18" s="1428" t="str">
        <f>IF($B18="","",IF(O$4&gt;2,(N18*(1+'Rent Roll Analysis'!$AK16/12)), IF(AND('Monthly Cash Flow'!O$4&gt;1,'Monthly Cash Flow'!O$4&lt;=2),'Monthly Cash Flow'!N18*(1+'Rent Roll Analysis'!$AE16/12),'Monthly Cash Flow'!N18*(1+'Rent Roll Analysis'!$AB16/12))))</f>
        <v/>
      </c>
      <c r="P18" s="1428" t="str">
        <f>IF($B18="","",IF(P$4&gt;2,(O18*(1+'Rent Roll Analysis'!$AK16/12)), IF(AND('Monthly Cash Flow'!P$4&gt;1,'Monthly Cash Flow'!P$4&lt;=2),'Monthly Cash Flow'!O18*(1+'Rent Roll Analysis'!$AE16/12),'Monthly Cash Flow'!O18*(1+'Rent Roll Analysis'!$AB16/12))))</f>
        <v/>
      </c>
      <c r="Q18" s="1428" t="str">
        <f>IF($B18="","",IF(Q$4&gt;2,(P18*(1+'Rent Roll Analysis'!$AK16/12)), IF(AND('Monthly Cash Flow'!Q$4&gt;1,'Monthly Cash Flow'!Q$4&lt;=2),'Monthly Cash Flow'!P18*(1+'Rent Roll Analysis'!$AE16/12),'Monthly Cash Flow'!P18*(1+'Rent Roll Analysis'!$AB16/12))))</f>
        <v/>
      </c>
      <c r="R18" s="1428" t="str">
        <f>IF($B18="","",IF(R$4&gt;2,(Q18*(1+'Rent Roll Analysis'!$AK16/12)), IF(AND('Monthly Cash Flow'!R$4&gt;1,'Monthly Cash Flow'!R$4&lt;=2),'Monthly Cash Flow'!Q18*(1+'Rent Roll Analysis'!$AE16/12),'Monthly Cash Flow'!Q18*(1+'Rent Roll Analysis'!$AB16/12))))</f>
        <v/>
      </c>
      <c r="S18" s="1428" t="str">
        <f>IF($B18="","",IF(S$4&gt;2,(R18*(1+'Rent Roll Analysis'!$AK16/12)), IF(AND('Monthly Cash Flow'!S$4&gt;1,'Monthly Cash Flow'!S$4&lt;=2),'Monthly Cash Flow'!R18*(1+'Rent Roll Analysis'!$AE16/12),'Monthly Cash Flow'!R18*(1+'Rent Roll Analysis'!$AB16/12))))</f>
        <v/>
      </c>
      <c r="T18" s="1428" t="str">
        <f>IF($B18="","",IF(T$4&gt;2,(S18*(1+'Rent Roll Analysis'!$AK16/12)), IF(AND('Monthly Cash Flow'!T$4&gt;1,'Monthly Cash Flow'!T$4&lt;=2),'Monthly Cash Flow'!S18*(1+'Rent Roll Analysis'!$AE16/12),'Monthly Cash Flow'!S18*(1+'Rent Roll Analysis'!$AB16/12))))</f>
        <v/>
      </c>
      <c r="U18" s="1428" t="str">
        <f>IF($B18="","",IF(U$4&gt;2,(T18*(1+'Rent Roll Analysis'!$AK16/12)), IF(AND('Monthly Cash Flow'!U$4&gt;1,'Monthly Cash Flow'!U$4&lt;=2),'Monthly Cash Flow'!T18*(1+'Rent Roll Analysis'!$AE16/12),'Monthly Cash Flow'!T18*(1+'Rent Roll Analysis'!$AB16/12))))</f>
        <v/>
      </c>
      <c r="V18" s="1428" t="str">
        <f>IF($B18="","",IF(V$4&gt;2,(U18*(1+'Rent Roll Analysis'!$AK16/12)), IF(AND('Monthly Cash Flow'!V$4&gt;1,'Monthly Cash Flow'!V$4&lt;=2),'Monthly Cash Flow'!U18*(1+'Rent Roll Analysis'!$AE16/12),'Monthly Cash Flow'!U18*(1+'Rent Roll Analysis'!$AB16/12))))</f>
        <v/>
      </c>
      <c r="W18" s="1428" t="str">
        <f>IF($B18="","",IF(W$4&gt;2,(V18*(1+'Rent Roll Analysis'!$AK16/12)), IF(AND('Monthly Cash Flow'!W$4&gt;1,'Monthly Cash Flow'!W$4&lt;=2),'Monthly Cash Flow'!V18*(1+'Rent Roll Analysis'!$AE16/12),'Monthly Cash Flow'!V18*(1+'Rent Roll Analysis'!$AB16/12))))</f>
        <v/>
      </c>
      <c r="X18" s="1428" t="str">
        <f>IF($B18="","",IF(X$4&gt;2,(W18*(1+'Rent Roll Analysis'!$AK16/12)), IF(AND('Monthly Cash Flow'!X$4&gt;1,'Monthly Cash Flow'!X$4&lt;=2),'Monthly Cash Flow'!W18*(1+'Rent Roll Analysis'!$AE16/12),'Monthly Cash Flow'!W18*(1+'Rent Roll Analysis'!$AB16/12))))</f>
        <v/>
      </c>
      <c r="Y18" s="1428" t="str">
        <f>IF($B18="","",IF(Y$4&gt;2,(X18*(1+'Rent Roll Analysis'!$AK16/12)), IF(AND('Monthly Cash Flow'!Y$4&gt;1,'Monthly Cash Flow'!Y$4&lt;=2),'Monthly Cash Flow'!X18*(1+'Rent Roll Analysis'!$AE16/12),'Monthly Cash Flow'!X18*(1+'Rent Roll Analysis'!$AB16/12))))</f>
        <v/>
      </c>
      <c r="Z18" s="1428" t="str">
        <f>IF($B18="","",IF(Z$4&gt;2,(Y18*(1+'Rent Roll Analysis'!$AK16/12)), IF(AND('Monthly Cash Flow'!Z$4&gt;1,'Monthly Cash Flow'!Z$4&lt;=2),'Monthly Cash Flow'!Y18*(1+'Rent Roll Analysis'!$AE16/12),'Monthly Cash Flow'!Y18*(1+'Rent Roll Analysis'!$AB16/12))))</f>
        <v/>
      </c>
      <c r="AA18" s="1428" t="str">
        <f>IF($B18="","",IF(AA$4&gt;2,(Z18*(1+'Rent Roll Analysis'!$AK16/12)), IF(AND('Monthly Cash Flow'!AA$4&gt;1,'Monthly Cash Flow'!AA$4&lt;=2),'Monthly Cash Flow'!Z18*(1+'Rent Roll Analysis'!$AE16/12),'Monthly Cash Flow'!Z18*(1+'Rent Roll Analysis'!$AB16/12))))</f>
        <v/>
      </c>
      <c r="AB18" s="1428" t="str">
        <f>IF($B18="","",IF(AB$4&gt;2,(AA18*(1+'Rent Roll Analysis'!$AK16/12)), IF(AND('Monthly Cash Flow'!AB$4&gt;1,'Monthly Cash Flow'!AB$4&lt;=2),'Monthly Cash Flow'!AA18*(1+'Rent Roll Analysis'!$AE16/12),'Monthly Cash Flow'!AA18*(1+'Rent Roll Analysis'!$AB16/12))))</f>
        <v/>
      </c>
      <c r="AC18" s="1428" t="str">
        <f>IF($B18="","",IF(AC$4&gt;2,(AB18*(1+'Rent Roll Analysis'!$AK16/12)), IF(AND('Monthly Cash Flow'!AC$4&gt;1,'Monthly Cash Flow'!AC$4&lt;=2),'Monthly Cash Flow'!AB18*(1+'Rent Roll Analysis'!$AE16/12),'Monthly Cash Flow'!AB18*(1+'Rent Roll Analysis'!$AB16/12))))</f>
        <v/>
      </c>
      <c r="AD18" s="1428" t="str">
        <f>IF($B18="","",IF(AD$4&gt;2,(AC18*(1+'Rent Roll Analysis'!$AK16/12)), IF(AND('Monthly Cash Flow'!AD$4&gt;1,'Monthly Cash Flow'!AD$4&lt;=2),'Monthly Cash Flow'!AC18*(1+'Rent Roll Analysis'!$AE16/12),'Monthly Cash Flow'!AC18*(1+'Rent Roll Analysis'!$AB16/12))))</f>
        <v/>
      </c>
      <c r="AE18" s="1428" t="str">
        <f>IF($B18="","",IF(AE$4&gt;2,(AD18*(1+'Rent Roll Analysis'!$AK16/12)), IF(AND('Monthly Cash Flow'!AE$4&gt;1,'Monthly Cash Flow'!AE$4&lt;=2),'Monthly Cash Flow'!AD18*(1+'Rent Roll Analysis'!$AE16/12),'Monthly Cash Flow'!AD18*(1+'Rent Roll Analysis'!$AB16/12))))</f>
        <v/>
      </c>
      <c r="AF18" s="1428" t="str">
        <f>IF($B18="","",IF(AF$4&gt;2,(AE18*(1+'Rent Roll Analysis'!$AK16/12)), IF(AND('Monthly Cash Flow'!AF$4&gt;1,'Monthly Cash Flow'!AF$4&lt;=2),'Monthly Cash Flow'!AE18*(1+'Rent Roll Analysis'!$AE16/12),'Monthly Cash Flow'!AE18*(1+'Rent Roll Analysis'!$AB16/12))))</f>
        <v/>
      </c>
      <c r="AG18" s="1428" t="str">
        <f>IF($B18="","",IF(AG$4&gt;2,(AF18*(1+'Rent Roll Analysis'!$AK16/12)), IF(AND('Monthly Cash Flow'!AG$4&gt;1,'Monthly Cash Flow'!AG$4&lt;=2),'Monthly Cash Flow'!AF18*(1+'Rent Roll Analysis'!$AE16/12),'Monthly Cash Flow'!AF18*(1+'Rent Roll Analysis'!$AB16/12))))</f>
        <v/>
      </c>
      <c r="AH18" s="1428" t="str">
        <f>IF($B18="","",IF(AH$4&gt;2,(AG18*(1+'Rent Roll Analysis'!$AK16/12)), IF(AND('Monthly Cash Flow'!AH$4&gt;1,'Monthly Cash Flow'!AH$4&lt;=2),'Monthly Cash Flow'!AG18*(1+'Rent Roll Analysis'!$AE16/12),'Monthly Cash Flow'!AG18*(1+'Rent Roll Analysis'!$AB16/12))))</f>
        <v/>
      </c>
      <c r="AI18" s="1428" t="str">
        <f>IF($B18="","",IF(AI$4&gt;2,(AH18*(1+'Rent Roll Analysis'!$AK16/12)), IF(AND('Monthly Cash Flow'!AI$4&gt;1,'Monthly Cash Flow'!AI$4&lt;=2),'Monthly Cash Flow'!AH18*(1+'Rent Roll Analysis'!$AE16/12),'Monthly Cash Flow'!AH18*(1+'Rent Roll Analysis'!$AB16/12))))</f>
        <v/>
      </c>
      <c r="AJ18" s="1428" t="str">
        <f>IF($B18="","",IF(AJ$4&gt;2,(AI18*(1+'Rent Roll Analysis'!$AK16/12)), IF(AND('Monthly Cash Flow'!AJ$4&gt;1,'Monthly Cash Flow'!AJ$4&lt;=2),'Monthly Cash Flow'!AI18*(1+'Rent Roll Analysis'!$AE16/12),'Monthly Cash Flow'!AI18*(1+'Rent Roll Analysis'!$AB16/12))))</f>
        <v/>
      </c>
      <c r="AK18" s="1428" t="str">
        <f>IF($B18="","",IF(AK$4&gt;2,(AJ18*(1+'Rent Roll Analysis'!$AK16/12)), IF(AND('Monthly Cash Flow'!AK$4&gt;1,'Monthly Cash Flow'!AK$4&lt;=2),'Monthly Cash Flow'!AJ18*(1+'Rent Roll Analysis'!$AE16/12),'Monthly Cash Flow'!AJ18*(1+'Rent Roll Analysis'!$AB16/12))))</f>
        <v/>
      </c>
      <c r="AL18" s="1428" t="str">
        <f>IF($B18="","",IF(AL$4&gt;2,(AK18*(1+'Rent Roll Analysis'!$AK16/12)), IF(AND('Monthly Cash Flow'!AL$4&gt;1,'Monthly Cash Flow'!AL$4&lt;=2),'Monthly Cash Flow'!AK18*(1+'Rent Roll Analysis'!$AE16/12),'Monthly Cash Flow'!AK18*(1+'Rent Roll Analysis'!$AB16/12))))</f>
        <v/>
      </c>
      <c r="AM18" s="1428" t="str">
        <f>IF($B18="","",IF(AM$4&gt;2,(AL18*(1+'Rent Roll Analysis'!$AK16/12)), IF(AND('Monthly Cash Flow'!AM$4&gt;1,'Monthly Cash Flow'!AM$4&lt;=2),'Monthly Cash Flow'!AL18*(1+'Rent Roll Analysis'!$AE16/12),'Monthly Cash Flow'!AL18*(1+'Rent Roll Analysis'!$AB16/12))))</f>
        <v/>
      </c>
      <c r="AN18" s="1428" t="str">
        <f>IF($B18="","",IF(AN$4&gt;2,(AM18*(1+'Rent Roll Analysis'!$AK16/12)), IF(AND('Monthly Cash Flow'!AN$4&gt;1,'Monthly Cash Flow'!AN$4&lt;=2),'Monthly Cash Flow'!AM18*(1+'Rent Roll Analysis'!$AE16/12),'Monthly Cash Flow'!AM18*(1+'Rent Roll Analysis'!$AB16/12))))</f>
        <v/>
      </c>
      <c r="AO18" s="1428" t="str">
        <f>IF($B18="","",IF(AO$4&gt;2,(AN18*(1+'Rent Roll Analysis'!$AK16/12)), IF(AND('Monthly Cash Flow'!AO$4&gt;1,'Monthly Cash Flow'!AO$4&lt;=2),'Monthly Cash Flow'!AN18*(1+'Rent Roll Analysis'!$AE16/12),'Monthly Cash Flow'!AN18*(1+'Rent Roll Analysis'!$AB16/12))))</f>
        <v/>
      </c>
      <c r="AP18" s="1428" t="str">
        <f>IF($B18="","",IF(AP$4&gt;2,(AO18*(1+'Rent Roll Analysis'!$AK16/12)), IF(AND('Monthly Cash Flow'!AP$4&gt;1,'Monthly Cash Flow'!AP$4&lt;=2),'Monthly Cash Flow'!AO18*(1+'Rent Roll Analysis'!$AE16/12),'Monthly Cash Flow'!AO18*(1+'Rent Roll Analysis'!$AB16/12))))</f>
        <v/>
      </c>
      <c r="AQ18" s="1428" t="str">
        <f>IF($B18="","",IF(AQ$4&gt;2,(AP18*(1+'Rent Roll Analysis'!$AK16/12)), IF(AND('Monthly Cash Flow'!AQ$4&gt;1,'Monthly Cash Flow'!AQ$4&lt;=2),'Monthly Cash Flow'!AP18*(1+'Rent Roll Analysis'!$AE16/12),'Monthly Cash Flow'!AP18*(1+'Rent Roll Analysis'!$AB16/12))))</f>
        <v/>
      </c>
      <c r="AR18" s="1428" t="str">
        <f>IF($B18="","",IF(AR$4&gt;2,(AQ18*(1+'Rent Roll Analysis'!$AK16/12)), IF(AND('Monthly Cash Flow'!AR$4&gt;1,'Monthly Cash Flow'!AR$4&lt;=2),'Monthly Cash Flow'!AQ18*(1+'Rent Roll Analysis'!$AE16/12),'Monthly Cash Flow'!AQ18*(1+'Rent Roll Analysis'!$AB16/12))))</f>
        <v/>
      </c>
      <c r="AS18" s="1428" t="str">
        <f>IF($B18="","",IF(AS$4&gt;2,(AR18*(1+'Rent Roll Analysis'!$AK16/12)), IF(AND('Monthly Cash Flow'!AS$4&gt;1,'Monthly Cash Flow'!AS$4&lt;=2),'Monthly Cash Flow'!AR18*(1+'Rent Roll Analysis'!$AE16/12),'Monthly Cash Flow'!AR18*(1+'Rent Roll Analysis'!$AB16/12))))</f>
        <v/>
      </c>
      <c r="AT18" s="1428" t="str">
        <f>IF($B18="","",IF(AT$4&gt;2,(AS18*(1+'Rent Roll Analysis'!$AK16/12)), IF(AND('Monthly Cash Flow'!AT$4&gt;1,'Monthly Cash Flow'!AT$4&lt;=2),'Monthly Cash Flow'!AS18*(1+'Rent Roll Analysis'!$AE16/12),'Monthly Cash Flow'!AS18*(1+'Rent Roll Analysis'!$AB16/12))))</f>
        <v/>
      </c>
      <c r="AU18" s="1428" t="str">
        <f>IF($B18="","",IF(AU$4&gt;2,(AT18*(1+'Rent Roll Analysis'!$AK16/12)), IF(AND('Monthly Cash Flow'!AU$4&gt;1,'Monthly Cash Flow'!AU$4&lt;=2),'Monthly Cash Flow'!AT18*(1+'Rent Roll Analysis'!$AE16/12),'Monthly Cash Flow'!AT18*(1+'Rent Roll Analysis'!$AB16/12))))</f>
        <v/>
      </c>
      <c r="AV18" s="1428" t="str">
        <f>IF($B18="","",IF(AV$4&gt;2,(AU18*(1+'Rent Roll Analysis'!$AK16/12)), IF(AND('Monthly Cash Flow'!AV$4&gt;1,'Monthly Cash Flow'!AV$4&lt;=2),'Monthly Cash Flow'!AU18*(1+'Rent Roll Analysis'!$AE16/12),'Monthly Cash Flow'!AU18*(1+'Rent Roll Analysis'!$AB16/12))))</f>
        <v/>
      </c>
      <c r="AW18" s="1428" t="str">
        <f>IF($B18="","",IF(AW$4&gt;2,(AV18*(1+'Rent Roll Analysis'!$AK16/12)), IF(AND('Monthly Cash Flow'!AW$4&gt;1,'Monthly Cash Flow'!AW$4&lt;=2),'Monthly Cash Flow'!AV18*(1+'Rent Roll Analysis'!$AE16/12),'Monthly Cash Flow'!AV18*(1+'Rent Roll Analysis'!$AB16/12))))</f>
        <v/>
      </c>
      <c r="AX18" s="1428" t="str">
        <f>IF($B18="","",IF(AX$4&gt;2,(AW18*(1+'Rent Roll Analysis'!$AK16/12)), IF(AND('Monthly Cash Flow'!AX$4&gt;1,'Monthly Cash Flow'!AX$4&lt;=2),'Monthly Cash Flow'!AW18*(1+'Rent Roll Analysis'!$AE16/12),'Monthly Cash Flow'!AW18*(1+'Rent Roll Analysis'!$AB16/12))))</f>
        <v/>
      </c>
      <c r="AY18" s="1428" t="str">
        <f>IF($B18="","",IF(AY$4&gt;2,(AX18*(1+'Rent Roll Analysis'!$AK16/12)), IF(AND('Monthly Cash Flow'!AY$4&gt;1,'Monthly Cash Flow'!AY$4&lt;=2),'Monthly Cash Flow'!AX18*(1+'Rent Roll Analysis'!$AE16/12),'Monthly Cash Flow'!AX18*(1+'Rent Roll Analysis'!$AB16/12))))</f>
        <v/>
      </c>
      <c r="AZ18" s="1428" t="str">
        <f>IF($B18="","",IF(AZ$4&gt;2,(AY18*(1+'Rent Roll Analysis'!$AK16/12)), IF(AND('Monthly Cash Flow'!AZ$4&gt;1,'Monthly Cash Flow'!AZ$4&lt;=2),'Monthly Cash Flow'!AY18*(1+'Rent Roll Analysis'!$AE16/12),'Monthly Cash Flow'!AY18*(1+'Rent Roll Analysis'!$AB16/12))))</f>
        <v/>
      </c>
      <c r="BA18" s="1428" t="str">
        <f>IF($B18="","",IF(BA$4&gt;2,(AZ18*(1+'Rent Roll Analysis'!$AK16/12)), IF(AND('Monthly Cash Flow'!BA$4&gt;1,'Monthly Cash Flow'!BA$4&lt;=2),'Monthly Cash Flow'!AZ18*(1+'Rent Roll Analysis'!$AE16/12),'Monthly Cash Flow'!AZ18*(1+'Rent Roll Analysis'!$AB16/12))))</f>
        <v/>
      </c>
      <c r="BB18" s="1428" t="str">
        <f>IF($B18="","",IF(BB$4&gt;2,(BA18*(1+'Rent Roll Analysis'!$AK16/12)), IF(AND('Monthly Cash Flow'!BB$4&gt;1,'Monthly Cash Flow'!BB$4&lt;=2),'Monthly Cash Flow'!BA18*(1+'Rent Roll Analysis'!$AE16/12),'Monthly Cash Flow'!BA18*(1+'Rent Roll Analysis'!$AB16/12))))</f>
        <v/>
      </c>
      <c r="BC18" s="1428" t="str">
        <f>IF($B18="","",IF(BC$4&gt;2,(BB18*(1+'Rent Roll Analysis'!$AK16/12)), IF(AND('Monthly Cash Flow'!BC$4&gt;1,'Monthly Cash Flow'!BC$4&lt;=2),'Monthly Cash Flow'!BB18*(1+'Rent Roll Analysis'!$AE16/12),'Monthly Cash Flow'!BB18*(1+'Rent Roll Analysis'!$AB16/12))))</f>
        <v/>
      </c>
      <c r="BD18" s="1428" t="str">
        <f>IF($B18="","",IF(BD$4&gt;2,(BC18*(1+'Rent Roll Analysis'!$AK16/12)), IF(AND('Monthly Cash Flow'!BD$4&gt;1,'Monthly Cash Flow'!BD$4&lt;=2),'Monthly Cash Flow'!BC18*(1+'Rent Roll Analysis'!$AE16/12),'Monthly Cash Flow'!BC18*(1+'Rent Roll Analysis'!$AB16/12))))</f>
        <v/>
      </c>
      <c r="BE18" s="1428" t="str">
        <f>IF($B18="","",IF(BE$4&gt;2,(BD18*(1+'Rent Roll Analysis'!$AK16/12)), IF(AND('Monthly Cash Flow'!BE$4&gt;1,'Monthly Cash Flow'!BE$4&lt;=2),'Monthly Cash Flow'!BD18*(1+'Rent Roll Analysis'!$AE16/12),'Monthly Cash Flow'!BD18*(1+'Rent Roll Analysis'!$AB16/12))))</f>
        <v/>
      </c>
      <c r="BF18" s="1428" t="str">
        <f>IF($B18="","",IF(BF$4&gt;2,(BE18*(1+'Rent Roll Analysis'!$AK16/12)), IF(AND('Monthly Cash Flow'!BF$4&gt;1,'Monthly Cash Flow'!BF$4&lt;=2),'Monthly Cash Flow'!BE18*(1+'Rent Roll Analysis'!$AE16/12),'Monthly Cash Flow'!BE18*(1+'Rent Roll Analysis'!$AB16/12))))</f>
        <v/>
      </c>
      <c r="BG18" s="1428" t="str">
        <f>IF($B18="","",IF(BG$4&gt;2,(BF18*(1+'Rent Roll Analysis'!$AK16/12)), IF(AND('Monthly Cash Flow'!BG$4&gt;1,'Monthly Cash Flow'!BG$4&lt;=2),'Monthly Cash Flow'!BF18*(1+'Rent Roll Analysis'!$AE16/12),'Monthly Cash Flow'!BF18*(1+'Rent Roll Analysis'!$AB16/12))))</f>
        <v/>
      </c>
      <c r="BH18" s="1428" t="str">
        <f>IF($B18="","",IF(BH$4&gt;2,(BG18*(1+'Rent Roll Analysis'!$AK16/12)), IF(AND('Monthly Cash Flow'!BH$4&gt;1,'Monthly Cash Flow'!BH$4&lt;=2),'Monthly Cash Flow'!BG18*(1+'Rent Roll Analysis'!$AE16/12),'Monthly Cash Flow'!BG18*(1+'Rent Roll Analysis'!$AB16/12))))</f>
        <v/>
      </c>
      <c r="BI18" s="1428" t="str">
        <f>IF($B18="","",IF(BI$4&gt;2,(BH18*(1+'Rent Roll Analysis'!$AK16/12)), IF(AND('Monthly Cash Flow'!BI$4&gt;1,'Monthly Cash Flow'!BI$4&lt;=2),'Monthly Cash Flow'!BH18*(1+'Rent Roll Analysis'!$AE16/12),'Monthly Cash Flow'!BH18*(1+'Rent Roll Analysis'!$AB16/12))))</f>
        <v/>
      </c>
      <c r="BJ18" s="1428" t="str">
        <f>IF($B18="","",IF(BJ$4&gt;2,(BI18*(1+'Rent Roll Analysis'!$AK16/12)), IF(AND('Monthly Cash Flow'!BJ$4&gt;1,'Monthly Cash Flow'!BJ$4&lt;=2),'Monthly Cash Flow'!BI18*(1+'Rent Roll Analysis'!$AE16/12),'Monthly Cash Flow'!BI18*(1+'Rent Roll Analysis'!$AB16/12))))</f>
        <v/>
      </c>
      <c r="BK18" s="1428" t="str">
        <f>IF($B18="","",IF(BK$4&gt;2,(BJ18*(1+'Rent Roll Analysis'!$AK16/12)), IF(AND('Monthly Cash Flow'!BK$4&gt;1,'Monthly Cash Flow'!BK$4&lt;=2),'Monthly Cash Flow'!BJ18*(1+'Rent Roll Analysis'!$AE16/12),'Monthly Cash Flow'!BJ18*(1+'Rent Roll Analysis'!$AB16/12))))</f>
        <v/>
      </c>
      <c r="BL18" s="1428" t="str">
        <f>IF($B18="","",IF(BL$4&gt;2,(BK18*(1+'Rent Roll Analysis'!$AK16/12)), IF(AND('Monthly Cash Flow'!BL$4&gt;1,'Monthly Cash Flow'!BL$4&lt;=2),'Monthly Cash Flow'!BK18*(1+'Rent Roll Analysis'!$AE16/12),'Monthly Cash Flow'!BK18*(1+'Rent Roll Analysis'!$AB16/12))))</f>
        <v/>
      </c>
      <c r="BM18" s="1428" t="str">
        <f>IF($B18="","",IF(BM$4&gt;2,(BL18*(1+'Rent Roll Analysis'!$AK16/12)), IF(AND('Monthly Cash Flow'!BM$4&gt;1,'Monthly Cash Flow'!BM$4&lt;=2),'Monthly Cash Flow'!BL18*(1+'Rent Roll Analysis'!$AE16/12),'Monthly Cash Flow'!BL18*(1+'Rent Roll Analysis'!$AB16/12))))</f>
        <v/>
      </c>
      <c r="BN18" s="1428" t="str">
        <f>IF($B18="","",IF(BN$4&gt;2,(BM18*(1+'Rent Roll Analysis'!$AK16/12)), IF(AND('Monthly Cash Flow'!BN$4&gt;1,'Monthly Cash Flow'!BN$4&lt;=2),'Monthly Cash Flow'!BM18*(1+'Rent Roll Analysis'!$AE16/12),'Monthly Cash Flow'!BM18*(1+'Rent Roll Analysis'!$AB16/12))))</f>
        <v/>
      </c>
      <c r="BO18" s="1428" t="str">
        <f>IF($B18="","",IF(BO$4&gt;2,(BN18*(1+'Rent Roll Analysis'!$AK16/12)), IF(AND('Monthly Cash Flow'!BO$4&gt;1,'Monthly Cash Flow'!BO$4&lt;=2),'Monthly Cash Flow'!BN18*(1+'Rent Roll Analysis'!$AE16/12),'Monthly Cash Flow'!BN18*(1+'Rent Roll Analysis'!$AB16/12))))</f>
        <v/>
      </c>
      <c r="BP18" s="1428" t="str">
        <f>IF($B18="","",IF(BP$4&gt;2,(BO18*(1+'Rent Roll Analysis'!$AK16/12)), IF(AND('Monthly Cash Flow'!BP$4&gt;1,'Monthly Cash Flow'!BP$4&lt;=2),'Monthly Cash Flow'!BO18*(1+'Rent Roll Analysis'!$AE16/12),'Monthly Cash Flow'!BO18*(1+'Rent Roll Analysis'!$AB16/12))))</f>
        <v/>
      </c>
      <c r="BQ18" s="1428" t="str">
        <f>IF($B18="","",IF(BQ$4&gt;2,(BP18*(1+'Rent Roll Analysis'!$AK16/12)), IF(AND('Monthly Cash Flow'!BQ$4&gt;1,'Monthly Cash Flow'!BQ$4&lt;=2),'Monthly Cash Flow'!BP18*(1+'Rent Roll Analysis'!$AE16/12),'Monthly Cash Flow'!BP18*(1+'Rent Roll Analysis'!$AB16/12))))</f>
        <v/>
      </c>
      <c r="BR18" s="1428" t="str">
        <f>IF($B18="","",IF(BR$4&gt;2,(BQ18*(1+'Rent Roll Analysis'!$AK16/12)), IF(AND('Monthly Cash Flow'!BR$4&gt;1,'Monthly Cash Flow'!BR$4&lt;=2),'Monthly Cash Flow'!BQ18*(1+'Rent Roll Analysis'!$AE16/12),'Monthly Cash Flow'!BQ18*(1+'Rent Roll Analysis'!$AB16/12))))</f>
        <v/>
      </c>
      <c r="BS18" s="1428" t="str">
        <f>IF($B18="","",IF(BS$4&gt;2,(BR18*(1+'Rent Roll Analysis'!$AK16/12)), IF(AND('Monthly Cash Flow'!BS$4&gt;1,'Monthly Cash Flow'!BS$4&lt;=2),'Monthly Cash Flow'!BR18*(1+'Rent Roll Analysis'!$AE16/12),'Monthly Cash Flow'!BR18*(1+'Rent Roll Analysis'!$AB16/12))))</f>
        <v/>
      </c>
      <c r="BT18" s="1428" t="str">
        <f>IF($B18="","",IF(BT$4&gt;2,(BS18*(1+'Rent Roll Analysis'!$AK16/12)), IF(AND('Monthly Cash Flow'!BT$4&gt;1,'Monthly Cash Flow'!BT$4&lt;=2),'Monthly Cash Flow'!BS18*(1+'Rent Roll Analysis'!$AE16/12),'Monthly Cash Flow'!BS18*(1+'Rent Roll Analysis'!$AB16/12))))</f>
        <v/>
      </c>
      <c r="BU18" s="1428" t="str">
        <f>IF($B18="","",IF(BU$4&gt;2,(BT18*(1+'Rent Roll Analysis'!$AK16/12)), IF(AND('Monthly Cash Flow'!BU$4&gt;1,'Monthly Cash Flow'!BU$4&lt;=2),'Monthly Cash Flow'!BT18*(1+'Rent Roll Analysis'!$AE16/12),'Monthly Cash Flow'!BT18*(1+'Rent Roll Analysis'!$AB16/12))))</f>
        <v/>
      </c>
      <c r="BV18" s="1428" t="str">
        <f>IF($B18="","",IF(BV$4&gt;2,(BU18*(1+'Rent Roll Analysis'!$AK16/12)), IF(AND('Monthly Cash Flow'!BV$4&gt;1,'Monthly Cash Flow'!BV$4&lt;=2),'Monthly Cash Flow'!BU18*(1+'Rent Roll Analysis'!$AE16/12),'Monthly Cash Flow'!BU18*(1+'Rent Roll Analysis'!$AB16/12))))</f>
        <v/>
      </c>
      <c r="BW18" s="1428" t="str">
        <f>IF($B18="","",IF(BW$4&gt;2,(BV18*(1+'Rent Roll Analysis'!$AK16/12)), IF(AND('Monthly Cash Flow'!BW$4&gt;1,'Monthly Cash Flow'!BW$4&lt;=2),'Monthly Cash Flow'!BV18*(1+'Rent Roll Analysis'!$AE16/12),'Monthly Cash Flow'!BV18*(1+'Rent Roll Analysis'!$AB16/12))))</f>
        <v/>
      </c>
      <c r="BX18" s="1428" t="str">
        <f>IF($B18="","",IF(BX$4&gt;2,(BW18*(1+'Rent Roll Analysis'!$AK16/12)), IF(AND('Monthly Cash Flow'!BX$4&gt;1,'Monthly Cash Flow'!BX$4&lt;=2),'Monthly Cash Flow'!BW18*(1+'Rent Roll Analysis'!$AE16/12),'Monthly Cash Flow'!BW18*(1+'Rent Roll Analysis'!$AB16/12))))</f>
        <v/>
      </c>
      <c r="BY18" s="1428" t="str">
        <f>IF($B18="","",IF(BY$4&gt;2,(BX18*(1+'Rent Roll Analysis'!$AK16/12)), IF(AND('Monthly Cash Flow'!BY$4&gt;1,'Monthly Cash Flow'!BY$4&lt;=2),'Monthly Cash Flow'!BX18*(1+'Rent Roll Analysis'!$AE16/12),'Monthly Cash Flow'!BX18*(1+'Rent Roll Analysis'!$AB16/12))))</f>
        <v/>
      </c>
      <c r="BZ18" s="1428" t="str">
        <f>IF($B18="","",IF(BZ$4&gt;2,(BY18*(1+'Rent Roll Analysis'!$AK16/12)), IF(AND('Monthly Cash Flow'!BZ$4&gt;1,'Monthly Cash Flow'!BZ$4&lt;=2),'Monthly Cash Flow'!BY18*(1+'Rent Roll Analysis'!$AE16/12),'Monthly Cash Flow'!BY18*(1+'Rent Roll Analysis'!$AB16/12))))</f>
        <v/>
      </c>
      <c r="CA18" s="1428" t="str">
        <f>IF($B18="","",IF(CA$4&gt;2,(BZ18*(1+'Rent Roll Analysis'!$AK16/12)), IF(AND('Monthly Cash Flow'!CA$4&gt;1,'Monthly Cash Flow'!CA$4&lt;=2),'Monthly Cash Flow'!BZ18*(1+'Rent Roll Analysis'!$AE16/12),'Monthly Cash Flow'!BZ18*(1+'Rent Roll Analysis'!$AB16/12))))</f>
        <v/>
      </c>
      <c r="CB18" s="1428" t="str">
        <f>IF($B18="","",IF(CB$4&gt;2,(CA18*(1+'Rent Roll Analysis'!$AK16/12)), IF(AND('Monthly Cash Flow'!CB$4&gt;1,'Monthly Cash Flow'!CB$4&lt;=2),'Monthly Cash Flow'!CA18*(1+'Rent Roll Analysis'!$AE16/12),'Monthly Cash Flow'!CA18*(1+'Rent Roll Analysis'!$AB16/12))))</f>
        <v/>
      </c>
      <c r="CC18" s="1428" t="str">
        <f>IF($B18="","",IF(CC$4&gt;2,(CB18*(1+'Rent Roll Analysis'!$AK16/12)), IF(AND('Monthly Cash Flow'!CC$4&gt;1,'Monthly Cash Flow'!CC$4&lt;=2),'Monthly Cash Flow'!CB18*(1+'Rent Roll Analysis'!$AE16/12),'Monthly Cash Flow'!CB18*(1+'Rent Roll Analysis'!$AB16/12))))</f>
        <v/>
      </c>
      <c r="CD18" s="1428" t="str">
        <f>IF($B18="","",IF(CD$4&gt;2,(CC18*(1+'Rent Roll Analysis'!$AK16/12)), IF(AND('Monthly Cash Flow'!CD$4&gt;1,'Monthly Cash Flow'!CD$4&lt;=2),'Monthly Cash Flow'!CC18*(1+'Rent Roll Analysis'!$AE16/12),'Monthly Cash Flow'!CC18*(1+'Rent Roll Analysis'!$AB16/12))))</f>
        <v/>
      </c>
      <c r="CE18" s="1428" t="str">
        <f>IF($B18="","",IF(CE$4&gt;2,(CD18*(1+'Rent Roll Analysis'!$AK16/12)), IF(AND('Monthly Cash Flow'!CE$4&gt;1,'Monthly Cash Flow'!CE$4&lt;=2),'Monthly Cash Flow'!CD18*(1+'Rent Roll Analysis'!$AE16/12),'Monthly Cash Flow'!CD18*(1+'Rent Roll Analysis'!$AB16/12))))</f>
        <v/>
      </c>
      <c r="CF18" s="1428" t="str">
        <f>IF($B18="","",IF(CF$4&gt;2,(CE18*(1+'Rent Roll Analysis'!$AK16/12)), IF(AND('Monthly Cash Flow'!CF$4&gt;1,'Monthly Cash Flow'!CF$4&lt;=2),'Monthly Cash Flow'!CE18*(1+'Rent Roll Analysis'!$AE16/12),'Monthly Cash Flow'!CE18*(1+'Rent Roll Analysis'!$AB16/12))))</f>
        <v/>
      </c>
      <c r="CG18" s="1428" t="str">
        <f>IF($B18="","",IF(CG$4&gt;2,(CF18*(1+'Rent Roll Analysis'!$AK16/12)), IF(AND('Monthly Cash Flow'!CG$4&gt;1,'Monthly Cash Flow'!CG$4&lt;=2),'Monthly Cash Flow'!CF18*(1+'Rent Roll Analysis'!$AE16/12),'Monthly Cash Flow'!CF18*(1+'Rent Roll Analysis'!$AB16/12))))</f>
        <v/>
      </c>
      <c r="CH18" s="1428" t="str">
        <f>IF($B18="","",IF(CH$4&gt;2,(CG18*(1+'Rent Roll Analysis'!$AK16/12)), IF(AND('Monthly Cash Flow'!CH$4&gt;1,'Monthly Cash Flow'!CH$4&lt;=2),'Monthly Cash Flow'!CG18*(1+'Rent Roll Analysis'!$AE16/12),'Monthly Cash Flow'!CG18*(1+'Rent Roll Analysis'!$AB16/12))))</f>
        <v/>
      </c>
      <c r="CI18" s="1428" t="str">
        <f>IF($B18="","",IF(CI$4&gt;2,(CH18*(1+'Rent Roll Analysis'!$AK16/12)), IF(AND('Monthly Cash Flow'!CI$4&gt;1,'Monthly Cash Flow'!CI$4&lt;=2),'Monthly Cash Flow'!CH18*(1+'Rent Roll Analysis'!$AE16/12),'Monthly Cash Flow'!CH18*(1+'Rent Roll Analysis'!$AB16/12))))</f>
        <v/>
      </c>
      <c r="CJ18" s="1428" t="str">
        <f>IF($B18="","",IF(CJ$4&gt;2,(CI18*(1+'Rent Roll Analysis'!$AK16/12)), IF(AND('Monthly Cash Flow'!CJ$4&gt;1,'Monthly Cash Flow'!CJ$4&lt;=2),'Monthly Cash Flow'!CI18*(1+'Rent Roll Analysis'!$AE16/12),'Monthly Cash Flow'!CI18*(1+'Rent Roll Analysis'!$AB16/12))))</f>
        <v/>
      </c>
      <c r="CK18" s="1428" t="str">
        <f>IF($B18="","",IF(CK$4&gt;2,(CJ18*(1+'Rent Roll Analysis'!$AK16/12)), IF(AND('Monthly Cash Flow'!CK$4&gt;1,'Monthly Cash Flow'!CK$4&lt;=2),'Monthly Cash Flow'!CJ18*(1+'Rent Roll Analysis'!$AE16/12),'Monthly Cash Flow'!CJ18*(1+'Rent Roll Analysis'!$AB16/12))))</f>
        <v/>
      </c>
      <c r="CL18" s="1428" t="str">
        <f>IF($B18="","",IF(CL$4&gt;2,(CK18*(1+'Rent Roll Analysis'!$AK16/12)), IF(AND('Monthly Cash Flow'!CL$4&gt;1,'Monthly Cash Flow'!CL$4&lt;=2),'Monthly Cash Flow'!CK18*(1+'Rent Roll Analysis'!$AE16/12),'Monthly Cash Flow'!CK18*(1+'Rent Roll Analysis'!$AB16/12))))</f>
        <v/>
      </c>
      <c r="CM18" s="1428" t="str">
        <f>IF($B18="","",IF(CM$4&gt;2,(CL18*(1+'Rent Roll Analysis'!$AK16/12)), IF(AND('Monthly Cash Flow'!CM$4&gt;1,'Monthly Cash Flow'!CM$4&lt;=2),'Monthly Cash Flow'!CL18*(1+'Rent Roll Analysis'!$AE16/12),'Monthly Cash Flow'!CL18*(1+'Rent Roll Analysis'!$AB16/12))))</f>
        <v/>
      </c>
      <c r="CN18" s="1428" t="str">
        <f>IF($B18="","",IF(CN$4&gt;2,(CM18*(1+'Rent Roll Analysis'!$AK16/12)), IF(AND('Monthly Cash Flow'!CN$4&gt;1,'Monthly Cash Flow'!CN$4&lt;=2),'Monthly Cash Flow'!CM18*(1+'Rent Roll Analysis'!$AE16/12),'Monthly Cash Flow'!CM18*(1+'Rent Roll Analysis'!$AB16/12))))</f>
        <v/>
      </c>
      <c r="CO18" s="1428" t="str">
        <f>IF($B18="","",IF(CO$4&gt;2,(CN18*(1+'Rent Roll Analysis'!$AK16/12)), IF(AND('Monthly Cash Flow'!CO$4&gt;1,'Monthly Cash Flow'!CO$4&lt;=2),'Monthly Cash Flow'!CN18*(1+'Rent Roll Analysis'!$AE16/12),'Monthly Cash Flow'!CN18*(1+'Rent Roll Analysis'!$AB16/12))))</f>
        <v/>
      </c>
      <c r="CP18" s="1428" t="str">
        <f>IF($B18="","",IF(CP$4&gt;2,(CO18*(1+'Rent Roll Analysis'!$AK16/12)), IF(AND('Monthly Cash Flow'!CP$4&gt;1,'Monthly Cash Flow'!CP$4&lt;=2),'Monthly Cash Flow'!CO18*(1+'Rent Roll Analysis'!$AE16/12),'Monthly Cash Flow'!CO18*(1+'Rent Roll Analysis'!$AB16/12))))</f>
        <v/>
      </c>
      <c r="CQ18" s="1428" t="str">
        <f>IF($B18="","",IF(CQ$4&gt;2,(CP18*(1+'Rent Roll Analysis'!$AK16/12)), IF(AND('Monthly Cash Flow'!CQ$4&gt;1,'Monthly Cash Flow'!CQ$4&lt;=2),'Monthly Cash Flow'!CP18*(1+'Rent Roll Analysis'!$AE16/12),'Monthly Cash Flow'!CP18*(1+'Rent Roll Analysis'!$AB16/12))))</f>
        <v/>
      </c>
      <c r="CR18" s="1428" t="str">
        <f>IF($B18="","",IF(CR$4&gt;2,(CQ18*(1+'Rent Roll Analysis'!$AK16/12)), IF(AND('Monthly Cash Flow'!CR$4&gt;1,'Monthly Cash Flow'!CR$4&lt;=2),'Monthly Cash Flow'!CQ18*(1+'Rent Roll Analysis'!$AE16/12),'Monthly Cash Flow'!CQ18*(1+'Rent Roll Analysis'!$AB16/12))))</f>
        <v/>
      </c>
      <c r="CS18" s="1428" t="str">
        <f>IF($B18="","",IF(CS$4&gt;2,(CR18*(1+'Rent Roll Analysis'!$AK16/12)), IF(AND('Monthly Cash Flow'!CS$4&gt;1,'Monthly Cash Flow'!CS$4&lt;=2),'Monthly Cash Flow'!CR18*(1+'Rent Roll Analysis'!$AE16/12),'Monthly Cash Flow'!CR18*(1+'Rent Roll Analysis'!$AB16/12))))</f>
        <v/>
      </c>
      <c r="CT18" s="1428" t="str">
        <f>IF($B18="","",IF(CT$4&gt;2,(CS18*(1+'Rent Roll Analysis'!$AK16/12)), IF(AND('Monthly Cash Flow'!CT$4&gt;1,'Monthly Cash Flow'!CT$4&lt;=2),'Monthly Cash Flow'!CS18*(1+'Rent Roll Analysis'!$AE16/12),'Monthly Cash Flow'!CS18*(1+'Rent Roll Analysis'!$AB16/12))))</f>
        <v/>
      </c>
      <c r="CU18" s="1428" t="str">
        <f>IF($B18="","",IF(CU$4&gt;2,(CT18*(1+'Rent Roll Analysis'!$AK16/12)), IF(AND('Monthly Cash Flow'!CU$4&gt;1,'Monthly Cash Flow'!CU$4&lt;=2),'Monthly Cash Flow'!CT18*(1+'Rent Roll Analysis'!$AE16/12),'Monthly Cash Flow'!CT18*(1+'Rent Roll Analysis'!$AB16/12))))</f>
        <v/>
      </c>
      <c r="CV18" s="1428" t="str">
        <f>IF($B18="","",IF(CV$4&gt;2,(CU18*(1+'Rent Roll Analysis'!$AK16/12)), IF(AND('Monthly Cash Flow'!CV$4&gt;1,'Monthly Cash Flow'!CV$4&lt;=2),'Monthly Cash Flow'!CU18*(1+'Rent Roll Analysis'!$AE16/12),'Monthly Cash Flow'!CU18*(1+'Rent Roll Analysis'!$AB16/12))))</f>
        <v/>
      </c>
      <c r="CW18" s="1428" t="str">
        <f>IF($B18="","",IF(CW$4&gt;2,(CV18*(1+'Rent Roll Analysis'!$AK16/12)), IF(AND('Monthly Cash Flow'!CW$4&gt;1,'Monthly Cash Flow'!CW$4&lt;=2),'Monthly Cash Flow'!CV18*(1+'Rent Roll Analysis'!$AE16/12),'Monthly Cash Flow'!CV18*(1+'Rent Roll Analysis'!$AB16/12))))</f>
        <v/>
      </c>
      <c r="CX18" s="1428" t="str">
        <f>IF($B18="","",IF(CX$4&gt;2,(CW18*(1+'Rent Roll Analysis'!$AK16/12)), IF(AND('Monthly Cash Flow'!CX$4&gt;1,'Monthly Cash Flow'!CX$4&lt;=2),'Monthly Cash Flow'!CW18*(1+'Rent Roll Analysis'!$AE16/12),'Monthly Cash Flow'!CW18*(1+'Rent Roll Analysis'!$AB16/12))))</f>
        <v/>
      </c>
      <c r="CY18" s="1428" t="str">
        <f>IF($B18="","",IF(CY$4&gt;2,(CX18*(1+'Rent Roll Analysis'!$AK16/12)), IF(AND('Monthly Cash Flow'!CY$4&gt;1,'Monthly Cash Flow'!CY$4&lt;=2),'Monthly Cash Flow'!CX18*(1+'Rent Roll Analysis'!$AE16/12),'Monthly Cash Flow'!CX18*(1+'Rent Roll Analysis'!$AB16/12))))</f>
        <v/>
      </c>
      <c r="CZ18" s="1428" t="str">
        <f>IF($B18="","",IF(CZ$4&gt;2,(CY18*(1+'Rent Roll Analysis'!$AK16/12)), IF(AND('Monthly Cash Flow'!CZ$4&gt;1,'Monthly Cash Flow'!CZ$4&lt;=2),'Monthly Cash Flow'!CY18*(1+'Rent Roll Analysis'!$AE16/12),'Monthly Cash Flow'!CY18*(1+'Rent Roll Analysis'!$AB16/12))))</f>
        <v/>
      </c>
      <c r="DA18" s="1428" t="str">
        <f>IF($B18="","",IF(DA$4&gt;2,(CZ18*(1+'Rent Roll Analysis'!$AK16/12)), IF(AND('Monthly Cash Flow'!DA$4&gt;1,'Monthly Cash Flow'!DA$4&lt;=2),'Monthly Cash Flow'!CZ18*(1+'Rent Roll Analysis'!$AE16/12),'Monthly Cash Flow'!CZ18*(1+'Rent Roll Analysis'!$AB16/12))))</f>
        <v/>
      </c>
      <c r="DB18" s="1428" t="str">
        <f>IF($B18="","",IF(DB$4&gt;2,(DA18*(1+'Rent Roll Analysis'!$AK16/12)), IF(AND('Monthly Cash Flow'!DB$4&gt;1,'Monthly Cash Flow'!DB$4&lt;=2),'Monthly Cash Flow'!DA18*(1+'Rent Roll Analysis'!$AE16/12),'Monthly Cash Flow'!DA18*(1+'Rent Roll Analysis'!$AB16/12))))</f>
        <v/>
      </c>
      <c r="DC18" s="1428" t="str">
        <f>IF($B18="","",IF(DC$4&gt;2,(DB18*(1+'Rent Roll Analysis'!$AK16/12)), IF(AND('Monthly Cash Flow'!DC$4&gt;1,'Monthly Cash Flow'!DC$4&lt;=2),'Monthly Cash Flow'!DB18*(1+'Rent Roll Analysis'!$AE16/12),'Monthly Cash Flow'!DB18*(1+'Rent Roll Analysis'!$AB16/12))))</f>
        <v/>
      </c>
      <c r="DD18" s="1428" t="str">
        <f>IF($B18="","",IF(DD$4&gt;2,(DC18*(1+'Rent Roll Analysis'!$AK16/12)), IF(AND('Monthly Cash Flow'!DD$4&gt;1,'Monthly Cash Flow'!DD$4&lt;=2),'Monthly Cash Flow'!DC18*(1+'Rent Roll Analysis'!$AE16/12),'Monthly Cash Flow'!DC18*(1+'Rent Roll Analysis'!$AB16/12))))</f>
        <v/>
      </c>
      <c r="DE18" s="1428" t="str">
        <f>IF($B18="","",IF(DE$4&gt;2,(DD18*(1+'Rent Roll Analysis'!$AK16/12)), IF(AND('Monthly Cash Flow'!DE$4&gt;1,'Monthly Cash Flow'!DE$4&lt;=2),'Monthly Cash Flow'!DD18*(1+'Rent Roll Analysis'!$AE16/12),'Monthly Cash Flow'!DD18*(1+'Rent Roll Analysis'!$AB16/12))))</f>
        <v/>
      </c>
      <c r="DF18" s="1428" t="str">
        <f>IF($B18="","",IF(DF$4&gt;2,(DE18*(1+'Rent Roll Analysis'!$AK16/12)), IF(AND('Monthly Cash Flow'!DF$4&gt;1,'Monthly Cash Flow'!DF$4&lt;=2),'Monthly Cash Flow'!DE18*(1+'Rent Roll Analysis'!$AE16/12),'Monthly Cash Flow'!DE18*(1+'Rent Roll Analysis'!$AB16/12))))</f>
        <v/>
      </c>
      <c r="DG18" s="1428" t="str">
        <f>IF($B18="","",IF(DG$4&gt;2,(DF18*(1+'Rent Roll Analysis'!$AK16/12)), IF(AND('Monthly Cash Flow'!DG$4&gt;1,'Monthly Cash Flow'!DG$4&lt;=2),'Monthly Cash Flow'!DF18*(1+'Rent Roll Analysis'!$AE16/12),'Monthly Cash Flow'!DF18*(1+'Rent Roll Analysis'!$AB16/12))))</f>
        <v/>
      </c>
      <c r="DH18" s="1428" t="str">
        <f>IF($B18="","",IF(DH$4&gt;2,(DG18*(1+'Rent Roll Analysis'!$AK16/12)), IF(AND('Monthly Cash Flow'!DH$4&gt;1,'Monthly Cash Flow'!DH$4&lt;=2),'Monthly Cash Flow'!DG18*(1+'Rent Roll Analysis'!$AE16/12),'Monthly Cash Flow'!DG18*(1+'Rent Roll Analysis'!$AB16/12))))</f>
        <v/>
      </c>
      <c r="DI18" s="1428" t="str">
        <f>IF($B18="","",IF(DI$4&gt;2,(DH18*(1+'Rent Roll Analysis'!$AK16/12)), IF(AND('Monthly Cash Flow'!DI$4&gt;1,'Monthly Cash Flow'!DI$4&lt;=2),'Monthly Cash Flow'!DH18*(1+'Rent Roll Analysis'!$AE16/12),'Monthly Cash Flow'!DH18*(1+'Rent Roll Analysis'!$AB16/12))))</f>
        <v/>
      </c>
      <c r="DJ18" s="1428" t="str">
        <f>IF($B18="","",IF(DJ$4&gt;2,(DI18*(1+'Rent Roll Analysis'!$AK16/12)), IF(AND('Monthly Cash Flow'!DJ$4&gt;1,'Monthly Cash Flow'!DJ$4&lt;=2),'Monthly Cash Flow'!DI18*(1+'Rent Roll Analysis'!$AE16/12),'Monthly Cash Flow'!DI18*(1+'Rent Roll Analysis'!$AB16/12))))</f>
        <v/>
      </c>
      <c r="DK18" s="1428" t="str">
        <f>IF($B18="","",IF(DK$4&gt;2,(DJ18*(1+'Rent Roll Analysis'!$AK16/12)), IF(AND('Monthly Cash Flow'!DK$4&gt;1,'Monthly Cash Flow'!DK$4&lt;=2),'Monthly Cash Flow'!DJ18*(1+'Rent Roll Analysis'!$AE16/12),'Monthly Cash Flow'!DJ18*(1+'Rent Roll Analysis'!$AB16/12))))</f>
        <v/>
      </c>
      <c r="DL18" s="1428" t="str">
        <f>IF($B18="","",IF(DL$4&gt;2,(DK18*(1+'Rent Roll Analysis'!$AK16/12)), IF(AND('Monthly Cash Flow'!DL$4&gt;1,'Monthly Cash Flow'!DL$4&lt;=2),'Monthly Cash Flow'!DK18*(1+'Rent Roll Analysis'!$AE16/12),'Monthly Cash Flow'!DK18*(1+'Rent Roll Analysis'!$AB16/12))))</f>
        <v/>
      </c>
      <c r="DM18" s="1428" t="str">
        <f>IF($B18="","",IF(DM$4&gt;2,(DL18*(1+'Rent Roll Analysis'!$AK16/12)), IF(AND('Monthly Cash Flow'!DM$4&gt;1,'Monthly Cash Flow'!DM$4&lt;=2),'Monthly Cash Flow'!DL18*(1+'Rent Roll Analysis'!$AE16/12),'Monthly Cash Flow'!DL18*(1+'Rent Roll Analysis'!$AB16/12))))</f>
        <v/>
      </c>
      <c r="DN18" s="1428" t="str">
        <f>IF($B18="","",IF(DN$4&gt;2,(DM18*(1+'Rent Roll Analysis'!$AK16/12)), IF(AND('Monthly Cash Flow'!DN$4&gt;1,'Monthly Cash Flow'!DN$4&lt;=2),'Monthly Cash Flow'!DM18*(1+'Rent Roll Analysis'!$AE16/12),'Monthly Cash Flow'!DM18*(1+'Rent Roll Analysis'!$AB16/12))))</f>
        <v/>
      </c>
      <c r="DO18" s="1428" t="str">
        <f>IF($B18="","",IF(DO$4&gt;2,(DN18*(1+'Rent Roll Analysis'!$AK16/12)), IF(AND('Monthly Cash Flow'!DO$4&gt;1,'Monthly Cash Flow'!DO$4&lt;=2),'Monthly Cash Flow'!DN18*(1+'Rent Roll Analysis'!$AE16/12),'Monthly Cash Flow'!DN18*(1+'Rent Roll Analysis'!$AB16/12))))</f>
        <v/>
      </c>
      <c r="DP18" s="1428" t="str">
        <f>IF($B18="","",IF(DP$4&gt;2,(DO18*(1+'Rent Roll Analysis'!$AK16/12)), IF(AND('Monthly Cash Flow'!DP$4&gt;1,'Monthly Cash Flow'!DP$4&lt;=2),'Monthly Cash Flow'!DO18*(1+'Rent Roll Analysis'!$AE16/12),'Monthly Cash Flow'!DO18*(1+'Rent Roll Analysis'!$AB16/12))))</f>
        <v/>
      </c>
      <c r="DQ18" s="1428" t="str">
        <f>IF($B18="","",IF(DQ$4&gt;2,(DP18*(1+'Rent Roll Analysis'!$AK16/12)), IF(AND('Monthly Cash Flow'!DQ$4&gt;1,'Monthly Cash Flow'!DQ$4&lt;=2),'Monthly Cash Flow'!DP18*(1+'Rent Roll Analysis'!$AE16/12),'Monthly Cash Flow'!DP18*(1+'Rent Roll Analysis'!$AB16/12))))</f>
        <v/>
      </c>
      <c r="DR18" s="1428" t="str">
        <f>IF($B18="","",IF(DR$4&gt;2,(DQ18*(1+'Rent Roll Analysis'!$AK16/12)), IF(AND('Monthly Cash Flow'!DR$4&gt;1,'Monthly Cash Flow'!DR$4&lt;=2),'Monthly Cash Flow'!DQ18*(1+'Rent Roll Analysis'!$AE16/12),'Monthly Cash Flow'!DQ18*(1+'Rent Roll Analysis'!$AB16/12))))</f>
        <v/>
      </c>
      <c r="DS18" s="1428" t="str">
        <f>IF($B18="","",IF(DS$4&gt;2,(DR18*(1+'Rent Roll Analysis'!$AK16/12)), IF(AND('Monthly Cash Flow'!DS$4&gt;1,'Monthly Cash Flow'!DS$4&lt;=2),'Monthly Cash Flow'!DR18*(1+'Rent Roll Analysis'!$AE16/12),'Monthly Cash Flow'!DR18*(1+'Rent Roll Analysis'!$AB16/12))))</f>
        <v/>
      </c>
      <c r="DT18" s="1428" t="str">
        <f>IF($B18="","",IF(DT$4&gt;2,(DS18*(1+'Rent Roll Analysis'!$AK16/12)), IF(AND('Monthly Cash Flow'!DT$4&gt;1,'Monthly Cash Flow'!DT$4&lt;=2),'Monthly Cash Flow'!DS18*(1+'Rent Roll Analysis'!$AE16/12),'Monthly Cash Flow'!DS18*(1+'Rent Roll Analysis'!$AB16/12))))</f>
        <v/>
      </c>
      <c r="DU18" s="385" t="s">
        <v>557</v>
      </c>
      <c r="DV18" s="375"/>
    </row>
    <row r="19" spans="1:126" s="92" customFormat="1" ht="20.149999999999999" customHeight="1" outlineLevel="1">
      <c r="A19" s="375"/>
      <c r="B19" s="383" t="str">
        <f>'Rent Roll Analysis'!C17</f>
        <v/>
      </c>
      <c r="C19" s="376"/>
      <c r="D19" s="1426" t="str">
        <f>IF('Rent Roll Analysis'!C17="","",'Rent Roll Analysis'!N17*'Rent Roll Analysis'!E17)</f>
        <v/>
      </c>
      <c r="E19" s="1428" t="str">
        <f t="shared" si="113"/>
        <v/>
      </c>
      <c r="F19" s="1428" t="str">
        <f>IF($B19="","",IF(F$4&gt;2,(E19*(1+'Rent Roll Analysis'!$AK17/12)), IF(AND('Monthly Cash Flow'!F$4&gt;1,'Monthly Cash Flow'!F$4&lt;=2),'Monthly Cash Flow'!E19*(1+'Rent Roll Analysis'!$AE17/12),'Monthly Cash Flow'!E19*(1+'Rent Roll Analysis'!$AB17/12))))</f>
        <v/>
      </c>
      <c r="G19" s="1428" t="str">
        <f>IF($B19="","",IF(G$4&gt;2,(F19*(1+'Rent Roll Analysis'!$AK17/12)), IF(AND('Monthly Cash Flow'!G$4&gt;1,'Monthly Cash Flow'!G$4&lt;=2),'Monthly Cash Flow'!F19*(1+'Rent Roll Analysis'!$AE17/12),'Monthly Cash Flow'!F19*(1+'Rent Roll Analysis'!$AB17/12))))</f>
        <v/>
      </c>
      <c r="H19" s="1428" t="str">
        <f>IF($B19="","",IF(H$4&gt;2,(G19*(1+'Rent Roll Analysis'!$AK17/12)), IF(AND('Monthly Cash Flow'!H$4&gt;1,'Monthly Cash Flow'!H$4&lt;=2),'Monthly Cash Flow'!G19*(1+'Rent Roll Analysis'!$AE17/12),'Monthly Cash Flow'!G19*(1+'Rent Roll Analysis'!$AB17/12))))</f>
        <v/>
      </c>
      <c r="I19" s="1428" t="str">
        <f>IF($B19="","",IF(I$4&gt;2,(H19*(1+'Rent Roll Analysis'!$AK17/12)), IF(AND('Monthly Cash Flow'!I$4&gt;1,'Monthly Cash Flow'!I$4&lt;=2),'Monthly Cash Flow'!H19*(1+'Rent Roll Analysis'!$AE17/12),'Monthly Cash Flow'!H19*(1+'Rent Roll Analysis'!$AB17/12))))</f>
        <v/>
      </c>
      <c r="J19" s="1428" t="str">
        <f>IF($B19="","",IF(J$4&gt;2,(I19*(1+'Rent Roll Analysis'!$AK17/12)), IF(AND('Monthly Cash Flow'!J$4&gt;1,'Monthly Cash Flow'!J$4&lt;=2),'Monthly Cash Flow'!I19*(1+'Rent Roll Analysis'!$AE17/12),'Monthly Cash Flow'!I19*(1+'Rent Roll Analysis'!$AB17/12))))</f>
        <v/>
      </c>
      <c r="K19" s="1428" t="str">
        <f>IF($B19="","",IF(K$4&gt;2,(J19*(1+'Rent Roll Analysis'!$AK17/12)), IF(AND('Monthly Cash Flow'!K$4&gt;1,'Monthly Cash Flow'!K$4&lt;=2),'Monthly Cash Flow'!J19*(1+'Rent Roll Analysis'!$AE17/12),'Monthly Cash Flow'!J19*(1+'Rent Roll Analysis'!$AB17/12))))</f>
        <v/>
      </c>
      <c r="L19" s="1428" t="str">
        <f>IF($B19="","",IF(L$4&gt;2,(K19*(1+'Rent Roll Analysis'!$AK17/12)), IF(AND('Monthly Cash Flow'!L$4&gt;1,'Monthly Cash Flow'!L$4&lt;=2),'Monthly Cash Flow'!K19*(1+'Rent Roll Analysis'!$AE17/12),'Monthly Cash Flow'!K19*(1+'Rent Roll Analysis'!$AB17/12))))</f>
        <v/>
      </c>
      <c r="M19" s="1428" t="str">
        <f>IF($B19="","",IF(M$4&gt;2,(L19*(1+'Rent Roll Analysis'!$AK17/12)), IF(AND('Monthly Cash Flow'!M$4&gt;1,'Monthly Cash Flow'!M$4&lt;=2),'Monthly Cash Flow'!L19*(1+'Rent Roll Analysis'!$AE17/12),'Monthly Cash Flow'!L19*(1+'Rent Roll Analysis'!$AB17/12))))</f>
        <v/>
      </c>
      <c r="N19" s="1428" t="str">
        <f>IF($B19="","",IF(N$4&gt;2,(M19*(1+'Rent Roll Analysis'!$AK17/12)), IF(AND('Monthly Cash Flow'!N$4&gt;1,'Monthly Cash Flow'!N$4&lt;=2),'Monthly Cash Flow'!M19*(1+'Rent Roll Analysis'!$AE17/12),'Monthly Cash Flow'!M19*(1+'Rent Roll Analysis'!$AB17/12))))</f>
        <v/>
      </c>
      <c r="O19" s="1428" t="str">
        <f>IF($B19="","",IF(O$4&gt;2,(N19*(1+'Rent Roll Analysis'!$AK17/12)), IF(AND('Monthly Cash Flow'!O$4&gt;1,'Monthly Cash Flow'!O$4&lt;=2),'Monthly Cash Flow'!N19*(1+'Rent Roll Analysis'!$AE17/12),'Monthly Cash Flow'!N19*(1+'Rent Roll Analysis'!$AB17/12))))</f>
        <v/>
      </c>
      <c r="P19" s="1428" t="str">
        <f>IF($B19="","",IF(P$4&gt;2,(O19*(1+'Rent Roll Analysis'!$AK17/12)), IF(AND('Monthly Cash Flow'!P$4&gt;1,'Monthly Cash Flow'!P$4&lt;=2),'Monthly Cash Flow'!O19*(1+'Rent Roll Analysis'!$AE17/12),'Monthly Cash Flow'!O19*(1+'Rent Roll Analysis'!$AB17/12))))</f>
        <v/>
      </c>
      <c r="Q19" s="1428" t="str">
        <f>IF($B19="","",IF(Q$4&gt;2,(P19*(1+'Rent Roll Analysis'!$AK17/12)), IF(AND('Monthly Cash Flow'!Q$4&gt;1,'Monthly Cash Flow'!Q$4&lt;=2),'Monthly Cash Flow'!P19*(1+'Rent Roll Analysis'!$AE17/12),'Monthly Cash Flow'!P19*(1+'Rent Roll Analysis'!$AB17/12))))</f>
        <v/>
      </c>
      <c r="R19" s="1428" t="str">
        <f>IF($B19="","",IF(R$4&gt;2,(Q19*(1+'Rent Roll Analysis'!$AK17/12)), IF(AND('Monthly Cash Flow'!R$4&gt;1,'Monthly Cash Flow'!R$4&lt;=2),'Monthly Cash Flow'!Q19*(1+'Rent Roll Analysis'!$AE17/12),'Monthly Cash Flow'!Q19*(1+'Rent Roll Analysis'!$AB17/12))))</f>
        <v/>
      </c>
      <c r="S19" s="1428" t="str">
        <f>IF($B19="","",IF(S$4&gt;2,(R19*(1+'Rent Roll Analysis'!$AK17/12)), IF(AND('Monthly Cash Flow'!S$4&gt;1,'Monthly Cash Flow'!S$4&lt;=2),'Monthly Cash Flow'!R19*(1+'Rent Roll Analysis'!$AE17/12),'Monthly Cash Flow'!R19*(1+'Rent Roll Analysis'!$AB17/12))))</f>
        <v/>
      </c>
      <c r="T19" s="1428" t="str">
        <f>IF($B19="","",IF(T$4&gt;2,(S19*(1+'Rent Roll Analysis'!$AK17/12)), IF(AND('Monthly Cash Flow'!T$4&gt;1,'Monthly Cash Flow'!T$4&lt;=2),'Monthly Cash Flow'!S19*(1+'Rent Roll Analysis'!$AE17/12),'Monthly Cash Flow'!S19*(1+'Rent Roll Analysis'!$AB17/12))))</f>
        <v/>
      </c>
      <c r="U19" s="1428" t="str">
        <f>IF($B19="","",IF(U$4&gt;2,(T19*(1+'Rent Roll Analysis'!$AK17/12)), IF(AND('Monthly Cash Flow'!U$4&gt;1,'Monthly Cash Flow'!U$4&lt;=2),'Monthly Cash Flow'!T19*(1+'Rent Roll Analysis'!$AE17/12),'Monthly Cash Flow'!T19*(1+'Rent Roll Analysis'!$AB17/12))))</f>
        <v/>
      </c>
      <c r="V19" s="1428" t="str">
        <f>IF($B19="","",IF(V$4&gt;2,(U19*(1+'Rent Roll Analysis'!$AK17/12)), IF(AND('Monthly Cash Flow'!V$4&gt;1,'Monthly Cash Flow'!V$4&lt;=2),'Monthly Cash Flow'!U19*(1+'Rent Roll Analysis'!$AE17/12),'Monthly Cash Flow'!U19*(1+'Rent Roll Analysis'!$AB17/12))))</f>
        <v/>
      </c>
      <c r="W19" s="1428" t="str">
        <f>IF($B19="","",IF(W$4&gt;2,(V19*(1+'Rent Roll Analysis'!$AK17/12)), IF(AND('Monthly Cash Flow'!W$4&gt;1,'Monthly Cash Flow'!W$4&lt;=2),'Monthly Cash Flow'!V19*(1+'Rent Roll Analysis'!$AE17/12),'Monthly Cash Flow'!V19*(1+'Rent Roll Analysis'!$AB17/12))))</f>
        <v/>
      </c>
      <c r="X19" s="1428" t="str">
        <f>IF($B19="","",IF(X$4&gt;2,(W19*(1+'Rent Roll Analysis'!$AK17/12)), IF(AND('Monthly Cash Flow'!X$4&gt;1,'Monthly Cash Flow'!X$4&lt;=2),'Monthly Cash Flow'!W19*(1+'Rent Roll Analysis'!$AE17/12),'Monthly Cash Flow'!W19*(1+'Rent Roll Analysis'!$AB17/12))))</f>
        <v/>
      </c>
      <c r="Y19" s="1428" t="str">
        <f>IF($B19="","",IF(Y$4&gt;2,(X19*(1+'Rent Roll Analysis'!$AK17/12)), IF(AND('Monthly Cash Flow'!Y$4&gt;1,'Monthly Cash Flow'!Y$4&lt;=2),'Monthly Cash Flow'!X19*(1+'Rent Roll Analysis'!$AE17/12),'Monthly Cash Flow'!X19*(1+'Rent Roll Analysis'!$AB17/12))))</f>
        <v/>
      </c>
      <c r="Z19" s="1428" t="str">
        <f>IF($B19="","",IF(Z$4&gt;2,(Y19*(1+'Rent Roll Analysis'!$AK17/12)), IF(AND('Monthly Cash Flow'!Z$4&gt;1,'Monthly Cash Flow'!Z$4&lt;=2),'Monthly Cash Flow'!Y19*(1+'Rent Roll Analysis'!$AE17/12),'Monthly Cash Flow'!Y19*(1+'Rent Roll Analysis'!$AB17/12))))</f>
        <v/>
      </c>
      <c r="AA19" s="1428" t="str">
        <f>IF($B19="","",IF(AA$4&gt;2,(Z19*(1+'Rent Roll Analysis'!$AK17/12)), IF(AND('Monthly Cash Flow'!AA$4&gt;1,'Monthly Cash Flow'!AA$4&lt;=2),'Monthly Cash Flow'!Z19*(1+'Rent Roll Analysis'!$AE17/12),'Monthly Cash Flow'!Z19*(1+'Rent Roll Analysis'!$AB17/12))))</f>
        <v/>
      </c>
      <c r="AB19" s="1428" t="str">
        <f>IF($B19="","",IF(AB$4&gt;2,(AA19*(1+'Rent Roll Analysis'!$AK17/12)), IF(AND('Monthly Cash Flow'!AB$4&gt;1,'Monthly Cash Flow'!AB$4&lt;=2),'Monthly Cash Flow'!AA19*(1+'Rent Roll Analysis'!$AE17/12),'Monthly Cash Flow'!AA19*(1+'Rent Roll Analysis'!$AB17/12))))</f>
        <v/>
      </c>
      <c r="AC19" s="1428" t="str">
        <f>IF($B19="","",IF(AC$4&gt;2,(AB19*(1+'Rent Roll Analysis'!$AK17/12)), IF(AND('Monthly Cash Flow'!AC$4&gt;1,'Monthly Cash Flow'!AC$4&lt;=2),'Monthly Cash Flow'!AB19*(1+'Rent Roll Analysis'!$AE17/12),'Monthly Cash Flow'!AB19*(1+'Rent Roll Analysis'!$AB17/12))))</f>
        <v/>
      </c>
      <c r="AD19" s="1428" t="str">
        <f>IF($B19="","",IF(AD$4&gt;2,(AC19*(1+'Rent Roll Analysis'!$AK17/12)), IF(AND('Monthly Cash Flow'!AD$4&gt;1,'Monthly Cash Flow'!AD$4&lt;=2),'Monthly Cash Flow'!AC19*(1+'Rent Roll Analysis'!$AE17/12),'Monthly Cash Flow'!AC19*(1+'Rent Roll Analysis'!$AB17/12))))</f>
        <v/>
      </c>
      <c r="AE19" s="1428" t="str">
        <f>IF($B19="","",IF(AE$4&gt;2,(AD19*(1+'Rent Roll Analysis'!$AK17/12)), IF(AND('Monthly Cash Flow'!AE$4&gt;1,'Monthly Cash Flow'!AE$4&lt;=2),'Monthly Cash Flow'!AD19*(1+'Rent Roll Analysis'!$AE17/12),'Monthly Cash Flow'!AD19*(1+'Rent Roll Analysis'!$AB17/12))))</f>
        <v/>
      </c>
      <c r="AF19" s="1428" t="str">
        <f>IF($B19="","",IF(AF$4&gt;2,(AE19*(1+'Rent Roll Analysis'!$AK17/12)), IF(AND('Monthly Cash Flow'!AF$4&gt;1,'Monthly Cash Flow'!AF$4&lt;=2),'Monthly Cash Flow'!AE19*(1+'Rent Roll Analysis'!$AE17/12),'Monthly Cash Flow'!AE19*(1+'Rent Roll Analysis'!$AB17/12))))</f>
        <v/>
      </c>
      <c r="AG19" s="1428" t="str">
        <f>IF($B19="","",IF(AG$4&gt;2,(AF19*(1+'Rent Roll Analysis'!$AK17/12)), IF(AND('Monthly Cash Flow'!AG$4&gt;1,'Monthly Cash Flow'!AG$4&lt;=2),'Monthly Cash Flow'!AF19*(1+'Rent Roll Analysis'!$AE17/12),'Monthly Cash Flow'!AF19*(1+'Rent Roll Analysis'!$AB17/12))))</f>
        <v/>
      </c>
      <c r="AH19" s="1428" t="str">
        <f>IF($B19="","",IF(AH$4&gt;2,(AG19*(1+'Rent Roll Analysis'!$AK17/12)), IF(AND('Monthly Cash Flow'!AH$4&gt;1,'Monthly Cash Flow'!AH$4&lt;=2),'Monthly Cash Flow'!AG19*(1+'Rent Roll Analysis'!$AE17/12),'Monthly Cash Flow'!AG19*(1+'Rent Roll Analysis'!$AB17/12))))</f>
        <v/>
      </c>
      <c r="AI19" s="1428" t="str">
        <f>IF($B19="","",IF(AI$4&gt;2,(AH19*(1+'Rent Roll Analysis'!$AK17/12)), IF(AND('Monthly Cash Flow'!AI$4&gt;1,'Monthly Cash Flow'!AI$4&lt;=2),'Monthly Cash Flow'!AH19*(1+'Rent Roll Analysis'!$AE17/12),'Monthly Cash Flow'!AH19*(1+'Rent Roll Analysis'!$AB17/12))))</f>
        <v/>
      </c>
      <c r="AJ19" s="1428" t="str">
        <f>IF($B19="","",IF(AJ$4&gt;2,(AI19*(1+'Rent Roll Analysis'!$AK17/12)), IF(AND('Monthly Cash Flow'!AJ$4&gt;1,'Monthly Cash Flow'!AJ$4&lt;=2),'Monthly Cash Flow'!AI19*(1+'Rent Roll Analysis'!$AE17/12),'Monthly Cash Flow'!AI19*(1+'Rent Roll Analysis'!$AB17/12))))</f>
        <v/>
      </c>
      <c r="AK19" s="1428" t="str">
        <f>IF($B19="","",IF(AK$4&gt;2,(AJ19*(1+'Rent Roll Analysis'!$AK17/12)), IF(AND('Monthly Cash Flow'!AK$4&gt;1,'Monthly Cash Flow'!AK$4&lt;=2),'Monthly Cash Flow'!AJ19*(1+'Rent Roll Analysis'!$AE17/12),'Monthly Cash Flow'!AJ19*(1+'Rent Roll Analysis'!$AB17/12))))</f>
        <v/>
      </c>
      <c r="AL19" s="1428" t="str">
        <f>IF($B19="","",IF(AL$4&gt;2,(AK19*(1+'Rent Roll Analysis'!$AK17/12)), IF(AND('Monthly Cash Flow'!AL$4&gt;1,'Monthly Cash Flow'!AL$4&lt;=2),'Monthly Cash Flow'!AK19*(1+'Rent Roll Analysis'!$AE17/12),'Monthly Cash Flow'!AK19*(1+'Rent Roll Analysis'!$AB17/12))))</f>
        <v/>
      </c>
      <c r="AM19" s="1428" t="str">
        <f>IF($B19="","",IF(AM$4&gt;2,(AL19*(1+'Rent Roll Analysis'!$AK17/12)), IF(AND('Monthly Cash Flow'!AM$4&gt;1,'Monthly Cash Flow'!AM$4&lt;=2),'Monthly Cash Flow'!AL19*(1+'Rent Roll Analysis'!$AE17/12),'Monthly Cash Flow'!AL19*(1+'Rent Roll Analysis'!$AB17/12))))</f>
        <v/>
      </c>
      <c r="AN19" s="1428" t="str">
        <f>IF($B19="","",IF(AN$4&gt;2,(AM19*(1+'Rent Roll Analysis'!$AK17/12)), IF(AND('Monthly Cash Flow'!AN$4&gt;1,'Monthly Cash Flow'!AN$4&lt;=2),'Monthly Cash Flow'!AM19*(1+'Rent Roll Analysis'!$AE17/12),'Monthly Cash Flow'!AM19*(1+'Rent Roll Analysis'!$AB17/12))))</f>
        <v/>
      </c>
      <c r="AO19" s="1428" t="str">
        <f>IF($B19="","",IF(AO$4&gt;2,(AN19*(1+'Rent Roll Analysis'!$AK17/12)), IF(AND('Monthly Cash Flow'!AO$4&gt;1,'Monthly Cash Flow'!AO$4&lt;=2),'Monthly Cash Flow'!AN19*(1+'Rent Roll Analysis'!$AE17/12),'Monthly Cash Flow'!AN19*(1+'Rent Roll Analysis'!$AB17/12))))</f>
        <v/>
      </c>
      <c r="AP19" s="1428" t="str">
        <f>IF($B19="","",IF(AP$4&gt;2,(AO19*(1+'Rent Roll Analysis'!$AK17/12)), IF(AND('Monthly Cash Flow'!AP$4&gt;1,'Monthly Cash Flow'!AP$4&lt;=2),'Monthly Cash Flow'!AO19*(1+'Rent Roll Analysis'!$AE17/12),'Monthly Cash Flow'!AO19*(1+'Rent Roll Analysis'!$AB17/12))))</f>
        <v/>
      </c>
      <c r="AQ19" s="1428" t="str">
        <f>IF($B19="","",IF(AQ$4&gt;2,(AP19*(1+'Rent Roll Analysis'!$AK17/12)), IF(AND('Monthly Cash Flow'!AQ$4&gt;1,'Monthly Cash Flow'!AQ$4&lt;=2),'Monthly Cash Flow'!AP19*(1+'Rent Roll Analysis'!$AE17/12),'Monthly Cash Flow'!AP19*(1+'Rent Roll Analysis'!$AB17/12))))</f>
        <v/>
      </c>
      <c r="AR19" s="1428" t="str">
        <f>IF($B19="","",IF(AR$4&gt;2,(AQ19*(1+'Rent Roll Analysis'!$AK17/12)), IF(AND('Monthly Cash Flow'!AR$4&gt;1,'Monthly Cash Flow'!AR$4&lt;=2),'Monthly Cash Flow'!AQ19*(1+'Rent Roll Analysis'!$AE17/12),'Monthly Cash Flow'!AQ19*(1+'Rent Roll Analysis'!$AB17/12))))</f>
        <v/>
      </c>
      <c r="AS19" s="1428" t="str">
        <f>IF($B19="","",IF(AS$4&gt;2,(AR19*(1+'Rent Roll Analysis'!$AK17/12)), IF(AND('Monthly Cash Flow'!AS$4&gt;1,'Monthly Cash Flow'!AS$4&lt;=2),'Monthly Cash Flow'!AR19*(1+'Rent Roll Analysis'!$AE17/12),'Monthly Cash Flow'!AR19*(1+'Rent Roll Analysis'!$AB17/12))))</f>
        <v/>
      </c>
      <c r="AT19" s="1428" t="str">
        <f>IF($B19="","",IF(AT$4&gt;2,(AS19*(1+'Rent Roll Analysis'!$AK17/12)), IF(AND('Monthly Cash Flow'!AT$4&gt;1,'Monthly Cash Flow'!AT$4&lt;=2),'Monthly Cash Flow'!AS19*(1+'Rent Roll Analysis'!$AE17/12),'Monthly Cash Flow'!AS19*(1+'Rent Roll Analysis'!$AB17/12))))</f>
        <v/>
      </c>
      <c r="AU19" s="1428" t="str">
        <f>IF($B19="","",IF(AU$4&gt;2,(AT19*(1+'Rent Roll Analysis'!$AK17/12)), IF(AND('Monthly Cash Flow'!AU$4&gt;1,'Monthly Cash Flow'!AU$4&lt;=2),'Monthly Cash Flow'!AT19*(1+'Rent Roll Analysis'!$AE17/12),'Monthly Cash Flow'!AT19*(1+'Rent Roll Analysis'!$AB17/12))))</f>
        <v/>
      </c>
      <c r="AV19" s="1428" t="str">
        <f>IF($B19="","",IF(AV$4&gt;2,(AU19*(1+'Rent Roll Analysis'!$AK17/12)), IF(AND('Monthly Cash Flow'!AV$4&gt;1,'Monthly Cash Flow'!AV$4&lt;=2),'Monthly Cash Flow'!AU19*(1+'Rent Roll Analysis'!$AE17/12),'Monthly Cash Flow'!AU19*(1+'Rent Roll Analysis'!$AB17/12))))</f>
        <v/>
      </c>
      <c r="AW19" s="1428" t="str">
        <f>IF($B19="","",IF(AW$4&gt;2,(AV19*(1+'Rent Roll Analysis'!$AK17/12)), IF(AND('Monthly Cash Flow'!AW$4&gt;1,'Monthly Cash Flow'!AW$4&lt;=2),'Monthly Cash Flow'!AV19*(1+'Rent Roll Analysis'!$AE17/12),'Monthly Cash Flow'!AV19*(1+'Rent Roll Analysis'!$AB17/12))))</f>
        <v/>
      </c>
      <c r="AX19" s="1428" t="str">
        <f>IF($B19="","",IF(AX$4&gt;2,(AW19*(1+'Rent Roll Analysis'!$AK17/12)), IF(AND('Monthly Cash Flow'!AX$4&gt;1,'Monthly Cash Flow'!AX$4&lt;=2),'Monthly Cash Flow'!AW19*(1+'Rent Roll Analysis'!$AE17/12),'Monthly Cash Flow'!AW19*(1+'Rent Roll Analysis'!$AB17/12))))</f>
        <v/>
      </c>
      <c r="AY19" s="1428" t="str">
        <f>IF($B19="","",IF(AY$4&gt;2,(AX19*(1+'Rent Roll Analysis'!$AK17/12)), IF(AND('Monthly Cash Flow'!AY$4&gt;1,'Monthly Cash Flow'!AY$4&lt;=2),'Monthly Cash Flow'!AX19*(1+'Rent Roll Analysis'!$AE17/12),'Monthly Cash Flow'!AX19*(1+'Rent Roll Analysis'!$AB17/12))))</f>
        <v/>
      </c>
      <c r="AZ19" s="1428" t="str">
        <f>IF($B19="","",IF(AZ$4&gt;2,(AY19*(1+'Rent Roll Analysis'!$AK17/12)), IF(AND('Monthly Cash Flow'!AZ$4&gt;1,'Monthly Cash Flow'!AZ$4&lt;=2),'Monthly Cash Flow'!AY19*(1+'Rent Roll Analysis'!$AE17/12),'Monthly Cash Flow'!AY19*(1+'Rent Roll Analysis'!$AB17/12))))</f>
        <v/>
      </c>
      <c r="BA19" s="1428" t="str">
        <f>IF($B19="","",IF(BA$4&gt;2,(AZ19*(1+'Rent Roll Analysis'!$AK17/12)), IF(AND('Monthly Cash Flow'!BA$4&gt;1,'Monthly Cash Flow'!BA$4&lt;=2),'Monthly Cash Flow'!AZ19*(1+'Rent Roll Analysis'!$AE17/12),'Monthly Cash Flow'!AZ19*(1+'Rent Roll Analysis'!$AB17/12))))</f>
        <v/>
      </c>
      <c r="BB19" s="1428" t="str">
        <f>IF($B19="","",IF(BB$4&gt;2,(BA19*(1+'Rent Roll Analysis'!$AK17/12)), IF(AND('Monthly Cash Flow'!BB$4&gt;1,'Monthly Cash Flow'!BB$4&lt;=2),'Monthly Cash Flow'!BA19*(1+'Rent Roll Analysis'!$AE17/12),'Monthly Cash Flow'!BA19*(1+'Rent Roll Analysis'!$AB17/12))))</f>
        <v/>
      </c>
      <c r="BC19" s="1428" t="str">
        <f>IF($B19="","",IF(BC$4&gt;2,(BB19*(1+'Rent Roll Analysis'!$AK17/12)), IF(AND('Monthly Cash Flow'!BC$4&gt;1,'Monthly Cash Flow'!BC$4&lt;=2),'Monthly Cash Flow'!BB19*(1+'Rent Roll Analysis'!$AE17/12),'Monthly Cash Flow'!BB19*(1+'Rent Roll Analysis'!$AB17/12))))</f>
        <v/>
      </c>
      <c r="BD19" s="1428" t="str">
        <f>IF($B19="","",IF(BD$4&gt;2,(BC19*(1+'Rent Roll Analysis'!$AK17/12)), IF(AND('Monthly Cash Flow'!BD$4&gt;1,'Monthly Cash Flow'!BD$4&lt;=2),'Monthly Cash Flow'!BC19*(1+'Rent Roll Analysis'!$AE17/12),'Monthly Cash Flow'!BC19*(1+'Rent Roll Analysis'!$AB17/12))))</f>
        <v/>
      </c>
      <c r="BE19" s="1428" t="str">
        <f>IF($B19="","",IF(BE$4&gt;2,(BD19*(1+'Rent Roll Analysis'!$AK17/12)), IF(AND('Monthly Cash Flow'!BE$4&gt;1,'Monthly Cash Flow'!BE$4&lt;=2),'Monthly Cash Flow'!BD19*(1+'Rent Roll Analysis'!$AE17/12),'Monthly Cash Flow'!BD19*(1+'Rent Roll Analysis'!$AB17/12))))</f>
        <v/>
      </c>
      <c r="BF19" s="1428" t="str">
        <f>IF($B19="","",IF(BF$4&gt;2,(BE19*(1+'Rent Roll Analysis'!$AK17/12)), IF(AND('Monthly Cash Flow'!BF$4&gt;1,'Monthly Cash Flow'!BF$4&lt;=2),'Monthly Cash Flow'!BE19*(1+'Rent Roll Analysis'!$AE17/12),'Monthly Cash Flow'!BE19*(1+'Rent Roll Analysis'!$AB17/12))))</f>
        <v/>
      </c>
      <c r="BG19" s="1428" t="str">
        <f>IF($B19="","",IF(BG$4&gt;2,(BF19*(1+'Rent Roll Analysis'!$AK17/12)), IF(AND('Monthly Cash Flow'!BG$4&gt;1,'Monthly Cash Flow'!BG$4&lt;=2),'Monthly Cash Flow'!BF19*(1+'Rent Roll Analysis'!$AE17/12),'Monthly Cash Flow'!BF19*(1+'Rent Roll Analysis'!$AB17/12))))</f>
        <v/>
      </c>
      <c r="BH19" s="1428" t="str">
        <f>IF($B19="","",IF(BH$4&gt;2,(BG19*(1+'Rent Roll Analysis'!$AK17/12)), IF(AND('Monthly Cash Flow'!BH$4&gt;1,'Monthly Cash Flow'!BH$4&lt;=2),'Monthly Cash Flow'!BG19*(1+'Rent Roll Analysis'!$AE17/12),'Monthly Cash Flow'!BG19*(1+'Rent Roll Analysis'!$AB17/12))))</f>
        <v/>
      </c>
      <c r="BI19" s="1428" t="str">
        <f>IF($B19="","",IF(BI$4&gt;2,(BH19*(1+'Rent Roll Analysis'!$AK17/12)), IF(AND('Monthly Cash Flow'!BI$4&gt;1,'Monthly Cash Flow'!BI$4&lt;=2),'Monthly Cash Flow'!BH19*(1+'Rent Roll Analysis'!$AE17/12),'Monthly Cash Flow'!BH19*(1+'Rent Roll Analysis'!$AB17/12))))</f>
        <v/>
      </c>
      <c r="BJ19" s="1428" t="str">
        <f>IF($B19="","",IF(BJ$4&gt;2,(BI19*(1+'Rent Roll Analysis'!$AK17/12)), IF(AND('Monthly Cash Flow'!BJ$4&gt;1,'Monthly Cash Flow'!BJ$4&lt;=2),'Monthly Cash Flow'!BI19*(1+'Rent Roll Analysis'!$AE17/12),'Monthly Cash Flow'!BI19*(1+'Rent Roll Analysis'!$AB17/12))))</f>
        <v/>
      </c>
      <c r="BK19" s="1428" t="str">
        <f>IF($B19="","",IF(BK$4&gt;2,(BJ19*(1+'Rent Roll Analysis'!$AK17/12)), IF(AND('Monthly Cash Flow'!BK$4&gt;1,'Monthly Cash Flow'!BK$4&lt;=2),'Monthly Cash Flow'!BJ19*(1+'Rent Roll Analysis'!$AE17/12),'Monthly Cash Flow'!BJ19*(1+'Rent Roll Analysis'!$AB17/12))))</f>
        <v/>
      </c>
      <c r="BL19" s="1428" t="str">
        <f>IF($B19="","",IF(BL$4&gt;2,(BK19*(1+'Rent Roll Analysis'!$AK17/12)), IF(AND('Monthly Cash Flow'!BL$4&gt;1,'Monthly Cash Flow'!BL$4&lt;=2),'Monthly Cash Flow'!BK19*(1+'Rent Roll Analysis'!$AE17/12),'Monthly Cash Flow'!BK19*(1+'Rent Roll Analysis'!$AB17/12))))</f>
        <v/>
      </c>
      <c r="BM19" s="1428" t="str">
        <f>IF($B19="","",IF(BM$4&gt;2,(BL19*(1+'Rent Roll Analysis'!$AK17/12)), IF(AND('Monthly Cash Flow'!BM$4&gt;1,'Monthly Cash Flow'!BM$4&lt;=2),'Monthly Cash Flow'!BL19*(1+'Rent Roll Analysis'!$AE17/12),'Monthly Cash Flow'!BL19*(1+'Rent Roll Analysis'!$AB17/12))))</f>
        <v/>
      </c>
      <c r="BN19" s="1428" t="str">
        <f>IF($B19="","",IF(BN$4&gt;2,(BM19*(1+'Rent Roll Analysis'!$AK17/12)), IF(AND('Monthly Cash Flow'!BN$4&gt;1,'Monthly Cash Flow'!BN$4&lt;=2),'Monthly Cash Flow'!BM19*(1+'Rent Roll Analysis'!$AE17/12),'Monthly Cash Flow'!BM19*(1+'Rent Roll Analysis'!$AB17/12))))</f>
        <v/>
      </c>
      <c r="BO19" s="1428" t="str">
        <f>IF($B19="","",IF(BO$4&gt;2,(BN19*(1+'Rent Roll Analysis'!$AK17/12)), IF(AND('Monthly Cash Flow'!BO$4&gt;1,'Monthly Cash Flow'!BO$4&lt;=2),'Monthly Cash Flow'!BN19*(1+'Rent Roll Analysis'!$AE17/12),'Monthly Cash Flow'!BN19*(1+'Rent Roll Analysis'!$AB17/12))))</f>
        <v/>
      </c>
      <c r="BP19" s="1428" t="str">
        <f>IF($B19="","",IF(BP$4&gt;2,(BO19*(1+'Rent Roll Analysis'!$AK17/12)), IF(AND('Monthly Cash Flow'!BP$4&gt;1,'Monthly Cash Flow'!BP$4&lt;=2),'Monthly Cash Flow'!BO19*(1+'Rent Roll Analysis'!$AE17/12),'Monthly Cash Flow'!BO19*(1+'Rent Roll Analysis'!$AB17/12))))</f>
        <v/>
      </c>
      <c r="BQ19" s="1428" t="str">
        <f>IF($B19="","",IF(BQ$4&gt;2,(BP19*(1+'Rent Roll Analysis'!$AK17/12)), IF(AND('Monthly Cash Flow'!BQ$4&gt;1,'Monthly Cash Flow'!BQ$4&lt;=2),'Monthly Cash Flow'!BP19*(1+'Rent Roll Analysis'!$AE17/12),'Monthly Cash Flow'!BP19*(1+'Rent Roll Analysis'!$AB17/12))))</f>
        <v/>
      </c>
      <c r="BR19" s="1428" t="str">
        <f>IF($B19="","",IF(BR$4&gt;2,(BQ19*(1+'Rent Roll Analysis'!$AK17/12)), IF(AND('Monthly Cash Flow'!BR$4&gt;1,'Monthly Cash Flow'!BR$4&lt;=2),'Monthly Cash Flow'!BQ19*(1+'Rent Roll Analysis'!$AE17/12),'Monthly Cash Flow'!BQ19*(1+'Rent Roll Analysis'!$AB17/12))))</f>
        <v/>
      </c>
      <c r="BS19" s="1428" t="str">
        <f>IF($B19="","",IF(BS$4&gt;2,(BR19*(1+'Rent Roll Analysis'!$AK17/12)), IF(AND('Monthly Cash Flow'!BS$4&gt;1,'Monthly Cash Flow'!BS$4&lt;=2),'Monthly Cash Flow'!BR19*(1+'Rent Roll Analysis'!$AE17/12),'Monthly Cash Flow'!BR19*(1+'Rent Roll Analysis'!$AB17/12))))</f>
        <v/>
      </c>
      <c r="BT19" s="1428" t="str">
        <f>IF($B19="","",IF(BT$4&gt;2,(BS19*(1+'Rent Roll Analysis'!$AK17/12)), IF(AND('Monthly Cash Flow'!BT$4&gt;1,'Monthly Cash Flow'!BT$4&lt;=2),'Monthly Cash Flow'!BS19*(1+'Rent Roll Analysis'!$AE17/12),'Monthly Cash Flow'!BS19*(1+'Rent Roll Analysis'!$AB17/12))))</f>
        <v/>
      </c>
      <c r="BU19" s="1428" t="str">
        <f>IF($B19="","",IF(BU$4&gt;2,(BT19*(1+'Rent Roll Analysis'!$AK17/12)), IF(AND('Monthly Cash Flow'!BU$4&gt;1,'Monthly Cash Flow'!BU$4&lt;=2),'Monthly Cash Flow'!BT19*(1+'Rent Roll Analysis'!$AE17/12),'Monthly Cash Flow'!BT19*(1+'Rent Roll Analysis'!$AB17/12))))</f>
        <v/>
      </c>
      <c r="BV19" s="1428" t="str">
        <f>IF($B19="","",IF(BV$4&gt;2,(BU19*(1+'Rent Roll Analysis'!$AK17/12)), IF(AND('Monthly Cash Flow'!BV$4&gt;1,'Monthly Cash Flow'!BV$4&lt;=2),'Monthly Cash Flow'!BU19*(1+'Rent Roll Analysis'!$AE17/12),'Monthly Cash Flow'!BU19*(1+'Rent Roll Analysis'!$AB17/12))))</f>
        <v/>
      </c>
      <c r="BW19" s="1428" t="str">
        <f>IF($B19="","",IF(BW$4&gt;2,(BV19*(1+'Rent Roll Analysis'!$AK17/12)), IF(AND('Monthly Cash Flow'!BW$4&gt;1,'Monthly Cash Flow'!BW$4&lt;=2),'Monthly Cash Flow'!BV19*(1+'Rent Roll Analysis'!$AE17/12),'Monthly Cash Flow'!BV19*(1+'Rent Roll Analysis'!$AB17/12))))</f>
        <v/>
      </c>
      <c r="BX19" s="1428" t="str">
        <f>IF($B19="","",IF(BX$4&gt;2,(BW19*(1+'Rent Roll Analysis'!$AK17/12)), IF(AND('Monthly Cash Flow'!BX$4&gt;1,'Monthly Cash Flow'!BX$4&lt;=2),'Monthly Cash Flow'!BW19*(1+'Rent Roll Analysis'!$AE17/12),'Monthly Cash Flow'!BW19*(1+'Rent Roll Analysis'!$AB17/12))))</f>
        <v/>
      </c>
      <c r="BY19" s="1428" t="str">
        <f>IF($B19="","",IF(BY$4&gt;2,(BX19*(1+'Rent Roll Analysis'!$AK17/12)), IF(AND('Monthly Cash Flow'!BY$4&gt;1,'Monthly Cash Flow'!BY$4&lt;=2),'Monthly Cash Flow'!BX19*(1+'Rent Roll Analysis'!$AE17/12),'Monthly Cash Flow'!BX19*(1+'Rent Roll Analysis'!$AB17/12))))</f>
        <v/>
      </c>
      <c r="BZ19" s="1428" t="str">
        <f>IF($B19="","",IF(BZ$4&gt;2,(BY19*(1+'Rent Roll Analysis'!$AK17/12)), IF(AND('Monthly Cash Flow'!BZ$4&gt;1,'Monthly Cash Flow'!BZ$4&lt;=2),'Monthly Cash Flow'!BY19*(1+'Rent Roll Analysis'!$AE17/12),'Monthly Cash Flow'!BY19*(1+'Rent Roll Analysis'!$AB17/12))))</f>
        <v/>
      </c>
      <c r="CA19" s="1428" t="str">
        <f>IF($B19="","",IF(CA$4&gt;2,(BZ19*(1+'Rent Roll Analysis'!$AK17/12)), IF(AND('Monthly Cash Flow'!CA$4&gt;1,'Monthly Cash Flow'!CA$4&lt;=2),'Monthly Cash Flow'!BZ19*(1+'Rent Roll Analysis'!$AE17/12),'Monthly Cash Flow'!BZ19*(1+'Rent Roll Analysis'!$AB17/12))))</f>
        <v/>
      </c>
      <c r="CB19" s="1428" t="str">
        <f>IF($B19="","",IF(CB$4&gt;2,(CA19*(1+'Rent Roll Analysis'!$AK17/12)), IF(AND('Monthly Cash Flow'!CB$4&gt;1,'Monthly Cash Flow'!CB$4&lt;=2),'Monthly Cash Flow'!CA19*(1+'Rent Roll Analysis'!$AE17/12),'Monthly Cash Flow'!CA19*(1+'Rent Roll Analysis'!$AB17/12))))</f>
        <v/>
      </c>
      <c r="CC19" s="1428" t="str">
        <f>IF($B19="","",IF(CC$4&gt;2,(CB19*(1+'Rent Roll Analysis'!$AK17/12)), IF(AND('Monthly Cash Flow'!CC$4&gt;1,'Monthly Cash Flow'!CC$4&lt;=2),'Monthly Cash Flow'!CB19*(1+'Rent Roll Analysis'!$AE17/12),'Monthly Cash Flow'!CB19*(1+'Rent Roll Analysis'!$AB17/12))))</f>
        <v/>
      </c>
      <c r="CD19" s="1428" t="str">
        <f>IF($B19="","",IF(CD$4&gt;2,(CC19*(1+'Rent Roll Analysis'!$AK17/12)), IF(AND('Monthly Cash Flow'!CD$4&gt;1,'Monthly Cash Flow'!CD$4&lt;=2),'Monthly Cash Flow'!CC19*(1+'Rent Roll Analysis'!$AE17/12),'Monthly Cash Flow'!CC19*(1+'Rent Roll Analysis'!$AB17/12))))</f>
        <v/>
      </c>
      <c r="CE19" s="1428" t="str">
        <f>IF($B19="","",IF(CE$4&gt;2,(CD19*(1+'Rent Roll Analysis'!$AK17/12)), IF(AND('Monthly Cash Flow'!CE$4&gt;1,'Monthly Cash Flow'!CE$4&lt;=2),'Monthly Cash Flow'!CD19*(1+'Rent Roll Analysis'!$AE17/12),'Monthly Cash Flow'!CD19*(1+'Rent Roll Analysis'!$AB17/12))))</f>
        <v/>
      </c>
      <c r="CF19" s="1428" t="str">
        <f>IF($B19="","",IF(CF$4&gt;2,(CE19*(1+'Rent Roll Analysis'!$AK17/12)), IF(AND('Monthly Cash Flow'!CF$4&gt;1,'Monthly Cash Flow'!CF$4&lt;=2),'Monthly Cash Flow'!CE19*(1+'Rent Roll Analysis'!$AE17/12),'Monthly Cash Flow'!CE19*(1+'Rent Roll Analysis'!$AB17/12))))</f>
        <v/>
      </c>
      <c r="CG19" s="1428" t="str">
        <f>IF($B19="","",IF(CG$4&gt;2,(CF19*(1+'Rent Roll Analysis'!$AK17/12)), IF(AND('Monthly Cash Flow'!CG$4&gt;1,'Monthly Cash Flow'!CG$4&lt;=2),'Monthly Cash Flow'!CF19*(1+'Rent Roll Analysis'!$AE17/12),'Monthly Cash Flow'!CF19*(1+'Rent Roll Analysis'!$AB17/12))))</f>
        <v/>
      </c>
      <c r="CH19" s="1428" t="str">
        <f>IF($B19="","",IF(CH$4&gt;2,(CG19*(1+'Rent Roll Analysis'!$AK17/12)), IF(AND('Monthly Cash Flow'!CH$4&gt;1,'Monthly Cash Flow'!CH$4&lt;=2),'Monthly Cash Flow'!CG19*(1+'Rent Roll Analysis'!$AE17/12),'Monthly Cash Flow'!CG19*(1+'Rent Roll Analysis'!$AB17/12))))</f>
        <v/>
      </c>
      <c r="CI19" s="1428" t="str">
        <f>IF($B19="","",IF(CI$4&gt;2,(CH19*(1+'Rent Roll Analysis'!$AK17/12)), IF(AND('Monthly Cash Flow'!CI$4&gt;1,'Monthly Cash Flow'!CI$4&lt;=2),'Monthly Cash Flow'!CH19*(1+'Rent Roll Analysis'!$AE17/12),'Monthly Cash Flow'!CH19*(1+'Rent Roll Analysis'!$AB17/12))))</f>
        <v/>
      </c>
      <c r="CJ19" s="1428" t="str">
        <f>IF($B19="","",IF(CJ$4&gt;2,(CI19*(1+'Rent Roll Analysis'!$AK17/12)), IF(AND('Monthly Cash Flow'!CJ$4&gt;1,'Monthly Cash Flow'!CJ$4&lt;=2),'Monthly Cash Flow'!CI19*(1+'Rent Roll Analysis'!$AE17/12),'Monthly Cash Flow'!CI19*(1+'Rent Roll Analysis'!$AB17/12))))</f>
        <v/>
      </c>
      <c r="CK19" s="1428" t="str">
        <f>IF($B19="","",IF(CK$4&gt;2,(CJ19*(1+'Rent Roll Analysis'!$AK17/12)), IF(AND('Monthly Cash Flow'!CK$4&gt;1,'Monthly Cash Flow'!CK$4&lt;=2),'Monthly Cash Flow'!CJ19*(1+'Rent Roll Analysis'!$AE17/12),'Monthly Cash Flow'!CJ19*(1+'Rent Roll Analysis'!$AB17/12))))</f>
        <v/>
      </c>
      <c r="CL19" s="1428" t="str">
        <f>IF($B19="","",IF(CL$4&gt;2,(CK19*(1+'Rent Roll Analysis'!$AK17/12)), IF(AND('Monthly Cash Flow'!CL$4&gt;1,'Monthly Cash Flow'!CL$4&lt;=2),'Monthly Cash Flow'!CK19*(1+'Rent Roll Analysis'!$AE17/12),'Monthly Cash Flow'!CK19*(1+'Rent Roll Analysis'!$AB17/12))))</f>
        <v/>
      </c>
      <c r="CM19" s="1428" t="str">
        <f>IF($B19="","",IF(CM$4&gt;2,(CL19*(1+'Rent Roll Analysis'!$AK17/12)), IF(AND('Monthly Cash Flow'!CM$4&gt;1,'Monthly Cash Flow'!CM$4&lt;=2),'Monthly Cash Flow'!CL19*(1+'Rent Roll Analysis'!$AE17/12),'Monthly Cash Flow'!CL19*(1+'Rent Roll Analysis'!$AB17/12))))</f>
        <v/>
      </c>
      <c r="CN19" s="1428" t="str">
        <f>IF($B19="","",IF(CN$4&gt;2,(CM19*(1+'Rent Roll Analysis'!$AK17/12)), IF(AND('Monthly Cash Flow'!CN$4&gt;1,'Monthly Cash Flow'!CN$4&lt;=2),'Monthly Cash Flow'!CM19*(1+'Rent Roll Analysis'!$AE17/12),'Monthly Cash Flow'!CM19*(1+'Rent Roll Analysis'!$AB17/12))))</f>
        <v/>
      </c>
      <c r="CO19" s="1428" t="str">
        <f>IF($B19="","",IF(CO$4&gt;2,(CN19*(1+'Rent Roll Analysis'!$AK17/12)), IF(AND('Monthly Cash Flow'!CO$4&gt;1,'Monthly Cash Flow'!CO$4&lt;=2),'Monthly Cash Flow'!CN19*(1+'Rent Roll Analysis'!$AE17/12),'Monthly Cash Flow'!CN19*(1+'Rent Roll Analysis'!$AB17/12))))</f>
        <v/>
      </c>
      <c r="CP19" s="1428" t="str">
        <f>IF($B19="","",IF(CP$4&gt;2,(CO19*(1+'Rent Roll Analysis'!$AK17/12)), IF(AND('Monthly Cash Flow'!CP$4&gt;1,'Monthly Cash Flow'!CP$4&lt;=2),'Monthly Cash Flow'!CO19*(1+'Rent Roll Analysis'!$AE17/12),'Monthly Cash Flow'!CO19*(1+'Rent Roll Analysis'!$AB17/12))))</f>
        <v/>
      </c>
      <c r="CQ19" s="1428" t="str">
        <f>IF($B19="","",IF(CQ$4&gt;2,(CP19*(1+'Rent Roll Analysis'!$AK17/12)), IF(AND('Monthly Cash Flow'!CQ$4&gt;1,'Monthly Cash Flow'!CQ$4&lt;=2),'Monthly Cash Flow'!CP19*(1+'Rent Roll Analysis'!$AE17/12),'Monthly Cash Flow'!CP19*(1+'Rent Roll Analysis'!$AB17/12))))</f>
        <v/>
      </c>
      <c r="CR19" s="1428" t="str">
        <f>IF($B19="","",IF(CR$4&gt;2,(CQ19*(1+'Rent Roll Analysis'!$AK17/12)), IF(AND('Monthly Cash Flow'!CR$4&gt;1,'Monthly Cash Flow'!CR$4&lt;=2),'Monthly Cash Flow'!CQ19*(1+'Rent Roll Analysis'!$AE17/12),'Monthly Cash Flow'!CQ19*(1+'Rent Roll Analysis'!$AB17/12))))</f>
        <v/>
      </c>
      <c r="CS19" s="1428" t="str">
        <f>IF($B19="","",IF(CS$4&gt;2,(CR19*(1+'Rent Roll Analysis'!$AK17/12)), IF(AND('Monthly Cash Flow'!CS$4&gt;1,'Monthly Cash Flow'!CS$4&lt;=2),'Monthly Cash Flow'!CR19*(1+'Rent Roll Analysis'!$AE17/12),'Monthly Cash Flow'!CR19*(1+'Rent Roll Analysis'!$AB17/12))))</f>
        <v/>
      </c>
      <c r="CT19" s="1428" t="str">
        <f>IF($B19="","",IF(CT$4&gt;2,(CS19*(1+'Rent Roll Analysis'!$AK17/12)), IF(AND('Monthly Cash Flow'!CT$4&gt;1,'Monthly Cash Flow'!CT$4&lt;=2),'Monthly Cash Flow'!CS19*(1+'Rent Roll Analysis'!$AE17/12),'Monthly Cash Flow'!CS19*(1+'Rent Roll Analysis'!$AB17/12))))</f>
        <v/>
      </c>
      <c r="CU19" s="1428" t="str">
        <f>IF($B19="","",IF(CU$4&gt;2,(CT19*(1+'Rent Roll Analysis'!$AK17/12)), IF(AND('Monthly Cash Flow'!CU$4&gt;1,'Monthly Cash Flow'!CU$4&lt;=2),'Monthly Cash Flow'!CT19*(1+'Rent Roll Analysis'!$AE17/12),'Monthly Cash Flow'!CT19*(1+'Rent Roll Analysis'!$AB17/12))))</f>
        <v/>
      </c>
      <c r="CV19" s="1428" t="str">
        <f>IF($B19="","",IF(CV$4&gt;2,(CU19*(1+'Rent Roll Analysis'!$AK17/12)), IF(AND('Monthly Cash Flow'!CV$4&gt;1,'Monthly Cash Flow'!CV$4&lt;=2),'Monthly Cash Flow'!CU19*(1+'Rent Roll Analysis'!$AE17/12),'Monthly Cash Flow'!CU19*(1+'Rent Roll Analysis'!$AB17/12))))</f>
        <v/>
      </c>
      <c r="CW19" s="1428" t="str">
        <f>IF($B19="","",IF(CW$4&gt;2,(CV19*(1+'Rent Roll Analysis'!$AK17/12)), IF(AND('Monthly Cash Flow'!CW$4&gt;1,'Monthly Cash Flow'!CW$4&lt;=2),'Monthly Cash Flow'!CV19*(1+'Rent Roll Analysis'!$AE17/12),'Monthly Cash Flow'!CV19*(1+'Rent Roll Analysis'!$AB17/12))))</f>
        <v/>
      </c>
      <c r="CX19" s="1428" t="str">
        <f>IF($B19="","",IF(CX$4&gt;2,(CW19*(1+'Rent Roll Analysis'!$AK17/12)), IF(AND('Monthly Cash Flow'!CX$4&gt;1,'Monthly Cash Flow'!CX$4&lt;=2),'Monthly Cash Flow'!CW19*(1+'Rent Roll Analysis'!$AE17/12),'Monthly Cash Flow'!CW19*(1+'Rent Roll Analysis'!$AB17/12))))</f>
        <v/>
      </c>
      <c r="CY19" s="1428" t="str">
        <f>IF($B19="","",IF(CY$4&gt;2,(CX19*(1+'Rent Roll Analysis'!$AK17/12)), IF(AND('Monthly Cash Flow'!CY$4&gt;1,'Monthly Cash Flow'!CY$4&lt;=2),'Monthly Cash Flow'!CX19*(1+'Rent Roll Analysis'!$AE17/12),'Monthly Cash Flow'!CX19*(1+'Rent Roll Analysis'!$AB17/12))))</f>
        <v/>
      </c>
      <c r="CZ19" s="1428" t="str">
        <f>IF($B19="","",IF(CZ$4&gt;2,(CY19*(1+'Rent Roll Analysis'!$AK17/12)), IF(AND('Monthly Cash Flow'!CZ$4&gt;1,'Monthly Cash Flow'!CZ$4&lt;=2),'Monthly Cash Flow'!CY19*(1+'Rent Roll Analysis'!$AE17/12),'Monthly Cash Flow'!CY19*(1+'Rent Roll Analysis'!$AB17/12))))</f>
        <v/>
      </c>
      <c r="DA19" s="1428" t="str">
        <f>IF($B19="","",IF(DA$4&gt;2,(CZ19*(1+'Rent Roll Analysis'!$AK17/12)), IF(AND('Monthly Cash Flow'!DA$4&gt;1,'Monthly Cash Flow'!DA$4&lt;=2),'Monthly Cash Flow'!CZ19*(1+'Rent Roll Analysis'!$AE17/12),'Monthly Cash Flow'!CZ19*(1+'Rent Roll Analysis'!$AB17/12))))</f>
        <v/>
      </c>
      <c r="DB19" s="1428" t="str">
        <f>IF($B19="","",IF(DB$4&gt;2,(DA19*(1+'Rent Roll Analysis'!$AK17/12)), IF(AND('Monthly Cash Flow'!DB$4&gt;1,'Monthly Cash Flow'!DB$4&lt;=2),'Monthly Cash Flow'!DA19*(1+'Rent Roll Analysis'!$AE17/12),'Monthly Cash Flow'!DA19*(1+'Rent Roll Analysis'!$AB17/12))))</f>
        <v/>
      </c>
      <c r="DC19" s="1428" t="str">
        <f>IF($B19="","",IF(DC$4&gt;2,(DB19*(1+'Rent Roll Analysis'!$AK17/12)), IF(AND('Monthly Cash Flow'!DC$4&gt;1,'Monthly Cash Flow'!DC$4&lt;=2),'Monthly Cash Flow'!DB19*(1+'Rent Roll Analysis'!$AE17/12),'Monthly Cash Flow'!DB19*(1+'Rent Roll Analysis'!$AB17/12))))</f>
        <v/>
      </c>
      <c r="DD19" s="1428" t="str">
        <f>IF($B19="","",IF(DD$4&gt;2,(DC19*(1+'Rent Roll Analysis'!$AK17/12)), IF(AND('Monthly Cash Flow'!DD$4&gt;1,'Monthly Cash Flow'!DD$4&lt;=2),'Monthly Cash Flow'!DC19*(1+'Rent Roll Analysis'!$AE17/12),'Monthly Cash Flow'!DC19*(1+'Rent Roll Analysis'!$AB17/12))))</f>
        <v/>
      </c>
      <c r="DE19" s="1428" t="str">
        <f>IF($B19="","",IF(DE$4&gt;2,(DD19*(1+'Rent Roll Analysis'!$AK17/12)), IF(AND('Monthly Cash Flow'!DE$4&gt;1,'Monthly Cash Flow'!DE$4&lt;=2),'Monthly Cash Flow'!DD19*(1+'Rent Roll Analysis'!$AE17/12),'Monthly Cash Flow'!DD19*(1+'Rent Roll Analysis'!$AB17/12))))</f>
        <v/>
      </c>
      <c r="DF19" s="1428" t="str">
        <f>IF($B19="","",IF(DF$4&gt;2,(DE19*(1+'Rent Roll Analysis'!$AK17/12)), IF(AND('Monthly Cash Flow'!DF$4&gt;1,'Monthly Cash Flow'!DF$4&lt;=2),'Monthly Cash Flow'!DE19*(1+'Rent Roll Analysis'!$AE17/12),'Monthly Cash Flow'!DE19*(1+'Rent Roll Analysis'!$AB17/12))))</f>
        <v/>
      </c>
      <c r="DG19" s="1428" t="str">
        <f>IF($B19="","",IF(DG$4&gt;2,(DF19*(1+'Rent Roll Analysis'!$AK17/12)), IF(AND('Monthly Cash Flow'!DG$4&gt;1,'Monthly Cash Flow'!DG$4&lt;=2),'Monthly Cash Flow'!DF19*(1+'Rent Roll Analysis'!$AE17/12),'Monthly Cash Flow'!DF19*(1+'Rent Roll Analysis'!$AB17/12))))</f>
        <v/>
      </c>
      <c r="DH19" s="1428" t="str">
        <f>IF($B19="","",IF(DH$4&gt;2,(DG19*(1+'Rent Roll Analysis'!$AK17/12)), IF(AND('Monthly Cash Flow'!DH$4&gt;1,'Monthly Cash Flow'!DH$4&lt;=2),'Monthly Cash Flow'!DG19*(1+'Rent Roll Analysis'!$AE17/12),'Monthly Cash Flow'!DG19*(1+'Rent Roll Analysis'!$AB17/12))))</f>
        <v/>
      </c>
      <c r="DI19" s="1428" t="str">
        <f>IF($B19="","",IF(DI$4&gt;2,(DH19*(1+'Rent Roll Analysis'!$AK17/12)), IF(AND('Monthly Cash Flow'!DI$4&gt;1,'Monthly Cash Flow'!DI$4&lt;=2),'Monthly Cash Flow'!DH19*(1+'Rent Roll Analysis'!$AE17/12),'Monthly Cash Flow'!DH19*(1+'Rent Roll Analysis'!$AB17/12))))</f>
        <v/>
      </c>
      <c r="DJ19" s="1428" t="str">
        <f>IF($B19="","",IF(DJ$4&gt;2,(DI19*(1+'Rent Roll Analysis'!$AK17/12)), IF(AND('Monthly Cash Flow'!DJ$4&gt;1,'Monthly Cash Flow'!DJ$4&lt;=2),'Monthly Cash Flow'!DI19*(1+'Rent Roll Analysis'!$AE17/12),'Monthly Cash Flow'!DI19*(1+'Rent Roll Analysis'!$AB17/12))))</f>
        <v/>
      </c>
      <c r="DK19" s="1428" t="str">
        <f>IF($B19="","",IF(DK$4&gt;2,(DJ19*(1+'Rent Roll Analysis'!$AK17/12)), IF(AND('Monthly Cash Flow'!DK$4&gt;1,'Monthly Cash Flow'!DK$4&lt;=2),'Monthly Cash Flow'!DJ19*(1+'Rent Roll Analysis'!$AE17/12),'Monthly Cash Flow'!DJ19*(1+'Rent Roll Analysis'!$AB17/12))))</f>
        <v/>
      </c>
      <c r="DL19" s="1428" t="str">
        <f>IF($B19="","",IF(DL$4&gt;2,(DK19*(1+'Rent Roll Analysis'!$AK17/12)), IF(AND('Monthly Cash Flow'!DL$4&gt;1,'Monthly Cash Flow'!DL$4&lt;=2),'Monthly Cash Flow'!DK19*(1+'Rent Roll Analysis'!$AE17/12),'Monthly Cash Flow'!DK19*(1+'Rent Roll Analysis'!$AB17/12))))</f>
        <v/>
      </c>
      <c r="DM19" s="1428" t="str">
        <f>IF($B19="","",IF(DM$4&gt;2,(DL19*(1+'Rent Roll Analysis'!$AK17/12)), IF(AND('Monthly Cash Flow'!DM$4&gt;1,'Monthly Cash Flow'!DM$4&lt;=2),'Monthly Cash Flow'!DL19*(1+'Rent Roll Analysis'!$AE17/12),'Monthly Cash Flow'!DL19*(1+'Rent Roll Analysis'!$AB17/12))))</f>
        <v/>
      </c>
      <c r="DN19" s="1428" t="str">
        <f>IF($B19="","",IF(DN$4&gt;2,(DM19*(1+'Rent Roll Analysis'!$AK17/12)), IF(AND('Monthly Cash Flow'!DN$4&gt;1,'Monthly Cash Flow'!DN$4&lt;=2),'Monthly Cash Flow'!DM19*(1+'Rent Roll Analysis'!$AE17/12),'Monthly Cash Flow'!DM19*(1+'Rent Roll Analysis'!$AB17/12))))</f>
        <v/>
      </c>
      <c r="DO19" s="1428" t="str">
        <f>IF($B19="","",IF(DO$4&gt;2,(DN19*(1+'Rent Roll Analysis'!$AK17/12)), IF(AND('Monthly Cash Flow'!DO$4&gt;1,'Monthly Cash Flow'!DO$4&lt;=2),'Monthly Cash Flow'!DN19*(1+'Rent Roll Analysis'!$AE17/12),'Monthly Cash Flow'!DN19*(1+'Rent Roll Analysis'!$AB17/12))))</f>
        <v/>
      </c>
      <c r="DP19" s="1428" t="str">
        <f>IF($B19="","",IF(DP$4&gt;2,(DO19*(1+'Rent Roll Analysis'!$AK17/12)), IF(AND('Monthly Cash Flow'!DP$4&gt;1,'Monthly Cash Flow'!DP$4&lt;=2),'Monthly Cash Flow'!DO19*(1+'Rent Roll Analysis'!$AE17/12),'Monthly Cash Flow'!DO19*(1+'Rent Roll Analysis'!$AB17/12))))</f>
        <v/>
      </c>
      <c r="DQ19" s="1428" t="str">
        <f>IF($B19="","",IF(DQ$4&gt;2,(DP19*(1+'Rent Roll Analysis'!$AK17/12)), IF(AND('Monthly Cash Flow'!DQ$4&gt;1,'Monthly Cash Flow'!DQ$4&lt;=2),'Monthly Cash Flow'!DP19*(1+'Rent Roll Analysis'!$AE17/12),'Monthly Cash Flow'!DP19*(1+'Rent Roll Analysis'!$AB17/12))))</f>
        <v/>
      </c>
      <c r="DR19" s="1428" t="str">
        <f>IF($B19="","",IF(DR$4&gt;2,(DQ19*(1+'Rent Roll Analysis'!$AK17/12)), IF(AND('Monthly Cash Flow'!DR$4&gt;1,'Monthly Cash Flow'!DR$4&lt;=2),'Monthly Cash Flow'!DQ19*(1+'Rent Roll Analysis'!$AE17/12),'Monthly Cash Flow'!DQ19*(1+'Rent Roll Analysis'!$AB17/12))))</f>
        <v/>
      </c>
      <c r="DS19" s="1428" t="str">
        <f>IF($B19="","",IF(DS$4&gt;2,(DR19*(1+'Rent Roll Analysis'!$AK17/12)), IF(AND('Monthly Cash Flow'!DS$4&gt;1,'Monthly Cash Flow'!DS$4&lt;=2),'Monthly Cash Flow'!DR19*(1+'Rent Roll Analysis'!$AE17/12),'Monthly Cash Flow'!DR19*(1+'Rent Roll Analysis'!$AB17/12))))</f>
        <v/>
      </c>
      <c r="DT19" s="1428" t="str">
        <f>IF($B19="","",IF(DT$4&gt;2,(DS19*(1+'Rent Roll Analysis'!$AK17/12)), IF(AND('Monthly Cash Flow'!DT$4&gt;1,'Monthly Cash Flow'!DT$4&lt;=2),'Monthly Cash Flow'!DS19*(1+'Rent Roll Analysis'!$AE17/12),'Monthly Cash Flow'!DS19*(1+'Rent Roll Analysis'!$AB17/12))))</f>
        <v/>
      </c>
      <c r="DU19" s="385" t="s">
        <v>557</v>
      </c>
      <c r="DV19" s="375"/>
    </row>
    <row r="20" spans="1:126" s="92" customFormat="1" ht="20.149999999999999" customHeight="1" outlineLevel="1">
      <c r="A20" s="375"/>
      <c r="B20" s="383" t="str">
        <f>'Rent Roll Analysis'!C18</f>
        <v/>
      </c>
      <c r="C20" s="376"/>
      <c r="D20" s="1426" t="str">
        <f>IF('Rent Roll Analysis'!C18="","",'Rent Roll Analysis'!N18*'Rent Roll Analysis'!E18)</f>
        <v/>
      </c>
      <c r="E20" s="1428" t="str">
        <f t="shared" si="113"/>
        <v/>
      </c>
      <c r="F20" s="1428" t="str">
        <f>IF($B20="","",IF(F$4&gt;2,(E20*(1+'Rent Roll Analysis'!$AK18/12)), IF(AND('Monthly Cash Flow'!F$4&gt;1,'Monthly Cash Flow'!F$4&lt;=2),'Monthly Cash Flow'!E20*(1+'Rent Roll Analysis'!$AE18/12),'Monthly Cash Flow'!E20*(1+'Rent Roll Analysis'!$AB18/12))))</f>
        <v/>
      </c>
      <c r="G20" s="1428" t="str">
        <f>IF($B20="","",IF(G$4&gt;2,(F20*(1+'Rent Roll Analysis'!$AK18/12)), IF(AND('Monthly Cash Flow'!G$4&gt;1,'Monthly Cash Flow'!G$4&lt;=2),'Monthly Cash Flow'!F20*(1+'Rent Roll Analysis'!$AE18/12),'Monthly Cash Flow'!F20*(1+'Rent Roll Analysis'!$AB18/12))))</f>
        <v/>
      </c>
      <c r="H20" s="1428" t="str">
        <f>IF($B20="","",IF(H$4&gt;2,(G20*(1+'Rent Roll Analysis'!$AK18/12)), IF(AND('Monthly Cash Flow'!H$4&gt;1,'Monthly Cash Flow'!H$4&lt;=2),'Monthly Cash Flow'!G20*(1+'Rent Roll Analysis'!$AE18/12),'Monthly Cash Flow'!G20*(1+'Rent Roll Analysis'!$AB18/12))))</f>
        <v/>
      </c>
      <c r="I20" s="1428" t="str">
        <f>IF($B20="","",IF(I$4&gt;2,(H20*(1+'Rent Roll Analysis'!$AK18/12)), IF(AND('Monthly Cash Flow'!I$4&gt;1,'Monthly Cash Flow'!I$4&lt;=2),'Monthly Cash Flow'!H20*(1+'Rent Roll Analysis'!$AE18/12),'Monthly Cash Flow'!H20*(1+'Rent Roll Analysis'!$AB18/12))))</f>
        <v/>
      </c>
      <c r="J20" s="1428" t="str">
        <f>IF($B20="","",IF(J$4&gt;2,(I20*(1+'Rent Roll Analysis'!$AK18/12)), IF(AND('Monthly Cash Flow'!J$4&gt;1,'Monthly Cash Flow'!J$4&lt;=2),'Monthly Cash Flow'!I20*(1+'Rent Roll Analysis'!$AE18/12),'Monthly Cash Flow'!I20*(1+'Rent Roll Analysis'!$AB18/12))))</f>
        <v/>
      </c>
      <c r="K20" s="1428" t="str">
        <f>IF($B20="","",IF(K$4&gt;2,(J20*(1+'Rent Roll Analysis'!$AK18/12)), IF(AND('Monthly Cash Flow'!K$4&gt;1,'Monthly Cash Flow'!K$4&lt;=2),'Monthly Cash Flow'!J20*(1+'Rent Roll Analysis'!$AE18/12),'Monthly Cash Flow'!J20*(1+'Rent Roll Analysis'!$AB18/12))))</f>
        <v/>
      </c>
      <c r="L20" s="1428" t="str">
        <f>IF($B20="","",IF(L$4&gt;2,(K20*(1+'Rent Roll Analysis'!$AK18/12)), IF(AND('Monthly Cash Flow'!L$4&gt;1,'Monthly Cash Flow'!L$4&lt;=2),'Monthly Cash Flow'!K20*(1+'Rent Roll Analysis'!$AE18/12),'Monthly Cash Flow'!K20*(1+'Rent Roll Analysis'!$AB18/12))))</f>
        <v/>
      </c>
      <c r="M20" s="1428" t="str">
        <f>IF($B20="","",IF(M$4&gt;2,(L20*(1+'Rent Roll Analysis'!$AK18/12)), IF(AND('Monthly Cash Flow'!M$4&gt;1,'Monthly Cash Flow'!M$4&lt;=2),'Monthly Cash Flow'!L20*(1+'Rent Roll Analysis'!$AE18/12),'Monthly Cash Flow'!L20*(1+'Rent Roll Analysis'!$AB18/12))))</f>
        <v/>
      </c>
      <c r="N20" s="1428" t="str">
        <f>IF($B20="","",IF(N$4&gt;2,(M20*(1+'Rent Roll Analysis'!$AK18/12)), IF(AND('Monthly Cash Flow'!N$4&gt;1,'Monthly Cash Flow'!N$4&lt;=2),'Monthly Cash Flow'!M20*(1+'Rent Roll Analysis'!$AE18/12),'Monthly Cash Flow'!M20*(1+'Rent Roll Analysis'!$AB18/12))))</f>
        <v/>
      </c>
      <c r="O20" s="1428" t="str">
        <f>IF($B20="","",IF(O$4&gt;2,(N20*(1+'Rent Roll Analysis'!$AK18/12)), IF(AND('Monthly Cash Flow'!O$4&gt;1,'Monthly Cash Flow'!O$4&lt;=2),'Monthly Cash Flow'!N20*(1+'Rent Roll Analysis'!$AE18/12),'Monthly Cash Flow'!N20*(1+'Rent Roll Analysis'!$AB18/12))))</f>
        <v/>
      </c>
      <c r="P20" s="1428" t="str">
        <f>IF($B20="","",IF(P$4&gt;2,(O20*(1+'Rent Roll Analysis'!$AK18/12)), IF(AND('Monthly Cash Flow'!P$4&gt;1,'Monthly Cash Flow'!P$4&lt;=2),'Monthly Cash Flow'!O20*(1+'Rent Roll Analysis'!$AE18/12),'Monthly Cash Flow'!O20*(1+'Rent Roll Analysis'!$AB18/12))))</f>
        <v/>
      </c>
      <c r="Q20" s="1428" t="str">
        <f>IF($B20="","",IF(Q$4&gt;2,(P20*(1+'Rent Roll Analysis'!$AK18/12)), IF(AND('Monthly Cash Flow'!Q$4&gt;1,'Monthly Cash Flow'!Q$4&lt;=2),'Monthly Cash Flow'!P20*(1+'Rent Roll Analysis'!$AE18/12),'Monthly Cash Flow'!P20*(1+'Rent Roll Analysis'!$AB18/12))))</f>
        <v/>
      </c>
      <c r="R20" s="1428" t="str">
        <f>IF($B20="","",IF(R$4&gt;2,(Q20*(1+'Rent Roll Analysis'!$AK18/12)), IF(AND('Monthly Cash Flow'!R$4&gt;1,'Monthly Cash Flow'!R$4&lt;=2),'Monthly Cash Flow'!Q20*(1+'Rent Roll Analysis'!$AE18/12),'Monthly Cash Flow'!Q20*(1+'Rent Roll Analysis'!$AB18/12))))</f>
        <v/>
      </c>
      <c r="S20" s="1428" t="str">
        <f>IF($B20="","",IF(S$4&gt;2,(R20*(1+'Rent Roll Analysis'!$AK18/12)), IF(AND('Monthly Cash Flow'!S$4&gt;1,'Monthly Cash Flow'!S$4&lt;=2),'Monthly Cash Flow'!R20*(1+'Rent Roll Analysis'!$AE18/12),'Monthly Cash Flow'!R20*(1+'Rent Roll Analysis'!$AB18/12))))</f>
        <v/>
      </c>
      <c r="T20" s="1428" t="str">
        <f>IF($B20="","",IF(T$4&gt;2,(S20*(1+'Rent Roll Analysis'!$AK18/12)), IF(AND('Monthly Cash Flow'!T$4&gt;1,'Monthly Cash Flow'!T$4&lt;=2),'Monthly Cash Flow'!S20*(1+'Rent Roll Analysis'!$AE18/12),'Monthly Cash Flow'!S20*(1+'Rent Roll Analysis'!$AB18/12))))</f>
        <v/>
      </c>
      <c r="U20" s="1428" t="str">
        <f>IF($B20="","",IF(U$4&gt;2,(T20*(1+'Rent Roll Analysis'!$AK18/12)), IF(AND('Monthly Cash Flow'!U$4&gt;1,'Monthly Cash Flow'!U$4&lt;=2),'Monthly Cash Flow'!T20*(1+'Rent Roll Analysis'!$AE18/12),'Monthly Cash Flow'!T20*(1+'Rent Roll Analysis'!$AB18/12))))</f>
        <v/>
      </c>
      <c r="V20" s="1428" t="str">
        <f>IF($B20="","",IF(V$4&gt;2,(U20*(1+'Rent Roll Analysis'!$AK18/12)), IF(AND('Monthly Cash Flow'!V$4&gt;1,'Monthly Cash Flow'!V$4&lt;=2),'Monthly Cash Flow'!U20*(1+'Rent Roll Analysis'!$AE18/12),'Monthly Cash Flow'!U20*(1+'Rent Roll Analysis'!$AB18/12))))</f>
        <v/>
      </c>
      <c r="W20" s="1428" t="str">
        <f>IF($B20="","",IF(W$4&gt;2,(V20*(1+'Rent Roll Analysis'!$AK18/12)), IF(AND('Monthly Cash Flow'!W$4&gt;1,'Monthly Cash Flow'!W$4&lt;=2),'Monthly Cash Flow'!V20*(1+'Rent Roll Analysis'!$AE18/12),'Monthly Cash Flow'!V20*(1+'Rent Roll Analysis'!$AB18/12))))</f>
        <v/>
      </c>
      <c r="X20" s="1428" t="str">
        <f>IF($B20="","",IF(X$4&gt;2,(W20*(1+'Rent Roll Analysis'!$AK18/12)), IF(AND('Monthly Cash Flow'!X$4&gt;1,'Monthly Cash Flow'!X$4&lt;=2),'Monthly Cash Flow'!W20*(1+'Rent Roll Analysis'!$AE18/12),'Monthly Cash Flow'!W20*(1+'Rent Roll Analysis'!$AB18/12))))</f>
        <v/>
      </c>
      <c r="Y20" s="1428" t="str">
        <f>IF($B20="","",IF(Y$4&gt;2,(X20*(1+'Rent Roll Analysis'!$AK18/12)), IF(AND('Monthly Cash Flow'!Y$4&gt;1,'Monthly Cash Flow'!Y$4&lt;=2),'Monthly Cash Flow'!X20*(1+'Rent Roll Analysis'!$AE18/12),'Monthly Cash Flow'!X20*(1+'Rent Roll Analysis'!$AB18/12))))</f>
        <v/>
      </c>
      <c r="Z20" s="1428" t="str">
        <f>IF($B20="","",IF(Z$4&gt;2,(Y20*(1+'Rent Roll Analysis'!$AK18/12)), IF(AND('Monthly Cash Flow'!Z$4&gt;1,'Monthly Cash Flow'!Z$4&lt;=2),'Monthly Cash Flow'!Y20*(1+'Rent Roll Analysis'!$AE18/12),'Monthly Cash Flow'!Y20*(1+'Rent Roll Analysis'!$AB18/12))))</f>
        <v/>
      </c>
      <c r="AA20" s="1428" t="str">
        <f>IF($B20="","",IF(AA$4&gt;2,(Z20*(1+'Rent Roll Analysis'!$AK18/12)), IF(AND('Monthly Cash Flow'!AA$4&gt;1,'Monthly Cash Flow'!AA$4&lt;=2),'Monthly Cash Flow'!Z20*(1+'Rent Roll Analysis'!$AE18/12),'Monthly Cash Flow'!Z20*(1+'Rent Roll Analysis'!$AB18/12))))</f>
        <v/>
      </c>
      <c r="AB20" s="1428" t="str">
        <f>IF($B20="","",IF(AB$4&gt;2,(AA20*(1+'Rent Roll Analysis'!$AK18/12)), IF(AND('Monthly Cash Flow'!AB$4&gt;1,'Monthly Cash Flow'!AB$4&lt;=2),'Monthly Cash Flow'!AA20*(1+'Rent Roll Analysis'!$AE18/12),'Monthly Cash Flow'!AA20*(1+'Rent Roll Analysis'!$AB18/12))))</f>
        <v/>
      </c>
      <c r="AC20" s="1428" t="str">
        <f>IF($B20="","",IF(AC$4&gt;2,(AB20*(1+'Rent Roll Analysis'!$AK18/12)), IF(AND('Monthly Cash Flow'!AC$4&gt;1,'Monthly Cash Flow'!AC$4&lt;=2),'Monthly Cash Flow'!AB20*(1+'Rent Roll Analysis'!$AE18/12),'Monthly Cash Flow'!AB20*(1+'Rent Roll Analysis'!$AB18/12))))</f>
        <v/>
      </c>
      <c r="AD20" s="1428" t="str">
        <f>IF($B20="","",IF(AD$4&gt;2,(AC20*(1+'Rent Roll Analysis'!$AK18/12)), IF(AND('Monthly Cash Flow'!AD$4&gt;1,'Monthly Cash Flow'!AD$4&lt;=2),'Monthly Cash Flow'!AC20*(1+'Rent Roll Analysis'!$AE18/12),'Monthly Cash Flow'!AC20*(1+'Rent Roll Analysis'!$AB18/12))))</f>
        <v/>
      </c>
      <c r="AE20" s="1428" t="str">
        <f>IF($B20="","",IF(AE$4&gt;2,(AD20*(1+'Rent Roll Analysis'!$AK18/12)), IF(AND('Monthly Cash Flow'!AE$4&gt;1,'Monthly Cash Flow'!AE$4&lt;=2),'Monthly Cash Flow'!AD20*(1+'Rent Roll Analysis'!$AE18/12),'Monthly Cash Flow'!AD20*(1+'Rent Roll Analysis'!$AB18/12))))</f>
        <v/>
      </c>
      <c r="AF20" s="1428" t="str">
        <f>IF($B20="","",IF(AF$4&gt;2,(AE20*(1+'Rent Roll Analysis'!$AK18/12)), IF(AND('Monthly Cash Flow'!AF$4&gt;1,'Monthly Cash Flow'!AF$4&lt;=2),'Monthly Cash Flow'!AE20*(1+'Rent Roll Analysis'!$AE18/12),'Monthly Cash Flow'!AE20*(1+'Rent Roll Analysis'!$AB18/12))))</f>
        <v/>
      </c>
      <c r="AG20" s="1428" t="str">
        <f>IF($B20="","",IF(AG$4&gt;2,(AF20*(1+'Rent Roll Analysis'!$AK18/12)), IF(AND('Monthly Cash Flow'!AG$4&gt;1,'Monthly Cash Flow'!AG$4&lt;=2),'Monthly Cash Flow'!AF20*(1+'Rent Roll Analysis'!$AE18/12),'Monthly Cash Flow'!AF20*(1+'Rent Roll Analysis'!$AB18/12))))</f>
        <v/>
      </c>
      <c r="AH20" s="1428" t="str">
        <f>IF($B20="","",IF(AH$4&gt;2,(AG20*(1+'Rent Roll Analysis'!$AK18/12)), IF(AND('Monthly Cash Flow'!AH$4&gt;1,'Monthly Cash Flow'!AH$4&lt;=2),'Monthly Cash Flow'!AG20*(1+'Rent Roll Analysis'!$AE18/12),'Monthly Cash Flow'!AG20*(1+'Rent Roll Analysis'!$AB18/12))))</f>
        <v/>
      </c>
      <c r="AI20" s="1428" t="str">
        <f>IF($B20="","",IF(AI$4&gt;2,(AH20*(1+'Rent Roll Analysis'!$AK18/12)), IF(AND('Monthly Cash Flow'!AI$4&gt;1,'Monthly Cash Flow'!AI$4&lt;=2),'Monthly Cash Flow'!AH20*(1+'Rent Roll Analysis'!$AE18/12),'Monthly Cash Flow'!AH20*(1+'Rent Roll Analysis'!$AB18/12))))</f>
        <v/>
      </c>
      <c r="AJ20" s="1428" t="str">
        <f>IF($B20="","",IF(AJ$4&gt;2,(AI20*(1+'Rent Roll Analysis'!$AK18/12)), IF(AND('Monthly Cash Flow'!AJ$4&gt;1,'Monthly Cash Flow'!AJ$4&lt;=2),'Monthly Cash Flow'!AI20*(1+'Rent Roll Analysis'!$AE18/12),'Monthly Cash Flow'!AI20*(1+'Rent Roll Analysis'!$AB18/12))))</f>
        <v/>
      </c>
      <c r="AK20" s="1428" t="str">
        <f>IF($B20="","",IF(AK$4&gt;2,(AJ20*(1+'Rent Roll Analysis'!$AK18/12)), IF(AND('Monthly Cash Flow'!AK$4&gt;1,'Monthly Cash Flow'!AK$4&lt;=2),'Monthly Cash Flow'!AJ20*(1+'Rent Roll Analysis'!$AE18/12),'Monthly Cash Flow'!AJ20*(1+'Rent Roll Analysis'!$AB18/12))))</f>
        <v/>
      </c>
      <c r="AL20" s="1428" t="str">
        <f>IF($B20="","",IF(AL$4&gt;2,(AK20*(1+'Rent Roll Analysis'!$AK18/12)), IF(AND('Monthly Cash Flow'!AL$4&gt;1,'Monthly Cash Flow'!AL$4&lt;=2),'Monthly Cash Flow'!AK20*(1+'Rent Roll Analysis'!$AE18/12),'Monthly Cash Flow'!AK20*(1+'Rent Roll Analysis'!$AB18/12))))</f>
        <v/>
      </c>
      <c r="AM20" s="1428" t="str">
        <f>IF($B20="","",IF(AM$4&gt;2,(AL20*(1+'Rent Roll Analysis'!$AK18/12)), IF(AND('Monthly Cash Flow'!AM$4&gt;1,'Monthly Cash Flow'!AM$4&lt;=2),'Monthly Cash Flow'!AL20*(1+'Rent Roll Analysis'!$AE18/12),'Monthly Cash Flow'!AL20*(1+'Rent Roll Analysis'!$AB18/12))))</f>
        <v/>
      </c>
      <c r="AN20" s="1428" t="str">
        <f>IF($B20="","",IF(AN$4&gt;2,(AM20*(1+'Rent Roll Analysis'!$AK18/12)), IF(AND('Monthly Cash Flow'!AN$4&gt;1,'Monthly Cash Flow'!AN$4&lt;=2),'Monthly Cash Flow'!AM20*(1+'Rent Roll Analysis'!$AE18/12),'Monthly Cash Flow'!AM20*(1+'Rent Roll Analysis'!$AB18/12))))</f>
        <v/>
      </c>
      <c r="AO20" s="1428" t="str">
        <f>IF($B20="","",IF(AO$4&gt;2,(AN20*(1+'Rent Roll Analysis'!$AK18/12)), IF(AND('Monthly Cash Flow'!AO$4&gt;1,'Monthly Cash Flow'!AO$4&lt;=2),'Monthly Cash Flow'!AN20*(1+'Rent Roll Analysis'!$AE18/12),'Monthly Cash Flow'!AN20*(1+'Rent Roll Analysis'!$AB18/12))))</f>
        <v/>
      </c>
      <c r="AP20" s="1428" t="str">
        <f>IF($B20="","",IF(AP$4&gt;2,(AO20*(1+'Rent Roll Analysis'!$AK18/12)), IF(AND('Monthly Cash Flow'!AP$4&gt;1,'Monthly Cash Flow'!AP$4&lt;=2),'Monthly Cash Flow'!AO20*(1+'Rent Roll Analysis'!$AE18/12),'Monthly Cash Flow'!AO20*(1+'Rent Roll Analysis'!$AB18/12))))</f>
        <v/>
      </c>
      <c r="AQ20" s="1428" t="str">
        <f>IF($B20="","",IF(AQ$4&gt;2,(AP20*(1+'Rent Roll Analysis'!$AK18/12)), IF(AND('Monthly Cash Flow'!AQ$4&gt;1,'Monthly Cash Flow'!AQ$4&lt;=2),'Monthly Cash Flow'!AP20*(1+'Rent Roll Analysis'!$AE18/12),'Monthly Cash Flow'!AP20*(1+'Rent Roll Analysis'!$AB18/12))))</f>
        <v/>
      </c>
      <c r="AR20" s="1428" t="str">
        <f>IF($B20="","",IF(AR$4&gt;2,(AQ20*(1+'Rent Roll Analysis'!$AK18/12)), IF(AND('Monthly Cash Flow'!AR$4&gt;1,'Monthly Cash Flow'!AR$4&lt;=2),'Monthly Cash Flow'!AQ20*(1+'Rent Roll Analysis'!$AE18/12),'Monthly Cash Flow'!AQ20*(1+'Rent Roll Analysis'!$AB18/12))))</f>
        <v/>
      </c>
      <c r="AS20" s="1428" t="str">
        <f>IF($B20="","",IF(AS$4&gt;2,(AR20*(1+'Rent Roll Analysis'!$AK18/12)), IF(AND('Monthly Cash Flow'!AS$4&gt;1,'Monthly Cash Flow'!AS$4&lt;=2),'Monthly Cash Flow'!AR20*(1+'Rent Roll Analysis'!$AE18/12),'Monthly Cash Flow'!AR20*(1+'Rent Roll Analysis'!$AB18/12))))</f>
        <v/>
      </c>
      <c r="AT20" s="1428" t="str">
        <f>IF($B20="","",IF(AT$4&gt;2,(AS20*(1+'Rent Roll Analysis'!$AK18/12)), IF(AND('Monthly Cash Flow'!AT$4&gt;1,'Monthly Cash Flow'!AT$4&lt;=2),'Monthly Cash Flow'!AS20*(1+'Rent Roll Analysis'!$AE18/12),'Monthly Cash Flow'!AS20*(1+'Rent Roll Analysis'!$AB18/12))))</f>
        <v/>
      </c>
      <c r="AU20" s="1428" t="str">
        <f>IF($B20="","",IF(AU$4&gt;2,(AT20*(1+'Rent Roll Analysis'!$AK18/12)), IF(AND('Monthly Cash Flow'!AU$4&gt;1,'Monthly Cash Flow'!AU$4&lt;=2),'Monthly Cash Flow'!AT20*(1+'Rent Roll Analysis'!$AE18/12),'Monthly Cash Flow'!AT20*(1+'Rent Roll Analysis'!$AB18/12))))</f>
        <v/>
      </c>
      <c r="AV20" s="1428" t="str">
        <f>IF($B20="","",IF(AV$4&gt;2,(AU20*(1+'Rent Roll Analysis'!$AK18/12)), IF(AND('Monthly Cash Flow'!AV$4&gt;1,'Monthly Cash Flow'!AV$4&lt;=2),'Monthly Cash Flow'!AU20*(1+'Rent Roll Analysis'!$AE18/12),'Monthly Cash Flow'!AU20*(1+'Rent Roll Analysis'!$AB18/12))))</f>
        <v/>
      </c>
      <c r="AW20" s="1428" t="str">
        <f>IF($B20="","",IF(AW$4&gt;2,(AV20*(1+'Rent Roll Analysis'!$AK18/12)), IF(AND('Monthly Cash Flow'!AW$4&gt;1,'Monthly Cash Flow'!AW$4&lt;=2),'Monthly Cash Flow'!AV20*(1+'Rent Roll Analysis'!$AE18/12),'Monthly Cash Flow'!AV20*(1+'Rent Roll Analysis'!$AB18/12))))</f>
        <v/>
      </c>
      <c r="AX20" s="1428" t="str">
        <f>IF($B20="","",IF(AX$4&gt;2,(AW20*(1+'Rent Roll Analysis'!$AK18/12)), IF(AND('Monthly Cash Flow'!AX$4&gt;1,'Monthly Cash Flow'!AX$4&lt;=2),'Monthly Cash Flow'!AW20*(1+'Rent Roll Analysis'!$AE18/12),'Monthly Cash Flow'!AW20*(1+'Rent Roll Analysis'!$AB18/12))))</f>
        <v/>
      </c>
      <c r="AY20" s="1428" t="str">
        <f>IF($B20="","",IF(AY$4&gt;2,(AX20*(1+'Rent Roll Analysis'!$AK18/12)), IF(AND('Monthly Cash Flow'!AY$4&gt;1,'Monthly Cash Flow'!AY$4&lt;=2),'Monthly Cash Flow'!AX20*(1+'Rent Roll Analysis'!$AE18/12),'Monthly Cash Flow'!AX20*(1+'Rent Roll Analysis'!$AB18/12))))</f>
        <v/>
      </c>
      <c r="AZ20" s="1428" t="str">
        <f>IF($B20="","",IF(AZ$4&gt;2,(AY20*(1+'Rent Roll Analysis'!$AK18/12)), IF(AND('Monthly Cash Flow'!AZ$4&gt;1,'Monthly Cash Flow'!AZ$4&lt;=2),'Monthly Cash Flow'!AY20*(1+'Rent Roll Analysis'!$AE18/12),'Monthly Cash Flow'!AY20*(1+'Rent Roll Analysis'!$AB18/12))))</f>
        <v/>
      </c>
      <c r="BA20" s="1428" t="str">
        <f>IF($B20="","",IF(BA$4&gt;2,(AZ20*(1+'Rent Roll Analysis'!$AK18/12)), IF(AND('Monthly Cash Flow'!BA$4&gt;1,'Monthly Cash Flow'!BA$4&lt;=2),'Monthly Cash Flow'!AZ20*(1+'Rent Roll Analysis'!$AE18/12),'Monthly Cash Flow'!AZ20*(1+'Rent Roll Analysis'!$AB18/12))))</f>
        <v/>
      </c>
      <c r="BB20" s="1428" t="str">
        <f>IF($B20="","",IF(BB$4&gt;2,(BA20*(1+'Rent Roll Analysis'!$AK18/12)), IF(AND('Monthly Cash Flow'!BB$4&gt;1,'Monthly Cash Flow'!BB$4&lt;=2),'Monthly Cash Flow'!BA20*(1+'Rent Roll Analysis'!$AE18/12),'Monthly Cash Flow'!BA20*(1+'Rent Roll Analysis'!$AB18/12))))</f>
        <v/>
      </c>
      <c r="BC20" s="1428" t="str">
        <f>IF($B20="","",IF(BC$4&gt;2,(BB20*(1+'Rent Roll Analysis'!$AK18/12)), IF(AND('Monthly Cash Flow'!BC$4&gt;1,'Monthly Cash Flow'!BC$4&lt;=2),'Monthly Cash Flow'!BB20*(1+'Rent Roll Analysis'!$AE18/12),'Monthly Cash Flow'!BB20*(1+'Rent Roll Analysis'!$AB18/12))))</f>
        <v/>
      </c>
      <c r="BD20" s="1428" t="str">
        <f>IF($B20="","",IF(BD$4&gt;2,(BC20*(1+'Rent Roll Analysis'!$AK18/12)), IF(AND('Monthly Cash Flow'!BD$4&gt;1,'Monthly Cash Flow'!BD$4&lt;=2),'Monthly Cash Flow'!BC20*(1+'Rent Roll Analysis'!$AE18/12),'Monthly Cash Flow'!BC20*(1+'Rent Roll Analysis'!$AB18/12))))</f>
        <v/>
      </c>
      <c r="BE20" s="1428" t="str">
        <f>IF($B20="","",IF(BE$4&gt;2,(BD20*(1+'Rent Roll Analysis'!$AK18/12)), IF(AND('Monthly Cash Flow'!BE$4&gt;1,'Monthly Cash Flow'!BE$4&lt;=2),'Monthly Cash Flow'!BD20*(1+'Rent Roll Analysis'!$AE18/12),'Monthly Cash Flow'!BD20*(1+'Rent Roll Analysis'!$AB18/12))))</f>
        <v/>
      </c>
      <c r="BF20" s="1428" t="str">
        <f>IF($B20="","",IF(BF$4&gt;2,(BE20*(1+'Rent Roll Analysis'!$AK18/12)), IF(AND('Monthly Cash Flow'!BF$4&gt;1,'Monthly Cash Flow'!BF$4&lt;=2),'Monthly Cash Flow'!BE20*(1+'Rent Roll Analysis'!$AE18/12),'Monthly Cash Flow'!BE20*(1+'Rent Roll Analysis'!$AB18/12))))</f>
        <v/>
      </c>
      <c r="BG20" s="1428" t="str">
        <f>IF($B20="","",IF(BG$4&gt;2,(BF20*(1+'Rent Roll Analysis'!$AK18/12)), IF(AND('Monthly Cash Flow'!BG$4&gt;1,'Monthly Cash Flow'!BG$4&lt;=2),'Monthly Cash Flow'!BF20*(1+'Rent Roll Analysis'!$AE18/12),'Monthly Cash Flow'!BF20*(1+'Rent Roll Analysis'!$AB18/12))))</f>
        <v/>
      </c>
      <c r="BH20" s="1428" t="str">
        <f>IF($B20="","",IF(BH$4&gt;2,(BG20*(1+'Rent Roll Analysis'!$AK18/12)), IF(AND('Monthly Cash Flow'!BH$4&gt;1,'Monthly Cash Flow'!BH$4&lt;=2),'Monthly Cash Flow'!BG20*(1+'Rent Roll Analysis'!$AE18/12),'Monthly Cash Flow'!BG20*(1+'Rent Roll Analysis'!$AB18/12))))</f>
        <v/>
      </c>
      <c r="BI20" s="1428" t="str">
        <f>IF($B20="","",IF(BI$4&gt;2,(BH20*(1+'Rent Roll Analysis'!$AK18/12)), IF(AND('Monthly Cash Flow'!BI$4&gt;1,'Monthly Cash Flow'!BI$4&lt;=2),'Monthly Cash Flow'!BH20*(1+'Rent Roll Analysis'!$AE18/12),'Monthly Cash Flow'!BH20*(1+'Rent Roll Analysis'!$AB18/12))))</f>
        <v/>
      </c>
      <c r="BJ20" s="1428" t="str">
        <f>IF($B20="","",IF(BJ$4&gt;2,(BI20*(1+'Rent Roll Analysis'!$AK18/12)), IF(AND('Monthly Cash Flow'!BJ$4&gt;1,'Monthly Cash Flow'!BJ$4&lt;=2),'Monthly Cash Flow'!BI20*(1+'Rent Roll Analysis'!$AE18/12),'Monthly Cash Flow'!BI20*(1+'Rent Roll Analysis'!$AB18/12))))</f>
        <v/>
      </c>
      <c r="BK20" s="1428" t="str">
        <f>IF($B20="","",IF(BK$4&gt;2,(BJ20*(1+'Rent Roll Analysis'!$AK18/12)), IF(AND('Monthly Cash Flow'!BK$4&gt;1,'Monthly Cash Flow'!BK$4&lt;=2),'Monthly Cash Flow'!BJ20*(1+'Rent Roll Analysis'!$AE18/12),'Monthly Cash Flow'!BJ20*(1+'Rent Roll Analysis'!$AB18/12))))</f>
        <v/>
      </c>
      <c r="BL20" s="1428" t="str">
        <f>IF($B20="","",IF(BL$4&gt;2,(BK20*(1+'Rent Roll Analysis'!$AK18/12)), IF(AND('Monthly Cash Flow'!BL$4&gt;1,'Monthly Cash Flow'!BL$4&lt;=2),'Monthly Cash Flow'!BK20*(1+'Rent Roll Analysis'!$AE18/12),'Monthly Cash Flow'!BK20*(1+'Rent Roll Analysis'!$AB18/12))))</f>
        <v/>
      </c>
      <c r="BM20" s="1428" t="str">
        <f>IF($B20="","",IF(BM$4&gt;2,(BL20*(1+'Rent Roll Analysis'!$AK18/12)), IF(AND('Monthly Cash Flow'!BM$4&gt;1,'Monthly Cash Flow'!BM$4&lt;=2),'Monthly Cash Flow'!BL20*(1+'Rent Roll Analysis'!$AE18/12),'Monthly Cash Flow'!BL20*(1+'Rent Roll Analysis'!$AB18/12))))</f>
        <v/>
      </c>
      <c r="BN20" s="1428" t="str">
        <f>IF($B20="","",IF(BN$4&gt;2,(BM20*(1+'Rent Roll Analysis'!$AK18/12)), IF(AND('Monthly Cash Flow'!BN$4&gt;1,'Monthly Cash Flow'!BN$4&lt;=2),'Monthly Cash Flow'!BM20*(1+'Rent Roll Analysis'!$AE18/12),'Monthly Cash Flow'!BM20*(1+'Rent Roll Analysis'!$AB18/12))))</f>
        <v/>
      </c>
      <c r="BO20" s="1428" t="str">
        <f>IF($B20="","",IF(BO$4&gt;2,(BN20*(1+'Rent Roll Analysis'!$AK18/12)), IF(AND('Monthly Cash Flow'!BO$4&gt;1,'Monthly Cash Flow'!BO$4&lt;=2),'Monthly Cash Flow'!BN20*(1+'Rent Roll Analysis'!$AE18/12),'Monthly Cash Flow'!BN20*(1+'Rent Roll Analysis'!$AB18/12))))</f>
        <v/>
      </c>
      <c r="BP20" s="1428" t="str">
        <f>IF($B20="","",IF(BP$4&gt;2,(BO20*(1+'Rent Roll Analysis'!$AK18/12)), IF(AND('Monthly Cash Flow'!BP$4&gt;1,'Monthly Cash Flow'!BP$4&lt;=2),'Monthly Cash Flow'!BO20*(1+'Rent Roll Analysis'!$AE18/12),'Monthly Cash Flow'!BO20*(1+'Rent Roll Analysis'!$AB18/12))))</f>
        <v/>
      </c>
      <c r="BQ20" s="1428" t="str">
        <f>IF($B20="","",IF(BQ$4&gt;2,(BP20*(1+'Rent Roll Analysis'!$AK18/12)), IF(AND('Monthly Cash Flow'!BQ$4&gt;1,'Monthly Cash Flow'!BQ$4&lt;=2),'Monthly Cash Flow'!BP20*(1+'Rent Roll Analysis'!$AE18/12),'Monthly Cash Flow'!BP20*(1+'Rent Roll Analysis'!$AB18/12))))</f>
        <v/>
      </c>
      <c r="BR20" s="1428" t="str">
        <f>IF($B20="","",IF(BR$4&gt;2,(BQ20*(1+'Rent Roll Analysis'!$AK18/12)), IF(AND('Monthly Cash Flow'!BR$4&gt;1,'Monthly Cash Flow'!BR$4&lt;=2),'Monthly Cash Flow'!BQ20*(1+'Rent Roll Analysis'!$AE18/12),'Monthly Cash Flow'!BQ20*(1+'Rent Roll Analysis'!$AB18/12))))</f>
        <v/>
      </c>
      <c r="BS20" s="1428" t="str">
        <f>IF($B20="","",IF(BS$4&gt;2,(BR20*(1+'Rent Roll Analysis'!$AK18/12)), IF(AND('Monthly Cash Flow'!BS$4&gt;1,'Monthly Cash Flow'!BS$4&lt;=2),'Monthly Cash Flow'!BR20*(1+'Rent Roll Analysis'!$AE18/12),'Monthly Cash Flow'!BR20*(1+'Rent Roll Analysis'!$AB18/12))))</f>
        <v/>
      </c>
      <c r="BT20" s="1428" t="str">
        <f>IF($B20="","",IF(BT$4&gt;2,(BS20*(1+'Rent Roll Analysis'!$AK18/12)), IF(AND('Monthly Cash Flow'!BT$4&gt;1,'Monthly Cash Flow'!BT$4&lt;=2),'Monthly Cash Flow'!BS20*(1+'Rent Roll Analysis'!$AE18/12),'Monthly Cash Flow'!BS20*(1+'Rent Roll Analysis'!$AB18/12))))</f>
        <v/>
      </c>
      <c r="BU20" s="1428" t="str">
        <f>IF($B20="","",IF(BU$4&gt;2,(BT20*(1+'Rent Roll Analysis'!$AK18/12)), IF(AND('Monthly Cash Flow'!BU$4&gt;1,'Monthly Cash Flow'!BU$4&lt;=2),'Monthly Cash Flow'!BT20*(1+'Rent Roll Analysis'!$AE18/12),'Monthly Cash Flow'!BT20*(1+'Rent Roll Analysis'!$AB18/12))))</f>
        <v/>
      </c>
      <c r="BV20" s="1428" t="str">
        <f>IF($B20="","",IF(BV$4&gt;2,(BU20*(1+'Rent Roll Analysis'!$AK18/12)), IF(AND('Monthly Cash Flow'!BV$4&gt;1,'Monthly Cash Flow'!BV$4&lt;=2),'Monthly Cash Flow'!BU20*(1+'Rent Roll Analysis'!$AE18/12),'Monthly Cash Flow'!BU20*(1+'Rent Roll Analysis'!$AB18/12))))</f>
        <v/>
      </c>
      <c r="BW20" s="1428" t="str">
        <f>IF($B20="","",IF(BW$4&gt;2,(BV20*(1+'Rent Roll Analysis'!$AK18/12)), IF(AND('Monthly Cash Flow'!BW$4&gt;1,'Monthly Cash Flow'!BW$4&lt;=2),'Monthly Cash Flow'!BV20*(1+'Rent Roll Analysis'!$AE18/12),'Monthly Cash Flow'!BV20*(1+'Rent Roll Analysis'!$AB18/12))))</f>
        <v/>
      </c>
      <c r="BX20" s="1428" t="str">
        <f>IF($B20="","",IF(BX$4&gt;2,(BW20*(1+'Rent Roll Analysis'!$AK18/12)), IF(AND('Monthly Cash Flow'!BX$4&gt;1,'Monthly Cash Flow'!BX$4&lt;=2),'Monthly Cash Flow'!BW20*(1+'Rent Roll Analysis'!$AE18/12),'Monthly Cash Flow'!BW20*(1+'Rent Roll Analysis'!$AB18/12))))</f>
        <v/>
      </c>
      <c r="BY20" s="1428" t="str">
        <f>IF($B20="","",IF(BY$4&gt;2,(BX20*(1+'Rent Roll Analysis'!$AK18/12)), IF(AND('Monthly Cash Flow'!BY$4&gt;1,'Monthly Cash Flow'!BY$4&lt;=2),'Monthly Cash Flow'!BX20*(1+'Rent Roll Analysis'!$AE18/12),'Monthly Cash Flow'!BX20*(1+'Rent Roll Analysis'!$AB18/12))))</f>
        <v/>
      </c>
      <c r="BZ20" s="1428" t="str">
        <f>IF($B20="","",IF(BZ$4&gt;2,(BY20*(1+'Rent Roll Analysis'!$AK18/12)), IF(AND('Monthly Cash Flow'!BZ$4&gt;1,'Monthly Cash Flow'!BZ$4&lt;=2),'Monthly Cash Flow'!BY20*(1+'Rent Roll Analysis'!$AE18/12),'Monthly Cash Flow'!BY20*(1+'Rent Roll Analysis'!$AB18/12))))</f>
        <v/>
      </c>
      <c r="CA20" s="1428" t="str">
        <f>IF($B20="","",IF(CA$4&gt;2,(BZ20*(1+'Rent Roll Analysis'!$AK18/12)), IF(AND('Monthly Cash Flow'!CA$4&gt;1,'Monthly Cash Flow'!CA$4&lt;=2),'Monthly Cash Flow'!BZ20*(1+'Rent Roll Analysis'!$AE18/12),'Monthly Cash Flow'!BZ20*(1+'Rent Roll Analysis'!$AB18/12))))</f>
        <v/>
      </c>
      <c r="CB20" s="1428" t="str">
        <f>IF($B20="","",IF(CB$4&gt;2,(CA20*(1+'Rent Roll Analysis'!$AK18/12)), IF(AND('Monthly Cash Flow'!CB$4&gt;1,'Monthly Cash Flow'!CB$4&lt;=2),'Monthly Cash Flow'!CA20*(1+'Rent Roll Analysis'!$AE18/12),'Monthly Cash Flow'!CA20*(1+'Rent Roll Analysis'!$AB18/12))))</f>
        <v/>
      </c>
      <c r="CC20" s="1428" t="str">
        <f>IF($B20="","",IF(CC$4&gt;2,(CB20*(1+'Rent Roll Analysis'!$AK18/12)), IF(AND('Monthly Cash Flow'!CC$4&gt;1,'Monthly Cash Flow'!CC$4&lt;=2),'Monthly Cash Flow'!CB20*(1+'Rent Roll Analysis'!$AE18/12),'Monthly Cash Flow'!CB20*(1+'Rent Roll Analysis'!$AB18/12))))</f>
        <v/>
      </c>
      <c r="CD20" s="1428" t="str">
        <f>IF($B20="","",IF(CD$4&gt;2,(CC20*(1+'Rent Roll Analysis'!$AK18/12)), IF(AND('Monthly Cash Flow'!CD$4&gt;1,'Monthly Cash Flow'!CD$4&lt;=2),'Monthly Cash Flow'!CC20*(1+'Rent Roll Analysis'!$AE18/12),'Monthly Cash Flow'!CC20*(1+'Rent Roll Analysis'!$AB18/12))))</f>
        <v/>
      </c>
      <c r="CE20" s="1428" t="str">
        <f>IF($B20="","",IF(CE$4&gt;2,(CD20*(1+'Rent Roll Analysis'!$AK18/12)), IF(AND('Monthly Cash Flow'!CE$4&gt;1,'Monthly Cash Flow'!CE$4&lt;=2),'Monthly Cash Flow'!CD20*(1+'Rent Roll Analysis'!$AE18/12),'Monthly Cash Flow'!CD20*(1+'Rent Roll Analysis'!$AB18/12))))</f>
        <v/>
      </c>
      <c r="CF20" s="1428" t="str">
        <f>IF($B20="","",IF(CF$4&gt;2,(CE20*(1+'Rent Roll Analysis'!$AK18/12)), IF(AND('Monthly Cash Flow'!CF$4&gt;1,'Monthly Cash Flow'!CF$4&lt;=2),'Monthly Cash Flow'!CE20*(1+'Rent Roll Analysis'!$AE18/12),'Monthly Cash Flow'!CE20*(1+'Rent Roll Analysis'!$AB18/12))))</f>
        <v/>
      </c>
      <c r="CG20" s="1428" t="str">
        <f>IF($B20="","",IF(CG$4&gt;2,(CF20*(1+'Rent Roll Analysis'!$AK18/12)), IF(AND('Monthly Cash Flow'!CG$4&gt;1,'Monthly Cash Flow'!CG$4&lt;=2),'Monthly Cash Flow'!CF20*(1+'Rent Roll Analysis'!$AE18/12),'Monthly Cash Flow'!CF20*(1+'Rent Roll Analysis'!$AB18/12))))</f>
        <v/>
      </c>
      <c r="CH20" s="1428" t="str">
        <f>IF($B20="","",IF(CH$4&gt;2,(CG20*(1+'Rent Roll Analysis'!$AK18/12)), IF(AND('Monthly Cash Flow'!CH$4&gt;1,'Monthly Cash Flow'!CH$4&lt;=2),'Monthly Cash Flow'!CG20*(1+'Rent Roll Analysis'!$AE18/12),'Monthly Cash Flow'!CG20*(1+'Rent Roll Analysis'!$AB18/12))))</f>
        <v/>
      </c>
      <c r="CI20" s="1428" t="str">
        <f>IF($B20="","",IF(CI$4&gt;2,(CH20*(1+'Rent Roll Analysis'!$AK18/12)), IF(AND('Monthly Cash Flow'!CI$4&gt;1,'Monthly Cash Flow'!CI$4&lt;=2),'Monthly Cash Flow'!CH20*(1+'Rent Roll Analysis'!$AE18/12),'Monthly Cash Flow'!CH20*(1+'Rent Roll Analysis'!$AB18/12))))</f>
        <v/>
      </c>
      <c r="CJ20" s="1428" t="str">
        <f>IF($B20="","",IF(CJ$4&gt;2,(CI20*(1+'Rent Roll Analysis'!$AK18/12)), IF(AND('Monthly Cash Flow'!CJ$4&gt;1,'Monthly Cash Flow'!CJ$4&lt;=2),'Monthly Cash Flow'!CI20*(1+'Rent Roll Analysis'!$AE18/12),'Monthly Cash Flow'!CI20*(1+'Rent Roll Analysis'!$AB18/12))))</f>
        <v/>
      </c>
      <c r="CK20" s="1428" t="str">
        <f>IF($B20="","",IF(CK$4&gt;2,(CJ20*(1+'Rent Roll Analysis'!$AK18/12)), IF(AND('Monthly Cash Flow'!CK$4&gt;1,'Monthly Cash Flow'!CK$4&lt;=2),'Monthly Cash Flow'!CJ20*(1+'Rent Roll Analysis'!$AE18/12),'Monthly Cash Flow'!CJ20*(1+'Rent Roll Analysis'!$AB18/12))))</f>
        <v/>
      </c>
      <c r="CL20" s="1428" t="str">
        <f>IF($B20="","",IF(CL$4&gt;2,(CK20*(1+'Rent Roll Analysis'!$AK18/12)), IF(AND('Monthly Cash Flow'!CL$4&gt;1,'Monthly Cash Flow'!CL$4&lt;=2),'Monthly Cash Flow'!CK20*(1+'Rent Roll Analysis'!$AE18/12),'Monthly Cash Flow'!CK20*(1+'Rent Roll Analysis'!$AB18/12))))</f>
        <v/>
      </c>
      <c r="CM20" s="1428" t="str">
        <f>IF($B20="","",IF(CM$4&gt;2,(CL20*(1+'Rent Roll Analysis'!$AK18/12)), IF(AND('Monthly Cash Flow'!CM$4&gt;1,'Monthly Cash Flow'!CM$4&lt;=2),'Monthly Cash Flow'!CL20*(1+'Rent Roll Analysis'!$AE18/12),'Monthly Cash Flow'!CL20*(1+'Rent Roll Analysis'!$AB18/12))))</f>
        <v/>
      </c>
      <c r="CN20" s="1428" t="str">
        <f>IF($B20="","",IF(CN$4&gt;2,(CM20*(1+'Rent Roll Analysis'!$AK18/12)), IF(AND('Monthly Cash Flow'!CN$4&gt;1,'Monthly Cash Flow'!CN$4&lt;=2),'Monthly Cash Flow'!CM20*(1+'Rent Roll Analysis'!$AE18/12),'Monthly Cash Flow'!CM20*(1+'Rent Roll Analysis'!$AB18/12))))</f>
        <v/>
      </c>
      <c r="CO20" s="1428" t="str">
        <f>IF($B20="","",IF(CO$4&gt;2,(CN20*(1+'Rent Roll Analysis'!$AK18/12)), IF(AND('Monthly Cash Flow'!CO$4&gt;1,'Monthly Cash Flow'!CO$4&lt;=2),'Monthly Cash Flow'!CN20*(1+'Rent Roll Analysis'!$AE18/12),'Monthly Cash Flow'!CN20*(1+'Rent Roll Analysis'!$AB18/12))))</f>
        <v/>
      </c>
      <c r="CP20" s="1428" t="str">
        <f>IF($B20="","",IF(CP$4&gt;2,(CO20*(1+'Rent Roll Analysis'!$AK18/12)), IF(AND('Monthly Cash Flow'!CP$4&gt;1,'Monthly Cash Flow'!CP$4&lt;=2),'Monthly Cash Flow'!CO20*(1+'Rent Roll Analysis'!$AE18/12),'Monthly Cash Flow'!CO20*(1+'Rent Roll Analysis'!$AB18/12))))</f>
        <v/>
      </c>
      <c r="CQ20" s="1428" t="str">
        <f>IF($B20="","",IF(CQ$4&gt;2,(CP20*(1+'Rent Roll Analysis'!$AK18/12)), IF(AND('Monthly Cash Flow'!CQ$4&gt;1,'Monthly Cash Flow'!CQ$4&lt;=2),'Monthly Cash Flow'!CP20*(1+'Rent Roll Analysis'!$AE18/12),'Monthly Cash Flow'!CP20*(1+'Rent Roll Analysis'!$AB18/12))))</f>
        <v/>
      </c>
      <c r="CR20" s="1428" t="str">
        <f>IF($B20="","",IF(CR$4&gt;2,(CQ20*(1+'Rent Roll Analysis'!$AK18/12)), IF(AND('Monthly Cash Flow'!CR$4&gt;1,'Monthly Cash Flow'!CR$4&lt;=2),'Monthly Cash Flow'!CQ20*(1+'Rent Roll Analysis'!$AE18/12),'Monthly Cash Flow'!CQ20*(1+'Rent Roll Analysis'!$AB18/12))))</f>
        <v/>
      </c>
      <c r="CS20" s="1428" t="str">
        <f>IF($B20="","",IF(CS$4&gt;2,(CR20*(1+'Rent Roll Analysis'!$AK18/12)), IF(AND('Monthly Cash Flow'!CS$4&gt;1,'Monthly Cash Flow'!CS$4&lt;=2),'Monthly Cash Flow'!CR20*(1+'Rent Roll Analysis'!$AE18/12),'Monthly Cash Flow'!CR20*(1+'Rent Roll Analysis'!$AB18/12))))</f>
        <v/>
      </c>
      <c r="CT20" s="1428" t="str">
        <f>IF($B20="","",IF(CT$4&gt;2,(CS20*(1+'Rent Roll Analysis'!$AK18/12)), IF(AND('Monthly Cash Flow'!CT$4&gt;1,'Monthly Cash Flow'!CT$4&lt;=2),'Monthly Cash Flow'!CS20*(1+'Rent Roll Analysis'!$AE18/12),'Monthly Cash Flow'!CS20*(1+'Rent Roll Analysis'!$AB18/12))))</f>
        <v/>
      </c>
      <c r="CU20" s="1428" t="str">
        <f>IF($B20="","",IF(CU$4&gt;2,(CT20*(1+'Rent Roll Analysis'!$AK18/12)), IF(AND('Monthly Cash Flow'!CU$4&gt;1,'Monthly Cash Flow'!CU$4&lt;=2),'Monthly Cash Flow'!CT20*(1+'Rent Roll Analysis'!$AE18/12),'Monthly Cash Flow'!CT20*(1+'Rent Roll Analysis'!$AB18/12))))</f>
        <v/>
      </c>
      <c r="CV20" s="1428" t="str">
        <f>IF($B20="","",IF(CV$4&gt;2,(CU20*(1+'Rent Roll Analysis'!$AK18/12)), IF(AND('Monthly Cash Flow'!CV$4&gt;1,'Monthly Cash Flow'!CV$4&lt;=2),'Monthly Cash Flow'!CU20*(1+'Rent Roll Analysis'!$AE18/12),'Monthly Cash Flow'!CU20*(1+'Rent Roll Analysis'!$AB18/12))))</f>
        <v/>
      </c>
      <c r="CW20" s="1428" t="str">
        <f>IF($B20="","",IF(CW$4&gt;2,(CV20*(1+'Rent Roll Analysis'!$AK18/12)), IF(AND('Monthly Cash Flow'!CW$4&gt;1,'Monthly Cash Flow'!CW$4&lt;=2),'Monthly Cash Flow'!CV20*(1+'Rent Roll Analysis'!$AE18/12),'Monthly Cash Flow'!CV20*(1+'Rent Roll Analysis'!$AB18/12))))</f>
        <v/>
      </c>
      <c r="CX20" s="1428" t="str">
        <f>IF($B20="","",IF(CX$4&gt;2,(CW20*(1+'Rent Roll Analysis'!$AK18/12)), IF(AND('Monthly Cash Flow'!CX$4&gt;1,'Monthly Cash Flow'!CX$4&lt;=2),'Monthly Cash Flow'!CW20*(1+'Rent Roll Analysis'!$AE18/12),'Monthly Cash Flow'!CW20*(1+'Rent Roll Analysis'!$AB18/12))))</f>
        <v/>
      </c>
      <c r="CY20" s="1428" t="str">
        <f>IF($B20="","",IF(CY$4&gt;2,(CX20*(1+'Rent Roll Analysis'!$AK18/12)), IF(AND('Monthly Cash Flow'!CY$4&gt;1,'Monthly Cash Flow'!CY$4&lt;=2),'Monthly Cash Flow'!CX20*(1+'Rent Roll Analysis'!$AE18/12),'Monthly Cash Flow'!CX20*(1+'Rent Roll Analysis'!$AB18/12))))</f>
        <v/>
      </c>
      <c r="CZ20" s="1428" t="str">
        <f>IF($B20="","",IF(CZ$4&gt;2,(CY20*(1+'Rent Roll Analysis'!$AK18/12)), IF(AND('Monthly Cash Flow'!CZ$4&gt;1,'Monthly Cash Flow'!CZ$4&lt;=2),'Monthly Cash Flow'!CY20*(1+'Rent Roll Analysis'!$AE18/12),'Monthly Cash Flow'!CY20*(1+'Rent Roll Analysis'!$AB18/12))))</f>
        <v/>
      </c>
      <c r="DA20" s="1428" t="str">
        <f>IF($B20="","",IF(DA$4&gt;2,(CZ20*(1+'Rent Roll Analysis'!$AK18/12)), IF(AND('Monthly Cash Flow'!DA$4&gt;1,'Monthly Cash Flow'!DA$4&lt;=2),'Monthly Cash Flow'!CZ20*(1+'Rent Roll Analysis'!$AE18/12),'Monthly Cash Flow'!CZ20*(1+'Rent Roll Analysis'!$AB18/12))))</f>
        <v/>
      </c>
      <c r="DB20" s="1428" t="str">
        <f>IF($B20="","",IF(DB$4&gt;2,(DA20*(1+'Rent Roll Analysis'!$AK18/12)), IF(AND('Monthly Cash Flow'!DB$4&gt;1,'Monthly Cash Flow'!DB$4&lt;=2),'Monthly Cash Flow'!DA20*(1+'Rent Roll Analysis'!$AE18/12),'Monthly Cash Flow'!DA20*(1+'Rent Roll Analysis'!$AB18/12))))</f>
        <v/>
      </c>
      <c r="DC20" s="1428" t="str">
        <f>IF($B20="","",IF(DC$4&gt;2,(DB20*(1+'Rent Roll Analysis'!$AK18/12)), IF(AND('Monthly Cash Flow'!DC$4&gt;1,'Monthly Cash Flow'!DC$4&lt;=2),'Monthly Cash Flow'!DB20*(1+'Rent Roll Analysis'!$AE18/12),'Monthly Cash Flow'!DB20*(1+'Rent Roll Analysis'!$AB18/12))))</f>
        <v/>
      </c>
      <c r="DD20" s="1428" t="str">
        <f>IF($B20="","",IF(DD$4&gt;2,(DC20*(1+'Rent Roll Analysis'!$AK18/12)), IF(AND('Monthly Cash Flow'!DD$4&gt;1,'Monthly Cash Flow'!DD$4&lt;=2),'Monthly Cash Flow'!DC20*(1+'Rent Roll Analysis'!$AE18/12),'Monthly Cash Flow'!DC20*(1+'Rent Roll Analysis'!$AB18/12))))</f>
        <v/>
      </c>
      <c r="DE20" s="1428" t="str">
        <f>IF($B20="","",IF(DE$4&gt;2,(DD20*(1+'Rent Roll Analysis'!$AK18/12)), IF(AND('Monthly Cash Flow'!DE$4&gt;1,'Monthly Cash Flow'!DE$4&lt;=2),'Monthly Cash Flow'!DD20*(1+'Rent Roll Analysis'!$AE18/12),'Monthly Cash Flow'!DD20*(1+'Rent Roll Analysis'!$AB18/12))))</f>
        <v/>
      </c>
      <c r="DF20" s="1428" t="str">
        <f>IF($B20="","",IF(DF$4&gt;2,(DE20*(1+'Rent Roll Analysis'!$AK18/12)), IF(AND('Monthly Cash Flow'!DF$4&gt;1,'Monthly Cash Flow'!DF$4&lt;=2),'Monthly Cash Flow'!DE20*(1+'Rent Roll Analysis'!$AE18/12),'Monthly Cash Flow'!DE20*(1+'Rent Roll Analysis'!$AB18/12))))</f>
        <v/>
      </c>
      <c r="DG20" s="1428" t="str">
        <f>IF($B20="","",IF(DG$4&gt;2,(DF20*(1+'Rent Roll Analysis'!$AK18/12)), IF(AND('Monthly Cash Flow'!DG$4&gt;1,'Monthly Cash Flow'!DG$4&lt;=2),'Monthly Cash Flow'!DF20*(1+'Rent Roll Analysis'!$AE18/12),'Monthly Cash Flow'!DF20*(1+'Rent Roll Analysis'!$AB18/12))))</f>
        <v/>
      </c>
      <c r="DH20" s="1428" t="str">
        <f>IF($B20="","",IF(DH$4&gt;2,(DG20*(1+'Rent Roll Analysis'!$AK18/12)), IF(AND('Monthly Cash Flow'!DH$4&gt;1,'Monthly Cash Flow'!DH$4&lt;=2),'Monthly Cash Flow'!DG20*(1+'Rent Roll Analysis'!$AE18/12),'Monthly Cash Flow'!DG20*(1+'Rent Roll Analysis'!$AB18/12))))</f>
        <v/>
      </c>
      <c r="DI20" s="1428" t="str">
        <f>IF($B20="","",IF(DI$4&gt;2,(DH20*(1+'Rent Roll Analysis'!$AK18/12)), IF(AND('Monthly Cash Flow'!DI$4&gt;1,'Monthly Cash Flow'!DI$4&lt;=2),'Monthly Cash Flow'!DH20*(1+'Rent Roll Analysis'!$AE18/12),'Monthly Cash Flow'!DH20*(1+'Rent Roll Analysis'!$AB18/12))))</f>
        <v/>
      </c>
      <c r="DJ20" s="1428" t="str">
        <f>IF($B20="","",IF(DJ$4&gt;2,(DI20*(1+'Rent Roll Analysis'!$AK18/12)), IF(AND('Monthly Cash Flow'!DJ$4&gt;1,'Monthly Cash Flow'!DJ$4&lt;=2),'Monthly Cash Flow'!DI20*(1+'Rent Roll Analysis'!$AE18/12),'Monthly Cash Flow'!DI20*(1+'Rent Roll Analysis'!$AB18/12))))</f>
        <v/>
      </c>
      <c r="DK20" s="1428" t="str">
        <f>IF($B20="","",IF(DK$4&gt;2,(DJ20*(1+'Rent Roll Analysis'!$AK18/12)), IF(AND('Monthly Cash Flow'!DK$4&gt;1,'Monthly Cash Flow'!DK$4&lt;=2),'Monthly Cash Flow'!DJ20*(1+'Rent Roll Analysis'!$AE18/12),'Monthly Cash Flow'!DJ20*(1+'Rent Roll Analysis'!$AB18/12))))</f>
        <v/>
      </c>
      <c r="DL20" s="1428" t="str">
        <f>IF($B20="","",IF(DL$4&gt;2,(DK20*(1+'Rent Roll Analysis'!$AK18/12)), IF(AND('Monthly Cash Flow'!DL$4&gt;1,'Monthly Cash Flow'!DL$4&lt;=2),'Monthly Cash Flow'!DK20*(1+'Rent Roll Analysis'!$AE18/12),'Monthly Cash Flow'!DK20*(1+'Rent Roll Analysis'!$AB18/12))))</f>
        <v/>
      </c>
      <c r="DM20" s="1428" t="str">
        <f>IF($B20="","",IF(DM$4&gt;2,(DL20*(1+'Rent Roll Analysis'!$AK18/12)), IF(AND('Monthly Cash Flow'!DM$4&gt;1,'Monthly Cash Flow'!DM$4&lt;=2),'Monthly Cash Flow'!DL20*(1+'Rent Roll Analysis'!$AE18/12),'Monthly Cash Flow'!DL20*(1+'Rent Roll Analysis'!$AB18/12))))</f>
        <v/>
      </c>
      <c r="DN20" s="1428" t="str">
        <f>IF($B20="","",IF(DN$4&gt;2,(DM20*(1+'Rent Roll Analysis'!$AK18/12)), IF(AND('Monthly Cash Flow'!DN$4&gt;1,'Monthly Cash Flow'!DN$4&lt;=2),'Monthly Cash Flow'!DM20*(1+'Rent Roll Analysis'!$AE18/12),'Monthly Cash Flow'!DM20*(1+'Rent Roll Analysis'!$AB18/12))))</f>
        <v/>
      </c>
      <c r="DO20" s="1428" t="str">
        <f>IF($B20="","",IF(DO$4&gt;2,(DN20*(1+'Rent Roll Analysis'!$AK18/12)), IF(AND('Monthly Cash Flow'!DO$4&gt;1,'Monthly Cash Flow'!DO$4&lt;=2),'Monthly Cash Flow'!DN20*(1+'Rent Roll Analysis'!$AE18/12),'Monthly Cash Flow'!DN20*(1+'Rent Roll Analysis'!$AB18/12))))</f>
        <v/>
      </c>
      <c r="DP20" s="1428" t="str">
        <f>IF($B20="","",IF(DP$4&gt;2,(DO20*(1+'Rent Roll Analysis'!$AK18/12)), IF(AND('Monthly Cash Flow'!DP$4&gt;1,'Monthly Cash Flow'!DP$4&lt;=2),'Monthly Cash Flow'!DO20*(1+'Rent Roll Analysis'!$AE18/12),'Monthly Cash Flow'!DO20*(1+'Rent Roll Analysis'!$AB18/12))))</f>
        <v/>
      </c>
      <c r="DQ20" s="1428" t="str">
        <f>IF($B20="","",IF(DQ$4&gt;2,(DP20*(1+'Rent Roll Analysis'!$AK18/12)), IF(AND('Monthly Cash Flow'!DQ$4&gt;1,'Monthly Cash Flow'!DQ$4&lt;=2),'Monthly Cash Flow'!DP20*(1+'Rent Roll Analysis'!$AE18/12),'Monthly Cash Flow'!DP20*(1+'Rent Roll Analysis'!$AB18/12))))</f>
        <v/>
      </c>
      <c r="DR20" s="1428" t="str">
        <f>IF($B20="","",IF(DR$4&gt;2,(DQ20*(1+'Rent Roll Analysis'!$AK18/12)), IF(AND('Monthly Cash Flow'!DR$4&gt;1,'Monthly Cash Flow'!DR$4&lt;=2),'Monthly Cash Flow'!DQ20*(1+'Rent Roll Analysis'!$AE18/12),'Monthly Cash Flow'!DQ20*(1+'Rent Roll Analysis'!$AB18/12))))</f>
        <v/>
      </c>
      <c r="DS20" s="1428" t="str">
        <f>IF($B20="","",IF(DS$4&gt;2,(DR20*(1+'Rent Roll Analysis'!$AK18/12)), IF(AND('Monthly Cash Flow'!DS$4&gt;1,'Monthly Cash Flow'!DS$4&lt;=2),'Monthly Cash Flow'!DR20*(1+'Rent Roll Analysis'!$AE18/12),'Monthly Cash Flow'!DR20*(1+'Rent Roll Analysis'!$AB18/12))))</f>
        <v/>
      </c>
      <c r="DT20" s="1428" t="str">
        <f>IF($B20="","",IF(DT$4&gt;2,(DS20*(1+'Rent Roll Analysis'!$AK18/12)), IF(AND('Monthly Cash Flow'!DT$4&gt;1,'Monthly Cash Flow'!DT$4&lt;=2),'Monthly Cash Flow'!DS20*(1+'Rent Roll Analysis'!$AE18/12),'Monthly Cash Flow'!DS20*(1+'Rent Roll Analysis'!$AB18/12))))</f>
        <v/>
      </c>
      <c r="DU20" s="385" t="s">
        <v>557</v>
      </c>
      <c r="DV20" s="375"/>
    </row>
    <row r="21" spans="1:126" s="92" customFormat="1" ht="20.149999999999999" customHeight="1" outlineLevel="1">
      <c r="A21" s="375"/>
      <c r="B21" s="383" t="str">
        <f>'Rent Roll Analysis'!C19</f>
        <v/>
      </c>
      <c r="C21" s="376"/>
      <c r="D21" s="1426" t="str">
        <f>IF('Rent Roll Analysis'!C19="","",'Rent Roll Analysis'!N19*'Rent Roll Analysis'!E19)</f>
        <v/>
      </c>
      <c r="E21" s="1428" t="str">
        <f t="shared" si="113"/>
        <v/>
      </c>
      <c r="F21" s="1428" t="str">
        <f>IF($B21="","",IF(F$4&gt;2,(E21*(1+'Rent Roll Analysis'!$AK19/12)), IF(AND('Monthly Cash Flow'!F$4&gt;1,'Monthly Cash Flow'!F$4&lt;=2),'Monthly Cash Flow'!E21*(1+'Rent Roll Analysis'!$AE19/12),'Monthly Cash Flow'!E21*(1+'Rent Roll Analysis'!$AB19/12))))</f>
        <v/>
      </c>
      <c r="G21" s="1428" t="str">
        <f>IF($B21="","",IF(G$4&gt;2,(F21*(1+'Rent Roll Analysis'!$AK19/12)), IF(AND('Monthly Cash Flow'!G$4&gt;1,'Monthly Cash Flow'!G$4&lt;=2),'Monthly Cash Flow'!F21*(1+'Rent Roll Analysis'!$AE19/12),'Monthly Cash Flow'!F21*(1+'Rent Roll Analysis'!$AB19/12))))</f>
        <v/>
      </c>
      <c r="H21" s="1428" t="str">
        <f>IF($B21="","",IF(H$4&gt;2,(G21*(1+'Rent Roll Analysis'!$AK19/12)), IF(AND('Monthly Cash Flow'!H$4&gt;1,'Monthly Cash Flow'!H$4&lt;=2),'Monthly Cash Flow'!G21*(1+'Rent Roll Analysis'!$AE19/12),'Monthly Cash Flow'!G21*(1+'Rent Roll Analysis'!$AB19/12))))</f>
        <v/>
      </c>
      <c r="I21" s="1428" t="str">
        <f>IF($B21="","",IF(I$4&gt;2,(H21*(1+'Rent Roll Analysis'!$AK19/12)), IF(AND('Monthly Cash Flow'!I$4&gt;1,'Monthly Cash Flow'!I$4&lt;=2),'Monthly Cash Flow'!H21*(1+'Rent Roll Analysis'!$AE19/12),'Monthly Cash Flow'!H21*(1+'Rent Roll Analysis'!$AB19/12))))</f>
        <v/>
      </c>
      <c r="J21" s="1428" t="str">
        <f>IF($B21="","",IF(J$4&gt;2,(I21*(1+'Rent Roll Analysis'!$AK19/12)), IF(AND('Monthly Cash Flow'!J$4&gt;1,'Monthly Cash Flow'!J$4&lt;=2),'Monthly Cash Flow'!I21*(1+'Rent Roll Analysis'!$AE19/12),'Monthly Cash Flow'!I21*(1+'Rent Roll Analysis'!$AB19/12))))</f>
        <v/>
      </c>
      <c r="K21" s="1428" t="str">
        <f>IF($B21="","",IF(K$4&gt;2,(J21*(1+'Rent Roll Analysis'!$AK19/12)), IF(AND('Monthly Cash Flow'!K$4&gt;1,'Monthly Cash Flow'!K$4&lt;=2),'Monthly Cash Flow'!J21*(1+'Rent Roll Analysis'!$AE19/12),'Monthly Cash Flow'!J21*(1+'Rent Roll Analysis'!$AB19/12))))</f>
        <v/>
      </c>
      <c r="L21" s="1428" t="str">
        <f>IF($B21="","",IF(L$4&gt;2,(K21*(1+'Rent Roll Analysis'!$AK19/12)), IF(AND('Monthly Cash Flow'!L$4&gt;1,'Monthly Cash Flow'!L$4&lt;=2),'Monthly Cash Flow'!K21*(1+'Rent Roll Analysis'!$AE19/12),'Monthly Cash Flow'!K21*(1+'Rent Roll Analysis'!$AB19/12))))</f>
        <v/>
      </c>
      <c r="M21" s="1428" t="str">
        <f>IF($B21="","",IF(M$4&gt;2,(L21*(1+'Rent Roll Analysis'!$AK19/12)), IF(AND('Monthly Cash Flow'!M$4&gt;1,'Monthly Cash Flow'!M$4&lt;=2),'Monthly Cash Flow'!L21*(1+'Rent Roll Analysis'!$AE19/12),'Monthly Cash Flow'!L21*(1+'Rent Roll Analysis'!$AB19/12))))</f>
        <v/>
      </c>
      <c r="N21" s="1428" t="str">
        <f>IF($B21="","",IF(N$4&gt;2,(M21*(1+'Rent Roll Analysis'!$AK19/12)), IF(AND('Monthly Cash Flow'!N$4&gt;1,'Monthly Cash Flow'!N$4&lt;=2),'Monthly Cash Flow'!M21*(1+'Rent Roll Analysis'!$AE19/12),'Monthly Cash Flow'!M21*(1+'Rent Roll Analysis'!$AB19/12))))</f>
        <v/>
      </c>
      <c r="O21" s="1428" t="str">
        <f>IF($B21="","",IF(O$4&gt;2,(N21*(1+'Rent Roll Analysis'!$AK19/12)), IF(AND('Monthly Cash Flow'!O$4&gt;1,'Monthly Cash Flow'!O$4&lt;=2),'Monthly Cash Flow'!N21*(1+'Rent Roll Analysis'!$AE19/12),'Monthly Cash Flow'!N21*(1+'Rent Roll Analysis'!$AB19/12))))</f>
        <v/>
      </c>
      <c r="P21" s="1428" t="str">
        <f>IF($B21="","",IF(P$4&gt;2,(O21*(1+'Rent Roll Analysis'!$AK19/12)), IF(AND('Monthly Cash Flow'!P$4&gt;1,'Monthly Cash Flow'!P$4&lt;=2),'Monthly Cash Flow'!O21*(1+'Rent Roll Analysis'!$AE19/12),'Monthly Cash Flow'!O21*(1+'Rent Roll Analysis'!$AB19/12))))</f>
        <v/>
      </c>
      <c r="Q21" s="1428" t="str">
        <f>IF($B21="","",IF(Q$4&gt;2,(P21*(1+'Rent Roll Analysis'!$AK19/12)), IF(AND('Monthly Cash Flow'!Q$4&gt;1,'Monthly Cash Flow'!Q$4&lt;=2),'Monthly Cash Flow'!P21*(1+'Rent Roll Analysis'!$AE19/12),'Monthly Cash Flow'!P21*(1+'Rent Roll Analysis'!$AB19/12))))</f>
        <v/>
      </c>
      <c r="R21" s="1428" t="str">
        <f>IF($B21="","",IF(R$4&gt;2,(Q21*(1+'Rent Roll Analysis'!$AK19/12)), IF(AND('Monthly Cash Flow'!R$4&gt;1,'Monthly Cash Flow'!R$4&lt;=2),'Monthly Cash Flow'!Q21*(1+'Rent Roll Analysis'!$AE19/12),'Monthly Cash Flow'!Q21*(1+'Rent Roll Analysis'!$AB19/12))))</f>
        <v/>
      </c>
      <c r="S21" s="1428" t="str">
        <f>IF($B21="","",IF(S$4&gt;2,(R21*(1+'Rent Roll Analysis'!$AK19/12)), IF(AND('Monthly Cash Flow'!S$4&gt;1,'Monthly Cash Flow'!S$4&lt;=2),'Monthly Cash Flow'!R21*(1+'Rent Roll Analysis'!$AE19/12),'Monthly Cash Flow'!R21*(1+'Rent Roll Analysis'!$AB19/12))))</f>
        <v/>
      </c>
      <c r="T21" s="1428" t="str">
        <f>IF($B21="","",IF(T$4&gt;2,(S21*(1+'Rent Roll Analysis'!$AK19/12)), IF(AND('Monthly Cash Flow'!T$4&gt;1,'Monthly Cash Flow'!T$4&lt;=2),'Monthly Cash Flow'!S21*(1+'Rent Roll Analysis'!$AE19/12),'Monthly Cash Flow'!S21*(1+'Rent Roll Analysis'!$AB19/12))))</f>
        <v/>
      </c>
      <c r="U21" s="1428" t="str">
        <f>IF($B21="","",IF(U$4&gt;2,(T21*(1+'Rent Roll Analysis'!$AK19/12)), IF(AND('Monthly Cash Flow'!U$4&gt;1,'Monthly Cash Flow'!U$4&lt;=2),'Monthly Cash Flow'!T21*(1+'Rent Roll Analysis'!$AE19/12),'Monthly Cash Flow'!T21*(1+'Rent Roll Analysis'!$AB19/12))))</f>
        <v/>
      </c>
      <c r="V21" s="1428" t="str">
        <f>IF($B21="","",IF(V$4&gt;2,(U21*(1+'Rent Roll Analysis'!$AK19/12)), IF(AND('Monthly Cash Flow'!V$4&gt;1,'Monthly Cash Flow'!V$4&lt;=2),'Monthly Cash Flow'!U21*(1+'Rent Roll Analysis'!$AE19/12),'Monthly Cash Flow'!U21*(1+'Rent Roll Analysis'!$AB19/12))))</f>
        <v/>
      </c>
      <c r="W21" s="1428" t="str">
        <f>IF($B21="","",IF(W$4&gt;2,(V21*(1+'Rent Roll Analysis'!$AK19/12)), IF(AND('Monthly Cash Flow'!W$4&gt;1,'Monthly Cash Flow'!W$4&lt;=2),'Monthly Cash Flow'!V21*(1+'Rent Roll Analysis'!$AE19/12),'Monthly Cash Flow'!V21*(1+'Rent Roll Analysis'!$AB19/12))))</f>
        <v/>
      </c>
      <c r="X21" s="1428" t="str">
        <f>IF($B21="","",IF(X$4&gt;2,(W21*(1+'Rent Roll Analysis'!$AK19/12)), IF(AND('Monthly Cash Flow'!X$4&gt;1,'Monthly Cash Flow'!X$4&lt;=2),'Monthly Cash Flow'!W21*(1+'Rent Roll Analysis'!$AE19/12),'Monthly Cash Flow'!W21*(1+'Rent Roll Analysis'!$AB19/12))))</f>
        <v/>
      </c>
      <c r="Y21" s="1428" t="str">
        <f>IF($B21="","",IF(Y$4&gt;2,(X21*(1+'Rent Roll Analysis'!$AK19/12)), IF(AND('Monthly Cash Flow'!Y$4&gt;1,'Monthly Cash Flow'!Y$4&lt;=2),'Monthly Cash Flow'!X21*(1+'Rent Roll Analysis'!$AE19/12),'Monthly Cash Flow'!X21*(1+'Rent Roll Analysis'!$AB19/12))))</f>
        <v/>
      </c>
      <c r="Z21" s="1428" t="str">
        <f>IF($B21="","",IF(Z$4&gt;2,(Y21*(1+'Rent Roll Analysis'!$AK19/12)), IF(AND('Monthly Cash Flow'!Z$4&gt;1,'Monthly Cash Flow'!Z$4&lt;=2),'Monthly Cash Flow'!Y21*(1+'Rent Roll Analysis'!$AE19/12),'Monthly Cash Flow'!Y21*(1+'Rent Roll Analysis'!$AB19/12))))</f>
        <v/>
      </c>
      <c r="AA21" s="1428" t="str">
        <f>IF($B21="","",IF(AA$4&gt;2,(Z21*(1+'Rent Roll Analysis'!$AK19/12)), IF(AND('Monthly Cash Flow'!AA$4&gt;1,'Monthly Cash Flow'!AA$4&lt;=2),'Monthly Cash Flow'!Z21*(1+'Rent Roll Analysis'!$AE19/12),'Monthly Cash Flow'!Z21*(1+'Rent Roll Analysis'!$AB19/12))))</f>
        <v/>
      </c>
      <c r="AB21" s="1428" t="str">
        <f>IF($B21="","",IF(AB$4&gt;2,(AA21*(1+'Rent Roll Analysis'!$AK19/12)), IF(AND('Monthly Cash Flow'!AB$4&gt;1,'Monthly Cash Flow'!AB$4&lt;=2),'Monthly Cash Flow'!AA21*(1+'Rent Roll Analysis'!$AE19/12),'Monthly Cash Flow'!AA21*(1+'Rent Roll Analysis'!$AB19/12))))</f>
        <v/>
      </c>
      <c r="AC21" s="1428" t="str">
        <f>IF($B21="","",IF(AC$4&gt;2,(AB21*(1+'Rent Roll Analysis'!$AK19/12)), IF(AND('Monthly Cash Flow'!AC$4&gt;1,'Monthly Cash Flow'!AC$4&lt;=2),'Monthly Cash Flow'!AB21*(1+'Rent Roll Analysis'!$AE19/12),'Monthly Cash Flow'!AB21*(1+'Rent Roll Analysis'!$AB19/12))))</f>
        <v/>
      </c>
      <c r="AD21" s="1428" t="str">
        <f>IF($B21="","",IF(AD$4&gt;2,(AC21*(1+'Rent Roll Analysis'!$AK19/12)), IF(AND('Monthly Cash Flow'!AD$4&gt;1,'Monthly Cash Flow'!AD$4&lt;=2),'Monthly Cash Flow'!AC21*(1+'Rent Roll Analysis'!$AE19/12),'Monthly Cash Flow'!AC21*(1+'Rent Roll Analysis'!$AB19/12))))</f>
        <v/>
      </c>
      <c r="AE21" s="1428" t="str">
        <f>IF($B21="","",IF(AE$4&gt;2,(AD21*(1+'Rent Roll Analysis'!$AK19/12)), IF(AND('Monthly Cash Flow'!AE$4&gt;1,'Monthly Cash Flow'!AE$4&lt;=2),'Monthly Cash Flow'!AD21*(1+'Rent Roll Analysis'!$AE19/12),'Monthly Cash Flow'!AD21*(1+'Rent Roll Analysis'!$AB19/12))))</f>
        <v/>
      </c>
      <c r="AF21" s="1428" t="str">
        <f>IF($B21="","",IF(AF$4&gt;2,(AE21*(1+'Rent Roll Analysis'!$AK19/12)), IF(AND('Monthly Cash Flow'!AF$4&gt;1,'Monthly Cash Flow'!AF$4&lt;=2),'Monthly Cash Flow'!AE21*(1+'Rent Roll Analysis'!$AE19/12),'Monthly Cash Flow'!AE21*(1+'Rent Roll Analysis'!$AB19/12))))</f>
        <v/>
      </c>
      <c r="AG21" s="1428" t="str">
        <f>IF($B21="","",IF(AG$4&gt;2,(AF21*(1+'Rent Roll Analysis'!$AK19/12)), IF(AND('Monthly Cash Flow'!AG$4&gt;1,'Monthly Cash Flow'!AG$4&lt;=2),'Monthly Cash Flow'!AF21*(1+'Rent Roll Analysis'!$AE19/12),'Monthly Cash Flow'!AF21*(1+'Rent Roll Analysis'!$AB19/12))))</f>
        <v/>
      </c>
      <c r="AH21" s="1428" t="str">
        <f>IF($B21="","",IF(AH$4&gt;2,(AG21*(1+'Rent Roll Analysis'!$AK19/12)), IF(AND('Monthly Cash Flow'!AH$4&gt;1,'Monthly Cash Flow'!AH$4&lt;=2),'Monthly Cash Flow'!AG21*(1+'Rent Roll Analysis'!$AE19/12),'Monthly Cash Flow'!AG21*(1+'Rent Roll Analysis'!$AB19/12))))</f>
        <v/>
      </c>
      <c r="AI21" s="1428" t="str">
        <f>IF($B21="","",IF(AI$4&gt;2,(AH21*(1+'Rent Roll Analysis'!$AK19/12)), IF(AND('Monthly Cash Flow'!AI$4&gt;1,'Monthly Cash Flow'!AI$4&lt;=2),'Monthly Cash Flow'!AH21*(1+'Rent Roll Analysis'!$AE19/12),'Monthly Cash Flow'!AH21*(1+'Rent Roll Analysis'!$AB19/12))))</f>
        <v/>
      </c>
      <c r="AJ21" s="1428" t="str">
        <f>IF($B21="","",IF(AJ$4&gt;2,(AI21*(1+'Rent Roll Analysis'!$AK19/12)), IF(AND('Monthly Cash Flow'!AJ$4&gt;1,'Monthly Cash Flow'!AJ$4&lt;=2),'Monthly Cash Flow'!AI21*(1+'Rent Roll Analysis'!$AE19/12),'Monthly Cash Flow'!AI21*(1+'Rent Roll Analysis'!$AB19/12))))</f>
        <v/>
      </c>
      <c r="AK21" s="1428" t="str">
        <f>IF($B21="","",IF(AK$4&gt;2,(AJ21*(1+'Rent Roll Analysis'!$AK19/12)), IF(AND('Monthly Cash Flow'!AK$4&gt;1,'Monthly Cash Flow'!AK$4&lt;=2),'Monthly Cash Flow'!AJ21*(1+'Rent Roll Analysis'!$AE19/12),'Monthly Cash Flow'!AJ21*(1+'Rent Roll Analysis'!$AB19/12))))</f>
        <v/>
      </c>
      <c r="AL21" s="1428" t="str">
        <f>IF($B21="","",IF(AL$4&gt;2,(AK21*(1+'Rent Roll Analysis'!$AK19/12)), IF(AND('Monthly Cash Flow'!AL$4&gt;1,'Monthly Cash Flow'!AL$4&lt;=2),'Monthly Cash Flow'!AK21*(1+'Rent Roll Analysis'!$AE19/12),'Monthly Cash Flow'!AK21*(1+'Rent Roll Analysis'!$AB19/12))))</f>
        <v/>
      </c>
      <c r="AM21" s="1428" t="str">
        <f>IF($B21="","",IF(AM$4&gt;2,(AL21*(1+'Rent Roll Analysis'!$AK19/12)), IF(AND('Monthly Cash Flow'!AM$4&gt;1,'Monthly Cash Flow'!AM$4&lt;=2),'Monthly Cash Flow'!AL21*(1+'Rent Roll Analysis'!$AE19/12),'Monthly Cash Flow'!AL21*(1+'Rent Roll Analysis'!$AB19/12))))</f>
        <v/>
      </c>
      <c r="AN21" s="1428" t="str">
        <f>IF($B21="","",IF(AN$4&gt;2,(AM21*(1+'Rent Roll Analysis'!$AK19/12)), IF(AND('Monthly Cash Flow'!AN$4&gt;1,'Monthly Cash Flow'!AN$4&lt;=2),'Monthly Cash Flow'!AM21*(1+'Rent Roll Analysis'!$AE19/12),'Monthly Cash Flow'!AM21*(1+'Rent Roll Analysis'!$AB19/12))))</f>
        <v/>
      </c>
      <c r="AO21" s="1428" t="str">
        <f>IF($B21="","",IF(AO$4&gt;2,(AN21*(1+'Rent Roll Analysis'!$AK19/12)), IF(AND('Monthly Cash Flow'!AO$4&gt;1,'Monthly Cash Flow'!AO$4&lt;=2),'Monthly Cash Flow'!AN21*(1+'Rent Roll Analysis'!$AE19/12),'Monthly Cash Flow'!AN21*(1+'Rent Roll Analysis'!$AB19/12))))</f>
        <v/>
      </c>
      <c r="AP21" s="1428" t="str">
        <f>IF($B21="","",IF(AP$4&gt;2,(AO21*(1+'Rent Roll Analysis'!$AK19/12)), IF(AND('Monthly Cash Flow'!AP$4&gt;1,'Monthly Cash Flow'!AP$4&lt;=2),'Monthly Cash Flow'!AO21*(1+'Rent Roll Analysis'!$AE19/12),'Monthly Cash Flow'!AO21*(1+'Rent Roll Analysis'!$AB19/12))))</f>
        <v/>
      </c>
      <c r="AQ21" s="1428" t="str">
        <f>IF($B21="","",IF(AQ$4&gt;2,(AP21*(1+'Rent Roll Analysis'!$AK19/12)), IF(AND('Monthly Cash Flow'!AQ$4&gt;1,'Monthly Cash Flow'!AQ$4&lt;=2),'Monthly Cash Flow'!AP21*(1+'Rent Roll Analysis'!$AE19/12),'Monthly Cash Flow'!AP21*(1+'Rent Roll Analysis'!$AB19/12))))</f>
        <v/>
      </c>
      <c r="AR21" s="1428" t="str">
        <f>IF($B21="","",IF(AR$4&gt;2,(AQ21*(1+'Rent Roll Analysis'!$AK19/12)), IF(AND('Monthly Cash Flow'!AR$4&gt;1,'Monthly Cash Flow'!AR$4&lt;=2),'Monthly Cash Flow'!AQ21*(1+'Rent Roll Analysis'!$AE19/12),'Monthly Cash Flow'!AQ21*(1+'Rent Roll Analysis'!$AB19/12))))</f>
        <v/>
      </c>
      <c r="AS21" s="1428" t="str">
        <f>IF($B21="","",IF(AS$4&gt;2,(AR21*(1+'Rent Roll Analysis'!$AK19/12)), IF(AND('Monthly Cash Flow'!AS$4&gt;1,'Monthly Cash Flow'!AS$4&lt;=2),'Monthly Cash Flow'!AR21*(1+'Rent Roll Analysis'!$AE19/12),'Monthly Cash Flow'!AR21*(1+'Rent Roll Analysis'!$AB19/12))))</f>
        <v/>
      </c>
      <c r="AT21" s="1428" t="str">
        <f>IF($B21="","",IF(AT$4&gt;2,(AS21*(1+'Rent Roll Analysis'!$AK19/12)), IF(AND('Monthly Cash Flow'!AT$4&gt;1,'Monthly Cash Flow'!AT$4&lt;=2),'Monthly Cash Flow'!AS21*(1+'Rent Roll Analysis'!$AE19/12),'Monthly Cash Flow'!AS21*(1+'Rent Roll Analysis'!$AB19/12))))</f>
        <v/>
      </c>
      <c r="AU21" s="1428" t="str">
        <f>IF($B21="","",IF(AU$4&gt;2,(AT21*(1+'Rent Roll Analysis'!$AK19/12)), IF(AND('Monthly Cash Flow'!AU$4&gt;1,'Monthly Cash Flow'!AU$4&lt;=2),'Monthly Cash Flow'!AT21*(1+'Rent Roll Analysis'!$AE19/12),'Monthly Cash Flow'!AT21*(1+'Rent Roll Analysis'!$AB19/12))))</f>
        <v/>
      </c>
      <c r="AV21" s="1428" t="str">
        <f>IF($B21="","",IF(AV$4&gt;2,(AU21*(1+'Rent Roll Analysis'!$AK19/12)), IF(AND('Monthly Cash Flow'!AV$4&gt;1,'Monthly Cash Flow'!AV$4&lt;=2),'Monthly Cash Flow'!AU21*(1+'Rent Roll Analysis'!$AE19/12),'Monthly Cash Flow'!AU21*(1+'Rent Roll Analysis'!$AB19/12))))</f>
        <v/>
      </c>
      <c r="AW21" s="1428" t="str">
        <f>IF($B21="","",IF(AW$4&gt;2,(AV21*(1+'Rent Roll Analysis'!$AK19/12)), IF(AND('Monthly Cash Flow'!AW$4&gt;1,'Monthly Cash Flow'!AW$4&lt;=2),'Monthly Cash Flow'!AV21*(1+'Rent Roll Analysis'!$AE19/12),'Monthly Cash Flow'!AV21*(1+'Rent Roll Analysis'!$AB19/12))))</f>
        <v/>
      </c>
      <c r="AX21" s="1428" t="str">
        <f>IF($B21="","",IF(AX$4&gt;2,(AW21*(1+'Rent Roll Analysis'!$AK19/12)), IF(AND('Monthly Cash Flow'!AX$4&gt;1,'Monthly Cash Flow'!AX$4&lt;=2),'Monthly Cash Flow'!AW21*(1+'Rent Roll Analysis'!$AE19/12),'Monthly Cash Flow'!AW21*(1+'Rent Roll Analysis'!$AB19/12))))</f>
        <v/>
      </c>
      <c r="AY21" s="1428" t="str">
        <f>IF($B21="","",IF(AY$4&gt;2,(AX21*(1+'Rent Roll Analysis'!$AK19/12)), IF(AND('Monthly Cash Flow'!AY$4&gt;1,'Monthly Cash Flow'!AY$4&lt;=2),'Monthly Cash Flow'!AX21*(1+'Rent Roll Analysis'!$AE19/12),'Monthly Cash Flow'!AX21*(1+'Rent Roll Analysis'!$AB19/12))))</f>
        <v/>
      </c>
      <c r="AZ21" s="1428" t="str">
        <f>IF($B21="","",IF(AZ$4&gt;2,(AY21*(1+'Rent Roll Analysis'!$AK19/12)), IF(AND('Monthly Cash Flow'!AZ$4&gt;1,'Monthly Cash Flow'!AZ$4&lt;=2),'Monthly Cash Flow'!AY21*(1+'Rent Roll Analysis'!$AE19/12),'Monthly Cash Flow'!AY21*(1+'Rent Roll Analysis'!$AB19/12))))</f>
        <v/>
      </c>
      <c r="BA21" s="1428" t="str">
        <f>IF($B21="","",IF(BA$4&gt;2,(AZ21*(1+'Rent Roll Analysis'!$AK19/12)), IF(AND('Monthly Cash Flow'!BA$4&gt;1,'Monthly Cash Flow'!BA$4&lt;=2),'Monthly Cash Flow'!AZ21*(1+'Rent Roll Analysis'!$AE19/12),'Monthly Cash Flow'!AZ21*(1+'Rent Roll Analysis'!$AB19/12))))</f>
        <v/>
      </c>
      <c r="BB21" s="1428" t="str">
        <f>IF($B21="","",IF(BB$4&gt;2,(BA21*(1+'Rent Roll Analysis'!$AK19/12)), IF(AND('Monthly Cash Flow'!BB$4&gt;1,'Monthly Cash Flow'!BB$4&lt;=2),'Monthly Cash Flow'!BA21*(1+'Rent Roll Analysis'!$AE19/12),'Monthly Cash Flow'!BA21*(1+'Rent Roll Analysis'!$AB19/12))))</f>
        <v/>
      </c>
      <c r="BC21" s="1428" t="str">
        <f>IF($B21="","",IF(BC$4&gt;2,(BB21*(1+'Rent Roll Analysis'!$AK19/12)), IF(AND('Monthly Cash Flow'!BC$4&gt;1,'Monthly Cash Flow'!BC$4&lt;=2),'Monthly Cash Flow'!BB21*(1+'Rent Roll Analysis'!$AE19/12),'Monthly Cash Flow'!BB21*(1+'Rent Roll Analysis'!$AB19/12))))</f>
        <v/>
      </c>
      <c r="BD21" s="1428" t="str">
        <f>IF($B21="","",IF(BD$4&gt;2,(BC21*(1+'Rent Roll Analysis'!$AK19/12)), IF(AND('Monthly Cash Flow'!BD$4&gt;1,'Monthly Cash Flow'!BD$4&lt;=2),'Monthly Cash Flow'!BC21*(1+'Rent Roll Analysis'!$AE19/12),'Monthly Cash Flow'!BC21*(1+'Rent Roll Analysis'!$AB19/12))))</f>
        <v/>
      </c>
      <c r="BE21" s="1428" t="str">
        <f>IF($B21="","",IF(BE$4&gt;2,(BD21*(1+'Rent Roll Analysis'!$AK19/12)), IF(AND('Monthly Cash Flow'!BE$4&gt;1,'Monthly Cash Flow'!BE$4&lt;=2),'Monthly Cash Flow'!BD21*(1+'Rent Roll Analysis'!$AE19/12),'Monthly Cash Flow'!BD21*(1+'Rent Roll Analysis'!$AB19/12))))</f>
        <v/>
      </c>
      <c r="BF21" s="1428" t="str">
        <f>IF($B21="","",IF(BF$4&gt;2,(BE21*(1+'Rent Roll Analysis'!$AK19/12)), IF(AND('Monthly Cash Flow'!BF$4&gt;1,'Monthly Cash Flow'!BF$4&lt;=2),'Monthly Cash Flow'!BE21*(1+'Rent Roll Analysis'!$AE19/12),'Monthly Cash Flow'!BE21*(1+'Rent Roll Analysis'!$AB19/12))))</f>
        <v/>
      </c>
      <c r="BG21" s="1428" t="str">
        <f>IF($B21="","",IF(BG$4&gt;2,(BF21*(1+'Rent Roll Analysis'!$AK19/12)), IF(AND('Monthly Cash Flow'!BG$4&gt;1,'Monthly Cash Flow'!BG$4&lt;=2),'Monthly Cash Flow'!BF21*(1+'Rent Roll Analysis'!$AE19/12),'Monthly Cash Flow'!BF21*(1+'Rent Roll Analysis'!$AB19/12))))</f>
        <v/>
      </c>
      <c r="BH21" s="1428" t="str">
        <f>IF($B21="","",IF(BH$4&gt;2,(BG21*(1+'Rent Roll Analysis'!$AK19/12)), IF(AND('Monthly Cash Flow'!BH$4&gt;1,'Monthly Cash Flow'!BH$4&lt;=2),'Monthly Cash Flow'!BG21*(1+'Rent Roll Analysis'!$AE19/12),'Monthly Cash Flow'!BG21*(1+'Rent Roll Analysis'!$AB19/12))))</f>
        <v/>
      </c>
      <c r="BI21" s="1428" t="str">
        <f>IF($B21="","",IF(BI$4&gt;2,(BH21*(1+'Rent Roll Analysis'!$AK19/12)), IF(AND('Monthly Cash Flow'!BI$4&gt;1,'Monthly Cash Flow'!BI$4&lt;=2),'Monthly Cash Flow'!BH21*(1+'Rent Roll Analysis'!$AE19/12),'Monthly Cash Flow'!BH21*(1+'Rent Roll Analysis'!$AB19/12))))</f>
        <v/>
      </c>
      <c r="BJ21" s="1428" t="str">
        <f>IF($B21="","",IF(BJ$4&gt;2,(BI21*(1+'Rent Roll Analysis'!$AK19/12)), IF(AND('Monthly Cash Flow'!BJ$4&gt;1,'Monthly Cash Flow'!BJ$4&lt;=2),'Monthly Cash Flow'!BI21*(1+'Rent Roll Analysis'!$AE19/12),'Monthly Cash Flow'!BI21*(1+'Rent Roll Analysis'!$AB19/12))))</f>
        <v/>
      </c>
      <c r="BK21" s="1428" t="str">
        <f>IF($B21="","",IF(BK$4&gt;2,(BJ21*(1+'Rent Roll Analysis'!$AK19/12)), IF(AND('Monthly Cash Flow'!BK$4&gt;1,'Monthly Cash Flow'!BK$4&lt;=2),'Monthly Cash Flow'!BJ21*(1+'Rent Roll Analysis'!$AE19/12),'Monthly Cash Flow'!BJ21*(1+'Rent Roll Analysis'!$AB19/12))))</f>
        <v/>
      </c>
      <c r="BL21" s="1428" t="str">
        <f>IF($B21="","",IF(BL$4&gt;2,(BK21*(1+'Rent Roll Analysis'!$AK19/12)), IF(AND('Monthly Cash Flow'!BL$4&gt;1,'Monthly Cash Flow'!BL$4&lt;=2),'Monthly Cash Flow'!BK21*(1+'Rent Roll Analysis'!$AE19/12),'Monthly Cash Flow'!BK21*(1+'Rent Roll Analysis'!$AB19/12))))</f>
        <v/>
      </c>
      <c r="BM21" s="1428" t="str">
        <f>IF($B21="","",IF(BM$4&gt;2,(BL21*(1+'Rent Roll Analysis'!$AK19/12)), IF(AND('Monthly Cash Flow'!BM$4&gt;1,'Monthly Cash Flow'!BM$4&lt;=2),'Monthly Cash Flow'!BL21*(1+'Rent Roll Analysis'!$AE19/12),'Monthly Cash Flow'!BL21*(1+'Rent Roll Analysis'!$AB19/12))))</f>
        <v/>
      </c>
      <c r="BN21" s="1428" t="str">
        <f>IF($B21="","",IF(BN$4&gt;2,(BM21*(1+'Rent Roll Analysis'!$AK19/12)), IF(AND('Monthly Cash Flow'!BN$4&gt;1,'Monthly Cash Flow'!BN$4&lt;=2),'Monthly Cash Flow'!BM21*(1+'Rent Roll Analysis'!$AE19/12),'Monthly Cash Flow'!BM21*(1+'Rent Roll Analysis'!$AB19/12))))</f>
        <v/>
      </c>
      <c r="BO21" s="1428" t="str">
        <f>IF($B21="","",IF(BO$4&gt;2,(BN21*(1+'Rent Roll Analysis'!$AK19/12)), IF(AND('Monthly Cash Flow'!BO$4&gt;1,'Monthly Cash Flow'!BO$4&lt;=2),'Monthly Cash Flow'!BN21*(1+'Rent Roll Analysis'!$AE19/12),'Monthly Cash Flow'!BN21*(1+'Rent Roll Analysis'!$AB19/12))))</f>
        <v/>
      </c>
      <c r="BP21" s="1428" t="str">
        <f>IF($B21="","",IF(BP$4&gt;2,(BO21*(1+'Rent Roll Analysis'!$AK19/12)), IF(AND('Monthly Cash Flow'!BP$4&gt;1,'Monthly Cash Flow'!BP$4&lt;=2),'Monthly Cash Flow'!BO21*(1+'Rent Roll Analysis'!$AE19/12),'Monthly Cash Flow'!BO21*(1+'Rent Roll Analysis'!$AB19/12))))</f>
        <v/>
      </c>
      <c r="BQ21" s="1428" t="str">
        <f>IF($B21="","",IF(BQ$4&gt;2,(BP21*(1+'Rent Roll Analysis'!$AK19/12)), IF(AND('Monthly Cash Flow'!BQ$4&gt;1,'Monthly Cash Flow'!BQ$4&lt;=2),'Monthly Cash Flow'!BP21*(1+'Rent Roll Analysis'!$AE19/12),'Monthly Cash Flow'!BP21*(1+'Rent Roll Analysis'!$AB19/12))))</f>
        <v/>
      </c>
      <c r="BR21" s="1428" t="str">
        <f>IF($B21="","",IF(BR$4&gt;2,(BQ21*(1+'Rent Roll Analysis'!$AK19/12)), IF(AND('Monthly Cash Flow'!BR$4&gt;1,'Monthly Cash Flow'!BR$4&lt;=2),'Monthly Cash Flow'!BQ21*(1+'Rent Roll Analysis'!$AE19/12),'Monthly Cash Flow'!BQ21*(1+'Rent Roll Analysis'!$AB19/12))))</f>
        <v/>
      </c>
      <c r="BS21" s="1428" t="str">
        <f>IF($B21="","",IF(BS$4&gt;2,(BR21*(1+'Rent Roll Analysis'!$AK19/12)), IF(AND('Monthly Cash Flow'!BS$4&gt;1,'Monthly Cash Flow'!BS$4&lt;=2),'Monthly Cash Flow'!BR21*(1+'Rent Roll Analysis'!$AE19/12),'Monthly Cash Flow'!BR21*(1+'Rent Roll Analysis'!$AB19/12))))</f>
        <v/>
      </c>
      <c r="BT21" s="1428" t="str">
        <f>IF($B21="","",IF(BT$4&gt;2,(BS21*(1+'Rent Roll Analysis'!$AK19/12)), IF(AND('Monthly Cash Flow'!BT$4&gt;1,'Monthly Cash Flow'!BT$4&lt;=2),'Monthly Cash Flow'!BS21*(1+'Rent Roll Analysis'!$AE19/12),'Monthly Cash Flow'!BS21*(1+'Rent Roll Analysis'!$AB19/12))))</f>
        <v/>
      </c>
      <c r="BU21" s="1428" t="str">
        <f>IF($B21="","",IF(BU$4&gt;2,(BT21*(1+'Rent Roll Analysis'!$AK19/12)), IF(AND('Monthly Cash Flow'!BU$4&gt;1,'Monthly Cash Flow'!BU$4&lt;=2),'Monthly Cash Flow'!BT21*(1+'Rent Roll Analysis'!$AE19/12),'Monthly Cash Flow'!BT21*(1+'Rent Roll Analysis'!$AB19/12))))</f>
        <v/>
      </c>
      <c r="BV21" s="1428" t="str">
        <f>IF($B21="","",IF(BV$4&gt;2,(BU21*(1+'Rent Roll Analysis'!$AK19/12)), IF(AND('Monthly Cash Flow'!BV$4&gt;1,'Monthly Cash Flow'!BV$4&lt;=2),'Monthly Cash Flow'!BU21*(1+'Rent Roll Analysis'!$AE19/12),'Monthly Cash Flow'!BU21*(1+'Rent Roll Analysis'!$AB19/12))))</f>
        <v/>
      </c>
      <c r="BW21" s="1428" t="str">
        <f>IF($B21="","",IF(BW$4&gt;2,(BV21*(1+'Rent Roll Analysis'!$AK19/12)), IF(AND('Monthly Cash Flow'!BW$4&gt;1,'Monthly Cash Flow'!BW$4&lt;=2),'Monthly Cash Flow'!BV21*(1+'Rent Roll Analysis'!$AE19/12),'Monthly Cash Flow'!BV21*(1+'Rent Roll Analysis'!$AB19/12))))</f>
        <v/>
      </c>
      <c r="BX21" s="1428" t="str">
        <f>IF($B21="","",IF(BX$4&gt;2,(BW21*(1+'Rent Roll Analysis'!$AK19/12)), IF(AND('Monthly Cash Flow'!BX$4&gt;1,'Monthly Cash Flow'!BX$4&lt;=2),'Monthly Cash Flow'!BW21*(1+'Rent Roll Analysis'!$AE19/12),'Monthly Cash Flow'!BW21*(1+'Rent Roll Analysis'!$AB19/12))))</f>
        <v/>
      </c>
      <c r="BY21" s="1428" t="str">
        <f>IF($B21="","",IF(BY$4&gt;2,(BX21*(1+'Rent Roll Analysis'!$AK19/12)), IF(AND('Monthly Cash Flow'!BY$4&gt;1,'Monthly Cash Flow'!BY$4&lt;=2),'Monthly Cash Flow'!BX21*(1+'Rent Roll Analysis'!$AE19/12),'Monthly Cash Flow'!BX21*(1+'Rent Roll Analysis'!$AB19/12))))</f>
        <v/>
      </c>
      <c r="BZ21" s="1428" t="str">
        <f>IF($B21="","",IF(BZ$4&gt;2,(BY21*(1+'Rent Roll Analysis'!$AK19/12)), IF(AND('Monthly Cash Flow'!BZ$4&gt;1,'Monthly Cash Flow'!BZ$4&lt;=2),'Monthly Cash Flow'!BY21*(1+'Rent Roll Analysis'!$AE19/12),'Monthly Cash Flow'!BY21*(1+'Rent Roll Analysis'!$AB19/12))))</f>
        <v/>
      </c>
      <c r="CA21" s="1428" t="str">
        <f>IF($B21="","",IF(CA$4&gt;2,(BZ21*(1+'Rent Roll Analysis'!$AK19/12)), IF(AND('Monthly Cash Flow'!CA$4&gt;1,'Monthly Cash Flow'!CA$4&lt;=2),'Monthly Cash Flow'!BZ21*(1+'Rent Roll Analysis'!$AE19/12),'Monthly Cash Flow'!BZ21*(1+'Rent Roll Analysis'!$AB19/12))))</f>
        <v/>
      </c>
      <c r="CB21" s="1428" t="str">
        <f>IF($B21="","",IF(CB$4&gt;2,(CA21*(1+'Rent Roll Analysis'!$AK19/12)), IF(AND('Monthly Cash Flow'!CB$4&gt;1,'Monthly Cash Flow'!CB$4&lt;=2),'Monthly Cash Flow'!CA21*(1+'Rent Roll Analysis'!$AE19/12),'Monthly Cash Flow'!CA21*(1+'Rent Roll Analysis'!$AB19/12))))</f>
        <v/>
      </c>
      <c r="CC21" s="1428" t="str">
        <f>IF($B21="","",IF(CC$4&gt;2,(CB21*(1+'Rent Roll Analysis'!$AK19/12)), IF(AND('Monthly Cash Flow'!CC$4&gt;1,'Monthly Cash Flow'!CC$4&lt;=2),'Monthly Cash Flow'!CB21*(1+'Rent Roll Analysis'!$AE19/12),'Monthly Cash Flow'!CB21*(1+'Rent Roll Analysis'!$AB19/12))))</f>
        <v/>
      </c>
      <c r="CD21" s="1428" t="str">
        <f>IF($B21="","",IF(CD$4&gt;2,(CC21*(1+'Rent Roll Analysis'!$AK19/12)), IF(AND('Monthly Cash Flow'!CD$4&gt;1,'Monthly Cash Flow'!CD$4&lt;=2),'Monthly Cash Flow'!CC21*(1+'Rent Roll Analysis'!$AE19/12),'Monthly Cash Flow'!CC21*(1+'Rent Roll Analysis'!$AB19/12))))</f>
        <v/>
      </c>
      <c r="CE21" s="1428" t="str">
        <f>IF($B21="","",IF(CE$4&gt;2,(CD21*(1+'Rent Roll Analysis'!$AK19/12)), IF(AND('Monthly Cash Flow'!CE$4&gt;1,'Monthly Cash Flow'!CE$4&lt;=2),'Monthly Cash Flow'!CD21*(1+'Rent Roll Analysis'!$AE19/12),'Monthly Cash Flow'!CD21*(1+'Rent Roll Analysis'!$AB19/12))))</f>
        <v/>
      </c>
      <c r="CF21" s="1428" t="str">
        <f>IF($B21="","",IF(CF$4&gt;2,(CE21*(1+'Rent Roll Analysis'!$AK19/12)), IF(AND('Monthly Cash Flow'!CF$4&gt;1,'Monthly Cash Flow'!CF$4&lt;=2),'Monthly Cash Flow'!CE21*(1+'Rent Roll Analysis'!$AE19/12),'Monthly Cash Flow'!CE21*(1+'Rent Roll Analysis'!$AB19/12))))</f>
        <v/>
      </c>
      <c r="CG21" s="1428" t="str">
        <f>IF($B21="","",IF(CG$4&gt;2,(CF21*(1+'Rent Roll Analysis'!$AK19/12)), IF(AND('Monthly Cash Flow'!CG$4&gt;1,'Monthly Cash Flow'!CG$4&lt;=2),'Monthly Cash Flow'!CF21*(1+'Rent Roll Analysis'!$AE19/12),'Monthly Cash Flow'!CF21*(1+'Rent Roll Analysis'!$AB19/12))))</f>
        <v/>
      </c>
      <c r="CH21" s="1428" t="str">
        <f>IF($B21="","",IF(CH$4&gt;2,(CG21*(1+'Rent Roll Analysis'!$AK19/12)), IF(AND('Monthly Cash Flow'!CH$4&gt;1,'Monthly Cash Flow'!CH$4&lt;=2),'Monthly Cash Flow'!CG21*(1+'Rent Roll Analysis'!$AE19/12),'Monthly Cash Flow'!CG21*(1+'Rent Roll Analysis'!$AB19/12))))</f>
        <v/>
      </c>
      <c r="CI21" s="1428" t="str">
        <f>IF($B21="","",IF(CI$4&gt;2,(CH21*(1+'Rent Roll Analysis'!$AK19/12)), IF(AND('Monthly Cash Flow'!CI$4&gt;1,'Monthly Cash Flow'!CI$4&lt;=2),'Monthly Cash Flow'!CH21*(1+'Rent Roll Analysis'!$AE19/12),'Monthly Cash Flow'!CH21*(1+'Rent Roll Analysis'!$AB19/12))))</f>
        <v/>
      </c>
      <c r="CJ21" s="1428" t="str">
        <f>IF($B21="","",IF(CJ$4&gt;2,(CI21*(1+'Rent Roll Analysis'!$AK19/12)), IF(AND('Monthly Cash Flow'!CJ$4&gt;1,'Monthly Cash Flow'!CJ$4&lt;=2),'Monthly Cash Flow'!CI21*(1+'Rent Roll Analysis'!$AE19/12),'Monthly Cash Flow'!CI21*(1+'Rent Roll Analysis'!$AB19/12))))</f>
        <v/>
      </c>
      <c r="CK21" s="1428" t="str">
        <f>IF($B21="","",IF(CK$4&gt;2,(CJ21*(1+'Rent Roll Analysis'!$AK19/12)), IF(AND('Monthly Cash Flow'!CK$4&gt;1,'Monthly Cash Flow'!CK$4&lt;=2),'Monthly Cash Flow'!CJ21*(1+'Rent Roll Analysis'!$AE19/12),'Monthly Cash Flow'!CJ21*(1+'Rent Roll Analysis'!$AB19/12))))</f>
        <v/>
      </c>
      <c r="CL21" s="1428" t="str">
        <f>IF($B21="","",IF(CL$4&gt;2,(CK21*(1+'Rent Roll Analysis'!$AK19/12)), IF(AND('Monthly Cash Flow'!CL$4&gt;1,'Monthly Cash Flow'!CL$4&lt;=2),'Monthly Cash Flow'!CK21*(1+'Rent Roll Analysis'!$AE19/12),'Monthly Cash Flow'!CK21*(1+'Rent Roll Analysis'!$AB19/12))))</f>
        <v/>
      </c>
      <c r="CM21" s="1428" t="str">
        <f>IF($B21="","",IF(CM$4&gt;2,(CL21*(1+'Rent Roll Analysis'!$AK19/12)), IF(AND('Monthly Cash Flow'!CM$4&gt;1,'Monthly Cash Flow'!CM$4&lt;=2),'Monthly Cash Flow'!CL21*(1+'Rent Roll Analysis'!$AE19/12),'Monthly Cash Flow'!CL21*(1+'Rent Roll Analysis'!$AB19/12))))</f>
        <v/>
      </c>
      <c r="CN21" s="1428" t="str">
        <f>IF($B21="","",IF(CN$4&gt;2,(CM21*(1+'Rent Roll Analysis'!$AK19/12)), IF(AND('Monthly Cash Flow'!CN$4&gt;1,'Monthly Cash Flow'!CN$4&lt;=2),'Monthly Cash Flow'!CM21*(1+'Rent Roll Analysis'!$AE19/12),'Monthly Cash Flow'!CM21*(1+'Rent Roll Analysis'!$AB19/12))))</f>
        <v/>
      </c>
      <c r="CO21" s="1428" t="str">
        <f>IF($B21="","",IF(CO$4&gt;2,(CN21*(1+'Rent Roll Analysis'!$AK19/12)), IF(AND('Monthly Cash Flow'!CO$4&gt;1,'Monthly Cash Flow'!CO$4&lt;=2),'Monthly Cash Flow'!CN21*(1+'Rent Roll Analysis'!$AE19/12),'Monthly Cash Flow'!CN21*(1+'Rent Roll Analysis'!$AB19/12))))</f>
        <v/>
      </c>
      <c r="CP21" s="1428" t="str">
        <f>IF($B21="","",IF(CP$4&gt;2,(CO21*(1+'Rent Roll Analysis'!$AK19/12)), IF(AND('Monthly Cash Flow'!CP$4&gt;1,'Monthly Cash Flow'!CP$4&lt;=2),'Monthly Cash Flow'!CO21*(1+'Rent Roll Analysis'!$AE19/12),'Monthly Cash Flow'!CO21*(1+'Rent Roll Analysis'!$AB19/12))))</f>
        <v/>
      </c>
      <c r="CQ21" s="1428" t="str">
        <f>IF($B21="","",IF(CQ$4&gt;2,(CP21*(1+'Rent Roll Analysis'!$AK19/12)), IF(AND('Monthly Cash Flow'!CQ$4&gt;1,'Monthly Cash Flow'!CQ$4&lt;=2),'Monthly Cash Flow'!CP21*(1+'Rent Roll Analysis'!$AE19/12),'Monthly Cash Flow'!CP21*(1+'Rent Roll Analysis'!$AB19/12))))</f>
        <v/>
      </c>
      <c r="CR21" s="1428" t="str">
        <f>IF($B21="","",IF(CR$4&gt;2,(CQ21*(1+'Rent Roll Analysis'!$AK19/12)), IF(AND('Monthly Cash Flow'!CR$4&gt;1,'Monthly Cash Flow'!CR$4&lt;=2),'Monthly Cash Flow'!CQ21*(1+'Rent Roll Analysis'!$AE19/12),'Monthly Cash Flow'!CQ21*(1+'Rent Roll Analysis'!$AB19/12))))</f>
        <v/>
      </c>
      <c r="CS21" s="1428" t="str">
        <f>IF($B21="","",IF(CS$4&gt;2,(CR21*(1+'Rent Roll Analysis'!$AK19/12)), IF(AND('Monthly Cash Flow'!CS$4&gt;1,'Monthly Cash Flow'!CS$4&lt;=2),'Monthly Cash Flow'!CR21*(1+'Rent Roll Analysis'!$AE19/12),'Monthly Cash Flow'!CR21*(1+'Rent Roll Analysis'!$AB19/12))))</f>
        <v/>
      </c>
      <c r="CT21" s="1428" t="str">
        <f>IF($B21="","",IF(CT$4&gt;2,(CS21*(1+'Rent Roll Analysis'!$AK19/12)), IF(AND('Monthly Cash Flow'!CT$4&gt;1,'Monthly Cash Flow'!CT$4&lt;=2),'Monthly Cash Flow'!CS21*(1+'Rent Roll Analysis'!$AE19/12),'Monthly Cash Flow'!CS21*(1+'Rent Roll Analysis'!$AB19/12))))</f>
        <v/>
      </c>
      <c r="CU21" s="1428" t="str">
        <f>IF($B21="","",IF(CU$4&gt;2,(CT21*(1+'Rent Roll Analysis'!$AK19/12)), IF(AND('Monthly Cash Flow'!CU$4&gt;1,'Monthly Cash Flow'!CU$4&lt;=2),'Monthly Cash Flow'!CT21*(1+'Rent Roll Analysis'!$AE19/12),'Monthly Cash Flow'!CT21*(1+'Rent Roll Analysis'!$AB19/12))))</f>
        <v/>
      </c>
      <c r="CV21" s="1428" t="str">
        <f>IF($B21="","",IF(CV$4&gt;2,(CU21*(1+'Rent Roll Analysis'!$AK19/12)), IF(AND('Monthly Cash Flow'!CV$4&gt;1,'Monthly Cash Flow'!CV$4&lt;=2),'Monthly Cash Flow'!CU21*(1+'Rent Roll Analysis'!$AE19/12),'Monthly Cash Flow'!CU21*(1+'Rent Roll Analysis'!$AB19/12))))</f>
        <v/>
      </c>
      <c r="CW21" s="1428" t="str">
        <f>IF($B21="","",IF(CW$4&gt;2,(CV21*(1+'Rent Roll Analysis'!$AK19/12)), IF(AND('Monthly Cash Flow'!CW$4&gt;1,'Monthly Cash Flow'!CW$4&lt;=2),'Monthly Cash Flow'!CV21*(1+'Rent Roll Analysis'!$AE19/12),'Monthly Cash Flow'!CV21*(1+'Rent Roll Analysis'!$AB19/12))))</f>
        <v/>
      </c>
      <c r="CX21" s="1428" t="str">
        <f>IF($B21="","",IF(CX$4&gt;2,(CW21*(1+'Rent Roll Analysis'!$AK19/12)), IF(AND('Monthly Cash Flow'!CX$4&gt;1,'Monthly Cash Flow'!CX$4&lt;=2),'Monthly Cash Flow'!CW21*(1+'Rent Roll Analysis'!$AE19/12),'Monthly Cash Flow'!CW21*(1+'Rent Roll Analysis'!$AB19/12))))</f>
        <v/>
      </c>
      <c r="CY21" s="1428" t="str">
        <f>IF($B21="","",IF(CY$4&gt;2,(CX21*(1+'Rent Roll Analysis'!$AK19/12)), IF(AND('Monthly Cash Flow'!CY$4&gt;1,'Monthly Cash Flow'!CY$4&lt;=2),'Monthly Cash Flow'!CX21*(1+'Rent Roll Analysis'!$AE19/12),'Monthly Cash Flow'!CX21*(1+'Rent Roll Analysis'!$AB19/12))))</f>
        <v/>
      </c>
      <c r="CZ21" s="1428" t="str">
        <f>IF($B21="","",IF(CZ$4&gt;2,(CY21*(1+'Rent Roll Analysis'!$AK19/12)), IF(AND('Monthly Cash Flow'!CZ$4&gt;1,'Monthly Cash Flow'!CZ$4&lt;=2),'Monthly Cash Flow'!CY21*(1+'Rent Roll Analysis'!$AE19/12),'Monthly Cash Flow'!CY21*(1+'Rent Roll Analysis'!$AB19/12))))</f>
        <v/>
      </c>
      <c r="DA21" s="1428" t="str">
        <f>IF($B21="","",IF(DA$4&gt;2,(CZ21*(1+'Rent Roll Analysis'!$AK19/12)), IF(AND('Monthly Cash Flow'!DA$4&gt;1,'Monthly Cash Flow'!DA$4&lt;=2),'Monthly Cash Flow'!CZ21*(1+'Rent Roll Analysis'!$AE19/12),'Monthly Cash Flow'!CZ21*(1+'Rent Roll Analysis'!$AB19/12))))</f>
        <v/>
      </c>
      <c r="DB21" s="1428" t="str">
        <f>IF($B21="","",IF(DB$4&gt;2,(DA21*(1+'Rent Roll Analysis'!$AK19/12)), IF(AND('Monthly Cash Flow'!DB$4&gt;1,'Monthly Cash Flow'!DB$4&lt;=2),'Monthly Cash Flow'!DA21*(1+'Rent Roll Analysis'!$AE19/12),'Monthly Cash Flow'!DA21*(1+'Rent Roll Analysis'!$AB19/12))))</f>
        <v/>
      </c>
      <c r="DC21" s="1428" t="str">
        <f>IF($B21="","",IF(DC$4&gt;2,(DB21*(1+'Rent Roll Analysis'!$AK19/12)), IF(AND('Monthly Cash Flow'!DC$4&gt;1,'Monthly Cash Flow'!DC$4&lt;=2),'Monthly Cash Flow'!DB21*(1+'Rent Roll Analysis'!$AE19/12),'Monthly Cash Flow'!DB21*(1+'Rent Roll Analysis'!$AB19/12))))</f>
        <v/>
      </c>
      <c r="DD21" s="1428" t="str">
        <f>IF($B21="","",IF(DD$4&gt;2,(DC21*(1+'Rent Roll Analysis'!$AK19/12)), IF(AND('Monthly Cash Flow'!DD$4&gt;1,'Monthly Cash Flow'!DD$4&lt;=2),'Monthly Cash Flow'!DC21*(1+'Rent Roll Analysis'!$AE19/12),'Monthly Cash Flow'!DC21*(1+'Rent Roll Analysis'!$AB19/12))))</f>
        <v/>
      </c>
      <c r="DE21" s="1428" t="str">
        <f>IF($B21="","",IF(DE$4&gt;2,(DD21*(1+'Rent Roll Analysis'!$AK19/12)), IF(AND('Monthly Cash Flow'!DE$4&gt;1,'Monthly Cash Flow'!DE$4&lt;=2),'Monthly Cash Flow'!DD21*(1+'Rent Roll Analysis'!$AE19/12),'Monthly Cash Flow'!DD21*(1+'Rent Roll Analysis'!$AB19/12))))</f>
        <v/>
      </c>
      <c r="DF21" s="1428" t="str">
        <f>IF($B21="","",IF(DF$4&gt;2,(DE21*(1+'Rent Roll Analysis'!$AK19/12)), IF(AND('Monthly Cash Flow'!DF$4&gt;1,'Monthly Cash Flow'!DF$4&lt;=2),'Monthly Cash Flow'!DE21*(1+'Rent Roll Analysis'!$AE19/12),'Monthly Cash Flow'!DE21*(1+'Rent Roll Analysis'!$AB19/12))))</f>
        <v/>
      </c>
      <c r="DG21" s="1428" t="str">
        <f>IF($B21="","",IF(DG$4&gt;2,(DF21*(1+'Rent Roll Analysis'!$AK19/12)), IF(AND('Monthly Cash Flow'!DG$4&gt;1,'Monthly Cash Flow'!DG$4&lt;=2),'Monthly Cash Flow'!DF21*(1+'Rent Roll Analysis'!$AE19/12),'Monthly Cash Flow'!DF21*(1+'Rent Roll Analysis'!$AB19/12))))</f>
        <v/>
      </c>
      <c r="DH21" s="1428" t="str">
        <f>IF($B21="","",IF(DH$4&gt;2,(DG21*(1+'Rent Roll Analysis'!$AK19/12)), IF(AND('Monthly Cash Flow'!DH$4&gt;1,'Monthly Cash Flow'!DH$4&lt;=2),'Monthly Cash Flow'!DG21*(1+'Rent Roll Analysis'!$AE19/12),'Monthly Cash Flow'!DG21*(1+'Rent Roll Analysis'!$AB19/12))))</f>
        <v/>
      </c>
      <c r="DI21" s="1428" t="str">
        <f>IF($B21="","",IF(DI$4&gt;2,(DH21*(1+'Rent Roll Analysis'!$AK19/12)), IF(AND('Monthly Cash Flow'!DI$4&gt;1,'Monthly Cash Flow'!DI$4&lt;=2),'Monthly Cash Flow'!DH21*(1+'Rent Roll Analysis'!$AE19/12),'Monthly Cash Flow'!DH21*(1+'Rent Roll Analysis'!$AB19/12))))</f>
        <v/>
      </c>
      <c r="DJ21" s="1428" t="str">
        <f>IF($B21="","",IF(DJ$4&gt;2,(DI21*(1+'Rent Roll Analysis'!$AK19/12)), IF(AND('Monthly Cash Flow'!DJ$4&gt;1,'Monthly Cash Flow'!DJ$4&lt;=2),'Monthly Cash Flow'!DI21*(1+'Rent Roll Analysis'!$AE19/12),'Monthly Cash Flow'!DI21*(1+'Rent Roll Analysis'!$AB19/12))))</f>
        <v/>
      </c>
      <c r="DK21" s="1428" t="str">
        <f>IF($B21="","",IF(DK$4&gt;2,(DJ21*(1+'Rent Roll Analysis'!$AK19/12)), IF(AND('Monthly Cash Flow'!DK$4&gt;1,'Monthly Cash Flow'!DK$4&lt;=2),'Monthly Cash Flow'!DJ21*(1+'Rent Roll Analysis'!$AE19/12),'Monthly Cash Flow'!DJ21*(1+'Rent Roll Analysis'!$AB19/12))))</f>
        <v/>
      </c>
      <c r="DL21" s="1428" t="str">
        <f>IF($B21="","",IF(DL$4&gt;2,(DK21*(1+'Rent Roll Analysis'!$AK19/12)), IF(AND('Monthly Cash Flow'!DL$4&gt;1,'Monthly Cash Flow'!DL$4&lt;=2),'Monthly Cash Flow'!DK21*(1+'Rent Roll Analysis'!$AE19/12),'Monthly Cash Flow'!DK21*(1+'Rent Roll Analysis'!$AB19/12))))</f>
        <v/>
      </c>
      <c r="DM21" s="1428" t="str">
        <f>IF($B21="","",IF(DM$4&gt;2,(DL21*(1+'Rent Roll Analysis'!$AK19/12)), IF(AND('Monthly Cash Flow'!DM$4&gt;1,'Monthly Cash Flow'!DM$4&lt;=2),'Monthly Cash Flow'!DL21*(1+'Rent Roll Analysis'!$AE19/12),'Monthly Cash Flow'!DL21*(1+'Rent Roll Analysis'!$AB19/12))))</f>
        <v/>
      </c>
      <c r="DN21" s="1428" t="str">
        <f>IF($B21="","",IF(DN$4&gt;2,(DM21*(1+'Rent Roll Analysis'!$AK19/12)), IF(AND('Monthly Cash Flow'!DN$4&gt;1,'Monthly Cash Flow'!DN$4&lt;=2),'Monthly Cash Flow'!DM21*(1+'Rent Roll Analysis'!$AE19/12),'Monthly Cash Flow'!DM21*(1+'Rent Roll Analysis'!$AB19/12))))</f>
        <v/>
      </c>
      <c r="DO21" s="1428" t="str">
        <f>IF($B21="","",IF(DO$4&gt;2,(DN21*(1+'Rent Roll Analysis'!$AK19/12)), IF(AND('Monthly Cash Flow'!DO$4&gt;1,'Monthly Cash Flow'!DO$4&lt;=2),'Monthly Cash Flow'!DN21*(1+'Rent Roll Analysis'!$AE19/12),'Monthly Cash Flow'!DN21*(1+'Rent Roll Analysis'!$AB19/12))))</f>
        <v/>
      </c>
      <c r="DP21" s="1428" t="str">
        <f>IF($B21="","",IF(DP$4&gt;2,(DO21*(1+'Rent Roll Analysis'!$AK19/12)), IF(AND('Monthly Cash Flow'!DP$4&gt;1,'Monthly Cash Flow'!DP$4&lt;=2),'Monthly Cash Flow'!DO21*(1+'Rent Roll Analysis'!$AE19/12),'Monthly Cash Flow'!DO21*(1+'Rent Roll Analysis'!$AB19/12))))</f>
        <v/>
      </c>
      <c r="DQ21" s="1428" t="str">
        <f>IF($B21="","",IF(DQ$4&gt;2,(DP21*(1+'Rent Roll Analysis'!$AK19/12)), IF(AND('Monthly Cash Flow'!DQ$4&gt;1,'Monthly Cash Flow'!DQ$4&lt;=2),'Monthly Cash Flow'!DP21*(1+'Rent Roll Analysis'!$AE19/12),'Monthly Cash Flow'!DP21*(1+'Rent Roll Analysis'!$AB19/12))))</f>
        <v/>
      </c>
      <c r="DR21" s="1428" t="str">
        <f>IF($B21="","",IF(DR$4&gt;2,(DQ21*(1+'Rent Roll Analysis'!$AK19/12)), IF(AND('Monthly Cash Flow'!DR$4&gt;1,'Monthly Cash Flow'!DR$4&lt;=2),'Monthly Cash Flow'!DQ21*(1+'Rent Roll Analysis'!$AE19/12),'Monthly Cash Flow'!DQ21*(1+'Rent Roll Analysis'!$AB19/12))))</f>
        <v/>
      </c>
      <c r="DS21" s="1428" t="str">
        <f>IF($B21="","",IF(DS$4&gt;2,(DR21*(1+'Rent Roll Analysis'!$AK19/12)), IF(AND('Monthly Cash Flow'!DS$4&gt;1,'Monthly Cash Flow'!DS$4&lt;=2),'Monthly Cash Flow'!DR21*(1+'Rent Roll Analysis'!$AE19/12),'Monthly Cash Flow'!DR21*(1+'Rent Roll Analysis'!$AB19/12))))</f>
        <v/>
      </c>
      <c r="DT21" s="1428" t="str">
        <f>IF($B21="","",IF(DT$4&gt;2,(DS21*(1+'Rent Roll Analysis'!$AK19/12)), IF(AND('Monthly Cash Flow'!DT$4&gt;1,'Monthly Cash Flow'!DT$4&lt;=2),'Monthly Cash Flow'!DS21*(1+'Rent Roll Analysis'!$AE19/12),'Monthly Cash Flow'!DS21*(1+'Rent Roll Analysis'!$AB19/12))))</f>
        <v/>
      </c>
      <c r="DU21" s="385" t="s">
        <v>557</v>
      </c>
      <c r="DV21" s="375"/>
    </row>
    <row r="22" spans="1:126" s="92" customFormat="1" ht="20.149999999999999" customHeight="1" outlineLevel="1">
      <c r="A22" s="375"/>
      <c r="B22" s="383" t="str">
        <f>'Rent Roll Analysis'!C20</f>
        <v/>
      </c>
      <c r="C22" s="376"/>
      <c r="D22" s="1426" t="str">
        <f>IF('Rent Roll Analysis'!C20="","",'Rent Roll Analysis'!N20*'Rent Roll Analysis'!E20)</f>
        <v/>
      </c>
      <c r="E22" s="1428" t="str">
        <f t="shared" si="113"/>
        <v/>
      </c>
      <c r="F22" s="1428" t="str">
        <f>IF($B22="","",IF(F$4&gt;2,(E22*(1+'Rent Roll Analysis'!$AK20/12)), IF(AND('Monthly Cash Flow'!F$4&gt;1,'Monthly Cash Flow'!F$4&lt;=2),'Monthly Cash Flow'!E22*(1+'Rent Roll Analysis'!$AE20/12),'Monthly Cash Flow'!E22*(1+'Rent Roll Analysis'!$AB20/12))))</f>
        <v/>
      </c>
      <c r="G22" s="1428" t="str">
        <f>IF($B22="","",IF(G$4&gt;2,(F22*(1+'Rent Roll Analysis'!$AK20/12)), IF(AND('Monthly Cash Flow'!G$4&gt;1,'Monthly Cash Flow'!G$4&lt;=2),'Monthly Cash Flow'!F22*(1+'Rent Roll Analysis'!$AE20/12),'Monthly Cash Flow'!F22*(1+'Rent Roll Analysis'!$AB20/12))))</f>
        <v/>
      </c>
      <c r="H22" s="1428" t="str">
        <f>IF($B22="","",IF(H$4&gt;2,(G22*(1+'Rent Roll Analysis'!$AK20/12)), IF(AND('Monthly Cash Flow'!H$4&gt;1,'Monthly Cash Flow'!H$4&lt;=2),'Monthly Cash Flow'!G22*(1+'Rent Roll Analysis'!$AE20/12),'Monthly Cash Flow'!G22*(1+'Rent Roll Analysis'!$AB20/12))))</f>
        <v/>
      </c>
      <c r="I22" s="1428" t="str">
        <f>IF($B22="","",IF(I$4&gt;2,(H22*(1+'Rent Roll Analysis'!$AK20/12)), IF(AND('Monthly Cash Flow'!I$4&gt;1,'Monthly Cash Flow'!I$4&lt;=2),'Monthly Cash Flow'!H22*(1+'Rent Roll Analysis'!$AE20/12),'Monthly Cash Flow'!H22*(1+'Rent Roll Analysis'!$AB20/12))))</f>
        <v/>
      </c>
      <c r="J22" s="1428" t="str">
        <f>IF($B22="","",IF(J$4&gt;2,(I22*(1+'Rent Roll Analysis'!$AK20/12)), IF(AND('Monthly Cash Flow'!J$4&gt;1,'Monthly Cash Flow'!J$4&lt;=2),'Monthly Cash Flow'!I22*(1+'Rent Roll Analysis'!$AE20/12),'Monthly Cash Flow'!I22*(1+'Rent Roll Analysis'!$AB20/12))))</f>
        <v/>
      </c>
      <c r="K22" s="1428" t="str">
        <f>IF($B22="","",IF(K$4&gt;2,(J22*(1+'Rent Roll Analysis'!$AK20/12)), IF(AND('Monthly Cash Flow'!K$4&gt;1,'Monthly Cash Flow'!K$4&lt;=2),'Monthly Cash Flow'!J22*(1+'Rent Roll Analysis'!$AE20/12),'Monthly Cash Flow'!J22*(1+'Rent Roll Analysis'!$AB20/12))))</f>
        <v/>
      </c>
      <c r="L22" s="1428" t="str">
        <f>IF($B22="","",IF(L$4&gt;2,(K22*(1+'Rent Roll Analysis'!$AK20/12)), IF(AND('Monthly Cash Flow'!L$4&gt;1,'Monthly Cash Flow'!L$4&lt;=2),'Monthly Cash Flow'!K22*(1+'Rent Roll Analysis'!$AE20/12),'Monthly Cash Flow'!K22*(1+'Rent Roll Analysis'!$AB20/12))))</f>
        <v/>
      </c>
      <c r="M22" s="1428" t="str">
        <f>IF($B22="","",IF(M$4&gt;2,(L22*(1+'Rent Roll Analysis'!$AK20/12)), IF(AND('Monthly Cash Flow'!M$4&gt;1,'Monthly Cash Flow'!M$4&lt;=2),'Monthly Cash Flow'!L22*(1+'Rent Roll Analysis'!$AE20/12),'Monthly Cash Flow'!L22*(1+'Rent Roll Analysis'!$AB20/12))))</f>
        <v/>
      </c>
      <c r="N22" s="1428" t="str">
        <f>IF($B22="","",IF(N$4&gt;2,(M22*(1+'Rent Roll Analysis'!$AK20/12)), IF(AND('Monthly Cash Flow'!N$4&gt;1,'Monthly Cash Flow'!N$4&lt;=2),'Monthly Cash Flow'!M22*(1+'Rent Roll Analysis'!$AE20/12),'Monthly Cash Flow'!M22*(1+'Rent Roll Analysis'!$AB20/12))))</f>
        <v/>
      </c>
      <c r="O22" s="1428" t="str">
        <f>IF($B22="","",IF(O$4&gt;2,(N22*(1+'Rent Roll Analysis'!$AK20/12)), IF(AND('Monthly Cash Flow'!O$4&gt;1,'Monthly Cash Flow'!O$4&lt;=2),'Monthly Cash Flow'!N22*(1+'Rent Roll Analysis'!$AE20/12),'Monthly Cash Flow'!N22*(1+'Rent Roll Analysis'!$AB20/12))))</f>
        <v/>
      </c>
      <c r="P22" s="1428" t="str">
        <f>IF($B22="","",IF(P$4&gt;2,(O22*(1+'Rent Roll Analysis'!$AK20/12)), IF(AND('Monthly Cash Flow'!P$4&gt;1,'Monthly Cash Flow'!P$4&lt;=2),'Monthly Cash Flow'!O22*(1+'Rent Roll Analysis'!$AE20/12),'Monthly Cash Flow'!O22*(1+'Rent Roll Analysis'!$AB20/12))))</f>
        <v/>
      </c>
      <c r="Q22" s="1428" t="str">
        <f>IF($B22="","",IF(Q$4&gt;2,(P22*(1+'Rent Roll Analysis'!$AK20/12)), IF(AND('Monthly Cash Flow'!Q$4&gt;1,'Monthly Cash Flow'!Q$4&lt;=2),'Monthly Cash Flow'!P22*(1+'Rent Roll Analysis'!$AE20/12),'Monthly Cash Flow'!P22*(1+'Rent Roll Analysis'!$AB20/12))))</f>
        <v/>
      </c>
      <c r="R22" s="1428" t="str">
        <f>IF($B22="","",IF(R$4&gt;2,(Q22*(1+'Rent Roll Analysis'!$AK20/12)), IF(AND('Monthly Cash Flow'!R$4&gt;1,'Monthly Cash Flow'!R$4&lt;=2),'Monthly Cash Flow'!Q22*(1+'Rent Roll Analysis'!$AE20/12),'Monthly Cash Flow'!Q22*(1+'Rent Roll Analysis'!$AB20/12))))</f>
        <v/>
      </c>
      <c r="S22" s="1428" t="str">
        <f>IF($B22="","",IF(S$4&gt;2,(R22*(1+'Rent Roll Analysis'!$AK20/12)), IF(AND('Monthly Cash Flow'!S$4&gt;1,'Monthly Cash Flow'!S$4&lt;=2),'Monthly Cash Flow'!R22*(1+'Rent Roll Analysis'!$AE20/12),'Monthly Cash Flow'!R22*(1+'Rent Roll Analysis'!$AB20/12))))</f>
        <v/>
      </c>
      <c r="T22" s="1428" t="str">
        <f>IF($B22="","",IF(T$4&gt;2,(S22*(1+'Rent Roll Analysis'!$AK20/12)), IF(AND('Monthly Cash Flow'!T$4&gt;1,'Monthly Cash Flow'!T$4&lt;=2),'Monthly Cash Flow'!S22*(1+'Rent Roll Analysis'!$AE20/12),'Monthly Cash Flow'!S22*(1+'Rent Roll Analysis'!$AB20/12))))</f>
        <v/>
      </c>
      <c r="U22" s="1428" t="str">
        <f>IF($B22="","",IF(U$4&gt;2,(T22*(1+'Rent Roll Analysis'!$AK20/12)), IF(AND('Monthly Cash Flow'!U$4&gt;1,'Monthly Cash Flow'!U$4&lt;=2),'Monthly Cash Flow'!T22*(1+'Rent Roll Analysis'!$AE20/12),'Monthly Cash Flow'!T22*(1+'Rent Roll Analysis'!$AB20/12))))</f>
        <v/>
      </c>
      <c r="V22" s="1428" t="str">
        <f>IF($B22="","",IF(V$4&gt;2,(U22*(1+'Rent Roll Analysis'!$AK20/12)), IF(AND('Monthly Cash Flow'!V$4&gt;1,'Monthly Cash Flow'!V$4&lt;=2),'Monthly Cash Flow'!U22*(1+'Rent Roll Analysis'!$AE20/12),'Monthly Cash Flow'!U22*(1+'Rent Roll Analysis'!$AB20/12))))</f>
        <v/>
      </c>
      <c r="W22" s="1428" t="str">
        <f>IF($B22="","",IF(W$4&gt;2,(V22*(1+'Rent Roll Analysis'!$AK20/12)), IF(AND('Monthly Cash Flow'!W$4&gt;1,'Monthly Cash Flow'!W$4&lt;=2),'Monthly Cash Flow'!V22*(1+'Rent Roll Analysis'!$AE20/12),'Monthly Cash Flow'!V22*(1+'Rent Roll Analysis'!$AB20/12))))</f>
        <v/>
      </c>
      <c r="X22" s="1428" t="str">
        <f>IF($B22="","",IF(X$4&gt;2,(W22*(1+'Rent Roll Analysis'!$AK20/12)), IF(AND('Monthly Cash Flow'!X$4&gt;1,'Monthly Cash Flow'!X$4&lt;=2),'Monthly Cash Flow'!W22*(1+'Rent Roll Analysis'!$AE20/12),'Monthly Cash Flow'!W22*(1+'Rent Roll Analysis'!$AB20/12))))</f>
        <v/>
      </c>
      <c r="Y22" s="1428" t="str">
        <f>IF($B22="","",IF(Y$4&gt;2,(X22*(1+'Rent Roll Analysis'!$AK20/12)), IF(AND('Monthly Cash Flow'!Y$4&gt;1,'Monthly Cash Flow'!Y$4&lt;=2),'Monthly Cash Flow'!X22*(1+'Rent Roll Analysis'!$AE20/12),'Monthly Cash Flow'!X22*(1+'Rent Roll Analysis'!$AB20/12))))</f>
        <v/>
      </c>
      <c r="Z22" s="1428" t="str">
        <f>IF($B22="","",IF(Z$4&gt;2,(Y22*(1+'Rent Roll Analysis'!$AK20/12)), IF(AND('Monthly Cash Flow'!Z$4&gt;1,'Monthly Cash Flow'!Z$4&lt;=2),'Monthly Cash Flow'!Y22*(1+'Rent Roll Analysis'!$AE20/12),'Monthly Cash Flow'!Y22*(1+'Rent Roll Analysis'!$AB20/12))))</f>
        <v/>
      </c>
      <c r="AA22" s="1428" t="str">
        <f>IF($B22="","",IF(AA$4&gt;2,(Z22*(1+'Rent Roll Analysis'!$AK20/12)), IF(AND('Monthly Cash Flow'!AA$4&gt;1,'Monthly Cash Flow'!AA$4&lt;=2),'Monthly Cash Flow'!Z22*(1+'Rent Roll Analysis'!$AE20/12),'Monthly Cash Flow'!Z22*(1+'Rent Roll Analysis'!$AB20/12))))</f>
        <v/>
      </c>
      <c r="AB22" s="1428" t="str">
        <f>IF($B22="","",IF(AB$4&gt;2,(AA22*(1+'Rent Roll Analysis'!$AK20/12)), IF(AND('Monthly Cash Flow'!AB$4&gt;1,'Monthly Cash Flow'!AB$4&lt;=2),'Monthly Cash Flow'!AA22*(1+'Rent Roll Analysis'!$AE20/12),'Monthly Cash Flow'!AA22*(1+'Rent Roll Analysis'!$AB20/12))))</f>
        <v/>
      </c>
      <c r="AC22" s="1428" t="str">
        <f>IF($B22="","",IF(AC$4&gt;2,(AB22*(1+'Rent Roll Analysis'!$AK20/12)), IF(AND('Monthly Cash Flow'!AC$4&gt;1,'Monthly Cash Flow'!AC$4&lt;=2),'Monthly Cash Flow'!AB22*(1+'Rent Roll Analysis'!$AE20/12),'Monthly Cash Flow'!AB22*(1+'Rent Roll Analysis'!$AB20/12))))</f>
        <v/>
      </c>
      <c r="AD22" s="1428" t="str">
        <f>IF($B22="","",IF(AD$4&gt;2,(AC22*(1+'Rent Roll Analysis'!$AK20/12)), IF(AND('Monthly Cash Flow'!AD$4&gt;1,'Monthly Cash Flow'!AD$4&lt;=2),'Monthly Cash Flow'!AC22*(1+'Rent Roll Analysis'!$AE20/12),'Monthly Cash Flow'!AC22*(1+'Rent Roll Analysis'!$AB20/12))))</f>
        <v/>
      </c>
      <c r="AE22" s="1428" t="str">
        <f>IF($B22="","",IF(AE$4&gt;2,(AD22*(1+'Rent Roll Analysis'!$AK20/12)), IF(AND('Monthly Cash Flow'!AE$4&gt;1,'Monthly Cash Flow'!AE$4&lt;=2),'Monthly Cash Flow'!AD22*(1+'Rent Roll Analysis'!$AE20/12),'Monthly Cash Flow'!AD22*(1+'Rent Roll Analysis'!$AB20/12))))</f>
        <v/>
      </c>
      <c r="AF22" s="1428" t="str">
        <f>IF($B22="","",IF(AF$4&gt;2,(AE22*(1+'Rent Roll Analysis'!$AK20/12)), IF(AND('Monthly Cash Flow'!AF$4&gt;1,'Monthly Cash Flow'!AF$4&lt;=2),'Monthly Cash Flow'!AE22*(1+'Rent Roll Analysis'!$AE20/12),'Monthly Cash Flow'!AE22*(1+'Rent Roll Analysis'!$AB20/12))))</f>
        <v/>
      </c>
      <c r="AG22" s="1428" t="str">
        <f>IF($B22="","",IF(AG$4&gt;2,(AF22*(1+'Rent Roll Analysis'!$AK20/12)), IF(AND('Monthly Cash Flow'!AG$4&gt;1,'Monthly Cash Flow'!AG$4&lt;=2),'Monthly Cash Flow'!AF22*(1+'Rent Roll Analysis'!$AE20/12),'Monthly Cash Flow'!AF22*(1+'Rent Roll Analysis'!$AB20/12))))</f>
        <v/>
      </c>
      <c r="AH22" s="1428" t="str">
        <f>IF($B22="","",IF(AH$4&gt;2,(AG22*(1+'Rent Roll Analysis'!$AK20/12)), IF(AND('Monthly Cash Flow'!AH$4&gt;1,'Monthly Cash Flow'!AH$4&lt;=2),'Monthly Cash Flow'!AG22*(1+'Rent Roll Analysis'!$AE20/12),'Monthly Cash Flow'!AG22*(1+'Rent Roll Analysis'!$AB20/12))))</f>
        <v/>
      </c>
      <c r="AI22" s="1428" t="str">
        <f>IF($B22="","",IF(AI$4&gt;2,(AH22*(1+'Rent Roll Analysis'!$AK20/12)), IF(AND('Monthly Cash Flow'!AI$4&gt;1,'Monthly Cash Flow'!AI$4&lt;=2),'Monthly Cash Flow'!AH22*(1+'Rent Roll Analysis'!$AE20/12),'Monthly Cash Flow'!AH22*(1+'Rent Roll Analysis'!$AB20/12))))</f>
        <v/>
      </c>
      <c r="AJ22" s="1428" t="str">
        <f>IF($B22="","",IF(AJ$4&gt;2,(AI22*(1+'Rent Roll Analysis'!$AK20/12)), IF(AND('Monthly Cash Flow'!AJ$4&gt;1,'Monthly Cash Flow'!AJ$4&lt;=2),'Monthly Cash Flow'!AI22*(1+'Rent Roll Analysis'!$AE20/12),'Monthly Cash Flow'!AI22*(1+'Rent Roll Analysis'!$AB20/12))))</f>
        <v/>
      </c>
      <c r="AK22" s="1428" t="str">
        <f>IF($B22="","",IF(AK$4&gt;2,(AJ22*(1+'Rent Roll Analysis'!$AK20/12)), IF(AND('Monthly Cash Flow'!AK$4&gt;1,'Monthly Cash Flow'!AK$4&lt;=2),'Monthly Cash Flow'!AJ22*(1+'Rent Roll Analysis'!$AE20/12),'Monthly Cash Flow'!AJ22*(1+'Rent Roll Analysis'!$AB20/12))))</f>
        <v/>
      </c>
      <c r="AL22" s="1428" t="str">
        <f>IF($B22="","",IF(AL$4&gt;2,(AK22*(1+'Rent Roll Analysis'!$AK20/12)), IF(AND('Monthly Cash Flow'!AL$4&gt;1,'Monthly Cash Flow'!AL$4&lt;=2),'Monthly Cash Flow'!AK22*(1+'Rent Roll Analysis'!$AE20/12),'Monthly Cash Flow'!AK22*(1+'Rent Roll Analysis'!$AB20/12))))</f>
        <v/>
      </c>
      <c r="AM22" s="1428" t="str">
        <f>IF($B22="","",IF(AM$4&gt;2,(AL22*(1+'Rent Roll Analysis'!$AK20/12)), IF(AND('Monthly Cash Flow'!AM$4&gt;1,'Monthly Cash Flow'!AM$4&lt;=2),'Monthly Cash Flow'!AL22*(1+'Rent Roll Analysis'!$AE20/12),'Monthly Cash Flow'!AL22*(1+'Rent Roll Analysis'!$AB20/12))))</f>
        <v/>
      </c>
      <c r="AN22" s="1428" t="str">
        <f>IF($B22="","",IF(AN$4&gt;2,(AM22*(1+'Rent Roll Analysis'!$AK20/12)), IF(AND('Monthly Cash Flow'!AN$4&gt;1,'Monthly Cash Flow'!AN$4&lt;=2),'Monthly Cash Flow'!AM22*(1+'Rent Roll Analysis'!$AE20/12),'Monthly Cash Flow'!AM22*(1+'Rent Roll Analysis'!$AB20/12))))</f>
        <v/>
      </c>
      <c r="AO22" s="1428" t="str">
        <f>IF($B22="","",IF(AO$4&gt;2,(AN22*(1+'Rent Roll Analysis'!$AK20/12)), IF(AND('Monthly Cash Flow'!AO$4&gt;1,'Monthly Cash Flow'!AO$4&lt;=2),'Monthly Cash Flow'!AN22*(1+'Rent Roll Analysis'!$AE20/12),'Monthly Cash Flow'!AN22*(1+'Rent Roll Analysis'!$AB20/12))))</f>
        <v/>
      </c>
      <c r="AP22" s="1428" t="str">
        <f>IF($B22="","",IF(AP$4&gt;2,(AO22*(1+'Rent Roll Analysis'!$AK20/12)), IF(AND('Monthly Cash Flow'!AP$4&gt;1,'Monthly Cash Flow'!AP$4&lt;=2),'Monthly Cash Flow'!AO22*(1+'Rent Roll Analysis'!$AE20/12),'Monthly Cash Flow'!AO22*(1+'Rent Roll Analysis'!$AB20/12))))</f>
        <v/>
      </c>
      <c r="AQ22" s="1428" t="str">
        <f>IF($B22="","",IF(AQ$4&gt;2,(AP22*(1+'Rent Roll Analysis'!$AK20/12)), IF(AND('Monthly Cash Flow'!AQ$4&gt;1,'Monthly Cash Flow'!AQ$4&lt;=2),'Monthly Cash Flow'!AP22*(1+'Rent Roll Analysis'!$AE20/12),'Monthly Cash Flow'!AP22*(1+'Rent Roll Analysis'!$AB20/12))))</f>
        <v/>
      </c>
      <c r="AR22" s="1428" t="str">
        <f>IF($B22="","",IF(AR$4&gt;2,(AQ22*(1+'Rent Roll Analysis'!$AK20/12)), IF(AND('Monthly Cash Flow'!AR$4&gt;1,'Monthly Cash Flow'!AR$4&lt;=2),'Monthly Cash Flow'!AQ22*(1+'Rent Roll Analysis'!$AE20/12),'Monthly Cash Flow'!AQ22*(1+'Rent Roll Analysis'!$AB20/12))))</f>
        <v/>
      </c>
      <c r="AS22" s="1428" t="str">
        <f>IF($B22="","",IF(AS$4&gt;2,(AR22*(1+'Rent Roll Analysis'!$AK20/12)), IF(AND('Monthly Cash Flow'!AS$4&gt;1,'Monthly Cash Flow'!AS$4&lt;=2),'Monthly Cash Flow'!AR22*(1+'Rent Roll Analysis'!$AE20/12),'Monthly Cash Flow'!AR22*(1+'Rent Roll Analysis'!$AB20/12))))</f>
        <v/>
      </c>
      <c r="AT22" s="1428" t="str">
        <f>IF($B22="","",IF(AT$4&gt;2,(AS22*(1+'Rent Roll Analysis'!$AK20/12)), IF(AND('Monthly Cash Flow'!AT$4&gt;1,'Monthly Cash Flow'!AT$4&lt;=2),'Monthly Cash Flow'!AS22*(1+'Rent Roll Analysis'!$AE20/12),'Monthly Cash Flow'!AS22*(1+'Rent Roll Analysis'!$AB20/12))))</f>
        <v/>
      </c>
      <c r="AU22" s="1428" t="str">
        <f>IF($B22="","",IF(AU$4&gt;2,(AT22*(1+'Rent Roll Analysis'!$AK20/12)), IF(AND('Monthly Cash Flow'!AU$4&gt;1,'Monthly Cash Flow'!AU$4&lt;=2),'Monthly Cash Flow'!AT22*(1+'Rent Roll Analysis'!$AE20/12),'Monthly Cash Flow'!AT22*(1+'Rent Roll Analysis'!$AB20/12))))</f>
        <v/>
      </c>
      <c r="AV22" s="1428" t="str">
        <f>IF($B22="","",IF(AV$4&gt;2,(AU22*(1+'Rent Roll Analysis'!$AK20/12)), IF(AND('Monthly Cash Flow'!AV$4&gt;1,'Monthly Cash Flow'!AV$4&lt;=2),'Monthly Cash Flow'!AU22*(1+'Rent Roll Analysis'!$AE20/12),'Monthly Cash Flow'!AU22*(1+'Rent Roll Analysis'!$AB20/12))))</f>
        <v/>
      </c>
      <c r="AW22" s="1428" t="str">
        <f>IF($B22="","",IF(AW$4&gt;2,(AV22*(1+'Rent Roll Analysis'!$AK20/12)), IF(AND('Monthly Cash Flow'!AW$4&gt;1,'Monthly Cash Flow'!AW$4&lt;=2),'Monthly Cash Flow'!AV22*(1+'Rent Roll Analysis'!$AE20/12),'Monthly Cash Flow'!AV22*(1+'Rent Roll Analysis'!$AB20/12))))</f>
        <v/>
      </c>
      <c r="AX22" s="1428" t="str">
        <f>IF($B22="","",IF(AX$4&gt;2,(AW22*(1+'Rent Roll Analysis'!$AK20/12)), IF(AND('Monthly Cash Flow'!AX$4&gt;1,'Monthly Cash Flow'!AX$4&lt;=2),'Monthly Cash Flow'!AW22*(1+'Rent Roll Analysis'!$AE20/12),'Monthly Cash Flow'!AW22*(1+'Rent Roll Analysis'!$AB20/12))))</f>
        <v/>
      </c>
      <c r="AY22" s="1428" t="str">
        <f>IF($B22="","",IF(AY$4&gt;2,(AX22*(1+'Rent Roll Analysis'!$AK20/12)), IF(AND('Monthly Cash Flow'!AY$4&gt;1,'Monthly Cash Flow'!AY$4&lt;=2),'Monthly Cash Flow'!AX22*(1+'Rent Roll Analysis'!$AE20/12),'Monthly Cash Flow'!AX22*(1+'Rent Roll Analysis'!$AB20/12))))</f>
        <v/>
      </c>
      <c r="AZ22" s="1428" t="str">
        <f>IF($B22="","",IF(AZ$4&gt;2,(AY22*(1+'Rent Roll Analysis'!$AK20/12)), IF(AND('Monthly Cash Flow'!AZ$4&gt;1,'Monthly Cash Flow'!AZ$4&lt;=2),'Monthly Cash Flow'!AY22*(1+'Rent Roll Analysis'!$AE20/12),'Monthly Cash Flow'!AY22*(1+'Rent Roll Analysis'!$AB20/12))))</f>
        <v/>
      </c>
      <c r="BA22" s="1428" t="str">
        <f>IF($B22="","",IF(BA$4&gt;2,(AZ22*(1+'Rent Roll Analysis'!$AK20/12)), IF(AND('Monthly Cash Flow'!BA$4&gt;1,'Monthly Cash Flow'!BA$4&lt;=2),'Monthly Cash Flow'!AZ22*(1+'Rent Roll Analysis'!$AE20/12),'Monthly Cash Flow'!AZ22*(1+'Rent Roll Analysis'!$AB20/12))))</f>
        <v/>
      </c>
      <c r="BB22" s="1428" t="str">
        <f>IF($B22="","",IF(BB$4&gt;2,(BA22*(1+'Rent Roll Analysis'!$AK20/12)), IF(AND('Monthly Cash Flow'!BB$4&gt;1,'Monthly Cash Flow'!BB$4&lt;=2),'Monthly Cash Flow'!BA22*(1+'Rent Roll Analysis'!$AE20/12),'Monthly Cash Flow'!BA22*(1+'Rent Roll Analysis'!$AB20/12))))</f>
        <v/>
      </c>
      <c r="BC22" s="1428" t="str">
        <f>IF($B22="","",IF(BC$4&gt;2,(BB22*(1+'Rent Roll Analysis'!$AK20/12)), IF(AND('Monthly Cash Flow'!BC$4&gt;1,'Monthly Cash Flow'!BC$4&lt;=2),'Monthly Cash Flow'!BB22*(1+'Rent Roll Analysis'!$AE20/12),'Monthly Cash Flow'!BB22*(1+'Rent Roll Analysis'!$AB20/12))))</f>
        <v/>
      </c>
      <c r="BD22" s="1428" t="str">
        <f>IF($B22="","",IF(BD$4&gt;2,(BC22*(1+'Rent Roll Analysis'!$AK20/12)), IF(AND('Monthly Cash Flow'!BD$4&gt;1,'Monthly Cash Flow'!BD$4&lt;=2),'Monthly Cash Flow'!BC22*(1+'Rent Roll Analysis'!$AE20/12),'Monthly Cash Flow'!BC22*(1+'Rent Roll Analysis'!$AB20/12))))</f>
        <v/>
      </c>
      <c r="BE22" s="1428" t="str">
        <f>IF($B22="","",IF(BE$4&gt;2,(BD22*(1+'Rent Roll Analysis'!$AK20/12)), IF(AND('Monthly Cash Flow'!BE$4&gt;1,'Monthly Cash Flow'!BE$4&lt;=2),'Monthly Cash Flow'!BD22*(1+'Rent Roll Analysis'!$AE20/12),'Monthly Cash Flow'!BD22*(1+'Rent Roll Analysis'!$AB20/12))))</f>
        <v/>
      </c>
      <c r="BF22" s="1428" t="str">
        <f>IF($B22="","",IF(BF$4&gt;2,(BE22*(1+'Rent Roll Analysis'!$AK20/12)), IF(AND('Monthly Cash Flow'!BF$4&gt;1,'Monthly Cash Flow'!BF$4&lt;=2),'Monthly Cash Flow'!BE22*(1+'Rent Roll Analysis'!$AE20/12),'Monthly Cash Flow'!BE22*(1+'Rent Roll Analysis'!$AB20/12))))</f>
        <v/>
      </c>
      <c r="BG22" s="1428" t="str">
        <f>IF($B22="","",IF(BG$4&gt;2,(BF22*(1+'Rent Roll Analysis'!$AK20/12)), IF(AND('Monthly Cash Flow'!BG$4&gt;1,'Monthly Cash Flow'!BG$4&lt;=2),'Monthly Cash Flow'!BF22*(1+'Rent Roll Analysis'!$AE20/12),'Monthly Cash Flow'!BF22*(1+'Rent Roll Analysis'!$AB20/12))))</f>
        <v/>
      </c>
      <c r="BH22" s="1428" t="str">
        <f>IF($B22="","",IF(BH$4&gt;2,(BG22*(1+'Rent Roll Analysis'!$AK20/12)), IF(AND('Monthly Cash Flow'!BH$4&gt;1,'Monthly Cash Flow'!BH$4&lt;=2),'Monthly Cash Flow'!BG22*(1+'Rent Roll Analysis'!$AE20/12),'Monthly Cash Flow'!BG22*(1+'Rent Roll Analysis'!$AB20/12))))</f>
        <v/>
      </c>
      <c r="BI22" s="1428" t="str">
        <f>IF($B22="","",IF(BI$4&gt;2,(BH22*(1+'Rent Roll Analysis'!$AK20/12)), IF(AND('Monthly Cash Flow'!BI$4&gt;1,'Monthly Cash Flow'!BI$4&lt;=2),'Monthly Cash Flow'!BH22*(1+'Rent Roll Analysis'!$AE20/12),'Monthly Cash Flow'!BH22*(1+'Rent Roll Analysis'!$AB20/12))))</f>
        <v/>
      </c>
      <c r="BJ22" s="1428" t="str">
        <f>IF($B22="","",IF(BJ$4&gt;2,(BI22*(1+'Rent Roll Analysis'!$AK20/12)), IF(AND('Monthly Cash Flow'!BJ$4&gt;1,'Monthly Cash Flow'!BJ$4&lt;=2),'Monthly Cash Flow'!BI22*(1+'Rent Roll Analysis'!$AE20/12),'Monthly Cash Flow'!BI22*(1+'Rent Roll Analysis'!$AB20/12))))</f>
        <v/>
      </c>
      <c r="BK22" s="1428" t="str">
        <f>IF($B22="","",IF(BK$4&gt;2,(BJ22*(1+'Rent Roll Analysis'!$AK20/12)), IF(AND('Monthly Cash Flow'!BK$4&gt;1,'Monthly Cash Flow'!BK$4&lt;=2),'Monthly Cash Flow'!BJ22*(1+'Rent Roll Analysis'!$AE20/12),'Monthly Cash Flow'!BJ22*(1+'Rent Roll Analysis'!$AB20/12))))</f>
        <v/>
      </c>
      <c r="BL22" s="1428" t="str">
        <f>IF($B22="","",IF(BL$4&gt;2,(BK22*(1+'Rent Roll Analysis'!$AK20/12)), IF(AND('Monthly Cash Flow'!BL$4&gt;1,'Monthly Cash Flow'!BL$4&lt;=2),'Monthly Cash Flow'!BK22*(1+'Rent Roll Analysis'!$AE20/12),'Monthly Cash Flow'!BK22*(1+'Rent Roll Analysis'!$AB20/12))))</f>
        <v/>
      </c>
      <c r="BM22" s="1428" t="str">
        <f>IF($B22="","",IF(BM$4&gt;2,(BL22*(1+'Rent Roll Analysis'!$AK20/12)), IF(AND('Monthly Cash Flow'!BM$4&gt;1,'Monthly Cash Flow'!BM$4&lt;=2),'Monthly Cash Flow'!BL22*(1+'Rent Roll Analysis'!$AE20/12),'Monthly Cash Flow'!BL22*(1+'Rent Roll Analysis'!$AB20/12))))</f>
        <v/>
      </c>
      <c r="BN22" s="1428" t="str">
        <f>IF($B22="","",IF(BN$4&gt;2,(BM22*(1+'Rent Roll Analysis'!$AK20/12)), IF(AND('Monthly Cash Flow'!BN$4&gt;1,'Monthly Cash Flow'!BN$4&lt;=2),'Monthly Cash Flow'!BM22*(1+'Rent Roll Analysis'!$AE20/12),'Monthly Cash Flow'!BM22*(1+'Rent Roll Analysis'!$AB20/12))))</f>
        <v/>
      </c>
      <c r="BO22" s="1428" t="str">
        <f>IF($B22="","",IF(BO$4&gt;2,(BN22*(1+'Rent Roll Analysis'!$AK20/12)), IF(AND('Monthly Cash Flow'!BO$4&gt;1,'Monthly Cash Flow'!BO$4&lt;=2),'Monthly Cash Flow'!BN22*(1+'Rent Roll Analysis'!$AE20/12),'Monthly Cash Flow'!BN22*(1+'Rent Roll Analysis'!$AB20/12))))</f>
        <v/>
      </c>
      <c r="BP22" s="1428" t="str">
        <f>IF($B22="","",IF(BP$4&gt;2,(BO22*(1+'Rent Roll Analysis'!$AK20/12)), IF(AND('Monthly Cash Flow'!BP$4&gt;1,'Monthly Cash Flow'!BP$4&lt;=2),'Monthly Cash Flow'!BO22*(1+'Rent Roll Analysis'!$AE20/12),'Monthly Cash Flow'!BO22*(1+'Rent Roll Analysis'!$AB20/12))))</f>
        <v/>
      </c>
      <c r="BQ22" s="1428" t="str">
        <f>IF($B22="","",IF(BQ$4&gt;2,(BP22*(1+'Rent Roll Analysis'!$AK20/12)), IF(AND('Monthly Cash Flow'!BQ$4&gt;1,'Monthly Cash Flow'!BQ$4&lt;=2),'Monthly Cash Flow'!BP22*(1+'Rent Roll Analysis'!$AE20/12),'Monthly Cash Flow'!BP22*(1+'Rent Roll Analysis'!$AB20/12))))</f>
        <v/>
      </c>
      <c r="BR22" s="1428" t="str">
        <f>IF($B22="","",IF(BR$4&gt;2,(BQ22*(1+'Rent Roll Analysis'!$AK20/12)), IF(AND('Monthly Cash Flow'!BR$4&gt;1,'Monthly Cash Flow'!BR$4&lt;=2),'Monthly Cash Flow'!BQ22*(1+'Rent Roll Analysis'!$AE20/12),'Monthly Cash Flow'!BQ22*(1+'Rent Roll Analysis'!$AB20/12))))</f>
        <v/>
      </c>
      <c r="BS22" s="1428" t="str">
        <f>IF($B22="","",IF(BS$4&gt;2,(BR22*(1+'Rent Roll Analysis'!$AK20/12)), IF(AND('Monthly Cash Flow'!BS$4&gt;1,'Monthly Cash Flow'!BS$4&lt;=2),'Monthly Cash Flow'!BR22*(1+'Rent Roll Analysis'!$AE20/12),'Monthly Cash Flow'!BR22*(1+'Rent Roll Analysis'!$AB20/12))))</f>
        <v/>
      </c>
      <c r="BT22" s="1428" t="str">
        <f>IF($B22="","",IF(BT$4&gt;2,(BS22*(1+'Rent Roll Analysis'!$AK20/12)), IF(AND('Monthly Cash Flow'!BT$4&gt;1,'Monthly Cash Flow'!BT$4&lt;=2),'Monthly Cash Flow'!BS22*(1+'Rent Roll Analysis'!$AE20/12),'Monthly Cash Flow'!BS22*(1+'Rent Roll Analysis'!$AB20/12))))</f>
        <v/>
      </c>
      <c r="BU22" s="1428" t="str">
        <f>IF($B22="","",IF(BU$4&gt;2,(BT22*(1+'Rent Roll Analysis'!$AK20/12)), IF(AND('Monthly Cash Flow'!BU$4&gt;1,'Monthly Cash Flow'!BU$4&lt;=2),'Monthly Cash Flow'!BT22*(1+'Rent Roll Analysis'!$AE20/12),'Monthly Cash Flow'!BT22*(1+'Rent Roll Analysis'!$AB20/12))))</f>
        <v/>
      </c>
      <c r="BV22" s="1428" t="str">
        <f>IF($B22="","",IF(BV$4&gt;2,(BU22*(1+'Rent Roll Analysis'!$AK20/12)), IF(AND('Monthly Cash Flow'!BV$4&gt;1,'Monthly Cash Flow'!BV$4&lt;=2),'Monthly Cash Flow'!BU22*(1+'Rent Roll Analysis'!$AE20/12),'Monthly Cash Flow'!BU22*(1+'Rent Roll Analysis'!$AB20/12))))</f>
        <v/>
      </c>
      <c r="BW22" s="1428" t="str">
        <f>IF($B22="","",IF(BW$4&gt;2,(BV22*(1+'Rent Roll Analysis'!$AK20/12)), IF(AND('Monthly Cash Flow'!BW$4&gt;1,'Monthly Cash Flow'!BW$4&lt;=2),'Monthly Cash Flow'!BV22*(1+'Rent Roll Analysis'!$AE20/12),'Monthly Cash Flow'!BV22*(1+'Rent Roll Analysis'!$AB20/12))))</f>
        <v/>
      </c>
      <c r="BX22" s="1428" t="str">
        <f>IF($B22="","",IF(BX$4&gt;2,(BW22*(1+'Rent Roll Analysis'!$AK20/12)), IF(AND('Monthly Cash Flow'!BX$4&gt;1,'Monthly Cash Flow'!BX$4&lt;=2),'Monthly Cash Flow'!BW22*(1+'Rent Roll Analysis'!$AE20/12),'Monthly Cash Flow'!BW22*(1+'Rent Roll Analysis'!$AB20/12))))</f>
        <v/>
      </c>
      <c r="BY22" s="1428" t="str">
        <f>IF($B22="","",IF(BY$4&gt;2,(BX22*(1+'Rent Roll Analysis'!$AK20/12)), IF(AND('Monthly Cash Flow'!BY$4&gt;1,'Monthly Cash Flow'!BY$4&lt;=2),'Monthly Cash Flow'!BX22*(1+'Rent Roll Analysis'!$AE20/12),'Monthly Cash Flow'!BX22*(1+'Rent Roll Analysis'!$AB20/12))))</f>
        <v/>
      </c>
      <c r="BZ22" s="1428" t="str">
        <f>IF($B22="","",IF(BZ$4&gt;2,(BY22*(1+'Rent Roll Analysis'!$AK20/12)), IF(AND('Monthly Cash Flow'!BZ$4&gt;1,'Monthly Cash Flow'!BZ$4&lt;=2),'Monthly Cash Flow'!BY22*(1+'Rent Roll Analysis'!$AE20/12),'Monthly Cash Flow'!BY22*(1+'Rent Roll Analysis'!$AB20/12))))</f>
        <v/>
      </c>
      <c r="CA22" s="1428" t="str">
        <f>IF($B22="","",IF(CA$4&gt;2,(BZ22*(1+'Rent Roll Analysis'!$AK20/12)), IF(AND('Monthly Cash Flow'!CA$4&gt;1,'Monthly Cash Flow'!CA$4&lt;=2),'Monthly Cash Flow'!BZ22*(1+'Rent Roll Analysis'!$AE20/12),'Monthly Cash Flow'!BZ22*(1+'Rent Roll Analysis'!$AB20/12))))</f>
        <v/>
      </c>
      <c r="CB22" s="1428" t="str">
        <f>IF($B22="","",IF(CB$4&gt;2,(CA22*(1+'Rent Roll Analysis'!$AK20/12)), IF(AND('Monthly Cash Flow'!CB$4&gt;1,'Monthly Cash Flow'!CB$4&lt;=2),'Monthly Cash Flow'!CA22*(1+'Rent Roll Analysis'!$AE20/12),'Monthly Cash Flow'!CA22*(1+'Rent Roll Analysis'!$AB20/12))))</f>
        <v/>
      </c>
      <c r="CC22" s="1428" t="str">
        <f>IF($B22="","",IF(CC$4&gt;2,(CB22*(1+'Rent Roll Analysis'!$AK20/12)), IF(AND('Monthly Cash Flow'!CC$4&gt;1,'Monthly Cash Flow'!CC$4&lt;=2),'Monthly Cash Flow'!CB22*(1+'Rent Roll Analysis'!$AE20/12),'Monthly Cash Flow'!CB22*(1+'Rent Roll Analysis'!$AB20/12))))</f>
        <v/>
      </c>
      <c r="CD22" s="1428" t="str">
        <f>IF($B22="","",IF(CD$4&gt;2,(CC22*(1+'Rent Roll Analysis'!$AK20/12)), IF(AND('Monthly Cash Flow'!CD$4&gt;1,'Monthly Cash Flow'!CD$4&lt;=2),'Monthly Cash Flow'!CC22*(1+'Rent Roll Analysis'!$AE20/12),'Monthly Cash Flow'!CC22*(1+'Rent Roll Analysis'!$AB20/12))))</f>
        <v/>
      </c>
      <c r="CE22" s="1428" t="str">
        <f>IF($B22="","",IF(CE$4&gt;2,(CD22*(1+'Rent Roll Analysis'!$AK20/12)), IF(AND('Monthly Cash Flow'!CE$4&gt;1,'Monthly Cash Flow'!CE$4&lt;=2),'Monthly Cash Flow'!CD22*(1+'Rent Roll Analysis'!$AE20/12),'Monthly Cash Flow'!CD22*(1+'Rent Roll Analysis'!$AB20/12))))</f>
        <v/>
      </c>
      <c r="CF22" s="1428" t="str">
        <f>IF($B22="","",IF(CF$4&gt;2,(CE22*(1+'Rent Roll Analysis'!$AK20/12)), IF(AND('Monthly Cash Flow'!CF$4&gt;1,'Monthly Cash Flow'!CF$4&lt;=2),'Monthly Cash Flow'!CE22*(1+'Rent Roll Analysis'!$AE20/12),'Monthly Cash Flow'!CE22*(1+'Rent Roll Analysis'!$AB20/12))))</f>
        <v/>
      </c>
      <c r="CG22" s="1428" t="str">
        <f>IF($B22="","",IF(CG$4&gt;2,(CF22*(1+'Rent Roll Analysis'!$AK20/12)), IF(AND('Monthly Cash Flow'!CG$4&gt;1,'Monthly Cash Flow'!CG$4&lt;=2),'Monthly Cash Flow'!CF22*(1+'Rent Roll Analysis'!$AE20/12),'Monthly Cash Flow'!CF22*(1+'Rent Roll Analysis'!$AB20/12))))</f>
        <v/>
      </c>
      <c r="CH22" s="1428" t="str">
        <f>IF($B22="","",IF(CH$4&gt;2,(CG22*(1+'Rent Roll Analysis'!$AK20/12)), IF(AND('Monthly Cash Flow'!CH$4&gt;1,'Monthly Cash Flow'!CH$4&lt;=2),'Monthly Cash Flow'!CG22*(1+'Rent Roll Analysis'!$AE20/12),'Monthly Cash Flow'!CG22*(1+'Rent Roll Analysis'!$AB20/12))))</f>
        <v/>
      </c>
      <c r="CI22" s="1428" t="str">
        <f>IF($B22="","",IF(CI$4&gt;2,(CH22*(1+'Rent Roll Analysis'!$AK20/12)), IF(AND('Monthly Cash Flow'!CI$4&gt;1,'Monthly Cash Flow'!CI$4&lt;=2),'Monthly Cash Flow'!CH22*(1+'Rent Roll Analysis'!$AE20/12),'Monthly Cash Flow'!CH22*(1+'Rent Roll Analysis'!$AB20/12))))</f>
        <v/>
      </c>
      <c r="CJ22" s="1428" t="str">
        <f>IF($B22="","",IF(CJ$4&gt;2,(CI22*(1+'Rent Roll Analysis'!$AK20/12)), IF(AND('Monthly Cash Flow'!CJ$4&gt;1,'Monthly Cash Flow'!CJ$4&lt;=2),'Monthly Cash Flow'!CI22*(1+'Rent Roll Analysis'!$AE20/12),'Monthly Cash Flow'!CI22*(1+'Rent Roll Analysis'!$AB20/12))))</f>
        <v/>
      </c>
      <c r="CK22" s="1428" t="str">
        <f>IF($B22="","",IF(CK$4&gt;2,(CJ22*(1+'Rent Roll Analysis'!$AK20/12)), IF(AND('Monthly Cash Flow'!CK$4&gt;1,'Monthly Cash Flow'!CK$4&lt;=2),'Monthly Cash Flow'!CJ22*(1+'Rent Roll Analysis'!$AE20/12),'Monthly Cash Flow'!CJ22*(1+'Rent Roll Analysis'!$AB20/12))))</f>
        <v/>
      </c>
      <c r="CL22" s="1428" t="str">
        <f>IF($B22="","",IF(CL$4&gt;2,(CK22*(1+'Rent Roll Analysis'!$AK20/12)), IF(AND('Monthly Cash Flow'!CL$4&gt;1,'Monthly Cash Flow'!CL$4&lt;=2),'Monthly Cash Flow'!CK22*(1+'Rent Roll Analysis'!$AE20/12),'Monthly Cash Flow'!CK22*(1+'Rent Roll Analysis'!$AB20/12))))</f>
        <v/>
      </c>
      <c r="CM22" s="1428" t="str">
        <f>IF($B22="","",IF(CM$4&gt;2,(CL22*(1+'Rent Roll Analysis'!$AK20/12)), IF(AND('Monthly Cash Flow'!CM$4&gt;1,'Monthly Cash Flow'!CM$4&lt;=2),'Monthly Cash Flow'!CL22*(1+'Rent Roll Analysis'!$AE20/12),'Monthly Cash Flow'!CL22*(1+'Rent Roll Analysis'!$AB20/12))))</f>
        <v/>
      </c>
      <c r="CN22" s="1428" t="str">
        <f>IF($B22="","",IF(CN$4&gt;2,(CM22*(1+'Rent Roll Analysis'!$AK20/12)), IF(AND('Monthly Cash Flow'!CN$4&gt;1,'Monthly Cash Flow'!CN$4&lt;=2),'Monthly Cash Flow'!CM22*(1+'Rent Roll Analysis'!$AE20/12),'Monthly Cash Flow'!CM22*(1+'Rent Roll Analysis'!$AB20/12))))</f>
        <v/>
      </c>
      <c r="CO22" s="1428" t="str">
        <f>IF($B22="","",IF(CO$4&gt;2,(CN22*(1+'Rent Roll Analysis'!$AK20/12)), IF(AND('Monthly Cash Flow'!CO$4&gt;1,'Monthly Cash Flow'!CO$4&lt;=2),'Monthly Cash Flow'!CN22*(1+'Rent Roll Analysis'!$AE20/12),'Monthly Cash Flow'!CN22*(1+'Rent Roll Analysis'!$AB20/12))))</f>
        <v/>
      </c>
      <c r="CP22" s="1428" t="str">
        <f>IF($B22="","",IF(CP$4&gt;2,(CO22*(1+'Rent Roll Analysis'!$AK20/12)), IF(AND('Monthly Cash Flow'!CP$4&gt;1,'Monthly Cash Flow'!CP$4&lt;=2),'Monthly Cash Flow'!CO22*(1+'Rent Roll Analysis'!$AE20/12),'Monthly Cash Flow'!CO22*(1+'Rent Roll Analysis'!$AB20/12))))</f>
        <v/>
      </c>
      <c r="CQ22" s="1428" t="str">
        <f>IF($B22="","",IF(CQ$4&gt;2,(CP22*(1+'Rent Roll Analysis'!$AK20/12)), IF(AND('Monthly Cash Flow'!CQ$4&gt;1,'Monthly Cash Flow'!CQ$4&lt;=2),'Monthly Cash Flow'!CP22*(1+'Rent Roll Analysis'!$AE20/12),'Monthly Cash Flow'!CP22*(1+'Rent Roll Analysis'!$AB20/12))))</f>
        <v/>
      </c>
      <c r="CR22" s="1428" t="str">
        <f>IF($B22="","",IF(CR$4&gt;2,(CQ22*(1+'Rent Roll Analysis'!$AK20/12)), IF(AND('Monthly Cash Flow'!CR$4&gt;1,'Monthly Cash Flow'!CR$4&lt;=2),'Monthly Cash Flow'!CQ22*(1+'Rent Roll Analysis'!$AE20/12),'Monthly Cash Flow'!CQ22*(1+'Rent Roll Analysis'!$AB20/12))))</f>
        <v/>
      </c>
      <c r="CS22" s="1428" t="str">
        <f>IF($B22="","",IF(CS$4&gt;2,(CR22*(1+'Rent Roll Analysis'!$AK20/12)), IF(AND('Monthly Cash Flow'!CS$4&gt;1,'Monthly Cash Flow'!CS$4&lt;=2),'Monthly Cash Flow'!CR22*(1+'Rent Roll Analysis'!$AE20/12),'Monthly Cash Flow'!CR22*(1+'Rent Roll Analysis'!$AB20/12))))</f>
        <v/>
      </c>
      <c r="CT22" s="1428" t="str">
        <f>IF($B22="","",IF(CT$4&gt;2,(CS22*(1+'Rent Roll Analysis'!$AK20/12)), IF(AND('Monthly Cash Flow'!CT$4&gt;1,'Monthly Cash Flow'!CT$4&lt;=2),'Monthly Cash Flow'!CS22*(1+'Rent Roll Analysis'!$AE20/12),'Monthly Cash Flow'!CS22*(1+'Rent Roll Analysis'!$AB20/12))))</f>
        <v/>
      </c>
      <c r="CU22" s="1428" t="str">
        <f>IF($B22="","",IF(CU$4&gt;2,(CT22*(1+'Rent Roll Analysis'!$AK20/12)), IF(AND('Monthly Cash Flow'!CU$4&gt;1,'Monthly Cash Flow'!CU$4&lt;=2),'Monthly Cash Flow'!CT22*(1+'Rent Roll Analysis'!$AE20/12),'Monthly Cash Flow'!CT22*(1+'Rent Roll Analysis'!$AB20/12))))</f>
        <v/>
      </c>
      <c r="CV22" s="1428" t="str">
        <f>IF($B22="","",IF(CV$4&gt;2,(CU22*(1+'Rent Roll Analysis'!$AK20/12)), IF(AND('Monthly Cash Flow'!CV$4&gt;1,'Monthly Cash Flow'!CV$4&lt;=2),'Monthly Cash Flow'!CU22*(1+'Rent Roll Analysis'!$AE20/12),'Monthly Cash Flow'!CU22*(1+'Rent Roll Analysis'!$AB20/12))))</f>
        <v/>
      </c>
      <c r="CW22" s="1428" t="str">
        <f>IF($B22="","",IF(CW$4&gt;2,(CV22*(1+'Rent Roll Analysis'!$AK20/12)), IF(AND('Monthly Cash Flow'!CW$4&gt;1,'Monthly Cash Flow'!CW$4&lt;=2),'Monthly Cash Flow'!CV22*(1+'Rent Roll Analysis'!$AE20/12),'Monthly Cash Flow'!CV22*(1+'Rent Roll Analysis'!$AB20/12))))</f>
        <v/>
      </c>
      <c r="CX22" s="1428" t="str">
        <f>IF($B22="","",IF(CX$4&gt;2,(CW22*(1+'Rent Roll Analysis'!$AK20/12)), IF(AND('Monthly Cash Flow'!CX$4&gt;1,'Monthly Cash Flow'!CX$4&lt;=2),'Monthly Cash Flow'!CW22*(1+'Rent Roll Analysis'!$AE20/12),'Monthly Cash Flow'!CW22*(1+'Rent Roll Analysis'!$AB20/12))))</f>
        <v/>
      </c>
      <c r="CY22" s="1428" t="str">
        <f>IF($B22="","",IF(CY$4&gt;2,(CX22*(1+'Rent Roll Analysis'!$AK20/12)), IF(AND('Monthly Cash Flow'!CY$4&gt;1,'Monthly Cash Flow'!CY$4&lt;=2),'Monthly Cash Flow'!CX22*(1+'Rent Roll Analysis'!$AE20/12),'Monthly Cash Flow'!CX22*(1+'Rent Roll Analysis'!$AB20/12))))</f>
        <v/>
      </c>
      <c r="CZ22" s="1428" t="str">
        <f>IF($B22="","",IF(CZ$4&gt;2,(CY22*(1+'Rent Roll Analysis'!$AK20/12)), IF(AND('Monthly Cash Flow'!CZ$4&gt;1,'Monthly Cash Flow'!CZ$4&lt;=2),'Monthly Cash Flow'!CY22*(1+'Rent Roll Analysis'!$AE20/12),'Monthly Cash Flow'!CY22*(1+'Rent Roll Analysis'!$AB20/12))))</f>
        <v/>
      </c>
      <c r="DA22" s="1428" t="str">
        <f>IF($B22="","",IF(DA$4&gt;2,(CZ22*(1+'Rent Roll Analysis'!$AK20/12)), IF(AND('Monthly Cash Flow'!DA$4&gt;1,'Monthly Cash Flow'!DA$4&lt;=2),'Monthly Cash Flow'!CZ22*(1+'Rent Roll Analysis'!$AE20/12),'Monthly Cash Flow'!CZ22*(1+'Rent Roll Analysis'!$AB20/12))))</f>
        <v/>
      </c>
      <c r="DB22" s="1428" t="str">
        <f>IF($B22="","",IF(DB$4&gt;2,(DA22*(1+'Rent Roll Analysis'!$AK20/12)), IF(AND('Monthly Cash Flow'!DB$4&gt;1,'Monthly Cash Flow'!DB$4&lt;=2),'Monthly Cash Flow'!DA22*(1+'Rent Roll Analysis'!$AE20/12),'Monthly Cash Flow'!DA22*(1+'Rent Roll Analysis'!$AB20/12))))</f>
        <v/>
      </c>
      <c r="DC22" s="1428" t="str">
        <f>IF($B22="","",IF(DC$4&gt;2,(DB22*(1+'Rent Roll Analysis'!$AK20/12)), IF(AND('Monthly Cash Flow'!DC$4&gt;1,'Monthly Cash Flow'!DC$4&lt;=2),'Monthly Cash Flow'!DB22*(1+'Rent Roll Analysis'!$AE20/12),'Monthly Cash Flow'!DB22*(1+'Rent Roll Analysis'!$AB20/12))))</f>
        <v/>
      </c>
      <c r="DD22" s="1428" t="str">
        <f>IF($B22="","",IF(DD$4&gt;2,(DC22*(1+'Rent Roll Analysis'!$AK20/12)), IF(AND('Monthly Cash Flow'!DD$4&gt;1,'Monthly Cash Flow'!DD$4&lt;=2),'Monthly Cash Flow'!DC22*(1+'Rent Roll Analysis'!$AE20/12),'Monthly Cash Flow'!DC22*(1+'Rent Roll Analysis'!$AB20/12))))</f>
        <v/>
      </c>
      <c r="DE22" s="1428" t="str">
        <f>IF($B22="","",IF(DE$4&gt;2,(DD22*(1+'Rent Roll Analysis'!$AK20/12)), IF(AND('Monthly Cash Flow'!DE$4&gt;1,'Monthly Cash Flow'!DE$4&lt;=2),'Monthly Cash Flow'!DD22*(1+'Rent Roll Analysis'!$AE20/12),'Monthly Cash Flow'!DD22*(1+'Rent Roll Analysis'!$AB20/12))))</f>
        <v/>
      </c>
      <c r="DF22" s="1428" t="str">
        <f>IF($B22="","",IF(DF$4&gt;2,(DE22*(1+'Rent Roll Analysis'!$AK20/12)), IF(AND('Monthly Cash Flow'!DF$4&gt;1,'Monthly Cash Flow'!DF$4&lt;=2),'Monthly Cash Flow'!DE22*(1+'Rent Roll Analysis'!$AE20/12),'Monthly Cash Flow'!DE22*(1+'Rent Roll Analysis'!$AB20/12))))</f>
        <v/>
      </c>
      <c r="DG22" s="1428" t="str">
        <f>IF($B22="","",IF(DG$4&gt;2,(DF22*(1+'Rent Roll Analysis'!$AK20/12)), IF(AND('Monthly Cash Flow'!DG$4&gt;1,'Monthly Cash Flow'!DG$4&lt;=2),'Monthly Cash Flow'!DF22*(1+'Rent Roll Analysis'!$AE20/12),'Monthly Cash Flow'!DF22*(1+'Rent Roll Analysis'!$AB20/12))))</f>
        <v/>
      </c>
      <c r="DH22" s="1428" t="str">
        <f>IF($B22="","",IF(DH$4&gt;2,(DG22*(1+'Rent Roll Analysis'!$AK20/12)), IF(AND('Monthly Cash Flow'!DH$4&gt;1,'Monthly Cash Flow'!DH$4&lt;=2),'Monthly Cash Flow'!DG22*(1+'Rent Roll Analysis'!$AE20/12),'Monthly Cash Flow'!DG22*(1+'Rent Roll Analysis'!$AB20/12))))</f>
        <v/>
      </c>
      <c r="DI22" s="1428" t="str">
        <f>IF($B22="","",IF(DI$4&gt;2,(DH22*(1+'Rent Roll Analysis'!$AK20/12)), IF(AND('Monthly Cash Flow'!DI$4&gt;1,'Monthly Cash Flow'!DI$4&lt;=2),'Monthly Cash Flow'!DH22*(1+'Rent Roll Analysis'!$AE20/12),'Monthly Cash Flow'!DH22*(1+'Rent Roll Analysis'!$AB20/12))))</f>
        <v/>
      </c>
      <c r="DJ22" s="1428" t="str">
        <f>IF($B22="","",IF(DJ$4&gt;2,(DI22*(1+'Rent Roll Analysis'!$AK20/12)), IF(AND('Monthly Cash Flow'!DJ$4&gt;1,'Monthly Cash Flow'!DJ$4&lt;=2),'Monthly Cash Flow'!DI22*(1+'Rent Roll Analysis'!$AE20/12),'Monthly Cash Flow'!DI22*(1+'Rent Roll Analysis'!$AB20/12))))</f>
        <v/>
      </c>
      <c r="DK22" s="1428" t="str">
        <f>IF($B22="","",IF(DK$4&gt;2,(DJ22*(1+'Rent Roll Analysis'!$AK20/12)), IF(AND('Monthly Cash Flow'!DK$4&gt;1,'Monthly Cash Flow'!DK$4&lt;=2),'Monthly Cash Flow'!DJ22*(1+'Rent Roll Analysis'!$AE20/12),'Monthly Cash Flow'!DJ22*(1+'Rent Roll Analysis'!$AB20/12))))</f>
        <v/>
      </c>
      <c r="DL22" s="1428" t="str">
        <f>IF($B22="","",IF(DL$4&gt;2,(DK22*(1+'Rent Roll Analysis'!$AK20/12)), IF(AND('Monthly Cash Flow'!DL$4&gt;1,'Monthly Cash Flow'!DL$4&lt;=2),'Monthly Cash Flow'!DK22*(1+'Rent Roll Analysis'!$AE20/12),'Monthly Cash Flow'!DK22*(1+'Rent Roll Analysis'!$AB20/12))))</f>
        <v/>
      </c>
      <c r="DM22" s="1428" t="str">
        <f>IF($B22="","",IF(DM$4&gt;2,(DL22*(1+'Rent Roll Analysis'!$AK20/12)), IF(AND('Monthly Cash Flow'!DM$4&gt;1,'Monthly Cash Flow'!DM$4&lt;=2),'Monthly Cash Flow'!DL22*(1+'Rent Roll Analysis'!$AE20/12),'Monthly Cash Flow'!DL22*(1+'Rent Roll Analysis'!$AB20/12))))</f>
        <v/>
      </c>
      <c r="DN22" s="1428" t="str">
        <f>IF($B22="","",IF(DN$4&gt;2,(DM22*(1+'Rent Roll Analysis'!$AK20/12)), IF(AND('Monthly Cash Flow'!DN$4&gt;1,'Monthly Cash Flow'!DN$4&lt;=2),'Monthly Cash Flow'!DM22*(1+'Rent Roll Analysis'!$AE20/12),'Monthly Cash Flow'!DM22*(1+'Rent Roll Analysis'!$AB20/12))))</f>
        <v/>
      </c>
      <c r="DO22" s="1428" t="str">
        <f>IF($B22="","",IF(DO$4&gt;2,(DN22*(1+'Rent Roll Analysis'!$AK20/12)), IF(AND('Monthly Cash Flow'!DO$4&gt;1,'Monthly Cash Flow'!DO$4&lt;=2),'Monthly Cash Flow'!DN22*(1+'Rent Roll Analysis'!$AE20/12),'Monthly Cash Flow'!DN22*(1+'Rent Roll Analysis'!$AB20/12))))</f>
        <v/>
      </c>
      <c r="DP22" s="1428" t="str">
        <f>IF($B22="","",IF(DP$4&gt;2,(DO22*(1+'Rent Roll Analysis'!$AK20/12)), IF(AND('Monthly Cash Flow'!DP$4&gt;1,'Monthly Cash Flow'!DP$4&lt;=2),'Monthly Cash Flow'!DO22*(1+'Rent Roll Analysis'!$AE20/12),'Monthly Cash Flow'!DO22*(1+'Rent Roll Analysis'!$AB20/12))))</f>
        <v/>
      </c>
      <c r="DQ22" s="1428" t="str">
        <f>IF($B22="","",IF(DQ$4&gt;2,(DP22*(1+'Rent Roll Analysis'!$AK20/12)), IF(AND('Monthly Cash Flow'!DQ$4&gt;1,'Monthly Cash Flow'!DQ$4&lt;=2),'Monthly Cash Flow'!DP22*(1+'Rent Roll Analysis'!$AE20/12),'Monthly Cash Flow'!DP22*(1+'Rent Roll Analysis'!$AB20/12))))</f>
        <v/>
      </c>
      <c r="DR22" s="1428" t="str">
        <f>IF($B22="","",IF(DR$4&gt;2,(DQ22*(1+'Rent Roll Analysis'!$AK20/12)), IF(AND('Monthly Cash Flow'!DR$4&gt;1,'Monthly Cash Flow'!DR$4&lt;=2),'Monthly Cash Flow'!DQ22*(1+'Rent Roll Analysis'!$AE20/12),'Monthly Cash Flow'!DQ22*(1+'Rent Roll Analysis'!$AB20/12))))</f>
        <v/>
      </c>
      <c r="DS22" s="1428" t="str">
        <f>IF($B22="","",IF(DS$4&gt;2,(DR22*(1+'Rent Roll Analysis'!$AK20/12)), IF(AND('Monthly Cash Flow'!DS$4&gt;1,'Monthly Cash Flow'!DS$4&lt;=2),'Monthly Cash Flow'!DR22*(1+'Rent Roll Analysis'!$AE20/12),'Monthly Cash Flow'!DR22*(1+'Rent Roll Analysis'!$AB20/12))))</f>
        <v/>
      </c>
      <c r="DT22" s="1428" t="str">
        <f>IF($B22="","",IF(DT$4&gt;2,(DS22*(1+'Rent Roll Analysis'!$AK20/12)), IF(AND('Monthly Cash Flow'!DT$4&gt;1,'Monthly Cash Flow'!DT$4&lt;=2),'Monthly Cash Flow'!DS22*(1+'Rent Roll Analysis'!$AE20/12),'Monthly Cash Flow'!DS22*(1+'Rent Roll Analysis'!$AB20/12))))</f>
        <v/>
      </c>
      <c r="DU22" s="385" t="s">
        <v>557</v>
      </c>
      <c r="DV22" s="375"/>
    </row>
    <row r="23" spans="1:126" s="92" customFormat="1" ht="20.149999999999999" customHeight="1" outlineLevel="1">
      <c r="A23" s="375"/>
      <c r="B23" s="383" t="str">
        <f>'Rent Roll Analysis'!C21</f>
        <v/>
      </c>
      <c r="C23" s="376"/>
      <c r="D23" s="1426" t="str">
        <f>IF('Rent Roll Analysis'!C21="","",'Rent Roll Analysis'!N21*'Rent Roll Analysis'!E21)</f>
        <v/>
      </c>
      <c r="E23" s="1428" t="str">
        <f t="shared" si="113"/>
        <v/>
      </c>
      <c r="F23" s="1428" t="str">
        <f>IF($B23="","",IF(F$4&gt;2,(E23*(1+'Rent Roll Analysis'!$AK21/12)), IF(AND('Monthly Cash Flow'!F$4&gt;1,'Monthly Cash Flow'!F$4&lt;=2),'Monthly Cash Flow'!E23*(1+'Rent Roll Analysis'!$AE21/12),'Monthly Cash Flow'!E23*(1+'Rent Roll Analysis'!$AB21/12))))</f>
        <v/>
      </c>
      <c r="G23" s="1428" t="str">
        <f>IF($B23="","",IF(G$4&gt;2,(F23*(1+'Rent Roll Analysis'!$AK21/12)), IF(AND('Monthly Cash Flow'!G$4&gt;1,'Monthly Cash Flow'!G$4&lt;=2),'Monthly Cash Flow'!F23*(1+'Rent Roll Analysis'!$AE21/12),'Monthly Cash Flow'!F23*(1+'Rent Roll Analysis'!$AB21/12))))</f>
        <v/>
      </c>
      <c r="H23" s="1428" t="str">
        <f>IF($B23="","",IF(H$4&gt;2,(G23*(1+'Rent Roll Analysis'!$AK21/12)), IF(AND('Monthly Cash Flow'!H$4&gt;1,'Monthly Cash Flow'!H$4&lt;=2),'Monthly Cash Flow'!G23*(1+'Rent Roll Analysis'!$AE21/12),'Monthly Cash Flow'!G23*(1+'Rent Roll Analysis'!$AB21/12))))</f>
        <v/>
      </c>
      <c r="I23" s="1428" t="str">
        <f>IF($B23="","",IF(I$4&gt;2,(H23*(1+'Rent Roll Analysis'!$AK21/12)), IF(AND('Monthly Cash Flow'!I$4&gt;1,'Monthly Cash Flow'!I$4&lt;=2),'Monthly Cash Flow'!H23*(1+'Rent Roll Analysis'!$AE21/12),'Monthly Cash Flow'!H23*(1+'Rent Roll Analysis'!$AB21/12))))</f>
        <v/>
      </c>
      <c r="J23" s="1428" t="str">
        <f>IF($B23="","",IF(J$4&gt;2,(I23*(1+'Rent Roll Analysis'!$AK21/12)), IF(AND('Monthly Cash Flow'!J$4&gt;1,'Monthly Cash Flow'!J$4&lt;=2),'Monthly Cash Flow'!I23*(1+'Rent Roll Analysis'!$AE21/12),'Monthly Cash Flow'!I23*(1+'Rent Roll Analysis'!$AB21/12))))</f>
        <v/>
      </c>
      <c r="K23" s="1428" t="str">
        <f>IF($B23="","",IF(K$4&gt;2,(J23*(1+'Rent Roll Analysis'!$AK21/12)), IF(AND('Monthly Cash Flow'!K$4&gt;1,'Monthly Cash Flow'!K$4&lt;=2),'Monthly Cash Flow'!J23*(1+'Rent Roll Analysis'!$AE21/12),'Monthly Cash Flow'!J23*(1+'Rent Roll Analysis'!$AB21/12))))</f>
        <v/>
      </c>
      <c r="L23" s="1428" t="str">
        <f>IF($B23="","",IF(L$4&gt;2,(K23*(1+'Rent Roll Analysis'!$AK21/12)), IF(AND('Monthly Cash Flow'!L$4&gt;1,'Monthly Cash Flow'!L$4&lt;=2),'Monthly Cash Flow'!K23*(1+'Rent Roll Analysis'!$AE21/12),'Monthly Cash Flow'!K23*(1+'Rent Roll Analysis'!$AB21/12))))</f>
        <v/>
      </c>
      <c r="M23" s="1428" t="str">
        <f>IF($B23="","",IF(M$4&gt;2,(L23*(1+'Rent Roll Analysis'!$AK21/12)), IF(AND('Monthly Cash Flow'!M$4&gt;1,'Monthly Cash Flow'!M$4&lt;=2),'Monthly Cash Flow'!L23*(1+'Rent Roll Analysis'!$AE21/12),'Monthly Cash Flow'!L23*(1+'Rent Roll Analysis'!$AB21/12))))</f>
        <v/>
      </c>
      <c r="N23" s="1428" t="str">
        <f>IF($B23="","",IF(N$4&gt;2,(M23*(1+'Rent Roll Analysis'!$AK21/12)), IF(AND('Monthly Cash Flow'!N$4&gt;1,'Monthly Cash Flow'!N$4&lt;=2),'Monthly Cash Flow'!M23*(1+'Rent Roll Analysis'!$AE21/12),'Monthly Cash Flow'!M23*(1+'Rent Roll Analysis'!$AB21/12))))</f>
        <v/>
      </c>
      <c r="O23" s="1428" t="str">
        <f>IF($B23="","",IF(O$4&gt;2,(N23*(1+'Rent Roll Analysis'!$AK21/12)), IF(AND('Monthly Cash Flow'!O$4&gt;1,'Monthly Cash Flow'!O$4&lt;=2),'Monthly Cash Flow'!N23*(1+'Rent Roll Analysis'!$AE21/12),'Monthly Cash Flow'!N23*(1+'Rent Roll Analysis'!$AB21/12))))</f>
        <v/>
      </c>
      <c r="P23" s="1428" t="str">
        <f>IF($B23="","",IF(P$4&gt;2,(O23*(1+'Rent Roll Analysis'!$AK21/12)), IF(AND('Monthly Cash Flow'!P$4&gt;1,'Monthly Cash Flow'!P$4&lt;=2),'Monthly Cash Flow'!O23*(1+'Rent Roll Analysis'!$AE21/12),'Monthly Cash Flow'!O23*(1+'Rent Roll Analysis'!$AB21/12))))</f>
        <v/>
      </c>
      <c r="Q23" s="1428" t="str">
        <f>IF($B23="","",IF(Q$4&gt;2,(P23*(1+'Rent Roll Analysis'!$AK21/12)), IF(AND('Monthly Cash Flow'!Q$4&gt;1,'Monthly Cash Flow'!Q$4&lt;=2),'Monthly Cash Flow'!P23*(1+'Rent Roll Analysis'!$AE21/12),'Monthly Cash Flow'!P23*(1+'Rent Roll Analysis'!$AB21/12))))</f>
        <v/>
      </c>
      <c r="R23" s="1428" t="str">
        <f>IF($B23="","",IF(R$4&gt;2,(Q23*(1+'Rent Roll Analysis'!$AK21/12)), IF(AND('Monthly Cash Flow'!R$4&gt;1,'Monthly Cash Flow'!R$4&lt;=2),'Monthly Cash Flow'!Q23*(1+'Rent Roll Analysis'!$AE21/12),'Monthly Cash Flow'!Q23*(1+'Rent Roll Analysis'!$AB21/12))))</f>
        <v/>
      </c>
      <c r="S23" s="1428" t="str">
        <f>IF($B23="","",IF(S$4&gt;2,(R23*(1+'Rent Roll Analysis'!$AK21/12)), IF(AND('Monthly Cash Flow'!S$4&gt;1,'Monthly Cash Flow'!S$4&lt;=2),'Monthly Cash Flow'!R23*(1+'Rent Roll Analysis'!$AE21/12),'Monthly Cash Flow'!R23*(1+'Rent Roll Analysis'!$AB21/12))))</f>
        <v/>
      </c>
      <c r="T23" s="1428" t="str">
        <f>IF($B23="","",IF(T$4&gt;2,(S23*(1+'Rent Roll Analysis'!$AK21/12)), IF(AND('Monthly Cash Flow'!T$4&gt;1,'Monthly Cash Flow'!T$4&lt;=2),'Monthly Cash Flow'!S23*(1+'Rent Roll Analysis'!$AE21/12),'Monthly Cash Flow'!S23*(1+'Rent Roll Analysis'!$AB21/12))))</f>
        <v/>
      </c>
      <c r="U23" s="1428" t="str">
        <f>IF($B23="","",IF(U$4&gt;2,(T23*(1+'Rent Roll Analysis'!$AK21/12)), IF(AND('Monthly Cash Flow'!U$4&gt;1,'Monthly Cash Flow'!U$4&lt;=2),'Monthly Cash Flow'!T23*(1+'Rent Roll Analysis'!$AE21/12),'Monthly Cash Flow'!T23*(1+'Rent Roll Analysis'!$AB21/12))))</f>
        <v/>
      </c>
      <c r="V23" s="1428" t="str">
        <f>IF($B23="","",IF(V$4&gt;2,(U23*(1+'Rent Roll Analysis'!$AK21/12)), IF(AND('Monthly Cash Flow'!V$4&gt;1,'Monthly Cash Flow'!V$4&lt;=2),'Monthly Cash Flow'!U23*(1+'Rent Roll Analysis'!$AE21/12),'Monthly Cash Flow'!U23*(1+'Rent Roll Analysis'!$AB21/12))))</f>
        <v/>
      </c>
      <c r="W23" s="1428" t="str">
        <f>IF($B23="","",IF(W$4&gt;2,(V23*(1+'Rent Roll Analysis'!$AK21/12)), IF(AND('Monthly Cash Flow'!W$4&gt;1,'Monthly Cash Flow'!W$4&lt;=2),'Monthly Cash Flow'!V23*(1+'Rent Roll Analysis'!$AE21/12),'Monthly Cash Flow'!V23*(1+'Rent Roll Analysis'!$AB21/12))))</f>
        <v/>
      </c>
      <c r="X23" s="1428" t="str">
        <f>IF($B23="","",IF(X$4&gt;2,(W23*(1+'Rent Roll Analysis'!$AK21/12)), IF(AND('Monthly Cash Flow'!X$4&gt;1,'Monthly Cash Flow'!X$4&lt;=2),'Monthly Cash Flow'!W23*(1+'Rent Roll Analysis'!$AE21/12),'Monthly Cash Flow'!W23*(1+'Rent Roll Analysis'!$AB21/12))))</f>
        <v/>
      </c>
      <c r="Y23" s="1428" t="str">
        <f>IF($B23="","",IF(Y$4&gt;2,(X23*(1+'Rent Roll Analysis'!$AK21/12)), IF(AND('Monthly Cash Flow'!Y$4&gt;1,'Monthly Cash Flow'!Y$4&lt;=2),'Monthly Cash Flow'!X23*(1+'Rent Roll Analysis'!$AE21/12),'Monthly Cash Flow'!X23*(1+'Rent Roll Analysis'!$AB21/12))))</f>
        <v/>
      </c>
      <c r="Z23" s="1428" t="str">
        <f>IF($B23="","",IF(Z$4&gt;2,(Y23*(1+'Rent Roll Analysis'!$AK21/12)), IF(AND('Monthly Cash Flow'!Z$4&gt;1,'Monthly Cash Flow'!Z$4&lt;=2),'Monthly Cash Flow'!Y23*(1+'Rent Roll Analysis'!$AE21/12),'Monthly Cash Flow'!Y23*(1+'Rent Roll Analysis'!$AB21/12))))</f>
        <v/>
      </c>
      <c r="AA23" s="1428" t="str">
        <f>IF($B23="","",IF(AA$4&gt;2,(Z23*(1+'Rent Roll Analysis'!$AK21/12)), IF(AND('Monthly Cash Flow'!AA$4&gt;1,'Monthly Cash Flow'!AA$4&lt;=2),'Monthly Cash Flow'!Z23*(1+'Rent Roll Analysis'!$AE21/12),'Monthly Cash Flow'!Z23*(1+'Rent Roll Analysis'!$AB21/12))))</f>
        <v/>
      </c>
      <c r="AB23" s="1428" t="str">
        <f>IF($B23="","",IF(AB$4&gt;2,(AA23*(1+'Rent Roll Analysis'!$AK21/12)), IF(AND('Monthly Cash Flow'!AB$4&gt;1,'Monthly Cash Flow'!AB$4&lt;=2),'Monthly Cash Flow'!AA23*(1+'Rent Roll Analysis'!$AE21/12),'Monthly Cash Flow'!AA23*(1+'Rent Roll Analysis'!$AB21/12))))</f>
        <v/>
      </c>
      <c r="AC23" s="1428" t="str">
        <f>IF($B23="","",IF(AC$4&gt;2,(AB23*(1+'Rent Roll Analysis'!$AK21/12)), IF(AND('Monthly Cash Flow'!AC$4&gt;1,'Monthly Cash Flow'!AC$4&lt;=2),'Monthly Cash Flow'!AB23*(1+'Rent Roll Analysis'!$AE21/12),'Monthly Cash Flow'!AB23*(1+'Rent Roll Analysis'!$AB21/12))))</f>
        <v/>
      </c>
      <c r="AD23" s="1428" t="str">
        <f>IF($B23="","",IF(AD$4&gt;2,(AC23*(1+'Rent Roll Analysis'!$AK21/12)), IF(AND('Monthly Cash Flow'!AD$4&gt;1,'Monthly Cash Flow'!AD$4&lt;=2),'Monthly Cash Flow'!AC23*(1+'Rent Roll Analysis'!$AE21/12),'Monthly Cash Flow'!AC23*(1+'Rent Roll Analysis'!$AB21/12))))</f>
        <v/>
      </c>
      <c r="AE23" s="1428" t="str">
        <f>IF($B23="","",IF(AE$4&gt;2,(AD23*(1+'Rent Roll Analysis'!$AK21/12)), IF(AND('Monthly Cash Flow'!AE$4&gt;1,'Monthly Cash Flow'!AE$4&lt;=2),'Monthly Cash Flow'!AD23*(1+'Rent Roll Analysis'!$AE21/12),'Monthly Cash Flow'!AD23*(1+'Rent Roll Analysis'!$AB21/12))))</f>
        <v/>
      </c>
      <c r="AF23" s="1428" t="str">
        <f>IF($B23="","",IF(AF$4&gt;2,(AE23*(1+'Rent Roll Analysis'!$AK21/12)), IF(AND('Monthly Cash Flow'!AF$4&gt;1,'Monthly Cash Flow'!AF$4&lt;=2),'Monthly Cash Flow'!AE23*(1+'Rent Roll Analysis'!$AE21/12),'Monthly Cash Flow'!AE23*(1+'Rent Roll Analysis'!$AB21/12))))</f>
        <v/>
      </c>
      <c r="AG23" s="1428" t="str">
        <f>IF($B23="","",IF(AG$4&gt;2,(AF23*(1+'Rent Roll Analysis'!$AK21/12)), IF(AND('Monthly Cash Flow'!AG$4&gt;1,'Monthly Cash Flow'!AG$4&lt;=2),'Monthly Cash Flow'!AF23*(1+'Rent Roll Analysis'!$AE21/12),'Monthly Cash Flow'!AF23*(1+'Rent Roll Analysis'!$AB21/12))))</f>
        <v/>
      </c>
      <c r="AH23" s="1428" t="str">
        <f>IF($B23="","",IF(AH$4&gt;2,(AG23*(1+'Rent Roll Analysis'!$AK21/12)), IF(AND('Monthly Cash Flow'!AH$4&gt;1,'Monthly Cash Flow'!AH$4&lt;=2),'Monthly Cash Flow'!AG23*(1+'Rent Roll Analysis'!$AE21/12),'Monthly Cash Flow'!AG23*(1+'Rent Roll Analysis'!$AB21/12))))</f>
        <v/>
      </c>
      <c r="AI23" s="1428" t="str">
        <f>IF($B23="","",IF(AI$4&gt;2,(AH23*(1+'Rent Roll Analysis'!$AK21/12)), IF(AND('Monthly Cash Flow'!AI$4&gt;1,'Monthly Cash Flow'!AI$4&lt;=2),'Monthly Cash Flow'!AH23*(1+'Rent Roll Analysis'!$AE21/12),'Monthly Cash Flow'!AH23*(1+'Rent Roll Analysis'!$AB21/12))))</f>
        <v/>
      </c>
      <c r="AJ23" s="1428" t="str">
        <f>IF($B23="","",IF(AJ$4&gt;2,(AI23*(1+'Rent Roll Analysis'!$AK21/12)), IF(AND('Monthly Cash Flow'!AJ$4&gt;1,'Monthly Cash Flow'!AJ$4&lt;=2),'Monthly Cash Flow'!AI23*(1+'Rent Roll Analysis'!$AE21/12),'Monthly Cash Flow'!AI23*(1+'Rent Roll Analysis'!$AB21/12))))</f>
        <v/>
      </c>
      <c r="AK23" s="1428" t="str">
        <f>IF($B23="","",IF(AK$4&gt;2,(AJ23*(1+'Rent Roll Analysis'!$AK21/12)), IF(AND('Monthly Cash Flow'!AK$4&gt;1,'Monthly Cash Flow'!AK$4&lt;=2),'Monthly Cash Flow'!AJ23*(1+'Rent Roll Analysis'!$AE21/12),'Monthly Cash Flow'!AJ23*(1+'Rent Roll Analysis'!$AB21/12))))</f>
        <v/>
      </c>
      <c r="AL23" s="1428" t="str">
        <f>IF($B23="","",IF(AL$4&gt;2,(AK23*(1+'Rent Roll Analysis'!$AK21/12)), IF(AND('Monthly Cash Flow'!AL$4&gt;1,'Monthly Cash Flow'!AL$4&lt;=2),'Monthly Cash Flow'!AK23*(1+'Rent Roll Analysis'!$AE21/12),'Monthly Cash Flow'!AK23*(1+'Rent Roll Analysis'!$AB21/12))))</f>
        <v/>
      </c>
      <c r="AM23" s="1428" t="str">
        <f>IF($B23="","",IF(AM$4&gt;2,(AL23*(1+'Rent Roll Analysis'!$AK21/12)), IF(AND('Monthly Cash Flow'!AM$4&gt;1,'Monthly Cash Flow'!AM$4&lt;=2),'Monthly Cash Flow'!AL23*(1+'Rent Roll Analysis'!$AE21/12),'Monthly Cash Flow'!AL23*(1+'Rent Roll Analysis'!$AB21/12))))</f>
        <v/>
      </c>
      <c r="AN23" s="1428" t="str">
        <f>IF($B23="","",IF(AN$4&gt;2,(AM23*(1+'Rent Roll Analysis'!$AK21/12)), IF(AND('Monthly Cash Flow'!AN$4&gt;1,'Monthly Cash Flow'!AN$4&lt;=2),'Monthly Cash Flow'!AM23*(1+'Rent Roll Analysis'!$AE21/12),'Monthly Cash Flow'!AM23*(1+'Rent Roll Analysis'!$AB21/12))))</f>
        <v/>
      </c>
      <c r="AO23" s="1428" t="str">
        <f>IF($B23="","",IF(AO$4&gt;2,(AN23*(1+'Rent Roll Analysis'!$AK21/12)), IF(AND('Monthly Cash Flow'!AO$4&gt;1,'Monthly Cash Flow'!AO$4&lt;=2),'Monthly Cash Flow'!AN23*(1+'Rent Roll Analysis'!$AE21/12),'Monthly Cash Flow'!AN23*(1+'Rent Roll Analysis'!$AB21/12))))</f>
        <v/>
      </c>
      <c r="AP23" s="1428" t="str">
        <f>IF($B23="","",IF(AP$4&gt;2,(AO23*(1+'Rent Roll Analysis'!$AK21/12)), IF(AND('Monthly Cash Flow'!AP$4&gt;1,'Monthly Cash Flow'!AP$4&lt;=2),'Monthly Cash Flow'!AO23*(1+'Rent Roll Analysis'!$AE21/12),'Monthly Cash Flow'!AO23*(1+'Rent Roll Analysis'!$AB21/12))))</f>
        <v/>
      </c>
      <c r="AQ23" s="1428" t="str">
        <f>IF($B23="","",IF(AQ$4&gt;2,(AP23*(1+'Rent Roll Analysis'!$AK21/12)), IF(AND('Monthly Cash Flow'!AQ$4&gt;1,'Monthly Cash Flow'!AQ$4&lt;=2),'Monthly Cash Flow'!AP23*(1+'Rent Roll Analysis'!$AE21/12),'Monthly Cash Flow'!AP23*(1+'Rent Roll Analysis'!$AB21/12))))</f>
        <v/>
      </c>
      <c r="AR23" s="1428" t="str">
        <f>IF($B23="","",IF(AR$4&gt;2,(AQ23*(1+'Rent Roll Analysis'!$AK21/12)), IF(AND('Monthly Cash Flow'!AR$4&gt;1,'Monthly Cash Flow'!AR$4&lt;=2),'Monthly Cash Flow'!AQ23*(1+'Rent Roll Analysis'!$AE21/12),'Monthly Cash Flow'!AQ23*(1+'Rent Roll Analysis'!$AB21/12))))</f>
        <v/>
      </c>
      <c r="AS23" s="1428" t="str">
        <f>IF($B23="","",IF(AS$4&gt;2,(AR23*(1+'Rent Roll Analysis'!$AK21/12)), IF(AND('Monthly Cash Flow'!AS$4&gt;1,'Monthly Cash Flow'!AS$4&lt;=2),'Monthly Cash Flow'!AR23*(1+'Rent Roll Analysis'!$AE21/12),'Monthly Cash Flow'!AR23*(1+'Rent Roll Analysis'!$AB21/12))))</f>
        <v/>
      </c>
      <c r="AT23" s="1428" t="str">
        <f>IF($B23="","",IF(AT$4&gt;2,(AS23*(1+'Rent Roll Analysis'!$AK21/12)), IF(AND('Monthly Cash Flow'!AT$4&gt;1,'Monthly Cash Flow'!AT$4&lt;=2),'Monthly Cash Flow'!AS23*(1+'Rent Roll Analysis'!$AE21/12),'Monthly Cash Flow'!AS23*(1+'Rent Roll Analysis'!$AB21/12))))</f>
        <v/>
      </c>
      <c r="AU23" s="1428" t="str">
        <f>IF($B23="","",IF(AU$4&gt;2,(AT23*(1+'Rent Roll Analysis'!$AK21/12)), IF(AND('Monthly Cash Flow'!AU$4&gt;1,'Monthly Cash Flow'!AU$4&lt;=2),'Monthly Cash Flow'!AT23*(1+'Rent Roll Analysis'!$AE21/12),'Monthly Cash Flow'!AT23*(1+'Rent Roll Analysis'!$AB21/12))))</f>
        <v/>
      </c>
      <c r="AV23" s="1428" t="str">
        <f>IF($B23="","",IF(AV$4&gt;2,(AU23*(1+'Rent Roll Analysis'!$AK21/12)), IF(AND('Monthly Cash Flow'!AV$4&gt;1,'Monthly Cash Flow'!AV$4&lt;=2),'Monthly Cash Flow'!AU23*(1+'Rent Roll Analysis'!$AE21/12),'Monthly Cash Flow'!AU23*(1+'Rent Roll Analysis'!$AB21/12))))</f>
        <v/>
      </c>
      <c r="AW23" s="1428" t="str">
        <f>IF($B23="","",IF(AW$4&gt;2,(AV23*(1+'Rent Roll Analysis'!$AK21/12)), IF(AND('Monthly Cash Flow'!AW$4&gt;1,'Monthly Cash Flow'!AW$4&lt;=2),'Monthly Cash Flow'!AV23*(1+'Rent Roll Analysis'!$AE21/12),'Monthly Cash Flow'!AV23*(1+'Rent Roll Analysis'!$AB21/12))))</f>
        <v/>
      </c>
      <c r="AX23" s="1428" t="str">
        <f>IF($B23="","",IF(AX$4&gt;2,(AW23*(1+'Rent Roll Analysis'!$AK21/12)), IF(AND('Monthly Cash Flow'!AX$4&gt;1,'Monthly Cash Flow'!AX$4&lt;=2),'Monthly Cash Flow'!AW23*(1+'Rent Roll Analysis'!$AE21/12),'Monthly Cash Flow'!AW23*(1+'Rent Roll Analysis'!$AB21/12))))</f>
        <v/>
      </c>
      <c r="AY23" s="1428" t="str">
        <f>IF($B23="","",IF(AY$4&gt;2,(AX23*(1+'Rent Roll Analysis'!$AK21/12)), IF(AND('Monthly Cash Flow'!AY$4&gt;1,'Monthly Cash Flow'!AY$4&lt;=2),'Monthly Cash Flow'!AX23*(1+'Rent Roll Analysis'!$AE21/12),'Monthly Cash Flow'!AX23*(1+'Rent Roll Analysis'!$AB21/12))))</f>
        <v/>
      </c>
      <c r="AZ23" s="1428" t="str">
        <f>IF($B23="","",IF(AZ$4&gt;2,(AY23*(1+'Rent Roll Analysis'!$AK21/12)), IF(AND('Monthly Cash Flow'!AZ$4&gt;1,'Monthly Cash Flow'!AZ$4&lt;=2),'Monthly Cash Flow'!AY23*(1+'Rent Roll Analysis'!$AE21/12),'Monthly Cash Flow'!AY23*(1+'Rent Roll Analysis'!$AB21/12))))</f>
        <v/>
      </c>
      <c r="BA23" s="1428" t="str">
        <f>IF($B23="","",IF(BA$4&gt;2,(AZ23*(1+'Rent Roll Analysis'!$AK21/12)), IF(AND('Monthly Cash Flow'!BA$4&gt;1,'Monthly Cash Flow'!BA$4&lt;=2),'Monthly Cash Flow'!AZ23*(1+'Rent Roll Analysis'!$AE21/12),'Monthly Cash Flow'!AZ23*(1+'Rent Roll Analysis'!$AB21/12))))</f>
        <v/>
      </c>
      <c r="BB23" s="1428" t="str">
        <f>IF($B23="","",IF(BB$4&gt;2,(BA23*(1+'Rent Roll Analysis'!$AK21/12)), IF(AND('Monthly Cash Flow'!BB$4&gt;1,'Monthly Cash Flow'!BB$4&lt;=2),'Monthly Cash Flow'!BA23*(1+'Rent Roll Analysis'!$AE21/12),'Monthly Cash Flow'!BA23*(1+'Rent Roll Analysis'!$AB21/12))))</f>
        <v/>
      </c>
      <c r="BC23" s="1428" t="str">
        <f>IF($B23="","",IF(BC$4&gt;2,(BB23*(1+'Rent Roll Analysis'!$AK21/12)), IF(AND('Monthly Cash Flow'!BC$4&gt;1,'Monthly Cash Flow'!BC$4&lt;=2),'Monthly Cash Flow'!BB23*(1+'Rent Roll Analysis'!$AE21/12),'Monthly Cash Flow'!BB23*(1+'Rent Roll Analysis'!$AB21/12))))</f>
        <v/>
      </c>
      <c r="BD23" s="1428" t="str">
        <f>IF($B23="","",IF(BD$4&gt;2,(BC23*(1+'Rent Roll Analysis'!$AK21/12)), IF(AND('Monthly Cash Flow'!BD$4&gt;1,'Monthly Cash Flow'!BD$4&lt;=2),'Monthly Cash Flow'!BC23*(1+'Rent Roll Analysis'!$AE21/12),'Monthly Cash Flow'!BC23*(1+'Rent Roll Analysis'!$AB21/12))))</f>
        <v/>
      </c>
      <c r="BE23" s="1428" t="str">
        <f>IF($B23="","",IF(BE$4&gt;2,(BD23*(1+'Rent Roll Analysis'!$AK21/12)), IF(AND('Monthly Cash Flow'!BE$4&gt;1,'Monthly Cash Flow'!BE$4&lt;=2),'Monthly Cash Flow'!BD23*(1+'Rent Roll Analysis'!$AE21/12),'Monthly Cash Flow'!BD23*(1+'Rent Roll Analysis'!$AB21/12))))</f>
        <v/>
      </c>
      <c r="BF23" s="1428" t="str">
        <f>IF($B23="","",IF(BF$4&gt;2,(BE23*(1+'Rent Roll Analysis'!$AK21/12)), IF(AND('Monthly Cash Flow'!BF$4&gt;1,'Monthly Cash Flow'!BF$4&lt;=2),'Monthly Cash Flow'!BE23*(1+'Rent Roll Analysis'!$AE21/12),'Monthly Cash Flow'!BE23*(1+'Rent Roll Analysis'!$AB21/12))))</f>
        <v/>
      </c>
      <c r="BG23" s="1428" t="str">
        <f>IF($B23="","",IF(BG$4&gt;2,(BF23*(1+'Rent Roll Analysis'!$AK21/12)), IF(AND('Monthly Cash Flow'!BG$4&gt;1,'Monthly Cash Flow'!BG$4&lt;=2),'Monthly Cash Flow'!BF23*(1+'Rent Roll Analysis'!$AE21/12),'Monthly Cash Flow'!BF23*(1+'Rent Roll Analysis'!$AB21/12))))</f>
        <v/>
      </c>
      <c r="BH23" s="1428" t="str">
        <f>IF($B23="","",IF(BH$4&gt;2,(BG23*(1+'Rent Roll Analysis'!$AK21/12)), IF(AND('Monthly Cash Flow'!BH$4&gt;1,'Monthly Cash Flow'!BH$4&lt;=2),'Monthly Cash Flow'!BG23*(1+'Rent Roll Analysis'!$AE21/12),'Monthly Cash Flow'!BG23*(1+'Rent Roll Analysis'!$AB21/12))))</f>
        <v/>
      </c>
      <c r="BI23" s="1428" t="str">
        <f>IF($B23="","",IF(BI$4&gt;2,(BH23*(1+'Rent Roll Analysis'!$AK21/12)), IF(AND('Monthly Cash Flow'!BI$4&gt;1,'Monthly Cash Flow'!BI$4&lt;=2),'Monthly Cash Flow'!BH23*(1+'Rent Roll Analysis'!$AE21/12),'Monthly Cash Flow'!BH23*(1+'Rent Roll Analysis'!$AB21/12))))</f>
        <v/>
      </c>
      <c r="BJ23" s="1428" t="str">
        <f>IF($B23="","",IF(BJ$4&gt;2,(BI23*(1+'Rent Roll Analysis'!$AK21/12)), IF(AND('Monthly Cash Flow'!BJ$4&gt;1,'Monthly Cash Flow'!BJ$4&lt;=2),'Monthly Cash Flow'!BI23*(1+'Rent Roll Analysis'!$AE21/12),'Monthly Cash Flow'!BI23*(1+'Rent Roll Analysis'!$AB21/12))))</f>
        <v/>
      </c>
      <c r="BK23" s="1428" t="str">
        <f>IF($B23="","",IF(BK$4&gt;2,(BJ23*(1+'Rent Roll Analysis'!$AK21/12)), IF(AND('Monthly Cash Flow'!BK$4&gt;1,'Monthly Cash Flow'!BK$4&lt;=2),'Monthly Cash Flow'!BJ23*(1+'Rent Roll Analysis'!$AE21/12),'Monthly Cash Flow'!BJ23*(1+'Rent Roll Analysis'!$AB21/12))))</f>
        <v/>
      </c>
      <c r="BL23" s="1428" t="str">
        <f>IF($B23="","",IF(BL$4&gt;2,(BK23*(1+'Rent Roll Analysis'!$AK21/12)), IF(AND('Monthly Cash Flow'!BL$4&gt;1,'Monthly Cash Flow'!BL$4&lt;=2),'Monthly Cash Flow'!BK23*(1+'Rent Roll Analysis'!$AE21/12),'Monthly Cash Flow'!BK23*(1+'Rent Roll Analysis'!$AB21/12))))</f>
        <v/>
      </c>
      <c r="BM23" s="1428" t="str">
        <f>IF($B23="","",IF(BM$4&gt;2,(BL23*(1+'Rent Roll Analysis'!$AK21/12)), IF(AND('Monthly Cash Flow'!BM$4&gt;1,'Monthly Cash Flow'!BM$4&lt;=2),'Monthly Cash Flow'!BL23*(1+'Rent Roll Analysis'!$AE21/12),'Monthly Cash Flow'!BL23*(1+'Rent Roll Analysis'!$AB21/12))))</f>
        <v/>
      </c>
      <c r="BN23" s="1428" t="str">
        <f>IF($B23="","",IF(BN$4&gt;2,(BM23*(1+'Rent Roll Analysis'!$AK21/12)), IF(AND('Monthly Cash Flow'!BN$4&gt;1,'Monthly Cash Flow'!BN$4&lt;=2),'Monthly Cash Flow'!BM23*(1+'Rent Roll Analysis'!$AE21/12),'Monthly Cash Flow'!BM23*(1+'Rent Roll Analysis'!$AB21/12))))</f>
        <v/>
      </c>
      <c r="BO23" s="1428" t="str">
        <f>IF($B23="","",IF(BO$4&gt;2,(BN23*(1+'Rent Roll Analysis'!$AK21/12)), IF(AND('Monthly Cash Flow'!BO$4&gt;1,'Monthly Cash Flow'!BO$4&lt;=2),'Monthly Cash Flow'!BN23*(1+'Rent Roll Analysis'!$AE21/12),'Monthly Cash Flow'!BN23*(1+'Rent Roll Analysis'!$AB21/12))))</f>
        <v/>
      </c>
      <c r="BP23" s="1428" t="str">
        <f>IF($B23="","",IF(BP$4&gt;2,(BO23*(1+'Rent Roll Analysis'!$AK21/12)), IF(AND('Monthly Cash Flow'!BP$4&gt;1,'Monthly Cash Flow'!BP$4&lt;=2),'Monthly Cash Flow'!BO23*(1+'Rent Roll Analysis'!$AE21/12),'Monthly Cash Flow'!BO23*(1+'Rent Roll Analysis'!$AB21/12))))</f>
        <v/>
      </c>
      <c r="BQ23" s="1428" t="str">
        <f>IF($B23="","",IF(BQ$4&gt;2,(BP23*(1+'Rent Roll Analysis'!$AK21/12)), IF(AND('Monthly Cash Flow'!BQ$4&gt;1,'Monthly Cash Flow'!BQ$4&lt;=2),'Monthly Cash Flow'!BP23*(1+'Rent Roll Analysis'!$AE21/12),'Monthly Cash Flow'!BP23*(1+'Rent Roll Analysis'!$AB21/12))))</f>
        <v/>
      </c>
      <c r="BR23" s="1428" t="str">
        <f>IF($B23="","",IF(BR$4&gt;2,(BQ23*(1+'Rent Roll Analysis'!$AK21/12)), IF(AND('Monthly Cash Flow'!BR$4&gt;1,'Monthly Cash Flow'!BR$4&lt;=2),'Monthly Cash Flow'!BQ23*(1+'Rent Roll Analysis'!$AE21/12),'Monthly Cash Flow'!BQ23*(1+'Rent Roll Analysis'!$AB21/12))))</f>
        <v/>
      </c>
      <c r="BS23" s="1428" t="str">
        <f>IF($B23="","",IF(BS$4&gt;2,(BR23*(1+'Rent Roll Analysis'!$AK21/12)), IF(AND('Monthly Cash Flow'!BS$4&gt;1,'Monthly Cash Flow'!BS$4&lt;=2),'Monthly Cash Flow'!BR23*(1+'Rent Roll Analysis'!$AE21/12),'Monthly Cash Flow'!BR23*(1+'Rent Roll Analysis'!$AB21/12))))</f>
        <v/>
      </c>
      <c r="BT23" s="1428" t="str">
        <f>IF($B23="","",IF(BT$4&gt;2,(BS23*(1+'Rent Roll Analysis'!$AK21/12)), IF(AND('Monthly Cash Flow'!BT$4&gt;1,'Monthly Cash Flow'!BT$4&lt;=2),'Monthly Cash Flow'!BS23*(1+'Rent Roll Analysis'!$AE21/12),'Monthly Cash Flow'!BS23*(1+'Rent Roll Analysis'!$AB21/12))))</f>
        <v/>
      </c>
      <c r="BU23" s="1428" t="str">
        <f>IF($B23="","",IF(BU$4&gt;2,(BT23*(1+'Rent Roll Analysis'!$AK21/12)), IF(AND('Monthly Cash Flow'!BU$4&gt;1,'Monthly Cash Flow'!BU$4&lt;=2),'Monthly Cash Flow'!BT23*(1+'Rent Roll Analysis'!$AE21/12),'Monthly Cash Flow'!BT23*(1+'Rent Roll Analysis'!$AB21/12))))</f>
        <v/>
      </c>
      <c r="BV23" s="1428" t="str">
        <f>IF($B23="","",IF(BV$4&gt;2,(BU23*(1+'Rent Roll Analysis'!$AK21/12)), IF(AND('Monthly Cash Flow'!BV$4&gt;1,'Monthly Cash Flow'!BV$4&lt;=2),'Monthly Cash Flow'!BU23*(1+'Rent Roll Analysis'!$AE21/12),'Monthly Cash Flow'!BU23*(1+'Rent Roll Analysis'!$AB21/12))))</f>
        <v/>
      </c>
      <c r="BW23" s="1428" t="str">
        <f>IF($B23="","",IF(BW$4&gt;2,(BV23*(1+'Rent Roll Analysis'!$AK21/12)), IF(AND('Monthly Cash Flow'!BW$4&gt;1,'Monthly Cash Flow'!BW$4&lt;=2),'Monthly Cash Flow'!BV23*(1+'Rent Roll Analysis'!$AE21/12),'Monthly Cash Flow'!BV23*(1+'Rent Roll Analysis'!$AB21/12))))</f>
        <v/>
      </c>
      <c r="BX23" s="1428" t="str">
        <f>IF($B23="","",IF(BX$4&gt;2,(BW23*(1+'Rent Roll Analysis'!$AK21/12)), IF(AND('Monthly Cash Flow'!BX$4&gt;1,'Monthly Cash Flow'!BX$4&lt;=2),'Monthly Cash Flow'!BW23*(1+'Rent Roll Analysis'!$AE21/12),'Monthly Cash Flow'!BW23*(1+'Rent Roll Analysis'!$AB21/12))))</f>
        <v/>
      </c>
      <c r="BY23" s="1428" t="str">
        <f>IF($B23="","",IF(BY$4&gt;2,(BX23*(1+'Rent Roll Analysis'!$AK21/12)), IF(AND('Monthly Cash Flow'!BY$4&gt;1,'Monthly Cash Flow'!BY$4&lt;=2),'Monthly Cash Flow'!BX23*(1+'Rent Roll Analysis'!$AE21/12),'Monthly Cash Flow'!BX23*(1+'Rent Roll Analysis'!$AB21/12))))</f>
        <v/>
      </c>
      <c r="BZ23" s="1428" t="str">
        <f>IF($B23="","",IF(BZ$4&gt;2,(BY23*(1+'Rent Roll Analysis'!$AK21/12)), IF(AND('Monthly Cash Flow'!BZ$4&gt;1,'Monthly Cash Flow'!BZ$4&lt;=2),'Monthly Cash Flow'!BY23*(1+'Rent Roll Analysis'!$AE21/12),'Monthly Cash Flow'!BY23*(1+'Rent Roll Analysis'!$AB21/12))))</f>
        <v/>
      </c>
      <c r="CA23" s="1428" t="str">
        <f>IF($B23="","",IF(CA$4&gt;2,(BZ23*(1+'Rent Roll Analysis'!$AK21/12)), IF(AND('Monthly Cash Flow'!CA$4&gt;1,'Monthly Cash Flow'!CA$4&lt;=2),'Monthly Cash Flow'!BZ23*(1+'Rent Roll Analysis'!$AE21/12),'Monthly Cash Flow'!BZ23*(1+'Rent Roll Analysis'!$AB21/12))))</f>
        <v/>
      </c>
      <c r="CB23" s="1428" t="str">
        <f>IF($B23="","",IF(CB$4&gt;2,(CA23*(1+'Rent Roll Analysis'!$AK21/12)), IF(AND('Monthly Cash Flow'!CB$4&gt;1,'Monthly Cash Flow'!CB$4&lt;=2),'Monthly Cash Flow'!CA23*(1+'Rent Roll Analysis'!$AE21/12),'Monthly Cash Flow'!CA23*(1+'Rent Roll Analysis'!$AB21/12))))</f>
        <v/>
      </c>
      <c r="CC23" s="1428" t="str">
        <f>IF($B23="","",IF(CC$4&gt;2,(CB23*(1+'Rent Roll Analysis'!$AK21/12)), IF(AND('Monthly Cash Flow'!CC$4&gt;1,'Monthly Cash Flow'!CC$4&lt;=2),'Monthly Cash Flow'!CB23*(1+'Rent Roll Analysis'!$AE21/12),'Monthly Cash Flow'!CB23*(1+'Rent Roll Analysis'!$AB21/12))))</f>
        <v/>
      </c>
      <c r="CD23" s="1428" t="str">
        <f>IF($B23="","",IF(CD$4&gt;2,(CC23*(1+'Rent Roll Analysis'!$AK21/12)), IF(AND('Monthly Cash Flow'!CD$4&gt;1,'Monthly Cash Flow'!CD$4&lt;=2),'Monthly Cash Flow'!CC23*(1+'Rent Roll Analysis'!$AE21/12),'Monthly Cash Flow'!CC23*(1+'Rent Roll Analysis'!$AB21/12))))</f>
        <v/>
      </c>
      <c r="CE23" s="1428" t="str">
        <f>IF($B23="","",IF(CE$4&gt;2,(CD23*(1+'Rent Roll Analysis'!$AK21/12)), IF(AND('Monthly Cash Flow'!CE$4&gt;1,'Monthly Cash Flow'!CE$4&lt;=2),'Monthly Cash Flow'!CD23*(1+'Rent Roll Analysis'!$AE21/12),'Monthly Cash Flow'!CD23*(1+'Rent Roll Analysis'!$AB21/12))))</f>
        <v/>
      </c>
      <c r="CF23" s="1428" t="str">
        <f>IF($B23="","",IF(CF$4&gt;2,(CE23*(1+'Rent Roll Analysis'!$AK21/12)), IF(AND('Monthly Cash Flow'!CF$4&gt;1,'Monthly Cash Flow'!CF$4&lt;=2),'Monthly Cash Flow'!CE23*(1+'Rent Roll Analysis'!$AE21/12),'Monthly Cash Flow'!CE23*(1+'Rent Roll Analysis'!$AB21/12))))</f>
        <v/>
      </c>
      <c r="CG23" s="1428" t="str">
        <f>IF($B23="","",IF(CG$4&gt;2,(CF23*(1+'Rent Roll Analysis'!$AK21/12)), IF(AND('Monthly Cash Flow'!CG$4&gt;1,'Monthly Cash Flow'!CG$4&lt;=2),'Monthly Cash Flow'!CF23*(1+'Rent Roll Analysis'!$AE21/12),'Monthly Cash Flow'!CF23*(1+'Rent Roll Analysis'!$AB21/12))))</f>
        <v/>
      </c>
      <c r="CH23" s="1428" t="str">
        <f>IF($B23="","",IF(CH$4&gt;2,(CG23*(1+'Rent Roll Analysis'!$AK21/12)), IF(AND('Monthly Cash Flow'!CH$4&gt;1,'Monthly Cash Flow'!CH$4&lt;=2),'Monthly Cash Flow'!CG23*(1+'Rent Roll Analysis'!$AE21/12),'Monthly Cash Flow'!CG23*(1+'Rent Roll Analysis'!$AB21/12))))</f>
        <v/>
      </c>
      <c r="CI23" s="1428" t="str">
        <f>IF($B23="","",IF(CI$4&gt;2,(CH23*(1+'Rent Roll Analysis'!$AK21/12)), IF(AND('Monthly Cash Flow'!CI$4&gt;1,'Monthly Cash Flow'!CI$4&lt;=2),'Monthly Cash Flow'!CH23*(1+'Rent Roll Analysis'!$AE21/12),'Monthly Cash Flow'!CH23*(1+'Rent Roll Analysis'!$AB21/12))))</f>
        <v/>
      </c>
      <c r="CJ23" s="1428" t="str">
        <f>IF($B23="","",IF(CJ$4&gt;2,(CI23*(1+'Rent Roll Analysis'!$AK21/12)), IF(AND('Monthly Cash Flow'!CJ$4&gt;1,'Monthly Cash Flow'!CJ$4&lt;=2),'Monthly Cash Flow'!CI23*(1+'Rent Roll Analysis'!$AE21/12),'Monthly Cash Flow'!CI23*(1+'Rent Roll Analysis'!$AB21/12))))</f>
        <v/>
      </c>
      <c r="CK23" s="1428" t="str">
        <f>IF($B23="","",IF(CK$4&gt;2,(CJ23*(1+'Rent Roll Analysis'!$AK21/12)), IF(AND('Monthly Cash Flow'!CK$4&gt;1,'Monthly Cash Flow'!CK$4&lt;=2),'Monthly Cash Flow'!CJ23*(1+'Rent Roll Analysis'!$AE21/12),'Monthly Cash Flow'!CJ23*(1+'Rent Roll Analysis'!$AB21/12))))</f>
        <v/>
      </c>
      <c r="CL23" s="1428" t="str">
        <f>IF($B23="","",IF(CL$4&gt;2,(CK23*(1+'Rent Roll Analysis'!$AK21/12)), IF(AND('Monthly Cash Flow'!CL$4&gt;1,'Monthly Cash Flow'!CL$4&lt;=2),'Monthly Cash Flow'!CK23*(1+'Rent Roll Analysis'!$AE21/12),'Monthly Cash Flow'!CK23*(1+'Rent Roll Analysis'!$AB21/12))))</f>
        <v/>
      </c>
      <c r="CM23" s="1428" t="str">
        <f>IF($B23="","",IF(CM$4&gt;2,(CL23*(1+'Rent Roll Analysis'!$AK21/12)), IF(AND('Monthly Cash Flow'!CM$4&gt;1,'Monthly Cash Flow'!CM$4&lt;=2),'Monthly Cash Flow'!CL23*(1+'Rent Roll Analysis'!$AE21/12),'Monthly Cash Flow'!CL23*(1+'Rent Roll Analysis'!$AB21/12))))</f>
        <v/>
      </c>
      <c r="CN23" s="1428" t="str">
        <f>IF($B23="","",IF(CN$4&gt;2,(CM23*(1+'Rent Roll Analysis'!$AK21/12)), IF(AND('Monthly Cash Flow'!CN$4&gt;1,'Monthly Cash Flow'!CN$4&lt;=2),'Monthly Cash Flow'!CM23*(1+'Rent Roll Analysis'!$AE21/12),'Monthly Cash Flow'!CM23*(1+'Rent Roll Analysis'!$AB21/12))))</f>
        <v/>
      </c>
      <c r="CO23" s="1428" t="str">
        <f>IF($B23="","",IF(CO$4&gt;2,(CN23*(1+'Rent Roll Analysis'!$AK21/12)), IF(AND('Monthly Cash Flow'!CO$4&gt;1,'Monthly Cash Flow'!CO$4&lt;=2),'Monthly Cash Flow'!CN23*(1+'Rent Roll Analysis'!$AE21/12),'Monthly Cash Flow'!CN23*(1+'Rent Roll Analysis'!$AB21/12))))</f>
        <v/>
      </c>
      <c r="CP23" s="1428" t="str">
        <f>IF($B23="","",IF(CP$4&gt;2,(CO23*(1+'Rent Roll Analysis'!$AK21/12)), IF(AND('Monthly Cash Flow'!CP$4&gt;1,'Monthly Cash Flow'!CP$4&lt;=2),'Monthly Cash Flow'!CO23*(1+'Rent Roll Analysis'!$AE21/12),'Monthly Cash Flow'!CO23*(1+'Rent Roll Analysis'!$AB21/12))))</f>
        <v/>
      </c>
      <c r="CQ23" s="1428" t="str">
        <f>IF($B23="","",IF(CQ$4&gt;2,(CP23*(1+'Rent Roll Analysis'!$AK21/12)), IF(AND('Monthly Cash Flow'!CQ$4&gt;1,'Monthly Cash Flow'!CQ$4&lt;=2),'Monthly Cash Flow'!CP23*(1+'Rent Roll Analysis'!$AE21/12),'Monthly Cash Flow'!CP23*(1+'Rent Roll Analysis'!$AB21/12))))</f>
        <v/>
      </c>
      <c r="CR23" s="1428" t="str">
        <f>IF($B23="","",IF(CR$4&gt;2,(CQ23*(1+'Rent Roll Analysis'!$AK21/12)), IF(AND('Monthly Cash Flow'!CR$4&gt;1,'Monthly Cash Flow'!CR$4&lt;=2),'Monthly Cash Flow'!CQ23*(1+'Rent Roll Analysis'!$AE21/12),'Monthly Cash Flow'!CQ23*(1+'Rent Roll Analysis'!$AB21/12))))</f>
        <v/>
      </c>
      <c r="CS23" s="1428" t="str">
        <f>IF($B23="","",IF(CS$4&gt;2,(CR23*(1+'Rent Roll Analysis'!$AK21/12)), IF(AND('Monthly Cash Flow'!CS$4&gt;1,'Monthly Cash Flow'!CS$4&lt;=2),'Monthly Cash Flow'!CR23*(1+'Rent Roll Analysis'!$AE21/12),'Monthly Cash Flow'!CR23*(1+'Rent Roll Analysis'!$AB21/12))))</f>
        <v/>
      </c>
      <c r="CT23" s="1428" t="str">
        <f>IF($B23="","",IF(CT$4&gt;2,(CS23*(1+'Rent Roll Analysis'!$AK21/12)), IF(AND('Monthly Cash Flow'!CT$4&gt;1,'Monthly Cash Flow'!CT$4&lt;=2),'Monthly Cash Flow'!CS23*(1+'Rent Roll Analysis'!$AE21/12),'Monthly Cash Flow'!CS23*(1+'Rent Roll Analysis'!$AB21/12))))</f>
        <v/>
      </c>
      <c r="CU23" s="1428" t="str">
        <f>IF($B23="","",IF(CU$4&gt;2,(CT23*(1+'Rent Roll Analysis'!$AK21/12)), IF(AND('Monthly Cash Flow'!CU$4&gt;1,'Monthly Cash Flow'!CU$4&lt;=2),'Monthly Cash Flow'!CT23*(1+'Rent Roll Analysis'!$AE21/12),'Monthly Cash Flow'!CT23*(1+'Rent Roll Analysis'!$AB21/12))))</f>
        <v/>
      </c>
      <c r="CV23" s="1428" t="str">
        <f>IF($B23="","",IF(CV$4&gt;2,(CU23*(1+'Rent Roll Analysis'!$AK21/12)), IF(AND('Monthly Cash Flow'!CV$4&gt;1,'Monthly Cash Flow'!CV$4&lt;=2),'Monthly Cash Flow'!CU23*(1+'Rent Roll Analysis'!$AE21/12),'Monthly Cash Flow'!CU23*(1+'Rent Roll Analysis'!$AB21/12))))</f>
        <v/>
      </c>
      <c r="CW23" s="1428" t="str">
        <f>IF($B23="","",IF(CW$4&gt;2,(CV23*(1+'Rent Roll Analysis'!$AK21/12)), IF(AND('Monthly Cash Flow'!CW$4&gt;1,'Monthly Cash Flow'!CW$4&lt;=2),'Monthly Cash Flow'!CV23*(1+'Rent Roll Analysis'!$AE21/12),'Monthly Cash Flow'!CV23*(1+'Rent Roll Analysis'!$AB21/12))))</f>
        <v/>
      </c>
      <c r="CX23" s="1428" t="str">
        <f>IF($B23="","",IF(CX$4&gt;2,(CW23*(1+'Rent Roll Analysis'!$AK21/12)), IF(AND('Monthly Cash Flow'!CX$4&gt;1,'Monthly Cash Flow'!CX$4&lt;=2),'Monthly Cash Flow'!CW23*(1+'Rent Roll Analysis'!$AE21/12),'Monthly Cash Flow'!CW23*(1+'Rent Roll Analysis'!$AB21/12))))</f>
        <v/>
      </c>
      <c r="CY23" s="1428" t="str">
        <f>IF($B23="","",IF(CY$4&gt;2,(CX23*(1+'Rent Roll Analysis'!$AK21/12)), IF(AND('Monthly Cash Flow'!CY$4&gt;1,'Monthly Cash Flow'!CY$4&lt;=2),'Monthly Cash Flow'!CX23*(1+'Rent Roll Analysis'!$AE21/12),'Monthly Cash Flow'!CX23*(1+'Rent Roll Analysis'!$AB21/12))))</f>
        <v/>
      </c>
      <c r="CZ23" s="1428" t="str">
        <f>IF($B23="","",IF(CZ$4&gt;2,(CY23*(1+'Rent Roll Analysis'!$AK21/12)), IF(AND('Monthly Cash Flow'!CZ$4&gt;1,'Monthly Cash Flow'!CZ$4&lt;=2),'Monthly Cash Flow'!CY23*(1+'Rent Roll Analysis'!$AE21/12),'Monthly Cash Flow'!CY23*(1+'Rent Roll Analysis'!$AB21/12))))</f>
        <v/>
      </c>
      <c r="DA23" s="1428" t="str">
        <f>IF($B23="","",IF(DA$4&gt;2,(CZ23*(1+'Rent Roll Analysis'!$AK21/12)), IF(AND('Monthly Cash Flow'!DA$4&gt;1,'Monthly Cash Flow'!DA$4&lt;=2),'Monthly Cash Flow'!CZ23*(1+'Rent Roll Analysis'!$AE21/12),'Monthly Cash Flow'!CZ23*(1+'Rent Roll Analysis'!$AB21/12))))</f>
        <v/>
      </c>
      <c r="DB23" s="1428" t="str">
        <f>IF($B23="","",IF(DB$4&gt;2,(DA23*(1+'Rent Roll Analysis'!$AK21/12)), IF(AND('Monthly Cash Flow'!DB$4&gt;1,'Monthly Cash Flow'!DB$4&lt;=2),'Monthly Cash Flow'!DA23*(1+'Rent Roll Analysis'!$AE21/12),'Monthly Cash Flow'!DA23*(1+'Rent Roll Analysis'!$AB21/12))))</f>
        <v/>
      </c>
      <c r="DC23" s="1428" t="str">
        <f>IF($B23="","",IF(DC$4&gt;2,(DB23*(1+'Rent Roll Analysis'!$AK21/12)), IF(AND('Monthly Cash Flow'!DC$4&gt;1,'Monthly Cash Flow'!DC$4&lt;=2),'Monthly Cash Flow'!DB23*(1+'Rent Roll Analysis'!$AE21/12),'Monthly Cash Flow'!DB23*(1+'Rent Roll Analysis'!$AB21/12))))</f>
        <v/>
      </c>
      <c r="DD23" s="1428" t="str">
        <f>IF($B23="","",IF(DD$4&gt;2,(DC23*(1+'Rent Roll Analysis'!$AK21/12)), IF(AND('Monthly Cash Flow'!DD$4&gt;1,'Monthly Cash Flow'!DD$4&lt;=2),'Monthly Cash Flow'!DC23*(1+'Rent Roll Analysis'!$AE21/12),'Monthly Cash Flow'!DC23*(1+'Rent Roll Analysis'!$AB21/12))))</f>
        <v/>
      </c>
      <c r="DE23" s="1428" t="str">
        <f>IF($B23="","",IF(DE$4&gt;2,(DD23*(1+'Rent Roll Analysis'!$AK21/12)), IF(AND('Monthly Cash Flow'!DE$4&gt;1,'Monthly Cash Flow'!DE$4&lt;=2),'Monthly Cash Flow'!DD23*(1+'Rent Roll Analysis'!$AE21/12),'Monthly Cash Flow'!DD23*(1+'Rent Roll Analysis'!$AB21/12))))</f>
        <v/>
      </c>
      <c r="DF23" s="1428" t="str">
        <f>IF($B23="","",IF(DF$4&gt;2,(DE23*(1+'Rent Roll Analysis'!$AK21/12)), IF(AND('Monthly Cash Flow'!DF$4&gt;1,'Monthly Cash Flow'!DF$4&lt;=2),'Monthly Cash Flow'!DE23*(1+'Rent Roll Analysis'!$AE21/12),'Monthly Cash Flow'!DE23*(1+'Rent Roll Analysis'!$AB21/12))))</f>
        <v/>
      </c>
      <c r="DG23" s="1428" t="str">
        <f>IF($B23="","",IF(DG$4&gt;2,(DF23*(1+'Rent Roll Analysis'!$AK21/12)), IF(AND('Monthly Cash Flow'!DG$4&gt;1,'Monthly Cash Flow'!DG$4&lt;=2),'Monthly Cash Flow'!DF23*(1+'Rent Roll Analysis'!$AE21/12),'Monthly Cash Flow'!DF23*(1+'Rent Roll Analysis'!$AB21/12))))</f>
        <v/>
      </c>
      <c r="DH23" s="1428" t="str">
        <f>IF($B23="","",IF(DH$4&gt;2,(DG23*(1+'Rent Roll Analysis'!$AK21/12)), IF(AND('Monthly Cash Flow'!DH$4&gt;1,'Monthly Cash Flow'!DH$4&lt;=2),'Monthly Cash Flow'!DG23*(1+'Rent Roll Analysis'!$AE21/12),'Monthly Cash Flow'!DG23*(1+'Rent Roll Analysis'!$AB21/12))))</f>
        <v/>
      </c>
      <c r="DI23" s="1428" t="str">
        <f>IF($B23="","",IF(DI$4&gt;2,(DH23*(1+'Rent Roll Analysis'!$AK21/12)), IF(AND('Monthly Cash Flow'!DI$4&gt;1,'Monthly Cash Flow'!DI$4&lt;=2),'Monthly Cash Flow'!DH23*(1+'Rent Roll Analysis'!$AE21/12),'Monthly Cash Flow'!DH23*(1+'Rent Roll Analysis'!$AB21/12))))</f>
        <v/>
      </c>
      <c r="DJ23" s="1428" t="str">
        <f>IF($B23="","",IF(DJ$4&gt;2,(DI23*(1+'Rent Roll Analysis'!$AK21/12)), IF(AND('Monthly Cash Flow'!DJ$4&gt;1,'Monthly Cash Flow'!DJ$4&lt;=2),'Monthly Cash Flow'!DI23*(1+'Rent Roll Analysis'!$AE21/12),'Monthly Cash Flow'!DI23*(1+'Rent Roll Analysis'!$AB21/12))))</f>
        <v/>
      </c>
      <c r="DK23" s="1428" t="str">
        <f>IF($B23="","",IF(DK$4&gt;2,(DJ23*(1+'Rent Roll Analysis'!$AK21/12)), IF(AND('Monthly Cash Flow'!DK$4&gt;1,'Monthly Cash Flow'!DK$4&lt;=2),'Monthly Cash Flow'!DJ23*(1+'Rent Roll Analysis'!$AE21/12),'Monthly Cash Flow'!DJ23*(1+'Rent Roll Analysis'!$AB21/12))))</f>
        <v/>
      </c>
      <c r="DL23" s="1428" t="str">
        <f>IF($B23="","",IF(DL$4&gt;2,(DK23*(1+'Rent Roll Analysis'!$AK21/12)), IF(AND('Monthly Cash Flow'!DL$4&gt;1,'Monthly Cash Flow'!DL$4&lt;=2),'Monthly Cash Flow'!DK23*(1+'Rent Roll Analysis'!$AE21/12),'Monthly Cash Flow'!DK23*(1+'Rent Roll Analysis'!$AB21/12))))</f>
        <v/>
      </c>
      <c r="DM23" s="1428" t="str">
        <f>IF($B23="","",IF(DM$4&gt;2,(DL23*(1+'Rent Roll Analysis'!$AK21/12)), IF(AND('Monthly Cash Flow'!DM$4&gt;1,'Monthly Cash Flow'!DM$4&lt;=2),'Monthly Cash Flow'!DL23*(1+'Rent Roll Analysis'!$AE21/12),'Monthly Cash Flow'!DL23*(1+'Rent Roll Analysis'!$AB21/12))))</f>
        <v/>
      </c>
      <c r="DN23" s="1428" t="str">
        <f>IF($B23="","",IF(DN$4&gt;2,(DM23*(1+'Rent Roll Analysis'!$AK21/12)), IF(AND('Monthly Cash Flow'!DN$4&gt;1,'Monthly Cash Flow'!DN$4&lt;=2),'Monthly Cash Flow'!DM23*(1+'Rent Roll Analysis'!$AE21/12),'Monthly Cash Flow'!DM23*(1+'Rent Roll Analysis'!$AB21/12))))</f>
        <v/>
      </c>
      <c r="DO23" s="1428" t="str">
        <f>IF($B23="","",IF(DO$4&gt;2,(DN23*(1+'Rent Roll Analysis'!$AK21/12)), IF(AND('Monthly Cash Flow'!DO$4&gt;1,'Monthly Cash Flow'!DO$4&lt;=2),'Monthly Cash Flow'!DN23*(1+'Rent Roll Analysis'!$AE21/12),'Monthly Cash Flow'!DN23*(1+'Rent Roll Analysis'!$AB21/12))))</f>
        <v/>
      </c>
      <c r="DP23" s="1428" t="str">
        <f>IF($B23="","",IF(DP$4&gt;2,(DO23*(1+'Rent Roll Analysis'!$AK21/12)), IF(AND('Monthly Cash Flow'!DP$4&gt;1,'Monthly Cash Flow'!DP$4&lt;=2),'Monthly Cash Flow'!DO23*(1+'Rent Roll Analysis'!$AE21/12),'Monthly Cash Flow'!DO23*(1+'Rent Roll Analysis'!$AB21/12))))</f>
        <v/>
      </c>
      <c r="DQ23" s="1428" t="str">
        <f>IF($B23="","",IF(DQ$4&gt;2,(DP23*(1+'Rent Roll Analysis'!$AK21/12)), IF(AND('Monthly Cash Flow'!DQ$4&gt;1,'Monthly Cash Flow'!DQ$4&lt;=2),'Monthly Cash Flow'!DP23*(1+'Rent Roll Analysis'!$AE21/12),'Monthly Cash Flow'!DP23*(1+'Rent Roll Analysis'!$AB21/12))))</f>
        <v/>
      </c>
      <c r="DR23" s="1428" t="str">
        <f>IF($B23="","",IF(DR$4&gt;2,(DQ23*(1+'Rent Roll Analysis'!$AK21/12)), IF(AND('Monthly Cash Flow'!DR$4&gt;1,'Monthly Cash Flow'!DR$4&lt;=2),'Monthly Cash Flow'!DQ23*(1+'Rent Roll Analysis'!$AE21/12),'Monthly Cash Flow'!DQ23*(1+'Rent Roll Analysis'!$AB21/12))))</f>
        <v/>
      </c>
      <c r="DS23" s="1428" t="str">
        <f>IF($B23="","",IF(DS$4&gt;2,(DR23*(1+'Rent Roll Analysis'!$AK21/12)), IF(AND('Monthly Cash Flow'!DS$4&gt;1,'Monthly Cash Flow'!DS$4&lt;=2),'Monthly Cash Flow'!DR23*(1+'Rent Roll Analysis'!$AE21/12),'Monthly Cash Flow'!DR23*(1+'Rent Roll Analysis'!$AB21/12))))</f>
        <v/>
      </c>
      <c r="DT23" s="1428" t="str">
        <f>IF($B23="","",IF(DT$4&gt;2,(DS23*(1+'Rent Roll Analysis'!$AK21/12)), IF(AND('Monthly Cash Flow'!DT$4&gt;1,'Monthly Cash Flow'!DT$4&lt;=2),'Monthly Cash Flow'!DS23*(1+'Rent Roll Analysis'!$AE21/12),'Monthly Cash Flow'!DS23*(1+'Rent Roll Analysis'!$AB21/12))))</f>
        <v/>
      </c>
      <c r="DU23" s="385" t="s">
        <v>557</v>
      </c>
      <c r="DV23" s="375"/>
    </row>
    <row r="24" spans="1:126" s="92" customFormat="1" ht="20.149999999999999" customHeight="1" outlineLevel="1">
      <c r="A24" s="375"/>
      <c r="B24" s="383" t="str">
        <f>'Rent Roll Analysis'!C22</f>
        <v/>
      </c>
      <c r="C24" s="376"/>
      <c r="D24" s="1426" t="str">
        <f>IF('Rent Roll Analysis'!C22="","",'Rent Roll Analysis'!N22*'Rent Roll Analysis'!E22)</f>
        <v/>
      </c>
      <c r="E24" s="1428" t="str">
        <f t="shared" si="113"/>
        <v/>
      </c>
      <c r="F24" s="1428" t="str">
        <f>IF($B24="","",IF(F$4&gt;2,(E24*(1+'Rent Roll Analysis'!$AK22/12)), IF(AND('Monthly Cash Flow'!F$4&gt;1,'Monthly Cash Flow'!F$4&lt;=2),'Monthly Cash Flow'!E24*(1+'Rent Roll Analysis'!$AE22/12),'Monthly Cash Flow'!E24*(1+'Rent Roll Analysis'!$AB22/12))))</f>
        <v/>
      </c>
      <c r="G24" s="1428" t="str">
        <f>IF($B24="","",IF(G$4&gt;2,(F24*(1+'Rent Roll Analysis'!$AK22/12)), IF(AND('Monthly Cash Flow'!G$4&gt;1,'Monthly Cash Flow'!G$4&lt;=2),'Monthly Cash Flow'!F24*(1+'Rent Roll Analysis'!$AE22/12),'Monthly Cash Flow'!F24*(1+'Rent Roll Analysis'!$AB22/12))))</f>
        <v/>
      </c>
      <c r="H24" s="1428" t="str">
        <f>IF($B24="","",IF(H$4&gt;2,(G24*(1+'Rent Roll Analysis'!$AK22/12)), IF(AND('Monthly Cash Flow'!H$4&gt;1,'Monthly Cash Flow'!H$4&lt;=2),'Monthly Cash Flow'!G24*(1+'Rent Roll Analysis'!$AE22/12),'Monthly Cash Flow'!G24*(1+'Rent Roll Analysis'!$AB22/12))))</f>
        <v/>
      </c>
      <c r="I24" s="1428" t="str">
        <f>IF($B24="","",IF(I$4&gt;2,(H24*(1+'Rent Roll Analysis'!$AK22/12)), IF(AND('Monthly Cash Flow'!I$4&gt;1,'Monthly Cash Flow'!I$4&lt;=2),'Monthly Cash Flow'!H24*(1+'Rent Roll Analysis'!$AE22/12),'Monthly Cash Flow'!H24*(1+'Rent Roll Analysis'!$AB22/12))))</f>
        <v/>
      </c>
      <c r="J24" s="1428" t="str">
        <f>IF($B24="","",IF(J$4&gt;2,(I24*(1+'Rent Roll Analysis'!$AK22/12)), IF(AND('Monthly Cash Flow'!J$4&gt;1,'Monthly Cash Flow'!J$4&lt;=2),'Monthly Cash Flow'!I24*(1+'Rent Roll Analysis'!$AE22/12),'Monthly Cash Flow'!I24*(1+'Rent Roll Analysis'!$AB22/12))))</f>
        <v/>
      </c>
      <c r="K24" s="1428" t="str">
        <f>IF($B24="","",IF(K$4&gt;2,(J24*(1+'Rent Roll Analysis'!$AK22/12)), IF(AND('Monthly Cash Flow'!K$4&gt;1,'Monthly Cash Flow'!K$4&lt;=2),'Monthly Cash Flow'!J24*(1+'Rent Roll Analysis'!$AE22/12),'Monthly Cash Flow'!J24*(1+'Rent Roll Analysis'!$AB22/12))))</f>
        <v/>
      </c>
      <c r="L24" s="1428" t="str">
        <f>IF($B24="","",IF(L$4&gt;2,(K24*(1+'Rent Roll Analysis'!$AK22/12)), IF(AND('Monthly Cash Flow'!L$4&gt;1,'Monthly Cash Flow'!L$4&lt;=2),'Monthly Cash Flow'!K24*(1+'Rent Roll Analysis'!$AE22/12),'Monthly Cash Flow'!K24*(1+'Rent Roll Analysis'!$AB22/12))))</f>
        <v/>
      </c>
      <c r="M24" s="1428" t="str">
        <f>IF($B24="","",IF(M$4&gt;2,(L24*(1+'Rent Roll Analysis'!$AK22/12)), IF(AND('Monthly Cash Flow'!M$4&gt;1,'Monthly Cash Flow'!M$4&lt;=2),'Monthly Cash Flow'!L24*(1+'Rent Roll Analysis'!$AE22/12),'Monthly Cash Flow'!L24*(1+'Rent Roll Analysis'!$AB22/12))))</f>
        <v/>
      </c>
      <c r="N24" s="1428" t="str">
        <f>IF($B24="","",IF(N$4&gt;2,(M24*(1+'Rent Roll Analysis'!$AK22/12)), IF(AND('Monthly Cash Flow'!N$4&gt;1,'Monthly Cash Flow'!N$4&lt;=2),'Monthly Cash Flow'!M24*(1+'Rent Roll Analysis'!$AE22/12),'Monthly Cash Flow'!M24*(1+'Rent Roll Analysis'!$AB22/12))))</f>
        <v/>
      </c>
      <c r="O24" s="1428" t="str">
        <f>IF($B24="","",IF(O$4&gt;2,(N24*(1+'Rent Roll Analysis'!$AK22/12)), IF(AND('Monthly Cash Flow'!O$4&gt;1,'Monthly Cash Flow'!O$4&lt;=2),'Monthly Cash Flow'!N24*(1+'Rent Roll Analysis'!$AE22/12),'Monthly Cash Flow'!N24*(1+'Rent Roll Analysis'!$AB22/12))))</f>
        <v/>
      </c>
      <c r="P24" s="1428" t="str">
        <f>IF($B24="","",IF(P$4&gt;2,(O24*(1+'Rent Roll Analysis'!$AK22/12)), IF(AND('Monthly Cash Flow'!P$4&gt;1,'Monthly Cash Flow'!P$4&lt;=2),'Monthly Cash Flow'!O24*(1+'Rent Roll Analysis'!$AE22/12),'Monthly Cash Flow'!O24*(1+'Rent Roll Analysis'!$AB22/12))))</f>
        <v/>
      </c>
      <c r="Q24" s="1428" t="str">
        <f>IF($B24="","",IF(Q$4&gt;2,(P24*(1+'Rent Roll Analysis'!$AK22/12)), IF(AND('Monthly Cash Flow'!Q$4&gt;1,'Monthly Cash Flow'!Q$4&lt;=2),'Monthly Cash Flow'!P24*(1+'Rent Roll Analysis'!$AE22/12),'Monthly Cash Flow'!P24*(1+'Rent Roll Analysis'!$AB22/12))))</f>
        <v/>
      </c>
      <c r="R24" s="1428" t="str">
        <f>IF($B24="","",IF(R$4&gt;2,(Q24*(1+'Rent Roll Analysis'!$AK22/12)), IF(AND('Monthly Cash Flow'!R$4&gt;1,'Monthly Cash Flow'!R$4&lt;=2),'Monthly Cash Flow'!Q24*(1+'Rent Roll Analysis'!$AE22/12),'Monthly Cash Flow'!Q24*(1+'Rent Roll Analysis'!$AB22/12))))</f>
        <v/>
      </c>
      <c r="S24" s="1428" t="str">
        <f>IF($B24="","",IF(S$4&gt;2,(R24*(1+'Rent Roll Analysis'!$AK22/12)), IF(AND('Monthly Cash Flow'!S$4&gt;1,'Monthly Cash Flow'!S$4&lt;=2),'Monthly Cash Flow'!R24*(1+'Rent Roll Analysis'!$AE22/12),'Monthly Cash Flow'!R24*(1+'Rent Roll Analysis'!$AB22/12))))</f>
        <v/>
      </c>
      <c r="T24" s="1428" t="str">
        <f>IF($B24="","",IF(T$4&gt;2,(S24*(1+'Rent Roll Analysis'!$AK22/12)), IF(AND('Monthly Cash Flow'!T$4&gt;1,'Monthly Cash Flow'!T$4&lt;=2),'Monthly Cash Flow'!S24*(1+'Rent Roll Analysis'!$AE22/12),'Monthly Cash Flow'!S24*(1+'Rent Roll Analysis'!$AB22/12))))</f>
        <v/>
      </c>
      <c r="U24" s="1428" t="str">
        <f>IF($B24="","",IF(U$4&gt;2,(T24*(1+'Rent Roll Analysis'!$AK22/12)), IF(AND('Monthly Cash Flow'!U$4&gt;1,'Monthly Cash Flow'!U$4&lt;=2),'Monthly Cash Flow'!T24*(1+'Rent Roll Analysis'!$AE22/12),'Monthly Cash Flow'!T24*(1+'Rent Roll Analysis'!$AB22/12))))</f>
        <v/>
      </c>
      <c r="V24" s="1428" t="str">
        <f>IF($B24="","",IF(V$4&gt;2,(U24*(1+'Rent Roll Analysis'!$AK22/12)), IF(AND('Monthly Cash Flow'!V$4&gt;1,'Monthly Cash Flow'!V$4&lt;=2),'Monthly Cash Flow'!U24*(1+'Rent Roll Analysis'!$AE22/12),'Monthly Cash Flow'!U24*(1+'Rent Roll Analysis'!$AB22/12))))</f>
        <v/>
      </c>
      <c r="W24" s="1428" t="str">
        <f>IF($B24="","",IF(W$4&gt;2,(V24*(1+'Rent Roll Analysis'!$AK22/12)), IF(AND('Monthly Cash Flow'!W$4&gt;1,'Monthly Cash Flow'!W$4&lt;=2),'Monthly Cash Flow'!V24*(1+'Rent Roll Analysis'!$AE22/12),'Monthly Cash Flow'!V24*(1+'Rent Roll Analysis'!$AB22/12))))</f>
        <v/>
      </c>
      <c r="X24" s="1428" t="str">
        <f>IF($B24="","",IF(X$4&gt;2,(W24*(1+'Rent Roll Analysis'!$AK22/12)), IF(AND('Monthly Cash Flow'!X$4&gt;1,'Monthly Cash Flow'!X$4&lt;=2),'Monthly Cash Flow'!W24*(1+'Rent Roll Analysis'!$AE22/12),'Monthly Cash Flow'!W24*(1+'Rent Roll Analysis'!$AB22/12))))</f>
        <v/>
      </c>
      <c r="Y24" s="1428" t="str">
        <f>IF($B24="","",IF(Y$4&gt;2,(X24*(1+'Rent Roll Analysis'!$AK22/12)), IF(AND('Monthly Cash Flow'!Y$4&gt;1,'Monthly Cash Flow'!Y$4&lt;=2),'Monthly Cash Flow'!X24*(1+'Rent Roll Analysis'!$AE22/12),'Monthly Cash Flow'!X24*(1+'Rent Roll Analysis'!$AB22/12))))</f>
        <v/>
      </c>
      <c r="Z24" s="1428" t="str">
        <f>IF($B24="","",IF(Z$4&gt;2,(Y24*(1+'Rent Roll Analysis'!$AK22/12)), IF(AND('Monthly Cash Flow'!Z$4&gt;1,'Monthly Cash Flow'!Z$4&lt;=2),'Monthly Cash Flow'!Y24*(1+'Rent Roll Analysis'!$AE22/12),'Monthly Cash Flow'!Y24*(1+'Rent Roll Analysis'!$AB22/12))))</f>
        <v/>
      </c>
      <c r="AA24" s="1428" t="str">
        <f>IF($B24="","",IF(AA$4&gt;2,(Z24*(1+'Rent Roll Analysis'!$AK22/12)), IF(AND('Monthly Cash Flow'!AA$4&gt;1,'Monthly Cash Flow'!AA$4&lt;=2),'Monthly Cash Flow'!Z24*(1+'Rent Roll Analysis'!$AE22/12),'Monthly Cash Flow'!Z24*(1+'Rent Roll Analysis'!$AB22/12))))</f>
        <v/>
      </c>
      <c r="AB24" s="1428" t="str">
        <f>IF($B24="","",IF(AB$4&gt;2,(AA24*(1+'Rent Roll Analysis'!$AK22/12)), IF(AND('Monthly Cash Flow'!AB$4&gt;1,'Monthly Cash Flow'!AB$4&lt;=2),'Monthly Cash Flow'!AA24*(1+'Rent Roll Analysis'!$AE22/12),'Monthly Cash Flow'!AA24*(1+'Rent Roll Analysis'!$AB22/12))))</f>
        <v/>
      </c>
      <c r="AC24" s="1428" t="str">
        <f>IF($B24="","",IF(AC$4&gt;2,(AB24*(1+'Rent Roll Analysis'!$AK22/12)), IF(AND('Monthly Cash Flow'!AC$4&gt;1,'Monthly Cash Flow'!AC$4&lt;=2),'Monthly Cash Flow'!AB24*(1+'Rent Roll Analysis'!$AE22/12),'Monthly Cash Flow'!AB24*(1+'Rent Roll Analysis'!$AB22/12))))</f>
        <v/>
      </c>
      <c r="AD24" s="1428" t="str">
        <f>IF($B24="","",IF(AD$4&gt;2,(AC24*(1+'Rent Roll Analysis'!$AK22/12)), IF(AND('Monthly Cash Flow'!AD$4&gt;1,'Monthly Cash Flow'!AD$4&lt;=2),'Monthly Cash Flow'!AC24*(1+'Rent Roll Analysis'!$AE22/12),'Monthly Cash Flow'!AC24*(1+'Rent Roll Analysis'!$AB22/12))))</f>
        <v/>
      </c>
      <c r="AE24" s="1428" t="str">
        <f>IF($B24="","",IF(AE$4&gt;2,(AD24*(1+'Rent Roll Analysis'!$AK22/12)), IF(AND('Monthly Cash Flow'!AE$4&gt;1,'Monthly Cash Flow'!AE$4&lt;=2),'Monthly Cash Flow'!AD24*(1+'Rent Roll Analysis'!$AE22/12),'Monthly Cash Flow'!AD24*(1+'Rent Roll Analysis'!$AB22/12))))</f>
        <v/>
      </c>
      <c r="AF24" s="1428" t="str">
        <f>IF($B24="","",IF(AF$4&gt;2,(AE24*(1+'Rent Roll Analysis'!$AK22/12)), IF(AND('Monthly Cash Flow'!AF$4&gt;1,'Monthly Cash Flow'!AF$4&lt;=2),'Monthly Cash Flow'!AE24*(1+'Rent Roll Analysis'!$AE22/12),'Monthly Cash Flow'!AE24*(1+'Rent Roll Analysis'!$AB22/12))))</f>
        <v/>
      </c>
      <c r="AG24" s="1428" t="str">
        <f>IF($B24="","",IF(AG$4&gt;2,(AF24*(1+'Rent Roll Analysis'!$AK22/12)), IF(AND('Monthly Cash Flow'!AG$4&gt;1,'Monthly Cash Flow'!AG$4&lt;=2),'Monthly Cash Flow'!AF24*(1+'Rent Roll Analysis'!$AE22/12),'Monthly Cash Flow'!AF24*(1+'Rent Roll Analysis'!$AB22/12))))</f>
        <v/>
      </c>
      <c r="AH24" s="1428" t="str">
        <f>IF($B24="","",IF(AH$4&gt;2,(AG24*(1+'Rent Roll Analysis'!$AK22/12)), IF(AND('Monthly Cash Flow'!AH$4&gt;1,'Monthly Cash Flow'!AH$4&lt;=2),'Monthly Cash Flow'!AG24*(1+'Rent Roll Analysis'!$AE22/12),'Monthly Cash Flow'!AG24*(1+'Rent Roll Analysis'!$AB22/12))))</f>
        <v/>
      </c>
      <c r="AI24" s="1428" t="str">
        <f>IF($B24="","",IF(AI$4&gt;2,(AH24*(1+'Rent Roll Analysis'!$AK22/12)), IF(AND('Monthly Cash Flow'!AI$4&gt;1,'Monthly Cash Flow'!AI$4&lt;=2),'Monthly Cash Flow'!AH24*(1+'Rent Roll Analysis'!$AE22/12),'Monthly Cash Flow'!AH24*(1+'Rent Roll Analysis'!$AB22/12))))</f>
        <v/>
      </c>
      <c r="AJ24" s="1428" t="str">
        <f>IF($B24="","",IF(AJ$4&gt;2,(AI24*(1+'Rent Roll Analysis'!$AK22/12)), IF(AND('Monthly Cash Flow'!AJ$4&gt;1,'Monthly Cash Flow'!AJ$4&lt;=2),'Monthly Cash Flow'!AI24*(1+'Rent Roll Analysis'!$AE22/12),'Monthly Cash Flow'!AI24*(1+'Rent Roll Analysis'!$AB22/12))))</f>
        <v/>
      </c>
      <c r="AK24" s="1428" t="str">
        <f>IF($B24="","",IF(AK$4&gt;2,(AJ24*(1+'Rent Roll Analysis'!$AK22/12)), IF(AND('Monthly Cash Flow'!AK$4&gt;1,'Monthly Cash Flow'!AK$4&lt;=2),'Monthly Cash Flow'!AJ24*(1+'Rent Roll Analysis'!$AE22/12),'Monthly Cash Flow'!AJ24*(1+'Rent Roll Analysis'!$AB22/12))))</f>
        <v/>
      </c>
      <c r="AL24" s="1428" t="str">
        <f>IF($B24="","",IF(AL$4&gt;2,(AK24*(1+'Rent Roll Analysis'!$AK22/12)), IF(AND('Monthly Cash Flow'!AL$4&gt;1,'Monthly Cash Flow'!AL$4&lt;=2),'Monthly Cash Flow'!AK24*(1+'Rent Roll Analysis'!$AE22/12),'Monthly Cash Flow'!AK24*(1+'Rent Roll Analysis'!$AB22/12))))</f>
        <v/>
      </c>
      <c r="AM24" s="1428" t="str">
        <f>IF($B24="","",IF(AM$4&gt;2,(AL24*(1+'Rent Roll Analysis'!$AK22/12)), IF(AND('Monthly Cash Flow'!AM$4&gt;1,'Monthly Cash Flow'!AM$4&lt;=2),'Monthly Cash Flow'!AL24*(1+'Rent Roll Analysis'!$AE22/12),'Monthly Cash Flow'!AL24*(1+'Rent Roll Analysis'!$AB22/12))))</f>
        <v/>
      </c>
      <c r="AN24" s="1428" t="str">
        <f>IF($B24="","",IF(AN$4&gt;2,(AM24*(1+'Rent Roll Analysis'!$AK22/12)), IF(AND('Monthly Cash Flow'!AN$4&gt;1,'Monthly Cash Flow'!AN$4&lt;=2),'Monthly Cash Flow'!AM24*(1+'Rent Roll Analysis'!$AE22/12),'Monthly Cash Flow'!AM24*(1+'Rent Roll Analysis'!$AB22/12))))</f>
        <v/>
      </c>
      <c r="AO24" s="1428" t="str">
        <f>IF($B24="","",IF(AO$4&gt;2,(AN24*(1+'Rent Roll Analysis'!$AK22/12)), IF(AND('Monthly Cash Flow'!AO$4&gt;1,'Monthly Cash Flow'!AO$4&lt;=2),'Monthly Cash Flow'!AN24*(1+'Rent Roll Analysis'!$AE22/12),'Monthly Cash Flow'!AN24*(1+'Rent Roll Analysis'!$AB22/12))))</f>
        <v/>
      </c>
      <c r="AP24" s="1428" t="str">
        <f>IF($B24="","",IF(AP$4&gt;2,(AO24*(1+'Rent Roll Analysis'!$AK22/12)), IF(AND('Monthly Cash Flow'!AP$4&gt;1,'Monthly Cash Flow'!AP$4&lt;=2),'Monthly Cash Flow'!AO24*(1+'Rent Roll Analysis'!$AE22/12),'Monthly Cash Flow'!AO24*(1+'Rent Roll Analysis'!$AB22/12))))</f>
        <v/>
      </c>
      <c r="AQ24" s="1428" t="str">
        <f>IF($B24="","",IF(AQ$4&gt;2,(AP24*(1+'Rent Roll Analysis'!$AK22/12)), IF(AND('Monthly Cash Flow'!AQ$4&gt;1,'Monthly Cash Flow'!AQ$4&lt;=2),'Monthly Cash Flow'!AP24*(1+'Rent Roll Analysis'!$AE22/12),'Monthly Cash Flow'!AP24*(1+'Rent Roll Analysis'!$AB22/12))))</f>
        <v/>
      </c>
      <c r="AR24" s="1428" t="str">
        <f>IF($B24="","",IF(AR$4&gt;2,(AQ24*(1+'Rent Roll Analysis'!$AK22/12)), IF(AND('Monthly Cash Flow'!AR$4&gt;1,'Monthly Cash Flow'!AR$4&lt;=2),'Monthly Cash Flow'!AQ24*(1+'Rent Roll Analysis'!$AE22/12),'Monthly Cash Flow'!AQ24*(1+'Rent Roll Analysis'!$AB22/12))))</f>
        <v/>
      </c>
      <c r="AS24" s="1428" t="str">
        <f>IF($B24="","",IF(AS$4&gt;2,(AR24*(1+'Rent Roll Analysis'!$AK22/12)), IF(AND('Monthly Cash Flow'!AS$4&gt;1,'Monthly Cash Flow'!AS$4&lt;=2),'Monthly Cash Flow'!AR24*(1+'Rent Roll Analysis'!$AE22/12),'Monthly Cash Flow'!AR24*(1+'Rent Roll Analysis'!$AB22/12))))</f>
        <v/>
      </c>
      <c r="AT24" s="1428" t="str">
        <f>IF($B24="","",IF(AT$4&gt;2,(AS24*(1+'Rent Roll Analysis'!$AK22/12)), IF(AND('Monthly Cash Flow'!AT$4&gt;1,'Monthly Cash Flow'!AT$4&lt;=2),'Monthly Cash Flow'!AS24*(1+'Rent Roll Analysis'!$AE22/12),'Monthly Cash Flow'!AS24*(1+'Rent Roll Analysis'!$AB22/12))))</f>
        <v/>
      </c>
      <c r="AU24" s="1428" t="str">
        <f>IF($B24="","",IF(AU$4&gt;2,(AT24*(1+'Rent Roll Analysis'!$AK22/12)), IF(AND('Monthly Cash Flow'!AU$4&gt;1,'Monthly Cash Flow'!AU$4&lt;=2),'Monthly Cash Flow'!AT24*(1+'Rent Roll Analysis'!$AE22/12),'Monthly Cash Flow'!AT24*(1+'Rent Roll Analysis'!$AB22/12))))</f>
        <v/>
      </c>
      <c r="AV24" s="1428" t="str">
        <f>IF($B24="","",IF(AV$4&gt;2,(AU24*(1+'Rent Roll Analysis'!$AK22/12)), IF(AND('Monthly Cash Flow'!AV$4&gt;1,'Monthly Cash Flow'!AV$4&lt;=2),'Monthly Cash Flow'!AU24*(1+'Rent Roll Analysis'!$AE22/12),'Monthly Cash Flow'!AU24*(1+'Rent Roll Analysis'!$AB22/12))))</f>
        <v/>
      </c>
      <c r="AW24" s="1428" t="str">
        <f>IF($B24="","",IF(AW$4&gt;2,(AV24*(1+'Rent Roll Analysis'!$AK22/12)), IF(AND('Monthly Cash Flow'!AW$4&gt;1,'Monthly Cash Flow'!AW$4&lt;=2),'Monthly Cash Flow'!AV24*(1+'Rent Roll Analysis'!$AE22/12),'Monthly Cash Flow'!AV24*(1+'Rent Roll Analysis'!$AB22/12))))</f>
        <v/>
      </c>
      <c r="AX24" s="1428" t="str">
        <f>IF($B24="","",IF(AX$4&gt;2,(AW24*(1+'Rent Roll Analysis'!$AK22/12)), IF(AND('Monthly Cash Flow'!AX$4&gt;1,'Monthly Cash Flow'!AX$4&lt;=2),'Monthly Cash Flow'!AW24*(1+'Rent Roll Analysis'!$AE22/12),'Monthly Cash Flow'!AW24*(1+'Rent Roll Analysis'!$AB22/12))))</f>
        <v/>
      </c>
      <c r="AY24" s="1428" t="str">
        <f>IF($B24="","",IF(AY$4&gt;2,(AX24*(1+'Rent Roll Analysis'!$AK22/12)), IF(AND('Monthly Cash Flow'!AY$4&gt;1,'Monthly Cash Flow'!AY$4&lt;=2),'Monthly Cash Flow'!AX24*(1+'Rent Roll Analysis'!$AE22/12),'Monthly Cash Flow'!AX24*(1+'Rent Roll Analysis'!$AB22/12))))</f>
        <v/>
      </c>
      <c r="AZ24" s="1428" t="str">
        <f>IF($B24="","",IF(AZ$4&gt;2,(AY24*(1+'Rent Roll Analysis'!$AK22/12)), IF(AND('Monthly Cash Flow'!AZ$4&gt;1,'Monthly Cash Flow'!AZ$4&lt;=2),'Monthly Cash Flow'!AY24*(1+'Rent Roll Analysis'!$AE22/12),'Monthly Cash Flow'!AY24*(1+'Rent Roll Analysis'!$AB22/12))))</f>
        <v/>
      </c>
      <c r="BA24" s="1428" t="str">
        <f>IF($B24="","",IF(BA$4&gt;2,(AZ24*(1+'Rent Roll Analysis'!$AK22/12)), IF(AND('Monthly Cash Flow'!BA$4&gt;1,'Monthly Cash Flow'!BA$4&lt;=2),'Monthly Cash Flow'!AZ24*(1+'Rent Roll Analysis'!$AE22/12),'Monthly Cash Flow'!AZ24*(1+'Rent Roll Analysis'!$AB22/12))))</f>
        <v/>
      </c>
      <c r="BB24" s="1428" t="str">
        <f>IF($B24="","",IF(BB$4&gt;2,(BA24*(1+'Rent Roll Analysis'!$AK22/12)), IF(AND('Monthly Cash Flow'!BB$4&gt;1,'Monthly Cash Flow'!BB$4&lt;=2),'Monthly Cash Flow'!BA24*(1+'Rent Roll Analysis'!$AE22/12),'Monthly Cash Flow'!BA24*(1+'Rent Roll Analysis'!$AB22/12))))</f>
        <v/>
      </c>
      <c r="BC24" s="1428" t="str">
        <f>IF($B24="","",IF(BC$4&gt;2,(BB24*(1+'Rent Roll Analysis'!$AK22/12)), IF(AND('Monthly Cash Flow'!BC$4&gt;1,'Monthly Cash Flow'!BC$4&lt;=2),'Monthly Cash Flow'!BB24*(1+'Rent Roll Analysis'!$AE22/12),'Monthly Cash Flow'!BB24*(1+'Rent Roll Analysis'!$AB22/12))))</f>
        <v/>
      </c>
      <c r="BD24" s="1428" t="str">
        <f>IF($B24="","",IF(BD$4&gt;2,(BC24*(1+'Rent Roll Analysis'!$AK22/12)), IF(AND('Monthly Cash Flow'!BD$4&gt;1,'Monthly Cash Flow'!BD$4&lt;=2),'Monthly Cash Flow'!BC24*(1+'Rent Roll Analysis'!$AE22/12),'Monthly Cash Flow'!BC24*(1+'Rent Roll Analysis'!$AB22/12))))</f>
        <v/>
      </c>
      <c r="BE24" s="1428" t="str">
        <f>IF($B24="","",IF(BE$4&gt;2,(BD24*(1+'Rent Roll Analysis'!$AK22/12)), IF(AND('Monthly Cash Flow'!BE$4&gt;1,'Monthly Cash Flow'!BE$4&lt;=2),'Monthly Cash Flow'!BD24*(1+'Rent Roll Analysis'!$AE22/12),'Monthly Cash Flow'!BD24*(1+'Rent Roll Analysis'!$AB22/12))))</f>
        <v/>
      </c>
      <c r="BF24" s="1428" t="str">
        <f>IF($B24="","",IF(BF$4&gt;2,(BE24*(1+'Rent Roll Analysis'!$AK22/12)), IF(AND('Monthly Cash Flow'!BF$4&gt;1,'Monthly Cash Flow'!BF$4&lt;=2),'Monthly Cash Flow'!BE24*(1+'Rent Roll Analysis'!$AE22/12),'Monthly Cash Flow'!BE24*(1+'Rent Roll Analysis'!$AB22/12))))</f>
        <v/>
      </c>
      <c r="BG24" s="1428" t="str">
        <f>IF($B24="","",IF(BG$4&gt;2,(BF24*(1+'Rent Roll Analysis'!$AK22/12)), IF(AND('Monthly Cash Flow'!BG$4&gt;1,'Monthly Cash Flow'!BG$4&lt;=2),'Monthly Cash Flow'!BF24*(1+'Rent Roll Analysis'!$AE22/12),'Monthly Cash Flow'!BF24*(1+'Rent Roll Analysis'!$AB22/12))))</f>
        <v/>
      </c>
      <c r="BH24" s="1428" t="str">
        <f>IF($B24="","",IF(BH$4&gt;2,(BG24*(1+'Rent Roll Analysis'!$AK22/12)), IF(AND('Monthly Cash Flow'!BH$4&gt;1,'Monthly Cash Flow'!BH$4&lt;=2),'Monthly Cash Flow'!BG24*(1+'Rent Roll Analysis'!$AE22/12),'Monthly Cash Flow'!BG24*(1+'Rent Roll Analysis'!$AB22/12))))</f>
        <v/>
      </c>
      <c r="BI24" s="1428" t="str">
        <f>IF($B24="","",IF(BI$4&gt;2,(BH24*(1+'Rent Roll Analysis'!$AK22/12)), IF(AND('Monthly Cash Flow'!BI$4&gt;1,'Monthly Cash Flow'!BI$4&lt;=2),'Monthly Cash Flow'!BH24*(1+'Rent Roll Analysis'!$AE22/12),'Monthly Cash Flow'!BH24*(1+'Rent Roll Analysis'!$AB22/12))))</f>
        <v/>
      </c>
      <c r="BJ24" s="1428" t="str">
        <f>IF($B24="","",IF(BJ$4&gt;2,(BI24*(1+'Rent Roll Analysis'!$AK22/12)), IF(AND('Monthly Cash Flow'!BJ$4&gt;1,'Monthly Cash Flow'!BJ$4&lt;=2),'Monthly Cash Flow'!BI24*(1+'Rent Roll Analysis'!$AE22/12),'Monthly Cash Flow'!BI24*(1+'Rent Roll Analysis'!$AB22/12))))</f>
        <v/>
      </c>
      <c r="BK24" s="1428" t="str">
        <f>IF($B24="","",IF(BK$4&gt;2,(BJ24*(1+'Rent Roll Analysis'!$AK22/12)), IF(AND('Monthly Cash Flow'!BK$4&gt;1,'Monthly Cash Flow'!BK$4&lt;=2),'Monthly Cash Flow'!BJ24*(1+'Rent Roll Analysis'!$AE22/12),'Monthly Cash Flow'!BJ24*(1+'Rent Roll Analysis'!$AB22/12))))</f>
        <v/>
      </c>
      <c r="BL24" s="1428" t="str">
        <f>IF($B24="","",IF(BL$4&gt;2,(BK24*(1+'Rent Roll Analysis'!$AK22/12)), IF(AND('Monthly Cash Flow'!BL$4&gt;1,'Monthly Cash Flow'!BL$4&lt;=2),'Monthly Cash Flow'!BK24*(1+'Rent Roll Analysis'!$AE22/12),'Monthly Cash Flow'!BK24*(1+'Rent Roll Analysis'!$AB22/12))))</f>
        <v/>
      </c>
      <c r="BM24" s="1428" t="str">
        <f>IF($B24="","",IF(BM$4&gt;2,(BL24*(1+'Rent Roll Analysis'!$AK22/12)), IF(AND('Monthly Cash Flow'!BM$4&gt;1,'Monthly Cash Flow'!BM$4&lt;=2),'Monthly Cash Flow'!BL24*(1+'Rent Roll Analysis'!$AE22/12),'Monthly Cash Flow'!BL24*(1+'Rent Roll Analysis'!$AB22/12))))</f>
        <v/>
      </c>
      <c r="BN24" s="1428" t="str">
        <f>IF($B24="","",IF(BN$4&gt;2,(BM24*(1+'Rent Roll Analysis'!$AK22/12)), IF(AND('Monthly Cash Flow'!BN$4&gt;1,'Monthly Cash Flow'!BN$4&lt;=2),'Monthly Cash Flow'!BM24*(1+'Rent Roll Analysis'!$AE22/12),'Monthly Cash Flow'!BM24*(1+'Rent Roll Analysis'!$AB22/12))))</f>
        <v/>
      </c>
      <c r="BO24" s="1428" t="str">
        <f>IF($B24="","",IF(BO$4&gt;2,(BN24*(1+'Rent Roll Analysis'!$AK22/12)), IF(AND('Monthly Cash Flow'!BO$4&gt;1,'Monthly Cash Flow'!BO$4&lt;=2),'Monthly Cash Flow'!BN24*(1+'Rent Roll Analysis'!$AE22/12),'Monthly Cash Flow'!BN24*(1+'Rent Roll Analysis'!$AB22/12))))</f>
        <v/>
      </c>
      <c r="BP24" s="1428" t="str">
        <f>IF($B24="","",IF(BP$4&gt;2,(BO24*(1+'Rent Roll Analysis'!$AK22/12)), IF(AND('Monthly Cash Flow'!BP$4&gt;1,'Monthly Cash Flow'!BP$4&lt;=2),'Monthly Cash Flow'!BO24*(1+'Rent Roll Analysis'!$AE22/12),'Monthly Cash Flow'!BO24*(1+'Rent Roll Analysis'!$AB22/12))))</f>
        <v/>
      </c>
      <c r="BQ24" s="1428" t="str">
        <f>IF($B24="","",IF(BQ$4&gt;2,(BP24*(1+'Rent Roll Analysis'!$AK22/12)), IF(AND('Monthly Cash Flow'!BQ$4&gt;1,'Monthly Cash Flow'!BQ$4&lt;=2),'Monthly Cash Flow'!BP24*(1+'Rent Roll Analysis'!$AE22/12),'Monthly Cash Flow'!BP24*(1+'Rent Roll Analysis'!$AB22/12))))</f>
        <v/>
      </c>
      <c r="BR24" s="1428" t="str">
        <f>IF($B24="","",IF(BR$4&gt;2,(BQ24*(1+'Rent Roll Analysis'!$AK22/12)), IF(AND('Monthly Cash Flow'!BR$4&gt;1,'Monthly Cash Flow'!BR$4&lt;=2),'Monthly Cash Flow'!BQ24*(1+'Rent Roll Analysis'!$AE22/12),'Monthly Cash Flow'!BQ24*(1+'Rent Roll Analysis'!$AB22/12))))</f>
        <v/>
      </c>
      <c r="BS24" s="1428" t="str">
        <f>IF($B24="","",IF(BS$4&gt;2,(BR24*(1+'Rent Roll Analysis'!$AK22/12)), IF(AND('Monthly Cash Flow'!BS$4&gt;1,'Monthly Cash Flow'!BS$4&lt;=2),'Monthly Cash Flow'!BR24*(1+'Rent Roll Analysis'!$AE22/12),'Monthly Cash Flow'!BR24*(1+'Rent Roll Analysis'!$AB22/12))))</f>
        <v/>
      </c>
      <c r="BT24" s="1428" t="str">
        <f>IF($B24="","",IF(BT$4&gt;2,(BS24*(1+'Rent Roll Analysis'!$AK22/12)), IF(AND('Monthly Cash Flow'!BT$4&gt;1,'Monthly Cash Flow'!BT$4&lt;=2),'Monthly Cash Flow'!BS24*(1+'Rent Roll Analysis'!$AE22/12),'Monthly Cash Flow'!BS24*(1+'Rent Roll Analysis'!$AB22/12))))</f>
        <v/>
      </c>
      <c r="BU24" s="1428" t="str">
        <f>IF($B24="","",IF(BU$4&gt;2,(BT24*(1+'Rent Roll Analysis'!$AK22/12)), IF(AND('Monthly Cash Flow'!BU$4&gt;1,'Monthly Cash Flow'!BU$4&lt;=2),'Monthly Cash Flow'!BT24*(1+'Rent Roll Analysis'!$AE22/12),'Monthly Cash Flow'!BT24*(1+'Rent Roll Analysis'!$AB22/12))))</f>
        <v/>
      </c>
      <c r="BV24" s="1428" t="str">
        <f>IF($B24="","",IF(BV$4&gt;2,(BU24*(1+'Rent Roll Analysis'!$AK22/12)), IF(AND('Monthly Cash Flow'!BV$4&gt;1,'Monthly Cash Flow'!BV$4&lt;=2),'Monthly Cash Flow'!BU24*(1+'Rent Roll Analysis'!$AE22/12),'Monthly Cash Flow'!BU24*(1+'Rent Roll Analysis'!$AB22/12))))</f>
        <v/>
      </c>
      <c r="BW24" s="1428" t="str">
        <f>IF($B24="","",IF(BW$4&gt;2,(BV24*(1+'Rent Roll Analysis'!$AK22/12)), IF(AND('Monthly Cash Flow'!BW$4&gt;1,'Monthly Cash Flow'!BW$4&lt;=2),'Monthly Cash Flow'!BV24*(1+'Rent Roll Analysis'!$AE22/12),'Monthly Cash Flow'!BV24*(1+'Rent Roll Analysis'!$AB22/12))))</f>
        <v/>
      </c>
      <c r="BX24" s="1428" t="str">
        <f>IF($B24="","",IF(BX$4&gt;2,(BW24*(1+'Rent Roll Analysis'!$AK22/12)), IF(AND('Monthly Cash Flow'!BX$4&gt;1,'Monthly Cash Flow'!BX$4&lt;=2),'Monthly Cash Flow'!BW24*(1+'Rent Roll Analysis'!$AE22/12),'Monthly Cash Flow'!BW24*(1+'Rent Roll Analysis'!$AB22/12))))</f>
        <v/>
      </c>
      <c r="BY24" s="1428" t="str">
        <f>IF($B24="","",IF(BY$4&gt;2,(BX24*(1+'Rent Roll Analysis'!$AK22/12)), IF(AND('Monthly Cash Flow'!BY$4&gt;1,'Monthly Cash Flow'!BY$4&lt;=2),'Monthly Cash Flow'!BX24*(1+'Rent Roll Analysis'!$AE22/12),'Monthly Cash Flow'!BX24*(1+'Rent Roll Analysis'!$AB22/12))))</f>
        <v/>
      </c>
      <c r="BZ24" s="1428" t="str">
        <f>IF($B24="","",IF(BZ$4&gt;2,(BY24*(1+'Rent Roll Analysis'!$AK22/12)), IF(AND('Monthly Cash Flow'!BZ$4&gt;1,'Monthly Cash Flow'!BZ$4&lt;=2),'Monthly Cash Flow'!BY24*(1+'Rent Roll Analysis'!$AE22/12),'Monthly Cash Flow'!BY24*(1+'Rent Roll Analysis'!$AB22/12))))</f>
        <v/>
      </c>
      <c r="CA24" s="1428" t="str">
        <f>IF($B24="","",IF(CA$4&gt;2,(BZ24*(1+'Rent Roll Analysis'!$AK22/12)), IF(AND('Monthly Cash Flow'!CA$4&gt;1,'Monthly Cash Flow'!CA$4&lt;=2),'Monthly Cash Flow'!BZ24*(1+'Rent Roll Analysis'!$AE22/12),'Monthly Cash Flow'!BZ24*(1+'Rent Roll Analysis'!$AB22/12))))</f>
        <v/>
      </c>
      <c r="CB24" s="1428" t="str">
        <f>IF($B24="","",IF(CB$4&gt;2,(CA24*(1+'Rent Roll Analysis'!$AK22/12)), IF(AND('Monthly Cash Flow'!CB$4&gt;1,'Monthly Cash Flow'!CB$4&lt;=2),'Monthly Cash Flow'!CA24*(1+'Rent Roll Analysis'!$AE22/12),'Monthly Cash Flow'!CA24*(1+'Rent Roll Analysis'!$AB22/12))))</f>
        <v/>
      </c>
      <c r="CC24" s="1428" t="str">
        <f>IF($B24="","",IF(CC$4&gt;2,(CB24*(1+'Rent Roll Analysis'!$AK22/12)), IF(AND('Monthly Cash Flow'!CC$4&gt;1,'Monthly Cash Flow'!CC$4&lt;=2),'Monthly Cash Flow'!CB24*(1+'Rent Roll Analysis'!$AE22/12),'Monthly Cash Flow'!CB24*(1+'Rent Roll Analysis'!$AB22/12))))</f>
        <v/>
      </c>
      <c r="CD24" s="1428" t="str">
        <f>IF($B24="","",IF(CD$4&gt;2,(CC24*(1+'Rent Roll Analysis'!$AK22/12)), IF(AND('Monthly Cash Flow'!CD$4&gt;1,'Monthly Cash Flow'!CD$4&lt;=2),'Monthly Cash Flow'!CC24*(1+'Rent Roll Analysis'!$AE22/12),'Monthly Cash Flow'!CC24*(1+'Rent Roll Analysis'!$AB22/12))))</f>
        <v/>
      </c>
      <c r="CE24" s="1428" t="str">
        <f>IF($B24="","",IF(CE$4&gt;2,(CD24*(1+'Rent Roll Analysis'!$AK22/12)), IF(AND('Monthly Cash Flow'!CE$4&gt;1,'Monthly Cash Flow'!CE$4&lt;=2),'Monthly Cash Flow'!CD24*(1+'Rent Roll Analysis'!$AE22/12),'Monthly Cash Flow'!CD24*(1+'Rent Roll Analysis'!$AB22/12))))</f>
        <v/>
      </c>
      <c r="CF24" s="1428" t="str">
        <f>IF($B24="","",IF(CF$4&gt;2,(CE24*(1+'Rent Roll Analysis'!$AK22/12)), IF(AND('Monthly Cash Flow'!CF$4&gt;1,'Monthly Cash Flow'!CF$4&lt;=2),'Monthly Cash Flow'!CE24*(1+'Rent Roll Analysis'!$AE22/12),'Monthly Cash Flow'!CE24*(1+'Rent Roll Analysis'!$AB22/12))))</f>
        <v/>
      </c>
      <c r="CG24" s="1428" t="str">
        <f>IF($B24="","",IF(CG$4&gt;2,(CF24*(1+'Rent Roll Analysis'!$AK22/12)), IF(AND('Monthly Cash Flow'!CG$4&gt;1,'Monthly Cash Flow'!CG$4&lt;=2),'Monthly Cash Flow'!CF24*(1+'Rent Roll Analysis'!$AE22/12),'Monthly Cash Flow'!CF24*(1+'Rent Roll Analysis'!$AB22/12))))</f>
        <v/>
      </c>
      <c r="CH24" s="1428" t="str">
        <f>IF($B24="","",IF(CH$4&gt;2,(CG24*(1+'Rent Roll Analysis'!$AK22/12)), IF(AND('Monthly Cash Flow'!CH$4&gt;1,'Monthly Cash Flow'!CH$4&lt;=2),'Monthly Cash Flow'!CG24*(1+'Rent Roll Analysis'!$AE22/12),'Monthly Cash Flow'!CG24*(1+'Rent Roll Analysis'!$AB22/12))))</f>
        <v/>
      </c>
      <c r="CI24" s="1428" t="str">
        <f>IF($B24="","",IF(CI$4&gt;2,(CH24*(1+'Rent Roll Analysis'!$AK22/12)), IF(AND('Monthly Cash Flow'!CI$4&gt;1,'Monthly Cash Flow'!CI$4&lt;=2),'Monthly Cash Flow'!CH24*(1+'Rent Roll Analysis'!$AE22/12),'Monthly Cash Flow'!CH24*(1+'Rent Roll Analysis'!$AB22/12))))</f>
        <v/>
      </c>
      <c r="CJ24" s="1428" t="str">
        <f>IF($B24="","",IF(CJ$4&gt;2,(CI24*(1+'Rent Roll Analysis'!$AK22/12)), IF(AND('Monthly Cash Flow'!CJ$4&gt;1,'Monthly Cash Flow'!CJ$4&lt;=2),'Monthly Cash Flow'!CI24*(1+'Rent Roll Analysis'!$AE22/12),'Monthly Cash Flow'!CI24*(1+'Rent Roll Analysis'!$AB22/12))))</f>
        <v/>
      </c>
      <c r="CK24" s="1428" t="str">
        <f>IF($B24="","",IF(CK$4&gt;2,(CJ24*(1+'Rent Roll Analysis'!$AK22/12)), IF(AND('Monthly Cash Flow'!CK$4&gt;1,'Monthly Cash Flow'!CK$4&lt;=2),'Monthly Cash Flow'!CJ24*(1+'Rent Roll Analysis'!$AE22/12),'Monthly Cash Flow'!CJ24*(1+'Rent Roll Analysis'!$AB22/12))))</f>
        <v/>
      </c>
      <c r="CL24" s="1428" t="str">
        <f>IF($B24="","",IF(CL$4&gt;2,(CK24*(1+'Rent Roll Analysis'!$AK22/12)), IF(AND('Monthly Cash Flow'!CL$4&gt;1,'Monthly Cash Flow'!CL$4&lt;=2),'Monthly Cash Flow'!CK24*(1+'Rent Roll Analysis'!$AE22/12),'Monthly Cash Flow'!CK24*(1+'Rent Roll Analysis'!$AB22/12))))</f>
        <v/>
      </c>
      <c r="CM24" s="1428" t="str">
        <f>IF($B24="","",IF(CM$4&gt;2,(CL24*(1+'Rent Roll Analysis'!$AK22/12)), IF(AND('Monthly Cash Flow'!CM$4&gt;1,'Monthly Cash Flow'!CM$4&lt;=2),'Monthly Cash Flow'!CL24*(1+'Rent Roll Analysis'!$AE22/12),'Monthly Cash Flow'!CL24*(1+'Rent Roll Analysis'!$AB22/12))))</f>
        <v/>
      </c>
      <c r="CN24" s="1428" t="str">
        <f>IF($B24="","",IF(CN$4&gt;2,(CM24*(1+'Rent Roll Analysis'!$AK22/12)), IF(AND('Monthly Cash Flow'!CN$4&gt;1,'Monthly Cash Flow'!CN$4&lt;=2),'Monthly Cash Flow'!CM24*(1+'Rent Roll Analysis'!$AE22/12),'Monthly Cash Flow'!CM24*(1+'Rent Roll Analysis'!$AB22/12))))</f>
        <v/>
      </c>
      <c r="CO24" s="1428" t="str">
        <f>IF($B24="","",IF(CO$4&gt;2,(CN24*(1+'Rent Roll Analysis'!$AK22/12)), IF(AND('Monthly Cash Flow'!CO$4&gt;1,'Monthly Cash Flow'!CO$4&lt;=2),'Monthly Cash Flow'!CN24*(1+'Rent Roll Analysis'!$AE22/12),'Monthly Cash Flow'!CN24*(1+'Rent Roll Analysis'!$AB22/12))))</f>
        <v/>
      </c>
      <c r="CP24" s="1428" t="str">
        <f>IF($B24="","",IF(CP$4&gt;2,(CO24*(1+'Rent Roll Analysis'!$AK22/12)), IF(AND('Monthly Cash Flow'!CP$4&gt;1,'Monthly Cash Flow'!CP$4&lt;=2),'Monthly Cash Flow'!CO24*(1+'Rent Roll Analysis'!$AE22/12),'Monthly Cash Flow'!CO24*(1+'Rent Roll Analysis'!$AB22/12))))</f>
        <v/>
      </c>
      <c r="CQ24" s="1428" t="str">
        <f>IF($B24="","",IF(CQ$4&gt;2,(CP24*(1+'Rent Roll Analysis'!$AK22/12)), IF(AND('Monthly Cash Flow'!CQ$4&gt;1,'Monthly Cash Flow'!CQ$4&lt;=2),'Monthly Cash Flow'!CP24*(1+'Rent Roll Analysis'!$AE22/12),'Monthly Cash Flow'!CP24*(1+'Rent Roll Analysis'!$AB22/12))))</f>
        <v/>
      </c>
      <c r="CR24" s="1428" t="str">
        <f>IF($B24="","",IF(CR$4&gt;2,(CQ24*(1+'Rent Roll Analysis'!$AK22/12)), IF(AND('Monthly Cash Flow'!CR$4&gt;1,'Monthly Cash Flow'!CR$4&lt;=2),'Monthly Cash Flow'!CQ24*(1+'Rent Roll Analysis'!$AE22/12),'Monthly Cash Flow'!CQ24*(1+'Rent Roll Analysis'!$AB22/12))))</f>
        <v/>
      </c>
      <c r="CS24" s="1428" t="str">
        <f>IF($B24="","",IF(CS$4&gt;2,(CR24*(1+'Rent Roll Analysis'!$AK22/12)), IF(AND('Monthly Cash Flow'!CS$4&gt;1,'Monthly Cash Flow'!CS$4&lt;=2),'Monthly Cash Flow'!CR24*(1+'Rent Roll Analysis'!$AE22/12),'Monthly Cash Flow'!CR24*(1+'Rent Roll Analysis'!$AB22/12))))</f>
        <v/>
      </c>
      <c r="CT24" s="1428" t="str">
        <f>IF($B24="","",IF(CT$4&gt;2,(CS24*(1+'Rent Roll Analysis'!$AK22/12)), IF(AND('Monthly Cash Flow'!CT$4&gt;1,'Monthly Cash Flow'!CT$4&lt;=2),'Monthly Cash Flow'!CS24*(1+'Rent Roll Analysis'!$AE22/12),'Monthly Cash Flow'!CS24*(1+'Rent Roll Analysis'!$AB22/12))))</f>
        <v/>
      </c>
      <c r="CU24" s="1428" t="str">
        <f>IF($B24="","",IF(CU$4&gt;2,(CT24*(1+'Rent Roll Analysis'!$AK22/12)), IF(AND('Monthly Cash Flow'!CU$4&gt;1,'Monthly Cash Flow'!CU$4&lt;=2),'Monthly Cash Flow'!CT24*(1+'Rent Roll Analysis'!$AE22/12),'Monthly Cash Flow'!CT24*(1+'Rent Roll Analysis'!$AB22/12))))</f>
        <v/>
      </c>
      <c r="CV24" s="1428" t="str">
        <f>IF($B24="","",IF(CV$4&gt;2,(CU24*(1+'Rent Roll Analysis'!$AK22/12)), IF(AND('Monthly Cash Flow'!CV$4&gt;1,'Monthly Cash Flow'!CV$4&lt;=2),'Monthly Cash Flow'!CU24*(1+'Rent Roll Analysis'!$AE22/12),'Monthly Cash Flow'!CU24*(1+'Rent Roll Analysis'!$AB22/12))))</f>
        <v/>
      </c>
      <c r="CW24" s="1428" t="str">
        <f>IF($B24="","",IF(CW$4&gt;2,(CV24*(1+'Rent Roll Analysis'!$AK22/12)), IF(AND('Monthly Cash Flow'!CW$4&gt;1,'Monthly Cash Flow'!CW$4&lt;=2),'Monthly Cash Flow'!CV24*(1+'Rent Roll Analysis'!$AE22/12),'Monthly Cash Flow'!CV24*(1+'Rent Roll Analysis'!$AB22/12))))</f>
        <v/>
      </c>
      <c r="CX24" s="1428" t="str">
        <f>IF($B24="","",IF(CX$4&gt;2,(CW24*(1+'Rent Roll Analysis'!$AK22/12)), IF(AND('Monthly Cash Flow'!CX$4&gt;1,'Monthly Cash Flow'!CX$4&lt;=2),'Monthly Cash Flow'!CW24*(1+'Rent Roll Analysis'!$AE22/12),'Monthly Cash Flow'!CW24*(1+'Rent Roll Analysis'!$AB22/12))))</f>
        <v/>
      </c>
      <c r="CY24" s="1428" t="str">
        <f>IF($B24="","",IF(CY$4&gt;2,(CX24*(1+'Rent Roll Analysis'!$AK22/12)), IF(AND('Monthly Cash Flow'!CY$4&gt;1,'Monthly Cash Flow'!CY$4&lt;=2),'Monthly Cash Flow'!CX24*(1+'Rent Roll Analysis'!$AE22/12),'Monthly Cash Flow'!CX24*(1+'Rent Roll Analysis'!$AB22/12))))</f>
        <v/>
      </c>
      <c r="CZ24" s="1428" t="str">
        <f>IF($B24="","",IF(CZ$4&gt;2,(CY24*(1+'Rent Roll Analysis'!$AK22/12)), IF(AND('Monthly Cash Flow'!CZ$4&gt;1,'Monthly Cash Flow'!CZ$4&lt;=2),'Monthly Cash Flow'!CY24*(1+'Rent Roll Analysis'!$AE22/12),'Monthly Cash Flow'!CY24*(1+'Rent Roll Analysis'!$AB22/12))))</f>
        <v/>
      </c>
      <c r="DA24" s="1428" t="str">
        <f>IF($B24="","",IF(DA$4&gt;2,(CZ24*(1+'Rent Roll Analysis'!$AK22/12)), IF(AND('Monthly Cash Flow'!DA$4&gt;1,'Monthly Cash Flow'!DA$4&lt;=2),'Monthly Cash Flow'!CZ24*(1+'Rent Roll Analysis'!$AE22/12),'Monthly Cash Flow'!CZ24*(1+'Rent Roll Analysis'!$AB22/12))))</f>
        <v/>
      </c>
      <c r="DB24" s="1428" t="str">
        <f>IF($B24="","",IF(DB$4&gt;2,(DA24*(1+'Rent Roll Analysis'!$AK22/12)), IF(AND('Monthly Cash Flow'!DB$4&gt;1,'Monthly Cash Flow'!DB$4&lt;=2),'Monthly Cash Flow'!DA24*(1+'Rent Roll Analysis'!$AE22/12),'Monthly Cash Flow'!DA24*(1+'Rent Roll Analysis'!$AB22/12))))</f>
        <v/>
      </c>
      <c r="DC24" s="1428" t="str">
        <f>IF($B24="","",IF(DC$4&gt;2,(DB24*(1+'Rent Roll Analysis'!$AK22/12)), IF(AND('Monthly Cash Flow'!DC$4&gt;1,'Monthly Cash Flow'!DC$4&lt;=2),'Monthly Cash Flow'!DB24*(1+'Rent Roll Analysis'!$AE22/12),'Monthly Cash Flow'!DB24*(1+'Rent Roll Analysis'!$AB22/12))))</f>
        <v/>
      </c>
      <c r="DD24" s="1428" t="str">
        <f>IF($B24="","",IF(DD$4&gt;2,(DC24*(1+'Rent Roll Analysis'!$AK22/12)), IF(AND('Monthly Cash Flow'!DD$4&gt;1,'Monthly Cash Flow'!DD$4&lt;=2),'Monthly Cash Flow'!DC24*(1+'Rent Roll Analysis'!$AE22/12),'Monthly Cash Flow'!DC24*(1+'Rent Roll Analysis'!$AB22/12))))</f>
        <v/>
      </c>
      <c r="DE24" s="1428" t="str">
        <f>IF($B24="","",IF(DE$4&gt;2,(DD24*(1+'Rent Roll Analysis'!$AK22/12)), IF(AND('Monthly Cash Flow'!DE$4&gt;1,'Monthly Cash Flow'!DE$4&lt;=2),'Monthly Cash Flow'!DD24*(1+'Rent Roll Analysis'!$AE22/12),'Monthly Cash Flow'!DD24*(1+'Rent Roll Analysis'!$AB22/12))))</f>
        <v/>
      </c>
      <c r="DF24" s="1428" t="str">
        <f>IF($B24="","",IF(DF$4&gt;2,(DE24*(1+'Rent Roll Analysis'!$AK22/12)), IF(AND('Monthly Cash Flow'!DF$4&gt;1,'Monthly Cash Flow'!DF$4&lt;=2),'Monthly Cash Flow'!DE24*(1+'Rent Roll Analysis'!$AE22/12),'Monthly Cash Flow'!DE24*(1+'Rent Roll Analysis'!$AB22/12))))</f>
        <v/>
      </c>
      <c r="DG24" s="1428" t="str">
        <f>IF($B24="","",IF(DG$4&gt;2,(DF24*(1+'Rent Roll Analysis'!$AK22/12)), IF(AND('Monthly Cash Flow'!DG$4&gt;1,'Monthly Cash Flow'!DG$4&lt;=2),'Monthly Cash Flow'!DF24*(1+'Rent Roll Analysis'!$AE22/12),'Monthly Cash Flow'!DF24*(1+'Rent Roll Analysis'!$AB22/12))))</f>
        <v/>
      </c>
      <c r="DH24" s="1428" t="str">
        <f>IF($B24="","",IF(DH$4&gt;2,(DG24*(1+'Rent Roll Analysis'!$AK22/12)), IF(AND('Monthly Cash Flow'!DH$4&gt;1,'Monthly Cash Flow'!DH$4&lt;=2),'Monthly Cash Flow'!DG24*(1+'Rent Roll Analysis'!$AE22/12),'Monthly Cash Flow'!DG24*(1+'Rent Roll Analysis'!$AB22/12))))</f>
        <v/>
      </c>
      <c r="DI24" s="1428" t="str">
        <f>IF($B24="","",IF(DI$4&gt;2,(DH24*(1+'Rent Roll Analysis'!$AK22/12)), IF(AND('Monthly Cash Flow'!DI$4&gt;1,'Monthly Cash Flow'!DI$4&lt;=2),'Monthly Cash Flow'!DH24*(1+'Rent Roll Analysis'!$AE22/12),'Monthly Cash Flow'!DH24*(1+'Rent Roll Analysis'!$AB22/12))))</f>
        <v/>
      </c>
      <c r="DJ24" s="1428" t="str">
        <f>IF($B24="","",IF(DJ$4&gt;2,(DI24*(1+'Rent Roll Analysis'!$AK22/12)), IF(AND('Monthly Cash Flow'!DJ$4&gt;1,'Monthly Cash Flow'!DJ$4&lt;=2),'Monthly Cash Flow'!DI24*(1+'Rent Roll Analysis'!$AE22/12),'Monthly Cash Flow'!DI24*(1+'Rent Roll Analysis'!$AB22/12))))</f>
        <v/>
      </c>
      <c r="DK24" s="1428" t="str">
        <f>IF($B24="","",IF(DK$4&gt;2,(DJ24*(1+'Rent Roll Analysis'!$AK22/12)), IF(AND('Monthly Cash Flow'!DK$4&gt;1,'Monthly Cash Flow'!DK$4&lt;=2),'Monthly Cash Flow'!DJ24*(1+'Rent Roll Analysis'!$AE22/12),'Monthly Cash Flow'!DJ24*(1+'Rent Roll Analysis'!$AB22/12))))</f>
        <v/>
      </c>
      <c r="DL24" s="1428" t="str">
        <f>IF($B24="","",IF(DL$4&gt;2,(DK24*(1+'Rent Roll Analysis'!$AK22/12)), IF(AND('Monthly Cash Flow'!DL$4&gt;1,'Monthly Cash Flow'!DL$4&lt;=2),'Monthly Cash Flow'!DK24*(1+'Rent Roll Analysis'!$AE22/12),'Monthly Cash Flow'!DK24*(1+'Rent Roll Analysis'!$AB22/12))))</f>
        <v/>
      </c>
      <c r="DM24" s="1428" t="str">
        <f>IF($B24="","",IF(DM$4&gt;2,(DL24*(1+'Rent Roll Analysis'!$AK22/12)), IF(AND('Monthly Cash Flow'!DM$4&gt;1,'Monthly Cash Flow'!DM$4&lt;=2),'Monthly Cash Flow'!DL24*(1+'Rent Roll Analysis'!$AE22/12),'Monthly Cash Flow'!DL24*(1+'Rent Roll Analysis'!$AB22/12))))</f>
        <v/>
      </c>
      <c r="DN24" s="1428" t="str">
        <f>IF($B24="","",IF(DN$4&gt;2,(DM24*(1+'Rent Roll Analysis'!$AK22/12)), IF(AND('Monthly Cash Flow'!DN$4&gt;1,'Monthly Cash Flow'!DN$4&lt;=2),'Monthly Cash Flow'!DM24*(1+'Rent Roll Analysis'!$AE22/12),'Monthly Cash Flow'!DM24*(1+'Rent Roll Analysis'!$AB22/12))))</f>
        <v/>
      </c>
      <c r="DO24" s="1428" t="str">
        <f>IF($B24="","",IF(DO$4&gt;2,(DN24*(1+'Rent Roll Analysis'!$AK22/12)), IF(AND('Monthly Cash Flow'!DO$4&gt;1,'Monthly Cash Flow'!DO$4&lt;=2),'Monthly Cash Flow'!DN24*(1+'Rent Roll Analysis'!$AE22/12),'Monthly Cash Flow'!DN24*(1+'Rent Roll Analysis'!$AB22/12))))</f>
        <v/>
      </c>
      <c r="DP24" s="1428" t="str">
        <f>IF($B24="","",IF(DP$4&gt;2,(DO24*(1+'Rent Roll Analysis'!$AK22/12)), IF(AND('Monthly Cash Flow'!DP$4&gt;1,'Monthly Cash Flow'!DP$4&lt;=2),'Monthly Cash Flow'!DO24*(1+'Rent Roll Analysis'!$AE22/12),'Monthly Cash Flow'!DO24*(1+'Rent Roll Analysis'!$AB22/12))))</f>
        <v/>
      </c>
      <c r="DQ24" s="1428" t="str">
        <f>IF($B24="","",IF(DQ$4&gt;2,(DP24*(1+'Rent Roll Analysis'!$AK22/12)), IF(AND('Monthly Cash Flow'!DQ$4&gt;1,'Monthly Cash Flow'!DQ$4&lt;=2),'Monthly Cash Flow'!DP24*(1+'Rent Roll Analysis'!$AE22/12),'Monthly Cash Flow'!DP24*(1+'Rent Roll Analysis'!$AB22/12))))</f>
        <v/>
      </c>
      <c r="DR24" s="1428" t="str">
        <f>IF($B24="","",IF(DR$4&gt;2,(DQ24*(1+'Rent Roll Analysis'!$AK22/12)), IF(AND('Monthly Cash Flow'!DR$4&gt;1,'Monthly Cash Flow'!DR$4&lt;=2),'Monthly Cash Flow'!DQ24*(1+'Rent Roll Analysis'!$AE22/12),'Monthly Cash Flow'!DQ24*(1+'Rent Roll Analysis'!$AB22/12))))</f>
        <v/>
      </c>
      <c r="DS24" s="1428" t="str">
        <f>IF($B24="","",IF(DS$4&gt;2,(DR24*(1+'Rent Roll Analysis'!$AK22/12)), IF(AND('Monthly Cash Flow'!DS$4&gt;1,'Monthly Cash Flow'!DS$4&lt;=2),'Monthly Cash Flow'!DR24*(1+'Rent Roll Analysis'!$AE22/12),'Monthly Cash Flow'!DR24*(1+'Rent Roll Analysis'!$AB22/12))))</f>
        <v/>
      </c>
      <c r="DT24" s="1428" t="str">
        <f>IF($B24="","",IF(DT$4&gt;2,(DS24*(1+'Rent Roll Analysis'!$AK22/12)), IF(AND('Monthly Cash Flow'!DT$4&gt;1,'Monthly Cash Flow'!DT$4&lt;=2),'Monthly Cash Flow'!DS24*(1+'Rent Roll Analysis'!$AE22/12),'Monthly Cash Flow'!DS24*(1+'Rent Roll Analysis'!$AB22/12))))</f>
        <v/>
      </c>
      <c r="DU24" s="385" t="s">
        <v>557</v>
      </c>
      <c r="DV24" s="375"/>
    </row>
    <row r="25" spans="1:126" s="92" customFormat="1" ht="20.149999999999999" customHeight="1" outlineLevel="1">
      <c r="A25" s="375"/>
      <c r="B25" s="383" t="str">
        <f>'Rent Roll Analysis'!C23</f>
        <v/>
      </c>
      <c r="C25" s="376"/>
      <c r="D25" s="1426" t="str">
        <f>IF('Rent Roll Analysis'!C23="","",'Rent Roll Analysis'!N23*'Rent Roll Analysis'!E23)</f>
        <v/>
      </c>
      <c r="E25" s="1428" t="str">
        <f t="shared" si="113"/>
        <v/>
      </c>
      <c r="F25" s="1428" t="str">
        <f>IF($B25="","",IF(F$4&gt;2,(E25*(1+'Rent Roll Analysis'!$AK23/12)), IF(AND('Monthly Cash Flow'!F$4&gt;1,'Monthly Cash Flow'!F$4&lt;=2),'Monthly Cash Flow'!E25*(1+'Rent Roll Analysis'!$AE23/12),'Monthly Cash Flow'!E25*(1+'Rent Roll Analysis'!$AB23/12))))</f>
        <v/>
      </c>
      <c r="G25" s="1428" t="str">
        <f>IF($B25="","",IF(G$4&gt;2,(F25*(1+'Rent Roll Analysis'!$AK23/12)), IF(AND('Monthly Cash Flow'!G$4&gt;1,'Monthly Cash Flow'!G$4&lt;=2),'Monthly Cash Flow'!F25*(1+'Rent Roll Analysis'!$AE23/12),'Monthly Cash Flow'!F25*(1+'Rent Roll Analysis'!$AB23/12))))</f>
        <v/>
      </c>
      <c r="H25" s="1428" t="str">
        <f>IF($B25="","",IF(H$4&gt;2,(G25*(1+'Rent Roll Analysis'!$AK23/12)), IF(AND('Monthly Cash Flow'!H$4&gt;1,'Monthly Cash Flow'!H$4&lt;=2),'Monthly Cash Flow'!G25*(1+'Rent Roll Analysis'!$AE23/12),'Monthly Cash Flow'!G25*(1+'Rent Roll Analysis'!$AB23/12))))</f>
        <v/>
      </c>
      <c r="I25" s="1428" t="str">
        <f>IF($B25="","",IF(I$4&gt;2,(H25*(1+'Rent Roll Analysis'!$AK23/12)), IF(AND('Monthly Cash Flow'!I$4&gt;1,'Monthly Cash Flow'!I$4&lt;=2),'Monthly Cash Flow'!H25*(1+'Rent Roll Analysis'!$AE23/12),'Monthly Cash Flow'!H25*(1+'Rent Roll Analysis'!$AB23/12))))</f>
        <v/>
      </c>
      <c r="J25" s="1428" t="str">
        <f>IF($B25="","",IF(J$4&gt;2,(I25*(1+'Rent Roll Analysis'!$AK23/12)), IF(AND('Monthly Cash Flow'!J$4&gt;1,'Monthly Cash Flow'!J$4&lt;=2),'Monthly Cash Flow'!I25*(1+'Rent Roll Analysis'!$AE23/12),'Monthly Cash Flow'!I25*(1+'Rent Roll Analysis'!$AB23/12))))</f>
        <v/>
      </c>
      <c r="K25" s="1428" t="str">
        <f>IF($B25="","",IF(K$4&gt;2,(J25*(1+'Rent Roll Analysis'!$AK23/12)), IF(AND('Monthly Cash Flow'!K$4&gt;1,'Monthly Cash Flow'!K$4&lt;=2),'Monthly Cash Flow'!J25*(1+'Rent Roll Analysis'!$AE23/12),'Monthly Cash Flow'!J25*(1+'Rent Roll Analysis'!$AB23/12))))</f>
        <v/>
      </c>
      <c r="L25" s="1428" t="str">
        <f>IF($B25="","",IF(L$4&gt;2,(K25*(1+'Rent Roll Analysis'!$AK23/12)), IF(AND('Monthly Cash Flow'!L$4&gt;1,'Monthly Cash Flow'!L$4&lt;=2),'Monthly Cash Flow'!K25*(1+'Rent Roll Analysis'!$AE23/12),'Monthly Cash Flow'!K25*(1+'Rent Roll Analysis'!$AB23/12))))</f>
        <v/>
      </c>
      <c r="M25" s="1428" t="str">
        <f>IF($B25="","",IF(M$4&gt;2,(L25*(1+'Rent Roll Analysis'!$AK23/12)), IF(AND('Monthly Cash Flow'!M$4&gt;1,'Monthly Cash Flow'!M$4&lt;=2),'Monthly Cash Flow'!L25*(1+'Rent Roll Analysis'!$AE23/12),'Monthly Cash Flow'!L25*(1+'Rent Roll Analysis'!$AB23/12))))</f>
        <v/>
      </c>
      <c r="N25" s="1428" t="str">
        <f>IF($B25="","",IF(N$4&gt;2,(M25*(1+'Rent Roll Analysis'!$AK23/12)), IF(AND('Monthly Cash Flow'!N$4&gt;1,'Monthly Cash Flow'!N$4&lt;=2),'Monthly Cash Flow'!M25*(1+'Rent Roll Analysis'!$AE23/12),'Monthly Cash Flow'!M25*(1+'Rent Roll Analysis'!$AB23/12))))</f>
        <v/>
      </c>
      <c r="O25" s="1428" t="str">
        <f>IF($B25="","",IF(O$4&gt;2,(N25*(1+'Rent Roll Analysis'!$AK23/12)), IF(AND('Monthly Cash Flow'!O$4&gt;1,'Monthly Cash Flow'!O$4&lt;=2),'Monthly Cash Flow'!N25*(1+'Rent Roll Analysis'!$AE23/12),'Monthly Cash Flow'!N25*(1+'Rent Roll Analysis'!$AB23/12))))</f>
        <v/>
      </c>
      <c r="P25" s="1428" t="str">
        <f>IF($B25="","",IF(P$4&gt;2,(O25*(1+'Rent Roll Analysis'!$AK23/12)), IF(AND('Monthly Cash Flow'!P$4&gt;1,'Monthly Cash Flow'!P$4&lt;=2),'Monthly Cash Flow'!O25*(1+'Rent Roll Analysis'!$AE23/12),'Monthly Cash Flow'!O25*(1+'Rent Roll Analysis'!$AB23/12))))</f>
        <v/>
      </c>
      <c r="Q25" s="1428" t="str">
        <f>IF($B25="","",IF(Q$4&gt;2,(P25*(1+'Rent Roll Analysis'!$AK23/12)), IF(AND('Monthly Cash Flow'!Q$4&gt;1,'Monthly Cash Flow'!Q$4&lt;=2),'Monthly Cash Flow'!P25*(1+'Rent Roll Analysis'!$AE23/12),'Monthly Cash Flow'!P25*(1+'Rent Roll Analysis'!$AB23/12))))</f>
        <v/>
      </c>
      <c r="R25" s="1428" t="str">
        <f>IF($B25="","",IF(R$4&gt;2,(Q25*(1+'Rent Roll Analysis'!$AK23/12)), IF(AND('Monthly Cash Flow'!R$4&gt;1,'Monthly Cash Flow'!R$4&lt;=2),'Monthly Cash Flow'!Q25*(1+'Rent Roll Analysis'!$AE23/12),'Monthly Cash Flow'!Q25*(1+'Rent Roll Analysis'!$AB23/12))))</f>
        <v/>
      </c>
      <c r="S25" s="1428" t="str">
        <f>IF($B25="","",IF(S$4&gt;2,(R25*(1+'Rent Roll Analysis'!$AK23/12)), IF(AND('Monthly Cash Flow'!S$4&gt;1,'Monthly Cash Flow'!S$4&lt;=2),'Monthly Cash Flow'!R25*(1+'Rent Roll Analysis'!$AE23/12),'Monthly Cash Flow'!R25*(1+'Rent Roll Analysis'!$AB23/12))))</f>
        <v/>
      </c>
      <c r="T25" s="1428" t="str">
        <f>IF($B25="","",IF(T$4&gt;2,(S25*(1+'Rent Roll Analysis'!$AK23/12)), IF(AND('Monthly Cash Flow'!T$4&gt;1,'Monthly Cash Flow'!T$4&lt;=2),'Monthly Cash Flow'!S25*(1+'Rent Roll Analysis'!$AE23/12),'Monthly Cash Flow'!S25*(1+'Rent Roll Analysis'!$AB23/12))))</f>
        <v/>
      </c>
      <c r="U25" s="1428" t="str">
        <f>IF($B25="","",IF(U$4&gt;2,(T25*(1+'Rent Roll Analysis'!$AK23/12)), IF(AND('Monthly Cash Flow'!U$4&gt;1,'Monthly Cash Flow'!U$4&lt;=2),'Monthly Cash Flow'!T25*(1+'Rent Roll Analysis'!$AE23/12),'Monthly Cash Flow'!T25*(1+'Rent Roll Analysis'!$AB23/12))))</f>
        <v/>
      </c>
      <c r="V25" s="1428" t="str">
        <f>IF($B25="","",IF(V$4&gt;2,(U25*(1+'Rent Roll Analysis'!$AK23/12)), IF(AND('Monthly Cash Flow'!V$4&gt;1,'Monthly Cash Flow'!V$4&lt;=2),'Monthly Cash Flow'!U25*(1+'Rent Roll Analysis'!$AE23/12),'Monthly Cash Flow'!U25*(1+'Rent Roll Analysis'!$AB23/12))))</f>
        <v/>
      </c>
      <c r="W25" s="1428" t="str">
        <f>IF($B25="","",IF(W$4&gt;2,(V25*(1+'Rent Roll Analysis'!$AK23/12)), IF(AND('Monthly Cash Flow'!W$4&gt;1,'Monthly Cash Flow'!W$4&lt;=2),'Monthly Cash Flow'!V25*(1+'Rent Roll Analysis'!$AE23/12),'Monthly Cash Flow'!V25*(1+'Rent Roll Analysis'!$AB23/12))))</f>
        <v/>
      </c>
      <c r="X25" s="1428" t="str">
        <f>IF($B25="","",IF(X$4&gt;2,(W25*(1+'Rent Roll Analysis'!$AK23/12)), IF(AND('Monthly Cash Flow'!X$4&gt;1,'Monthly Cash Flow'!X$4&lt;=2),'Monthly Cash Flow'!W25*(1+'Rent Roll Analysis'!$AE23/12),'Monthly Cash Flow'!W25*(1+'Rent Roll Analysis'!$AB23/12))))</f>
        <v/>
      </c>
      <c r="Y25" s="1428" t="str">
        <f>IF($B25="","",IF(Y$4&gt;2,(X25*(1+'Rent Roll Analysis'!$AK23/12)), IF(AND('Monthly Cash Flow'!Y$4&gt;1,'Monthly Cash Flow'!Y$4&lt;=2),'Monthly Cash Flow'!X25*(1+'Rent Roll Analysis'!$AE23/12),'Monthly Cash Flow'!X25*(1+'Rent Roll Analysis'!$AB23/12))))</f>
        <v/>
      </c>
      <c r="Z25" s="1428" t="str">
        <f>IF($B25="","",IF(Z$4&gt;2,(Y25*(1+'Rent Roll Analysis'!$AK23/12)), IF(AND('Monthly Cash Flow'!Z$4&gt;1,'Monthly Cash Flow'!Z$4&lt;=2),'Monthly Cash Flow'!Y25*(1+'Rent Roll Analysis'!$AE23/12),'Monthly Cash Flow'!Y25*(1+'Rent Roll Analysis'!$AB23/12))))</f>
        <v/>
      </c>
      <c r="AA25" s="1428" t="str">
        <f>IF($B25="","",IF(AA$4&gt;2,(Z25*(1+'Rent Roll Analysis'!$AK23/12)), IF(AND('Monthly Cash Flow'!AA$4&gt;1,'Monthly Cash Flow'!AA$4&lt;=2),'Monthly Cash Flow'!Z25*(1+'Rent Roll Analysis'!$AE23/12),'Monthly Cash Flow'!Z25*(1+'Rent Roll Analysis'!$AB23/12))))</f>
        <v/>
      </c>
      <c r="AB25" s="1428" t="str">
        <f>IF($B25="","",IF(AB$4&gt;2,(AA25*(1+'Rent Roll Analysis'!$AK23/12)), IF(AND('Monthly Cash Flow'!AB$4&gt;1,'Monthly Cash Flow'!AB$4&lt;=2),'Monthly Cash Flow'!AA25*(1+'Rent Roll Analysis'!$AE23/12),'Monthly Cash Flow'!AA25*(1+'Rent Roll Analysis'!$AB23/12))))</f>
        <v/>
      </c>
      <c r="AC25" s="1428" t="str">
        <f>IF($B25="","",IF(AC$4&gt;2,(AB25*(1+'Rent Roll Analysis'!$AK23/12)), IF(AND('Monthly Cash Flow'!AC$4&gt;1,'Monthly Cash Flow'!AC$4&lt;=2),'Monthly Cash Flow'!AB25*(1+'Rent Roll Analysis'!$AE23/12),'Monthly Cash Flow'!AB25*(1+'Rent Roll Analysis'!$AB23/12))))</f>
        <v/>
      </c>
      <c r="AD25" s="1428" t="str">
        <f>IF($B25="","",IF(AD$4&gt;2,(AC25*(1+'Rent Roll Analysis'!$AK23/12)), IF(AND('Monthly Cash Flow'!AD$4&gt;1,'Monthly Cash Flow'!AD$4&lt;=2),'Monthly Cash Flow'!AC25*(1+'Rent Roll Analysis'!$AE23/12),'Monthly Cash Flow'!AC25*(1+'Rent Roll Analysis'!$AB23/12))))</f>
        <v/>
      </c>
      <c r="AE25" s="1428" t="str">
        <f>IF($B25="","",IF(AE$4&gt;2,(AD25*(1+'Rent Roll Analysis'!$AK23/12)), IF(AND('Monthly Cash Flow'!AE$4&gt;1,'Monthly Cash Flow'!AE$4&lt;=2),'Monthly Cash Flow'!AD25*(1+'Rent Roll Analysis'!$AE23/12),'Monthly Cash Flow'!AD25*(1+'Rent Roll Analysis'!$AB23/12))))</f>
        <v/>
      </c>
      <c r="AF25" s="1428" t="str">
        <f>IF($B25="","",IF(AF$4&gt;2,(AE25*(1+'Rent Roll Analysis'!$AK23/12)), IF(AND('Monthly Cash Flow'!AF$4&gt;1,'Monthly Cash Flow'!AF$4&lt;=2),'Monthly Cash Flow'!AE25*(1+'Rent Roll Analysis'!$AE23/12),'Monthly Cash Flow'!AE25*(1+'Rent Roll Analysis'!$AB23/12))))</f>
        <v/>
      </c>
      <c r="AG25" s="1428" t="str">
        <f>IF($B25="","",IF(AG$4&gt;2,(AF25*(1+'Rent Roll Analysis'!$AK23/12)), IF(AND('Monthly Cash Flow'!AG$4&gt;1,'Monthly Cash Flow'!AG$4&lt;=2),'Monthly Cash Flow'!AF25*(1+'Rent Roll Analysis'!$AE23/12),'Monthly Cash Flow'!AF25*(1+'Rent Roll Analysis'!$AB23/12))))</f>
        <v/>
      </c>
      <c r="AH25" s="1428" t="str">
        <f>IF($B25="","",IF(AH$4&gt;2,(AG25*(1+'Rent Roll Analysis'!$AK23/12)), IF(AND('Monthly Cash Flow'!AH$4&gt;1,'Monthly Cash Flow'!AH$4&lt;=2),'Monthly Cash Flow'!AG25*(1+'Rent Roll Analysis'!$AE23/12),'Monthly Cash Flow'!AG25*(1+'Rent Roll Analysis'!$AB23/12))))</f>
        <v/>
      </c>
      <c r="AI25" s="1428" t="str">
        <f>IF($B25="","",IF(AI$4&gt;2,(AH25*(1+'Rent Roll Analysis'!$AK23/12)), IF(AND('Monthly Cash Flow'!AI$4&gt;1,'Monthly Cash Flow'!AI$4&lt;=2),'Monthly Cash Flow'!AH25*(1+'Rent Roll Analysis'!$AE23/12),'Monthly Cash Flow'!AH25*(1+'Rent Roll Analysis'!$AB23/12))))</f>
        <v/>
      </c>
      <c r="AJ25" s="1428" t="str">
        <f>IF($B25="","",IF(AJ$4&gt;2,(AI25*(1+'Rent Roll Analysis'!$AK23/12)), IF(AND('Monthly Cash Flow'!AJ$4&gt;1,'Monthly Cash Flow'!AJ$4&lt;=2),'Monthly Cash Flow'!AI25*(1+'Rent Roll Analysis'!$AE23/12),'Monthly Cash Flow'!AI25*(1+'Rent Roll Analysis'!$AB23/12))))</f>
        <v/>
      </c>
      <c r="AK25" s="1428" t="str">
        <f>IF($B25="","",IF(AK$4&gt;2,(AJ25*(1+'Rent Roll Analysis'!$AK23/12)), IF(AND('Monthly Cash Flow'!AK$4&gt;1,'Monthly Cash Flow'!AK$4&lt;=2),'Monthly Cash Flow'!AJ25*(1+'Rent Roll Analysis'!$AE23/12),'Monthly Cash Flow'!AJ25*(1+'Rent Roll Analysis'!$AB23/12))))</f>
        <v/>
      </c>
      <c r="AL25" s="1428" t="str">
        <f>IF($B25="","",IF(AL$4&gt;2,(AK25*(1+'Rent Roll Analysis'!$AK23/12)), IF(AND('Monthly Cash Flow'!AL$4&gt;1,'Monthly Cash Flow'!AL$4&lt;=2),'Monthly Cash Flow'!AK25*(1+'Rent Roll Analysis'!$AE23/12),'Monthly Cash Flow'!AK25*(1+'Rent Roll Analysis'!$AB23/12))))</f>
        <v/>
      </c>
      <c r="AM25" s="1428" t="str">
        <f>IF($B25="","",IF(AM$4&gt;2,(AL25*(1+'Rent Roll Analysis'!$AK23/12)), IF(AND('Monthly Cash Flow'!AM$4&gt;1,'Monthly Cash Flow'!AM$4&lt;=2),'Monthly Cash Flow'!AL25*(1+'Rent Roll Analysis'!$AE23/12),'Monthly Cash Flow'!AL25*(1+'Rent Roll Analysis'!$AB23/12))))</f>
        <v/>
      </c>
      <c r="AN25" s="1428" t="str">
        <f>IF($B25="","",IF(AN$4&gt;2,(AM25*(1+'Rent Roll Analysis'!$AK23/12)), IF(AND('Monthly Cash Flow'!AN$4&gt;1,'Monthly Cash Flow'!AN$4&lt;=2),'Monthly Cash Flow'!AM25*(1+'Rent Roll Analysis'!$AE23/12),'Monthly Cash Flow'!AM25*(1+'Rent Roll Analysis'!$AB23/12))))</f>
        <v/>
      </c>
      <c r="AO25" s="1428" t="str">
        <f>IF($B25="","",IF(AO$4&gt;2,(AN25*(1+'Rent Roll Analysis'!$AK23/12)), IF(AND('Monthly Cash Flow'!AO$4&gt;1,'Monthly Cash Flow'!AO$4&lt;=2),'Monthly Cash Flow'!AN25*(1+'Rent Roll Analysis'!$AE23/12),'Monthly Cash Flow'!AN25*(1+'Rent Roll Analysis'!$AB23/12))))</f>
        <v/>
      </c>
      <c r="AP25" s="1428" t="str">
        <f>IF($B25="","",IF(AP$4&gt;2,(AO25*(1+'Rent Roll Analysis'!$AK23/12)), IF(AND('Monthly Cash Flow'!AP$4&gt;1,'Monthly Cash Flow'!AP$4&lt;=2),'Monthly Cash Flow'!AO25*(1+'Rent Roll Analysis'!$AE23/12),'Monthly Cash Flow'!AO25*(1+'Rent Roll Analysis'!$AB23/12))))</f>
        <v/>
      </c>
      <c r="AQ25" s="1428" t="str">
        <f>IF($B25="","",IF(AQ$4&gt;2,(AP25*(1+'Rent Roll Analysis'!$AK23/12)), IF(AND('Monthly Cash Flow'!AQ$4&gt;1,'Monthly Cash Flow'!AQ$4&lt;=2),'Monthly Cash Flow'!AP25*(1+'Rent Roll Analysis'!$AE23/12),'Monthly Cash Flow'!AP25*(1+'Rent Roll Analysis'!$AB23/12))))</f>
        <v/>
      </c>
      <c r="AR25" s="1428" t="str">
        <f>IF($B25="","",IF(AR$4&gt;2,(AQ25*(1+'Rent Roll Analysis'!$AK23/12)), IF(AND('Monthly Cash Flow'!AR$4&gt;1,'Monthly Cash Flow'!AR$4&lt;=2),'Monthly Cash Flow'!AQ25*(1+'Rent Roll Analysis'!$AE23/12),'Monthly Cash Flow'!AQ25*(1+'Rent Roll Analysis'!$AB23/12))))</f>
        <v/>
      </c>
      <c r="AS25" s="1428" t="str">
        <f>IF($B25="","",IF(AS$4&gt;2,(AR25*(1+'Rent Roll Analysis'!$AK23/12)), IF(AND('Monthly Cash Flow'!AS$4&gt;1,'Monthly Cash Flow'!AS$4&lt;=2),'Monthly Cash Flow'!AR25*(1+'Rent Roll Analysis'!$AE23/12),'Monthly Cash Flow'!AR25*(1+'Rent Roll Analysis'!$AB23/12))))</f>
        <v/>
      </c>
      <c r="AT25" s="1428" t="str">
        <f>IF($B25="","",IF(AT$4&gt;2,(AS25*(1+'Rent Roll Analysis'!$AK23/12)), IF(AND('Monthly Cash Flow'!AT$4&gt;1,'Monthly Cash Flow'!AT$4&lt;=2),'Monthly Cash Flow'!AS25*(1+'Rent Roll Analysis'!$AE23/12),'Monthly Cash Flow'!AS25*(1+'Rent Roll Analysis'!$AB23/12))))</f>
        <v/>
      </c>
      <c r="AU25" s="1428" t="str">
        <f>IF($B25="","",IF(AU$4&gt;2,(AT25*(1+'Rent Roll Analysis'!$AK23/12)), IF(AND('Monthly Cash Flow'!AU$4&gt;1,'Monthly Cash Flow'!AU$4&lt;=2),'Monthly Cash Flow'!AT25*(1+'Rent Roll Analysis'!$AE23/12),'Monthly Cash Flow'!AT25*(1+'Rent Roll Analysis'!$AB23/12))))</f>
        <v/>
      </c>
      <c r="AV25" s="1428" t="str">
        <f>IF($B25="","",IF(AV$4&gt;2,(AU25*(1+'Rent Roll Analysis'!$AK23/12)), IF(AND('Monthly Cash Flow'!AV$4&gt;1,'Monthly Cash Flow'!AV$4&lt;=2),'Monthly Cash Flow'!AU25*(1+'Rent Roll Analysis'!$AE23/12),'Monthly Cash Flow'!AU25*(1+'Rent Roll Analysis'!$AB23/12))))</f>
        <v/>
      </c>
      <c r="AW25" s="1428" t="str">
        <f>IF($B25="","",IF(AW$4&gt;2,(AV25*(1+'Rent Roll Analysis'!$AK23/12)), IF(AND('Monthly Cash Flow'!AW$4&gt;1,'Monthly Cash Flow'!AW$4&lt;=2),'Monthly Cash Flow'!AV25*(1+'Rent Roll Analysis'!$AE23/12),'Monthly Cash Flow'!AV25*(1+'Rent Roll Analysis'!$AB23/12))))</f>
        <v/>
      </c>
      <c r="AX25" s="1428" t="str">
        <f>IF($B25="","",IF(AX$4&gt;2,(AW25*(1+'Rent Roll Analysis'!$AK23/12)), IF(AND('Monthly Cash Flow'!AX$4&gt;1,'Monthly Cash Flow'!AX$4&lt;=2),'Monthly Cash Flow'!AW25*(1+'Rent Roll Analysis'!$AE23/12),'Monthly Cash Flow'!AW25*(1+'Rent Roll Analysis'!$AB23/12))))</f>
        <v/>
      </c>
      <c r="AY25" s="1428" t="str">
        <f>IF($B25="","",IF(AY$4&gt;2,(AX25*(1+'Rent Roll Analysis'!$AK23/12)), IF(AND('Monthly Cash Flow'!AY$4&gt;1,'Monthly Cash Flow'!AY$4&lt;=2),'Monthly Cash Flow'!AX25*(1+'Rent Roll Analysis'!$AE23/12),'Monthly Cash Flow'!AX25*(1+'Rent Roll Analysis'!$AB23/12))))</f>
        <v/>
      </c>
      <c r="AZ25" s="1428" t="str">
        <f>IF($B25="","",IF(AZ$4&gt;2,(AY25*(1+'Rent Roll Analysis'!$AK23/12)), IF(AND('Monthly Cash Flow'!AZ$4&gt;1,'Monthly Cash Flow'!AZ$4&lt;=2),'Monthly Cash Flow'!AY25*(1+'Rent Roll Analysis'!$AE23/12),'Monthly Cash Flow'!AY25*(1+'Rent Roll Analysis'!$AB23/12))))</f>
        <v/>
      </c>
      <c r="BA25" s="1428" t="str">
        <f>IF($B25="","",IF(BA$4&gt;2,(AZ25*(1+'Rent Roll Analysis'!$AK23/12)), IF(AND('Monthly Cash Flow'!BA$4&gt;1,'Monthly Cash Flow'!BA$4&lt;=2),'Monthly Cash Flow'!AZ25*(1+'Rent Roll Analysis'!$AE23/12),'Monthly Cash Flow'!AZ25*(1+'Rent Roll Analysis'!$AB23/12))))</f>
        <v/>
      </c>
      <c r="BB25" s="1428" t="str">
        <f>IF($B25="","",IF(BB$4&gt;2,(BA25*(1+'Rent Roll Analysis'!$AK23/12)), IF(AND('Monthly Cash Flow'!BB$4&gt;1,'Monthly Cash Flow'!BB$4&lt;=2),'Monthly Cash Flow'!BA25*(1+'Rent Roll Analysis'!$AE23/12),'Monthly Cash Flow'!BA25*(1+'Rent Roll Analysis'!$AB23/12))))</f>
        <v/>
      </c>
      <c r="BC25" s="1428" t="str">
        <f>IF($B25="","",IF(BC$4&gt;2,(BB25*(1+'Rent Roll Analysis'!$AK23/12)), IF(AND('Monthly Cash Flow'!BC$4&gt;1,'Monthly Cash Flow'!BC$4&lt;=2),'Monthly Cash Flow'!BB25*(1+'Rent Roll Analysis'!$AE23/12),'Monthly Cash Flow'!BB25*(1+'Rent Roll Analysis'!$AB23/12))))</f>
        <v/>
      </c>
      <c r="BD25" s="1428" t="str">
        <f>IF($B25="","",IF(BD$4&gt;2,(BC25*(1+'Rent Roll Analysis'!$AK23/12)), IF(AND('Monthly Cash Flow'!BD$4&gt;1,'Monthly Cash Flow'!BD$4&lt;=2),'Monthly Cash Flow'!BC25*(1+'Rent Roll Analysis'!$AE23/12),'Monthly Cash Flow'!BC25*(1+'Rent Roll Analysis'!$AB23/12))))</f>
        <v/>
      </c>
      <c r="BE25" s="1428" t="str">
        <f>IF($B25="","",IF(BE$4&gt;2,(BD25*(1+'Rent Roll Analysis'!$AK23/12)), IF(AND('Monthly Cash Flow'!BE$4&gt;1,'Monthly Cash Flow'!BE$4&lt;=2),'Monthly Cash Flow'!BD25*(1+'Rent Roll Analysis'!$AE23/12),'Monthly Cash Flow'!BD25*(1+'Rent Roll Analysis'!$AB23/12))))</f>
        <v/>
      </c>
      <c r="BF25" s="1428" t="str">
        <f>IF($B25="","",IF(BF$4&gt;2,(BE25*(1+'Rent Roll Analysis'!$AK23/12)), IF(AND('Monthly Cash Flow'!BF$4&gt;1,'Monthly Cash Flow'!BF$4&lt;=2),'Monthly Cash Flow'!BE25*(1+'Rent Roll Analysis'!$AE23/12),'Monthly Cash Flow'!BE25*(1+'Rent Roll Analysis'!$AB23/12))))</f>
        <v/>
      </c>
      <c r="BG25" s="1428" t="str">
        <f>IF($B25="","",IF(BG$4&gt;2,(BF25*(1+'Rent Roll Analysis'!$AK23/12)), IF(AND('Monthly Cash Flow'!BG$4&gt;1,'Monthly Cash Flow'!BG$4&lt;=2),'Monthly Cash Flow'!BF25*(1+'Rent Roll Analysis'!$AE23/12),'Monthly Cash Flow'!BF25*(1+'Rent Roll Analysis'!$AB23/12))))</f>
        <v/>
      </c>
      <c r="BH25" s="1428" t="str">
        <f>IF($B25="","",IF(BH$4&gt;2,(BG25*(1+'Rent Roll Analysis'!$AK23/12)), IF(AND('Monthly Cash Flow'!BH$4&gt;1,'Monthly Cash Flow'!BH$4&lt;=2),'Monthly Cash Flow'!BG25*(1+'Rent Roll Analysis'!$AE23/12),'Monthly Cash Flow'!BG25*(1+'Rent Roll Analysis'!$AB23/12))))</f>
        <v/>
      </c>
      <c r="BI25" s="1428" t="str">
        <f>IF($B25="","",IF(BI$4&gt;2,(BH25*(1+'Rent Roll Analysis'!$AK23/12)), IF(AND('Monthly Cash Flow'!BI$4&gt;1,'Monthly Cash Flow'!BI$4&lt;=2),'Monthly Cash Flow'!BH25*(1+'Rent Roll Analysis'!$AE23/12),'Monthly Cash Flow'!BH25*(1+'Rent Roll Analysis'!$AB23/12))))</f>
        <v/>
      </c>
      <c r="BJ25" s="1428" t="str">
        <f>IF($B25="","",IF(BJ$4&gt;2,(BI25*(1+'Rent Roll Analysis'!$AK23/12)), IF(AND('Monthly Cash Flow'!BJ$4&gt;1,'Monthly Cash Flow'!BJ$4&lt;=2),'Monthly Cash Flow'!BI25*(1+'Rent Roll Analysis'!$AE23/12),'Monthly Cash Flow'!BI25*(1+'Rent Roll Analysis'!$AB23/12))))</f>
        <v/>
      </c>
      <c r="BK25" s="1428" t="str">
        <f>IF($B25="","",IF(BK$4&gt;2,(BJ25*(1+'Rent Roll Analysis'!$AK23/12)), IF(AND('Monthly Cash Flow'!BK$4&gt;1,'Monthly Cash Flow'!BK$4&lt;=2),'Monthly Cash Flow'!BJ25*(1+'Rent Roll Analysis'!$AE23/12),'Monthly Cash Flow'!BJ25*(1+'Rent Roll Analysis'!$AB23/12))))</f>
        <v/>
      </c>
      <c r="BL25" s="1428" t="str">
        <f>IF($B25="","",IF(BL$4&gt;2,(BK25*(1+'Rent Roll Analysis'!$AK23/12)), IF(AND('Monthly Cash Flow'!BL$4&gt;1,'Monthly Cash Flow'!BL$4&lt;=2),'Monthly Cash Flow'!BK25*(1+'Rent Roll Analysis'!$AE23/12),'Monthly Cash Flow'!BK25*(1+'Rent Roll Analysis'!$AB23/12))))</f>
        <v/>
      </c>
      <c r="BM25" s="1428" t="str">
        <f>IF($B25="","",IF(BM$4&gt;2,(BL25*(1+'Rent Roll Analysis'!$AK23/12)), IF(AND('Monthly Cash Flow'!BM$4&gt;1,'Monthly Cash Flow'!BM$4&lt;=2),'Monthly Cash Flow'!BL25*(1+'Rent Roll Analysis'!$AE23/12),'Monthly Cash Flow'!BL25*(1+'Rent Roll Analysis'!$AB23/12))))</f>
        <v/>
      </c>
      <c r="BN25" s="1428" t="str">
        <f>IF($B25="","",IF(BN$4&gt;2,(BM25*(1+'Rent Roll Analysis'!$AK23/12)), IF(AND('Monthly Cash Flow'!BN$4&gt;1,'Monthly Cash Flow'!BN$4&lt;=2),'Monthly Cash Flow'!BM25*(1+'Rent Roll Analysis'!$AE23/12),'Monthly Cash Flow'!BM25*(1+'Rent Roll Analysis'!$AB23/12))))</f>
        <v/>
      </c>
      <c r="BO25" s="1428" t="str">
        <f>IF($B25="","",IF(BO$4&gt;2,(BN25*(1+'Rent Roll Analysis'!$AK23/12)), IF(AND('Monthly Cash Flow'!BO$4&gt;1,'Monthly Cash Flow'!BO$4&lt;=2),'Monthly Cash Flow'!BN25*(1+'Rent Roll Analysis'!$AE23/12),'Monthly Cash Flow'!BN25*(1+'Rent Roll Analysis'!$AB23/12))))</f>
        <v/>
      </c>
      <c r="BP25" s="1428" t="str">
        <f>IF($B25="","",IF(BP$4&gt;2,(BO25*(1+'Rent Roll Analysis'!$AK23/12)), IF(AND('Monthly Cash Flow'!BP$4&gt;1,'Monthly Cash Flow'!BP$4&lt;=2),'Monthly Cash Flow'!BO25*(1+'Rent Roll Analysis'!$AE23/12),'Monthly Cash Flow'!BO25*(1+'Rent Roll Analysis'!$AB23/12))))</f>
        <v/>
      </c>
      <c r="BQ25" s="1428" t="str">
        <f>IF($B25="","",IF(BQ$4&gt;2,(BP25*(1+'Rent Roll Analysis'!$AK23/12)), IF(AND('Monthly Cash Flow'!BQ$4&gt;1,'Monthly Cash Flow'!BQ$4&lt;=2),'Monthly Cash Flow'!BP25*(1+'Rent Roll Analysis'!$AE23/12),'Monthly Cash Flow'!BP25*(1+'Rent Roll Analysis'!$AB23/12))))</f>
        <v/>
      </c>
      <c r="BR25" s="1428" t="str">
        <f>IF($B25="","",IF(BR$4&gt;2,(BQ25*(1+'Rent Roll Analysis'!$AK23/12)), IF(AND('Monthly Cash Flow'!BR$4&gt;1,'Monthly Cash Flow'!BR$4&lt;=2),'Monthly Cash Flow'!BQ25*(1+'Rent Roll Analysis'!$AE23/12),'Monthly Cash Flow'!BQ25*(1+'Rent Roll Analysis'!$AB23/12))))</f>
        <v/>
      </c>
      <c r="BS25" s="1428" t="str">
        <f>IF($B25="","",IF(BS$4&gt;2,(BR25*(1+'Rent Roll Analysis'!$AK23/12)), IF(AND('Monthly Cash Flow'!BS$4&gt;1,'Monthly Cash Flow'!BS$4&lt;=2),'Monthly Cash Flow'!BR25*(1+'Rent Roll Analysis'!$AE23/12),'Monthly Cash Flow'!BR25*(1+'Rent Roll Analysis'!$AB23/12))))</f>
        <v/>
      </c>
      <c r="BT25" s="1428" t="str">
        <f>IF($B25="","",IF(BT$4&gt;2,(BS25*(1+'Rent Roll Analysis'!$AK23/12)), IF(AND('Monthly Cash Flow'!BT$4&gt;1,'Monthly Cash Flow'!BT$4&lt;=2),'Monthly Cash Flow'!BS25*(1+'Rent Roll Analysis'!$AE23/12),'Monthly Cash Flow'!BS25*(1+'Rent Roll Analysis'!$AB23/12))))</f>
        <v/>
      </c>
      <c r="BU25" s="1428" t="str">
        <f>IF($B25="","",IF(BU$4&gt;2,(BT25*(1+'Rent Roll Analysis'!$AK23/12)), IF(AND('Monthly Cash Flow'!BU$4&gt;1,'Monthly Cash Flow'!BU$4&lt;=2),'Monthly Cash Flow'!BT25*(1+'Rent Roll Analysis'!$AE23/12),'Monthly Cash Flow'!BT25*(1+'Rent Roll Analysis'!$AB23/12))))</f>
        <v/>
      </c>
      <c r="BV25" s="1428" t="str">
        <f>IF($B25="","",IF(BV$4&gt;2,(BU25*(1+'Rent Roll Analysis'!$AK23/12)), IF(AND('Monthly Cash Flow'!BV$4&gt;1,'Monthly Cash Flow'!BV$4&lt;=2),'Monthly Cash Flow'!BU25*(1+'Rent Roll Analysis'!$AE23/12),'Monthly Cash Flow'!BU25*(1+'Rent Roll Analysis'!$AB23/12))))</f>
        <v/>
      </c>
      <c r="BW25" s="1428" t="str">
        <f>IF($B25="","",IF(BW$4&gt;2,(BV25*(1+'Rent Roll Analysis'!$AK23/12)), IF(AND('Monthly Cash Flow'!BW$4&gt;1,'Monthly Cash Flow'!BW$4&lt;=2),'Monthly Cash Flow'!BV25*(1+'Rent Roll Analysis'!$AE23/12),'Monthly Cash Flow'!BV25*(1+'Rent Roll Analysis'!$AB23/12))))</f>
        <v/>
      </c>
      <c r="BX25" s="1428" t="str">
        <f>IF($B25="","",IF(BX$4&gt;2,(BW25*(1+'Rent Roll Analysis'!$AK23/12)), IF(AND('Monthly Cash Flow'!BX$4&gt;1,'Monthly Cash Flow'!BX$4&lt;=2),'Monthly Cash Flow'!BW25*(1+'Rent Roll Analysis'!$AE23/12),'Monthly Cash Flow'!BW25*(1+'Rent Roll Analysis'!$AB23/12))))</f>
        <v/>
      </c>
      <c r="BY25" s="1428" t="str">
        <f>IF($B25="","",IF(BY$4&gt;2,(BX25*(1+'Rent Roll Analysis'!$AK23/12)), IF(AND('Monthly Cash Flow'!BY$4&gt;1,'Monthly Cash Flow'!BY$4&lt;=2),'Monthly Cash Flow'!BX25*(1+'Rent Roll Analysis'!$AE23/12),'Monthly Cash Flow'!BX25*(1+'Rent Roll Analysis'!$AB23/12))))</f>
        <v/>
      </c>
      <c r="BZ25" s="1428" t="str">
        <f>IF($B25="","",IF(BZ$4&gt;2,(BY25*(1+'Rent Roll Analysis'!$AK23/12)), IF(AND('Monthly Cash Flow'!BZ$4&gt;1,'Monthly Cash Flow'!BZ$4&lt;=2),'Monthly Cash Flow'!BY25*(1+'Rent Roll Analysis'!$AE23/12),'Monthly Cash Flow'!BY25*(1+'Rent Roll Analysis'!$AB23/12))))</f>
        <v/>
      </c>
      <c r="CA25" s="1428" t="str">
        <f>IF($B25="","",IF(CA$4&gt;2,(BZ25*(1+'Rent Roll Analysis'!$AK23/12)), IF(AND('Monthly Cash Flow'!CA$4&gt;1,'Monthly Cash Flow'!CA$4&lt;=2),'Monthly Cash Flow'!BZ25*(1+'Rent Roll Analysis'!$AE23/12),'Monthly Cash Flow'!BZ25*(1+'Rent Roll Analysis'!$AB23/12))))</f>
        <v/>
      </c>
      <c r="CB25" s="1428" t="str">
        <f>IF($B25="","",IF(CB$4&gt;2,(CA25*(1+'Rent Roll Analysis'!$AK23/12)), IF(AND('Monthly Cash Flow'!CB$4&gt;1,'Monthly Cash Flow'!CB$4&lt;=2),'Monthly Cash Flow'!CA25*(1+'Rent Roll Analysis'!$AE23/12),'Monthly Cash Flow'!CA25*(1+'Rent Roll Analysis'!$AB23/12))))</f>
        <v/>
      </c>
      <c r="CC25" s="1428" t="str">
        <f>IF($B25="","",IF(CC$4&gt;2,(CB25*(1+'Rent Roll Analysis'!$AK23/12)), IF(AND('Monthly Cash Flow'!CC$4&gt;1,'Monthly Cash Flow'!CC$4&lt;=2),'Monthly Cash Flow'!CB25*(1+'Rent Roll Analysis'!$AE23/12),'Monthly Cash Flow'!CB25*(1+'Rent Roll Analysis'!$AB23/12))))</f>
        <v/>
      </c>
      <c r="CD25" s="1428" t="str">
        <f>IF($B25="","",IF(CD$4&gt;2,(CC25*(1+'Rent Roll Analysis'!$AK23/12)), IF(AND('Monthly Cash Flow'!CD$4&gt;1,'Monthly Cash Flow'!CD$4&lt;=2),'Monthly Cash Flow'!CC25*(1+'Rent Roll Analysis'!$AE23/12),'Monthly Cash Flow'!CC25*(1+'Rent Roll Analysis'!$AB23/12))))</f>
        <v/>
      </c>
      <c r="CE25" s="1428" t="str">
        <f>IF($B25="","",IF(CE$4&gt;2,(CD25*(1+'Rent Roll Analysis'!$AK23/12)), IF(AND('Monthly Cash Flow'!CE$4&gt;1,'Monthly Cash Flow'!CE$4&lt;=2),'Monthly Cash Flow'!CD25*(1+'Rent Roll Analysis'!$AE23/12),'Monthly Cash Flow'!CD25*(1+'Rent Roll Analysis'!$AB23/12))))</f>
        <v/>
      </c>
      <c r="CF25" s="1428" t="str">
        <f>IF($B25="","",IF(CF$4&gt;2,(CE25*(1+'Rent Roll Analysis'!$AK23/12)), IF(AND('Monthly Cash Flow'!CF$4&gt;1,'Monthly Cash Flow'!CF$4&lt;=2),'Monthly Cash Flow'!CE25*(1+'Rent Roll Analysis'!$AE23/12),'Monthly Cash Flow'!CE25*(1+'Rent Roll Analysis'!$AB23/12))))</f>
        <v/>
      </c>
      <c r="CG25" s="1428" t="str">
        <f>IF($B25="","",IF(CG$4&gt;2,(CF25*(1+'Rent Roll Analysis'!$AK23/12)), IF(AND('Monthly Cash Flow'!CG$4&gt;1,'Monthly Cash Flow'!CG$4&lt;=2),'Monthly Cash Flow'!CF25*(1+'Rent Roll Analysis'!$AE23/12),'Monthly Cash Flow'!CF25*(1+'Rent Roll Analysis'!$AB23/12))))</f>
        <v/>
      </c>
      <c r="CH25" s="1428" t="str">
        <f>IF($B25="","",IF(CH$4&gt;2,(CG25*(1+'Rent Roll Analysis'!$AK23/12)), IF(AND('Monthly Cash Flow'!CH$4&gt;1,'Monthly Cash Flow'!CH$4&lt;=2),'Monthly Cash Flow'!CG25*(1+'Rent Roll Analysis'!$AE23/12),'Monthly Cash Flow'!CG25*(1+'Rent Roll Analysis'!$AB23/12))))</f>
        <v/>
      </c>
      <c r="CI25" s="1428" t="str">
        <f>IF($B25="","",IF(CI$4&gt;2,(CH25*(1+'Rent Roll Analysis'!$AK23/12)), IF(AND('Monthly Cash Flow'!CI$4&gt;1,'Monthly Cash Flow'!CI$4&lt;=2),'Monthly Cash Flow'!CH25*(1+'Rent Roll Analysis'!$AE23/12),'Monthly Cash Flow'!CH25*(1+'Rent Roll Analysis'!$AB23/12))))</f>
        <v/>
      </c>
      <c r="CJ25" s="1428" t="str">
        <f>IF($B25="","",IF(CJ$4&gt;2,(CI25*(1+'Rent Roll Analysis'!$AK23/12)), IF(AND('Monthly Cash Flow'!CJ$4&gt;1,'Monthly Cash Flow'!CJ$4&lt;=2),'Monthly Cash Flow'!CI25*(1+'Rent Roll Analysis'!$AE23/12),'Monthly Cash Flow'!CI25*(1+'Rent Roll Analysis'!$AB23/12))))</f>
        <v/>
      </c>
      <c r="CK25" s="1428" t="str">
        <f>IF($B25="","",IF(CK$4&gt;2,(CJ25*(1+'Rent Roll Analysis'!$AK23/12)), IF(AND('Monthly Cash Flow'!CK$4&gt;1,'Monthly Cash Flow'!CK$4&lt;=2),'Monthly Cash Flow'!CJ25*(1+'Rent Roll Analysis'!$AE23/12),'Monthly Cash Flow'!CJ25*(1+'Rent Roll Analysis'!$AB23/12))))</f>
        <v/>
      </c>
      <c r="CL25" s="1428" t="str">
        <f>IF($B25="","",IF(CL$4&gt;2,(CK25*(1+'Rent Roll Analysis'!$AK23/12)), IF(AND('Monthly Cash Flow'!CL$4&gt;1,'Monthly Cash Flow'!CL$4&lt;=2),'Monthly Cash Flow'!CK25*(1+'Rent Roll Analysis'!$AE23/12),'Monthly Cash Flow'!CK25*(1+'Rent Roll Analysis'!$AB23/12))))</f>
        <v/>
      </c>
      <c r="CM25" s="1428" t="str">
        <f>IF($B25="","",IF(CM$4&gt;2,(CL25*(1+'Rent Roll Analysis'!$AK23/12)), IF(AND('Monthly Cash Flow'!CM$4&gt;1,'Monthly Cash Flow'!CM$4&lt;=2),'Monthly Cash Flow'!CL25*(1+'Rent Roll Analysis'!$AE23/12),'Monthly Cash Flow'!CL25*(1+'Rent Roll Analysis'!$AB23/12))))</f>
        <v/>
      </c>
      <c r="CN25" s="1428" t="str">
        <f>IF($B25="","",IF(CN$4&gt;2,(CM25*(1+'Rent Roll Analysis'!$AK23/12)), IF(AND('Monthly Cash Flow'!CN$4&gt;1,'Monthly Cash Flow'!CN$4&lt;=2),'Monthly Cash Flow'!CM25*(1+'Rent Roll Analysis'!$AE23/12),'Monthly Cash Flow'!CM25*(1+'Rent Roll Analysis'!$AB23/12))))</f>
        <v/>
      </c>
      <c r="CO25" s="1428" t="str">
        <f>IF($B25="","",IF(CO$4&gt;2,(CN25*(1+'Rent Roll Analysis'!$AK23/12)), IF(AND('Monthly Cash Flow'!CO$4&gt;1,'Monthly Cash Flow'!CO$4&lt;=2),'Monthly Cash Flow'!CN25*(1+'Rent Roll Analysis'!$AE23/12),'Monthly Cash Flow'!CN25*(1+'Rent Roll Analysis'!$AB23/12))))</f>
        <v/>
      </c>
      <c r="CP25" s="1428" t="str">
        <f>IF($B25="","",IF(CP$4&gt;2,(CO25*(1+'Rent Roll Analysis'!$AK23/12)), IF(AND('Monthly Cash Flow'!CP$4&gt;1,'Monthly Cash Flow'!CP$4&lt;=2),'Monthly Cash Flow'!CO25*(1+'Rent Roll Analysis'!$AE23/12),'Monthly Cash Flow'!CO25*(1+'Rent Roll Analysis'!$AB23/12))))</f>
        <v/>
      </c>
      <c r="CQ25" s="1428" t="str">
        <f>IF($B25="","",IF(CQ$4&gt;2,(CP25*(1+'Rent Roll Analysis'!$AK23/12)), IF(AND('Monthly Cash Flow'!CQ$4&gt;1,'Monthly Cash Flow'!CQ$4&lt;=2),'Monthly Cash Flow'!CP25*(1+'Rent Roll Analysis'!$AE23/12),'Monthly Cash Flow'!CP25*(1+'Rent Roll Analysis'!$AB23/12))))</f>
        <v/>
      </c>
      <c r="CR25" s="1428" t="str">
        <f>IF($B25="","",IF(CR$4&gt;2,(CQ25*(1+'Rent Roll Analysis'!$AK23/12)), IF(AND('Monthly Cash Flow'!CR$4&gt;1,'Monthly Cash Flow'!CR$4&lt;=2),'Monthly Cash Flow'!CQ25*(1+'Rent Roll Analysis'!$AE23/12),'Monthly Cash Flow'!CQ25*(1+'Rent Roll Analysis'!$AB23/12))))</f>
        <v/>
      </c>
      <c r="CS25" s="1428" t="str">
        <f>IF($B25="","",IF(CS$4&gt;2,(CR25*(1+'Rent Roll Analysis'!$AK23/12)), IF(AND('Monthly Cash Flow'!CS$4&gt;1,'Monthly Cash Flow'!CS$4&lt;=2),'Monthly Cash Flow'!CR25*(1+'Rent Roll Analysis'!$AE23/12),'Monthly Cash Flow'!CR25*(1+'Rent Roll Analysis'!$AB23/12))))</f>
        <v/>
      </c>
      <c r="CT25" s="1428" t="str">
        <f>IF($B25="","",IF(CT$4&gt;2,(CS25*(1+'Rent Roll Analysis'!$AK23/12)), IF(AND('Monthly Cash Flow'!CT$4&gt;1,'Monthly Cash Flow'!CT$4&lt;=2),'Monthly Cash Flow'!CS25*(1+'Rent Roll Analysis'!$AE23/12),'Monthly Cash Flow'!CS25*(1+'Rent Roll Analysis'!$AB23/12))))</f>
        <v/>
      </c>
      <c r="CU25" s="1428" t="str">
        <f>IF($B25="","",IF(CU$4&gt;2,(CT25*(1+'Rent Roll Analysis'!$AK23/12)), IF(AND('Monthly Cash Flow'!CU$4&gt;1,'Monthly Cash Flow'!CU$4&lt;=2),'Monthly Cash Flow'!CT25*(1+'Rent Roll Analysis'!$AE23/12),'Monthly Cash Flow'!CT25*(1+'Rent Roll Analysis'!$AB23/12))))</f>
        <v/>
      </c>
      <c r="CV25" s="1428" t="str">
        <f>IF($B25="","",IF(CV$4&gt;2,(CU25*(1+'Rent Roll Analysis'!$AK23/12)), IF(AND('Monthly Cash Flow'!CV$4&gt;1,'Monthly Cash Flow'!CV$4&lt;=2),'Monthly Cash Flow'!CU25*(1+'Rent Roll Analysis'!$AE23/12),'Monthly Cash Flow'!CU25*(1+'Rent Roll Analysis'!$AB23/12))))</f>
        <v/>
      </c>
      <c r="CW25" s="1428" t="str">
        <f>IF($B25="","",IF(CW$4&gt;2,(CV25*(1+'Rent Roll Analysis'!$AK23/12)), IF(AND('Monthly Cash Flow'!CW$4&gt;1,'Monthly Cash Flow'!CW$4&lt;=2),'Monthly Cash Flow'!CV25*(1+'Rent Roll Analysis'!$AE23/12),'Monthly Cash Flow'!CV25*(1+'Rent Roll Analysis'!$AB23/12))))</f>
        <v/>
      </c>
      <c r="CX25" s="1428" t="str">
        <f>IF($B25="","",IF(CX$4&gt;2,(CW25*(1+'Rent Roll Analysis'!$AK23/12)), IF(AND('Monthly Cash Flow'!CX$4&gt;1,'Monthly Cash Flow'!CX$4&lt;=2),'Monthly Cash Flow'!CW25*(1+'Rent Roll Analysis'!$AE23/12),'Monthly Cash Flow'!CW25*(1+'Rent Roll Analysis'!$AB23/12))))</f>
        <v/>
      </c>
      <c r="CY25" s="1428" t="str">
        <f>IF($B25="","",IF(CY$4&gt;2,(CX25*(1+'Rent Roll Analysis'!$AK23/12)), IF(AND('Monthly Cash Flow'!CY$4&gt;1,'Monthly Cash Flow'!CY$4&lt;=2),'Monthly Cash Flow'!CX25*(1+'Rent Roll Analysis'!$AE23/12),'Monthly Cash Flow'!CX25*(1+'Rent Roll Analysis'!$AB23/12))))</f>
        <v/>
      </c>
      <c r="CZ25" s="1428" t="str">
        <f>IF($B25="","",IF(CZ$4&gt;2,(CY25*(1+'Rent Roll Analysis'!$AK23/12)), IF(AND('Monthly Cash Flow'!CZ$4&gt;1,'Monthly Cash Flow'!CZ$4&lt;=2),'Monthly Cash Flow'!CY25*(1+'Rent Roll Analysis'!$AE23/12),'Monthly Cash Flow'!CY25*(1+'Rent Roll Analysis'!$AB23/12))))</f>
        <v/>
      </c>
      <c r="DA25" s="1428" t="str">
        <f>IF($B25="","",IF(DA$4&gt;2,(CZ25*(1+'Rent Roll Analysis'!$AK23/12)), IF(AND('Monthly Cash Flow'!DA$4&gt;1,'Monthly Cash Flow'!DA$4&lt;=2),'Monthly Cash Flow'!CZ25*(1+'Rent Roll Analysis'!$AE23/12),'Monthly Cash Flow'!CZ25*(1+'Rent Roll Analysis'!$AB23/12))))</f>
        <v/>
      </c>
      <c r="DB25" s="1428" t="str">
        <f>IF($B25="","",IF(DB$4&gt;2,(DA25*(1+'Rent Roll Analysis'!$AK23/12)), IF(AND('Monthly Cash Flow'!DB$4&gt;1,'Monthly Cash Flow'!DB$4&lt;=2),'Monthly Cash Flow'!DA25*(1+'Rent Roll Analysis'!$AE23/12),'Monthly Cash Flow'!DA25*(1+'Rent Roll Analysis'!$AB23/12))))</f>
        <v/>
      </c>
      <c r="DC25" s="1428" t="str">
        <f>IF($B25="","",IF(DC$4&gt;2,(DB25*(1+'Rent Roll Analysis'!$AK23/12)), IF(AND('Monthly Cash Flow'!DC$4&gt;1,'Monthly Cash Flow'!DC$4&lt;=2),'Monthly Cash Flow'!DB25*(1+'Rent Roll Analysis'!$AE23/12),'Monthly Cash Flow'!DB25*(1+'Rent Roll Analysis'!$AB23/12))))</f>
        <v/>
      </c>
      <c r="DD25" s="1428" t="str">
        <f>IF($B25="","",IF(DD$4&gt;2,(DC25*(1+'Rent Roll Analysis'!$AK23/12)), IF(AND('Monthly Cash Flow'!DD$4&gt;1,'Monthly Cash Flow'!DD$4&lt;=2),'Monthly Cash Flow'!DC25*(1+'Rent Roll Analysis'!$AE23/12),'Monthly Cash Flow'!DC25*(1+'Rent Roll Analysis'!$AB23/12))))</f>
        <v/>
      </c>
      <c r="DE25" s="1428" t="str">
        <f>IF($B25="","",IF(DE$4&gt;2,(DD25*(1+'Rent Roll Analysis'!$AK23/12)), IF(AND('Monthly Cash Flow'!DE$4&gt;1,'Monthly Cash Flow'!DE$4&lt;=2),'Monthly Cash Flow'!DD25*(1+'Rent Roll Analysis'!$AE23/12),'Monthly Cash Flow'!DD25*(1+'Rent Roll Analysis'!$AB23/12))))</f>
        <v/>
      </c>
      <c r="DF25" s="1428" t="str">
        <f>IF($B25="","",IF(DF$4&gt;2,(DE25*(1+'Rent Roll Analysis'!$AK23/12)), IF(AND('Monthly Cash Flow'!DF$4&gt;1,'Monthly Cash Flow'!DF$4&lt;=2),'Monthly Cash Flow'!DE25*(1+'Rent Roll Analysis'!$AE23/12),'Monthly Cash Flow'!DE25*(1+'Rent Roll Analysis'!$AB23/12))))</f>
        <v/>
      </c>
      <c r="DG25" s="1428" t="str">
        <f>IF($B25="","",IF(DG$4&gt;2,(DF25*(1+'Rent Roll Analysis'!$AK23/12)), IF(AND('Monthly Cash Flow'!DG$4&gt;1,'Monthly Cash Flow'!DG$4&lt;=2),'Monthly Cash Flow'!DF25*(1+'Rent Roll Analysis'!$AE23/12),'Monthly Cash Flow'!DF25*(1+'Rent Roll Analysis'!$AB23/12))))</f>
        <v/>
      </c>
      <c r="DH25" s="1428" t="str">
        <f>IF($B25="","",IF(DH$4&gt;2,(DG25*(1+'Rent Roll Analysis'!$AK23/12)), IF(AND('Monthly Cash Flow'!DH$4&gt;1,'Monthly Cash Flow'!DH$4&lt;=2),'Monthly Cash Flow'!DG25*(1+'Rent Roll Analysis'!$AE23/12),'Monthly Cash Flow'!DG25*(1+'Rent Roll Analysis'!$AB23/12))))</f>
        <v/>
      </c>
      <c r="DI25" s="1428" t="str">
        <f>IF($B25="","",IF(DI$4&gt;2,(DH25*(1+'Rent Roll Analysis'!$AK23/12)), IF(AND('Monthly Cash Flow'!DI$4&gt;1,'Monthly Cash Flow'!DI$4&lt;=2),'Monthly Cash Flow'!DH25*(1+'Rent Roll Analysis'!$AE23/12),'Monthly Cash Flow'!DH25*(1+'Rent Roll Analysis'!$AB23/12))))</f>
        <v/>
      </c>
      <c r="DJ25" s="1428" t="str">
        <f>IF($B25="","",IF(DJ$4&gt;2,(DI25*(1+'Rent Roll Analysis'!$AK23/12)), IF(AND('Monthly Cash Flow'!DJ$4&gt;1,'Monthly Cash Flow'!DJ$4&lt;=2),'Monthly Cash Flow'!DI25*(1+'Rent Roll Analysis'!$AE23/12),'Monthly Cash Flow'!DI25*(1+'Rent Roll Analysis'!$AB23/12))))</f>
        <v/>
      </c>
      <c r="DK25" s="1428" t="str">
        <f>IF($B25="","",IF(DK$4&gt;2,(DJ25*(1+'Rent Roll Analysis'!$AK23/12)), IF(AND('Monthly Cash Flow'!DK$4&gt;1,'Monthly Cash Flow'!DK$4&lt;=2),'Monthly Cash Flow'!DJ25*(1+'Rent Roll Analysis'!$AE23/12),'Monthly Cash Flow'!DJ25*(1+'Rent Roll Analysis'!$AB23/12))))</f>
        <v/>
      </c>
      <c r="DL25" s="1428" t="str">
        <f>IF($B25="","",IF(DL$4&gt;2,(DK25*(1+'Rent Roll Analysis'!$AK23/12)), IF(AND('Monthly Cash Flow'!DL$4&gt;1,'Monthly Cash Flow'!DL$4&lt;=2),'Monthly Cash Flow'!DK25*(1+'Rent Roll Analysis'!$AE23/12),'Monthly Cash Flow'!DK25*(1+'Rent Roll Analysis'!$AB23/12))))</f>
        <v/>
      </c>
      <c r="DM25" s="1428" t="str">
        <f>IF($B25="","",IF(DM$4&gt;2,(DL25*(1+'Rent Roll Analysis'!$AK23/12)), IF(AND('Monthly Cash Flow'!DM$4&gt;1,'Monthly Cash Flow'!DM$4&lt;=2),'Monthly Cash Flow'!DL25*(1+'Rent Roll Analysis'!$AE23/12),'Monthly Cash Flow'!DL25*(1+'Rent Roll Analysis'!$AB23/12))))</f>
        <v/>
      </c>
      <c r="DN25" s="1428" t="str">
        <f>IF($B25="","",IF(DN$4&gt;2,(DM25*(1+'Rent Roll Analysis'!$AK23/12)), IF(AND('Monthly Cash Flow'!DN$4&gt;1,'Monthly Cash Flow'!DN$4&lt;=2),'Monthly Cash Flow'!DM25*(1+'Rent Roll Analysis'!$AE23/12),'Monthly Cash Flow'!DM25*(1+'Rent Roll Analysis'!$AB23/12))))</f>
        <v/>
      </c>
      <c r="DO25" s="1428" t="str">
        <f>IF($B25="","",IF(DO$4&gt;2,(DN25*(1+'Rent Roll Analysis'!$AK23/12)), IF(AND('Monthly Cash Flow'!DO$4&gt;1,'Monthly Cash Flow'!DO$4&lt;=2),'Monthly Cash Flow'!DN25*(1+'Rent Roll Analysis'!$AE23/12),'Monthly Cash Flow'!DN25*(1+'Rent Roll Analysis'!$AB23/12))))</f>
        <v/>
      </c>
      <c r="DP25" s="1428" t="str">
        <f>IF($B25="","",IF(DP$4&gt;2,(DO25*(1+'Rent Roll Analysis'!$AK23/12)), IF(AND('Monthly Cash Flow'!DP$4&gt;1,'Monthly Cash Flow'!DP$4&lt;=2),'Monthly Cash Flow'!DO25*(1+'Rent Roll Analysis'!$AE23/12),'Monthly Cash Flow'!DO25*(1+'Rent Roll Analysis'!$AB23/12))))</f>
        <v/>
      </c>
      <c r="DQ25" s="1428" t="str">
        <f>IF($B25="","",IF(DQ$4&gt;2,(DP25*(1+'Rent Roll Analysis'!$AK23/12)), IF(AND('Monthly Cash Flow'!DQ$4&gt;1,'Monthly Cash Flow'!DQ$4&lt;=2),'Monthly Cash Flow'!DP25*(1+'Rent Roll Analysis'!$AE23/12),'Monthly Cash Flow'!DP25*(1+'Rent Roll Analysis'!$AB23/12))))</f>
        <v/>
      </c>
      <c r="DR25" s="1428" t="str">
        <f>IF($B25="","",IF(DR$4&gt;2,(DQ25*(1+'Rent Roll Analysis'!$AK23/12)), IF(AND('Monthly Cash Flow'!DR$4&gt;1,'Monthly Cash Flow'!DR$4&lt;=2),'Monthly Cash Flow'!DQ25*(1+'Rent Roll Analysis'!$AE23/12),'Monthly Cash Flow'!DQ25*(1+'Rent Roll Analysis'!$AB23/12))))</f>
        <v/>
      </c>
      <c r="DS25" s="1428" t="str">
        <f>IF($B25="","",IF(DS$4&gt;2,(DR25*(1+'Rent Roll Analysis'!$AK23/12)), IF(AND('Monthly Cash Flow'!DS$4&gt;1,'Monthly Cash Flow'!DS$4&lt;=2),'Monthly Cash Flow'!DR25*(1+'Rent Roll Analysis'!$AE23/12),'Monthly Cash Flow'!DR25*(1+'Rent Roll Analysis'!$AB23/12))))</f>
        <v/>
      </c>
      <c r="DT25" s="1428" t="str">
        <f>IF($B25="","",IF(DT$4&gt;2,(DS25*(1+'Rent Roll Analysis'!$AK23/12)), IF(AND('Monthly Cash Flow'!DT$4&gt;1,'Monthly Cash Flow'!DT$4&lt;=2),'Monthly Cash Flow'!DS25*(1+'Rent Roll Analysis'!$AE23/12),'Monthly Cash Flow'!DS25*(1+'Rent Roll Analysis'!$AB23/12))))</f>
        <v/>
      </c>
      <c r="DU25" s="385" t="s">
        <v>557</v>
      </c>
      <c r="DV25" s="375"/>
    </row>
    <row r="26" spans="1:126" s="92" customFormat="1" ht="20.149999999999999" customHeight="1" outlineLevel="1">
      <c r="A26" s="375"/>
      <c r="B26" s="383" t="str">
        <f>'Rent Roll Analysis'!C24</f>
        <v/>
      </c>
      <c r="C26" s="376"/>
      <c r="D26" s="1426" t="str">
        <f>IF('Rent Roll Analysis'!C24="","",'Rent Roll Analysis'!N24*'Rent Roll Analysis'!E24)</f>
        <v/>
      </c>
      <c r="E26" s="1428" t="str">
        <f t="shared" si="113"/>
        <v/>
      </c>
      <c r="F26" s="1428" t="str">
        <f>IF($B26="","",IF(F$4&gt;2,(E26*(1+'Rent Roll Analysis'!$AK24/12)), IF(AND('Monthly Cash Flow'!F$4&gt;1,'Monthly Cash Flow'!F$4&lt;=2),'Monthly Cash Flow'!E26*(1+'Rent Roll Analysis'!$AE24/12),'Monthly Cash Flow'!E26*(1+'Rent Roll Analysis'!$AB24/12))))</f>
        <v/>
      </c>
      <c r="G26" s="1428" t="str">
        <f>IF($B26="","",IF(G$4&gt;2,(F26*(1+'Rent Roll Analysis'!$AK24/12)), IF(AND('Monthly Cash Flow'!G$4&gt;1,'Monthly Cash Flow'!G$4&lt;=2),'Monthly Cash Flow'!F26*(1+'Rent Roll Analysis'!$AE24/12),'Monthly Cash Flow'!F26*(1+'Rent Roll Analysis'!$AB24/12))))</f>
        <v/>
      </c>
      <c r="H26" s="1428" t="str">
        <f>IF($B26="","",IF(H$4&gt;2,(G26*(1+'Rent Roll Analysis'!$AK24/12)), IF(AND('Monthly Cash Flow'!H$4&gt;1,'Monthly Cash Flow'!H$4&lt;=2),'Monthly Cash Flow'!G26*(1+'Rent Roll Analysis'!$AE24/12),'Monthly Cash Flow'!G26*(1+'Rent Roll Analysis'!$AB24/12))))</f>
        <v/>
      </c>
      <c r="I26" s="1428" t="str">
        <f>IF($B26="","",IF(I$4&gt;2,(H26*(1+'Rent Roll Analysis'!$AK24/12)), IF(AND('Monthly Cash Flow'!I$4&gt;1,'Monthly Cash Flow'!I$4&lt;=2),'Monthly Cash Flow'!H26*(1+'Rent Roll Analysis'!$AE24/12),'Monthly Cash Flow'!H26*(1+'Rent Roll Analysis'!$AB24/12))))</f>
        <v/>
      </c>
      <c r="J26" s="1428" t="str">
        <f>IF($B26="","",IF(J$4&gt;2,(I26*(1+'Rent Roll Analysis'!$AK24/12)), IF(AND('Monthly Cash Flow'!J$4&gt;1,'Monthly Cash Flow'!J$4&lt;=2),'Monthly Cash Flow'!I26*(1+'Rent Roll Analysis'!$AE24/12),'Monthly Cash Flow'!I26*(1+'Rent Roll Analysis'!$AB24/12))))</f>
        <v/>
      </c>
      <c r="K26" s="1428" t="str">
        <f>IF($B26="","",IF(K$4&gt;2,(J26*(1+'Rent Roll Analysis'!$AK24/12)), IF(AND('Monthly Cash Flow'!K$4&gt;1,'Monthly Cash Flow'!K$4&lt;=2),'Monthly Cash Flow'!J26*(1+'Rent Roll Analysis'!$AE24/12),'Monthly Cash Flow'!J26*(1+'Rent Roll Analysis'!$AB24/12))))</f>
        <v/>
      </c>
      <c r="L26" s="1428" t="str">
        <f>IF($B26="","",IF(L$4&gt;2,(K26*(1+'Rent Roll Analysis'!$AK24/12)), IF(AND('Monthly Cash Flow'!L$4&gt;1,'Monthly Cash Flow'!L$4&lt;=2),'Monthly Cash Flow'!K26*(1+'Rent Roll Analysis'!$AE24/12),'Monthly Cash Flow'!K26*(1+'Rent Roll Analysis'!$AB24/12))))</f>
        <v/>
      </c>
      <c r="M26" s="1428" t="str">
        <f>IF($B26="","",IF(M$4&gt;2,(L26*(1+'Rent Roll Analysis'!$AK24/12)), IF(AND('Monthly Cash Flow'!M$4&gt;1,'Monthly Cash Flow'!M$4&lt;=2),'Monthly Cash Flow'!L26*(1+'Rent Roll Analysis'!$AE24/12),'Monthly Cash Flow'!L26*(1+'Rent Roll Analysis'!$AB24/12))))</f>
        <v/>
      </c>
      <c r="N26" s="1428" t="str">
        <f>IF($B26="","",IF(N$4&gt;2,(M26*(1+'Rent Roll Analysis'!$AK24/12)), IF(AND('Monthly Cash Flow'!N$4&gt;1,'Monthly Cash Flow'!N$4&lt;=2),'Monthly Cash Flow'!M26*(1+'Rent Roll Analysis'!$AE24/12),'Monthly Cash Flow'!M26*(1+'Rent Roll Analysis'!$AB24/12))))</f>
        <v/>
      </c>
      <c r="O26" s="1428" t="str">
        <f>IF($B26="","",IF(O$4&gt;2,(N26*(1+'Rent Roll Analysis'!$AK24/12)), IF(AND('Monthly Cash Flow'!O$4&gt;1,'Monthly Cash Flow'!O$4&lt;=2),'Monthly Cash Flow'!N26*(1+'Rent Roll Analysis'!$AE24/12),'Monthly Cash Flow'!N26*(1+'Rent Roll Analysis'!$AB24/12))))</f>
        <v/>
      </c>
      <c r="P26" s="1428" t="str">
        <f>IF($B26="","",IF(P$4&gt;2,(O26*(1+'Rent Roll Analysis'!$AK24/12)), IF(AND('Monthly Cash Flow'!P$4&gt;1,'Monthly Cash Flow'!P$4&lt;=2),'Monthly Cash Flow'!O26*(1+'Rent Roll Analysis'!$AE24/12),'Monthly Cash Flow'!O26*(1+'Rent Roll Analysis'!$AB24/12))))</f>
        <v/>
      </c>
      <c r="Q26" s="1428" t="str">
        <f>IF($B26="","",IF(Q$4&gt;2,(P26*(1+'Rent Roll Analysis'!$AK24/12)), IF(AND('Monthly Cash Flow'!Q$4&gt;1,'Monthly Cash Flow'!Q$4&lt;=2),'Monthly Cash Flow'!P26*(1+'Rent Roll Analysis'!$AE24/12),'Monthly Cash Flow'!P26*(1+'Rent Roll Analysis'!$AB24/12))))</f>
        <v/>
      </c>
      <c r="R26" s="1428" t="str">
        <f>IF($B26="","",IF(R$4&gt;2,(Q26*(1+'Rent Roll Analysis'!$AK24/12)), IF(AND('Monthly Cash Flow'!R$4&gt;1,'Monthly Cash Flow'!R$4&lt;=2),'Monthly Cash Flow'!Q26*(1+'Rent Roll Analysis'!$AE24/12),'Monthly Cash Flow'!Q26*(1+'Rent Roll Analysis'!$AB24/12))))</f>
        <v/>
      </c>
      <c r="S26" s="1428" t="str">
        <f>IF($B26="","",IF(S$4&gt;2,(R26*(1+'Rent Roll Analysis'!$AK24/12)), IF(AND('Monthly Cash Flow'!S$4&gt;1,'Monthly Cash Flow'!S$4&lt;=2),'Monthly Cash Flow'!R26*(1+'Rent Roll Analysis'!$AE24/12),'Monthly Cash Flow'!R26*(1+'Rent Roll Analysis'!$AB24/12))))</f>
        <v/>
      </c>
      <c r="T26" s="1428" t="str">
        <f>IF($B26="","",IF(T$4&gt;2,(S26*(1+'Rent Roll Analysis'!$AK24/12)), IF(AND('Monthly Cash Flow'!T$4&gt;1,'Monthly Cash Flow'!T$4&lt;=2),'Monthly Cash Flow'!S26*(1+'Rent Roll Analysis'!$AE24/12),'Monthly Cash Flow'!S26*(1+'Rent Roll Analysis'!$AB24/12))))</f>
        <v/>
      </c>
      <c r="U26" s="1428" t="str">
        <f>IF($B26="","",IF(U$4&gt;2,(T26*(1+'Rent Roll Analysis'!$AK24/12)), IF(AND('Monthly Cash Flow'!U$4&gt;1,'Monthly Cash Flow'!U$4&lt;=2),'Monthly Cash Flow'!T26*(1+'Rent Roll Analysis'!$AE24/12),'Monthly Cash Flow'!T26*(1+'Rent Roll Analysis'!$AB24/12))))</f>
        <v/>
      </c>
      <c r="V26" s="1428" t="str">
        <f>IF($B26="","",IF(V$4&gt;2,(U26*(1+'Rent Roll Analysis'!$AK24/12)), IF(AND('Monthly Cash Flow'!V$4&gt;1,'Monthly Cash Flow'!V$4&lt;=2),'Monthly Cash Flow'!U26*(1+'Rent Roll Analysis'!$AE24/12),'Monthly Cash Flow'!U26*(1+'Rent Roll Analysis'!$AB24/12))))</f>
        <v/>
      </c>
      <c r="W26" s="1428" t="str">
        <f>IF($B26="","",IF(W$4&gt;2,(V26*(1+'Rent Roll Analysis'!$AK24/12)), IF(AND('Monthly Cash Flow'!W$4&gt;1,'Monthly Cash Flow'!W$4&lt;=2),'Monthly Cash Flow'!V26*(1+'Rent Roll Analysis'!$AE24/12),'Monthly Cash Flow'!V26*(1+'Rent Roll Analysis'!$AB24/12))))</f>
        <v/>
      </c>
      <c r="X26" s="1428" t="str">
        <f>IF($B26="","",IF(X$4&gt;2,(W26*(1+'Rent Roll Analysis'!$AK24/12)), IF(AND('Monthly Cash Flow'!X$4&gt;1,'Monthly Cash Flow'!X$4&lt;=2),'Monthly Cash Flow'!W26*(1+'Rent Roll Analysis'!$AE24/12),'Monthly Cash Flow'!W26*(1+'Rent Roll Analysis'!$AB24/12))))</f>
        <v/>
      </c>
      <c r="Y26" s="1428" t="str">
        <f>IF($B26="","",IF(Y$4&gt;2,(X26*(1+'Rent Roll Analysis'!$AK24/12)), IF(AND('Monthly Cash Flow'!Y$4&gt;1,'Monthly Cash Flow'!Y$4&lt;=2),'Monthly Cash Flow'!X26*(1+'Rent Roll Analysis'!$AE24/12),'Monthly Cash Flow'!X26*(1+'Rent Roll Analysis'!$AB24/12))))</f>
        <v/>
      </c>
      <c r="Z26" s="1428" t="str">
        <f>IF($B26="","",IF(Z$4&gt;2,(Y26*(1+'Rent Roll Analysis'!$AK24/12)), IF(AND('Monthly Cash Flow'!Z$4&gt;1,'Monthly Cash Flow'!Z$4&lt;=2),'Monthly Cash Flow'!Y26*(1+'Rent Roll Analysis'!$AE24/12),'Monthly Cash Flow'!Y26*(1+'Rent Roll Analysis'!$AB24/12))))</f>
        <v/>
      </c>
      <c r="AA26" s="1428" t="str">
        <f>IF($B26="","",IF(AA$4&gt;2,(Z26*(1+'Rent Roll Analysis'!$AK24/12)), IF(AND('Monthly Cash Flow'!AA$4&gt;1,'Monthly Cash Flow'!AA$4&lt;=2),'Monthly Cash Flow'!Z26*(1+'Rent Roll Analysis'!$AE24/12),'Monthly Cash Flow'!Z26*(1+'Rent Roll Analysis'!$AB24/12))))</f>
        <v/>
      </c>
      <c r="AB26" s="1428" t="str">
        <f>IF($B26="","",IF(AB$4&gt;2,(AA26*(1+'Rent Roll Analysis'!$AK24/12)), IF(AND('Monthly Cash Flow'!AB$4&gt;1,'Monthly Cash Flow'!AB$4&lt;=2),'Monthly Cash Flow'!AA26*(1+'Rent Roll Analysis'!$AE24/12),'Monthly Cash Flow'!AA26*(1+'Rent Roll Analysis'!$AB24/12))))</f>
        <v/>
      </c>
      <c r="AC26" s="1428" t="str">
        <f>IF($B26="","",IF(AC$4&gt;2,(AB26*(1+'Rent Roll Analysis'!$AK24/12)), IF(AND('Monthly Cash Flow'!AC$4&gt;1,'Monthly Cash Flow'!AC$4&lt;=2),'Monthly Cash Flow'!AB26*(1+'Rent Roll Analysis'!$AE24/12),'Monthly Cash Flow'!AB26*(1+'Rent Roll Analysis'!$AB24/12))))</f>
        <v/>
      </c>
      <c r="AD26" s="1428" t="str">
        <f>IF($B26="","",IF(AD$4&gt;2,(AC26*(1+'Rent Roll Analysis'!$AK24/12)), IF(AND('Monthly Cash Flow'!AD$4&gt;1,'Monthly Cash Flow'!AD$4&lt;=2),'Monthly Cash Flow'!AC26*(1+'Rent Roll Analysis'!$AE24/12),'Monthly Cash Flow'!AC26*(1+'Rent Roll Analysis'!$AB24/12))))</f>
        <v/>
      </c>
      <c r="AE26" s="1428" t="str">
        <f>IF($B26="","",IF(AE$4&gt;2,(AD26*(1+'Rent Roll Analysis'!$AK24/12)), IF(AND('Monthly Cash Flow'!AE$4&gt;1,'Monthly Cash Flow'!AE$4&lt;=2),'Monthly Cash Flow'!AD26*(1+'Rent Roll Analysis'!$AE24/12),'Monthly Cash Flow'!AD26*(1+'Rent Roll Analysis'!$AB24/12))))</f>
        <v/>
      </c>
      <c r="AF26" s="1428" t="str">
        <f>IF($B26="","",IF(AF$4&gt;2,(AE26*(1+'Rent Roll Analysis'!$AK24/12)), IF(AND('Monthly Cash Flow'!AF$4&gt;1,'Monthly Cash Flow'!AF$4&lt;=2),'Monthly Cash Flow'!AE26*(1+'Rent Roll Analysis'!$AE24/12),'Monthly Cash Flow'!AE26*(1+'Rent Roll Analysis'!$AB24/12))))</f>
        <v/>
      </c>
      <c r="AG26" s="1428" t="str">
        <f>IF($B26="","",IF(AG$4&gt;2,(AF26*(1+'Rent Roll Analysis'!$AK24/12)), IF(AND('Monthly Cash Flow'!AG$4&gt;1,'Monthly Cash Flow'!AG$4&lt;=2),'Monthly Cash Flow'!AF26*(1+'Rent Roll Analysis'!$AE24/12),'Monthly Cash Flow'!AF26*(1+'Rent Roll Analysis'!$AB24/12))))</f>
        <v/>
      </c>
      <c r="AH26" s="1428" t="str">
        <f>IF($B26="","",IF(AH$4&gt;2,(AG26*(1+'Rent Roll Analysis'!$AK24/12)), IF(AND('Monthly Cash Flow'!AH$4&gt;1,'Monthly Cash Flow'!AH$4&lt;=2),'Monthly Cash Flow'!AG26*(1+'Rent Roll Analysis'!$AE24/12),'Monthly Cash Flow'!AG26*(1+'Rent Roll Analysis'!$AB24/12))))</f>
        <v/>
      </c>
      <c r="AI26" s="1428" t="str">
        <f>IF($B26="","",IF(AI$4&gt;2,(AH26*(1+'Rent Roll Analysis'!$AK24/12)), IF(AND('Monthly Cash Flow'!AI$4&gt;1,'Monthly Cash Flow'!AI$4&lt;=2),'Monthly Cash Flow'!AH26*(1+'Rent Roll Analysis'!$AE24/12),'Monthly Cash Flow'!AH26*(1+'Rent Roll Analysis'!$AB24/12))))</f>
        <v/>
      </c>
      <c r="AJ26" s="1428" t="str">
        <f>IF($B26="","",IF(AJ$4&gt;2,(AI26*(1+'Rent Roll Analysis'!$AK24/12)), IF(AND('Monthly Cash Flow'!AJ$4&gt;1,'Monthly Cash Flow'!AJ$4&lt;=2),'Monthly Cash Flow'!AI26*(1+'Rent Roll Analysis'!$AE24/12),'Monthly Cash Flow'!AI26*(1+'Rent Roll Analysis'!$AB24/12))))</f>
        <v/>
      </c>
      <c r="AK26" s="1428" t="str">
        <f>IF($B26="","",IF(AK$4&gt;2,(AJ26*(1+'Rent Roll Analysis'!$AK24/12)), IF(AND('Monthly Cash Flow'!AK$4&gt;1,'Monthly Cash Flow'!AK$4&lt;=2),'Monthly Cash Flow'!AJ26*(1+'Rent Roll Analysis'!$AE24/12),'Monthly Cash Flow'!AJ26*(1+'Rent Roll Analysis'!$AB24/12))))</f>
        <v/>
      </c>
      <c r="AL26" s="1428" t="str">
        <f>IF($B26="","",IF(AL$4&gt;2,(AK26*(1+'Rent Roll Analysis'!$AK24/12)), IF(AND('Monthly Cash Flow'!AL$4&gt;1,'Monthly Cash Flow'!AL$4&lt;=2),'Monthly Cash Flow'!AK26*(1+'Rent Roll Analysis'!$AE24/12),'Monthly Cash Flow'!AK26*(1+'Rent Roll Analysis'!$AB24/12))))</f>
        <v/>
      </c>
      <c r="AM26" s="1428" t="str">
        <f>IF($B26="","",IF(AM$4&gt;2,(AL26*(1+'Rent Roll Analysis'!$AK24/12)), IF(AND('Monthly Cash Flow'!AM$4&gt;1,'Monthly Cash Flow'!AM$4&lt;=2),'Monthly Cash Flow'!AL26*(1+'Rent Roll Analysis'!$AE24/12),'Monthly Cash Flow'!AL26*(1+'Rent Roll Analysis'!$AB24/12))))</f>
        <v/>
      </c>
      <c r="AN26" s="1428" t="str">
        <f>IF($B26="","",IF(AN$4&gt;2,(AM26*(1+'Rent Roll Analysis'!$AK24/12)), IF(AND('Monthly Cash Flow'!AN$4&gt;1,'Monthly Cash Flow'!AN$4&lt;=2),'Monthly Cash Flow'!AM26*(1+'Rent Roll Analysis'!$AE24/12),'Monthly Cash Flow'!AM26*(1+'Rent Roll Analysis'!$AB24/12))))</f>
        <v/>
      </c>
      <c r="AO26" s="1428" t="str">
        <f>IF($B26="","",IF(AO$4&gt;2,(AN26*(1+'Rent Roll Analysis'!$AK24/12)), IF(AND('Monthly Cash Flow'!AO$4&gt;1,'Monthly Cash Flow'!AO$4&lt;=2),'Monthly Cash Flow'!AN26*(1+'Rent Roll Analysis'!$AE24/12),'Monthly Cash Flow'!AN26*(1+'Rent Roll Analysis'!$AB24/12))))</f>
        <v/>
      </c>
      <c r="AP26" s="1428" t="str">
        <f>IF($B26="","",IF(AP$4&gt;2,(AO26*(1+'Rent Roll Analysis'!$AK24/12)), IF(AND('Monthly Cash Flow'!AP$4&gt;1,'Monthly Cash Flow'!AP$4&lt;=2),'Monthly Cash Flow'!AO26*(1+'Rent Roll Analysis'!$AE24/12),'Monthly Cash Flow'!AO26*(1+'Rent Roll Analysis'!$AB24/12))))</f>
        <v/>
      </c>
      <c r="AQ26" s="1428" t="str">
        <f>IF($B26="","",IF(AQ$4&gt;2,(AP26*(1+'Rent Roll Analysis'!$AK24/12)), IF(AND('Monthly Cash Flow'!AQ$4&gt;1,'Monthly Cash Flow'!AQ$4&lt;=2),'Monthly Cash Flow'!AP26*(1+'Rent Roll Analysis'!$AE24/12),'Monthly Cash Flow'!AP26*(1+'Rent Roll Analysis'!$AB24/12))))</f>
        <v/>
      </c>
      <c r="AR26" s="1428" t="str">
        <f>IF($B26="","",IF(AR$4&gt;2,(AQ26*(1+'Rent Roll Analysis'!$AK24/12)), IF(AND('Monthly Cash Flow'!AR$4&gt;1,'Monthly Cash Flow'!AR$4&lt;=2),'Monthly Cash Flow'!AQ26*(1+'Rent Roll Analysis'!$AE24/12),'Monthly Cash Flow'!AQ26*(1+'Rent Roll Analysis'!$AB24/12))))</f>
        <v/>
      </c>
      <c r="AS26" s="1428" t="str">
        <f>IF($B26="","",IF(AS$4&gt;2,(AR26*(1+'Rent Roll Analysis'!$AK24/12)), IF(AND('Monthly Cash Flow'!AS$4&gt;1,'Monthly Cash Flow'!AS$4&lt;=2),'Monthly Cash Flow'!AR26*(1+'Rent Roll Analysis'!$AE24/12),'Monthly Cash Flow'!AR26*(1+'Rent Roll Analysis'!$AB24/12))))</f>
        <v/>
      </c>
      <c r="AT26" s="1428" t="str">
        <f>IF($B26="","",IF(AT$4&gt;2,(AS26*(1+'Rent Roll Analysis'!$AK24/12)), IF(AND('Monthly Cash Flow'!AT$4&gt;1,'Monthly Cash Flow'!AT$4&lt;=2),'Monthly Cash Flow'!AS26*(1+'Rent Roll Analysis'!$AE24/12),'Monthly Cash Flow'!AS26*(1+'Rent Roll Analysis'!$AB24/12))))</f>
        <v/>
      </c>
      <c r="AU26" s="1428" t="str">
        <f>IF($B26="","",IF(AU$4&gt;2,(AT26*(1+'Rent Roll Analysis'!$AK24/12)), IF(AND('Monthly Cash Flow'!AU$4&gt;1,'Monthly Cash Flow'!AU$4&lt;=2),'Monthly Cash Flow'!AT26*(1+'Rent Roll Analysis'!$AE24/12),'Monthly Cash Flow'!AT26*(1+'Rent Roll Analysis'!$AB24/12))))</f>
        <v/>
      </c>
      <c r="AV26" s="1428" t="str">
        <f>IF($B26="","",IF(AV$4&gt;2,(AU26*(1+'Rent Roll Analysis'!$AK24/12)), IF(AND('Monthly Cash Flow'!AV$4&gt;1,'Monthly Cash Flow'!AV$4&lt;=2),'Monthly Cash Flow'!AU26*(1+'Rent Roll Analysis'!$AE24/12),'Monthly Cash Flow'!AU26*(1+'Rent Roll Analysis'!$AB24/12))))</f>
        <v/>
      </c>
      <c r="AW26" s="1428" t="str">
        <f>IF($B26="","",IF(AW$4&gt;2,(AV26*(1+'Rent Roll Analysis'!$AK24/12)), IF(AND('Monthly Cash Flow'!AW$4&gt;1,'Monthly Cash Flow'!AW$4&lt;=2),'Monthly Cash Flow'!AV26*(1+'Rent Roll Analysis'!$AE24/12),'Monthly Cash Flow'!AV26*(1+'Rent Roll Analysis'!$AB24/12))))</f>
        <v/>
      </c>
      <c r="AX26" s="1428" t="str">
        <f>IF($B26="","",IF(AX$4&gt;2,(AW26*(1+'Rent Roll Analysis'!$AK24/12)), IF(AND('Monthly Cash Flow'!AX$4&gt;1,'Monthly Cash Flow'!AX$4&lt;=2),'Monthly Cash Flow'!AW26*(1+'Rent Roll Analysis'!$AE24/12),'Monthly Cash Flow'!AW26*(1+'Rent Roll Analysis'!$AB24/12))))</f>
        <v/>
      </c>
      <c r="AY26" s="1428" t="str">
        <f>IF($B26="","",IF(AY$4&gt;2,(AX26*(1+'Rent Roll Analysis'!$AK24/12)), IF(AND('Monthly Cash Flow'!AY$4&gt;1,'Monthly Cash Flow'!AY$4&lt;=2),'Monthly Cash Flow'!AX26*(1+'Rent Roll Analysis'!$AE24/12),'Monthly Cash Flow'!AX26*(1+'Rent Roll Analysis'!$AB24/12))))</f>
        <v/>
      </c>
      <c r="AZ26" s="1428" t="str">
        <f>IF($B26="","",IF(AZ$4&gt;2,(AY26*(1+'Rent Roll Analysis'!$AK24/12)), IF(AND('Monthly Cash Flow'!AZ$4&gt;1,'Monthly Cash Flow'!AZ$4&lt;=2),'Monthly Cash Flow'!AY26*(1+'Rent Roll Analysis'!$AE24/12),'Monthly Cash Flow'!AY26*(1+'Rent Roll Analysis'!$AB24/12))))</f>
        <v/>
      </c>
      <c r="BA26" s="1428" t="str">
        <f>IF($B26="","",IF(BA$4&gt;2,(AZ26*(1+'Rent Roll Analysis'!$AK24/12)), IF(AND('Monthly Cash Flow'!BA$4&gt;1,'Monthly Cash Flow'!BA$4&lt;=2),'Monthly Cash Flow'!AZ26*(1+'Rent Roll Analysis'!$AE24/12),'Monthly Cash Flow'!AZ26*(1+'Rent Roll Analysis'!$AB24/12))))</f>
        <v/>
      </c>
      <c r="BB26" s="1428" t="str">
        <f>IF($B26="","",IF(BB$4&gt;2,(BA26*(1+'Rent Roll Analysis'!$AK24/12)), IF(AND('Monthly Cash Flow'!BB$4&gt;1,'Monthly Cash Flow'!BB$4&lt;=2),'Monthly Cash Flow'!BA26*(1+'Rent Roll Analysis'!$AE24/12),'Monthly Cash Flow'!BA26*(1+'Rent Roll Analysis'!$AB24/12))))</f>
        <v/>
      </c>
      <c r="BC26" s="1428" t="str">
        <f>IF($B26="","",IF(BC$4&gt;2,(BB26*(1+'Rent Roll Analysis'!$AK24/12)), IF(AND('Monthly Cash Flow'!BC$4&gt;1,'Monthly Cash Flow'!BC$4&lt;=2),'Monthly Cash Flow'!BB26*(1+'Rent Roll Analysis'!$AE24/12),'Monthly Cash Flow'!BB26*(1+'Rent Roll Analysis'!$AB24/12))))</f>
        <v/>
      </c>
      <c r="BD26" s="1428" t="str">
        <f>IF($B26="","",IF(BD$4&gt;2,(BC26*(1+'Rent Roll Analysis'!$AK24/12)), IF(AND('Monthly Cash Flow'!BD$4&gt;1,'Monthly Cash Flow'!BD$4&lt;=2),'Monthly Cash Flow'!BC26*(1+'Rent Roll Analysis'!$AE24/12),'Monthly Cash Flow'!BC26*(1+'Rent Roll Analysis'!$AB24/12))))</f>
        <v/>
      </c>
      <c r="BE26" s="1428" t="str">
        <f>IF($B26="","",IF(BE$4&gt;2,(BD26*(1+'Rent Roll Analysis'!$AK24/12)), IF(AND('Monthly Cash Flow'!BE$4&gt;1,'Monthly Cash Flow'!BE$4&lt;=2),'Monthly Cash Flow'!BD26*(1+'Rent Roll Analysis'!$AE24/12),'Monthly Cash Flow'!BD26*(1+'Rent Roll Analysis'!$AB24/12))))</f>
        <v/>
      </c>
      <c r="BF26" s="1428" t="str">
        <f>IF($B26="","",IF(BF$4&gt;2,(BE26*(1+'Rent Roll Analysis'!$AK24/12)), IF(AND('Monthly Cash Flow'!BF$4&gt;1,'Monthly Cash Flow'!BF$4&lt;=2),'Monthly Cash Flow'!BE26*(1+'Rent Roll Analysis'!$AE24/12),'Monthly Cash Flow'!BE26*(1+'Rent Roll Analysis'!$AB24/12))))</f>
        <v/>
      </c>
      <c r="BG26" s="1428" t="str">
        <f>IF($B26="","",IF(BG$4&gt;2,(BF26*(1+'Rent Roll Analysis'!$AK24/12)), IF(AND('Monthly Cash Flow'!BG$4&gt;1,'Monthly Cash Flow'!BG$4&lt;=2),'Monthly Cash Flow'!BF26*(1+'Rent Roll Analysis'!$AE24/12),'Monthly Cash Flow'!BF26*(1+'Rent Roll Analysis'!$AB24/12))))</f>
        <v/>
      </c>
      <c r="BH26" s="1428" t="str">
        <f>IF($B26="","",IF(BH$4&gt;2,(BG26*(1+'Rent Roll Analysis'!$AK24/12)), IF(AND('Monthly Cash Flow'!BH$4&gt;1,'Monthly Cash Flow'!BH$4&lt;=2),'Monthly Cash Flow'!BG26*(1+'Rent Roll Analysis'!$AE24/12),'Monthly Cash Flow'!BG26*(1+'Rent Roll Analysis'!$AB24/12))))</f>
        <v/>
      </c>
      <c r="BI26" s="1428" t="str">
        <f>IF($B26="","",IF(BI$4&gt;2,(BH26*(1+'Rent Roll Analysis'!$AK24/12)), IF(AND('Monthly Cash Flow'!BI$4&gt;1,'Monthly Cash Flow'!BI$4&lt;=2),'Monthly Cash Flow'!BH26*(1+'Rent Roll Analysis'!$AE24/12),'Monthly Cash Flow'!BH26*(1+'Rent Roll Analysis'!$AB24/12))))</f>
        <v/>
      </c>
      <c r="BJ26" s="1428" t="str">
        <f>IF($B26="","",IF(BJ$4&gt;2,(BI26*(1+'Rent Roll Analysis'!$AK24/12)), IF(AND('Monthly Cash Flow'!BJ$4&gt;1,'Monthly Cash Flow'!BJ$4&lt;=2),'Monthly Cash Flow'!BI26*(1+'Rent Roll Analysis'!$AE24/12),'Monthly Cash Flow'!BI26*(1+'Rent Roll Analysis'!$AB24/12))))</f>
        <v/>
      </c>
      <c r="BK26" s="1428" t="str">
        <f>IF($B26="","",IF(BK$4&gt;2,(BJ26*(1+'Rent Roll Analysis'!$AK24/12)), IF(AND('Monthly Cash Flow'!BK$4&gt;1,'Monthly Cash Flow'!BK$4&lt;=2),'Monthly Cash Flow'!BJ26*(1+'Rent Roll Analysis'!$AE24/12),'Monthly Cash Flow'!BJ26*(1+'Rent Roll Analysis'!$AB24/12))))</f>
        <v/>
      </c>
      <c r="BL26" s="1428" t="str">
        <f>IF($B26="","",IF(BL$4&gt;2,(BK26*(1+'Rent Roll Analysis'!$AK24/12)), IF(AND('Monthly Cash Flow'!BL$4&gt;1,'Monthly Cash Flow'!BL$4&lt;=2),'Monthly Cash Flow'!BK26*(1+'Rent Roll Analysis'!$AE24/12),'Monthly Cash Flow'!BK26*(1+'Rent Roll Analysis'!$AB24/12))))</f>
        <v/>
      </c>
      <c r="BM26" s="1428" t="str">
        <f>IF($B26="","",IF(BM$4&gt;2,(BL26*(1+'Rent Roll Analysis'!$AK24/12)), IF(AND('Monthly Cash Flow'!BM$4&gt;1,'Monthly Cash Flow'!BM$4&lt;=2),'Monthly Cash Flow'!BL26*(1+'Rent Roll Analysis'!$AE24/12),'Monthly Cash Flow'!BL26*(1+'Rent Roll Analysis'!$AB24/12))))</f>
        <v/>
      </c>
      <c r="BN26" s="1428" t="str">
        <f>IF($B26="","",IF(BN$4&gt;2,(BM26*(1+'Rent Roll Analysis'!$AK24/12)), IF(AND('Monthly Cash Flow'!BN$4&gt;1,'Monthly Cash Flow'!BN$4&lt;=2),'Monthly Cash Flow'!BM26*(1+'Rent Roll Analysis'!$AE24/12),'Monthly Cash Flow'!BM26*(1+'Rent Roll Analysis'!$AB24/12))))</f>
        <v/>
      </c>
      <c r="BO26" s="1428" t="str">
        <f>IF($B26="","",IF(BO$4&gt;2,(BN26*(1+'Rent Roll Analysis'!$AK24/12)), IF(AND('Monthly Cash Flow'!BO$4&gt;1,'Monthly Cash Flow'!BO$4&lt;=2),'Monthly Cash Flow'!BN26*(1+'Rent Roll Analysis'!$AE24/12),'Monthly Cash Flow'!BN26*(1+'Rent Roll Analysis'!$AB24/12))))</f>
        <v/>
      </c>
      <c r="BP26" s="1428" t="str">
        <f>IF($B26="","",IF(BP$4&gt;2,(BO26*(1+'Rent Roll Analysis'!$AK24/12)), IF(AND('Monthly Cash Flow'!BP$4&gt;1,'Monthly Cash Flow'!BP$4&lt;=2),'Monthly Cash Flow'!BO26*(1+'Rent Roll Analysis'!$AE24/12),'Monthly Cash Flow'!BO26*(1+'Rent Roll Analysis'!$AB24/12))))</f>
        <v/>
      </c>
      <c r="BQ26" s="1428" t="str">
        <f>IF($B26="","",IF(BQ$4&gt;2,(BP26*(1+'Rent Roll Analysis'!$AK24/12)), IF(AND('Monthly Cash Flow'!BQ$4&gt;1,'Monthly Cash Flow'!BQ$4&lt;=2),'Monthly Cash Flow'!BP26*(1+'Rent Roll Analysis'!$AE24/12),'Monthly Cash Flow'!BP26*(1+'Rent Roll Analysis'!$AB24/12))))</f>
        <v/>
      </c>
      <c r="BR26" s="1428" t="str">
        <f>IF($B26="","",IF(BR$4&gt;2,(BQ26*(1+'Rent Roll Analysis'!$AK24/12)), IF(AND('Monthly Cash Flow'!BR$4&gt;1,'Monthly Cash Flow'!BR$4&lt;=2),'Monthly Cash Flow'!BQ26*(1+'Rent Roll Analysis'!$AE24/12),'Monthly Cash Flow'!BQ26*(1+'Rent Roll Analysis'!$AB24/12))))</f>
        <v/>
      </c>
      <c r="BS26" s="1428" t="str">
        <f>IF($B26="","",IF(BS$4&gt;2,(BR26*(1+'Rent Roll Analysis'!$AK24/12)), IF(AND('Monthly Cash Flow'!BS$4&gt;1,'Monthly Cash Flow'!BS$4&lt;=2),'Monthly Cash Flow'!BR26*(1+'Rent Roll Analysis'!$AE24/12),'Monthly Cash Flow'!BR26*(1+'Rent Roll Analysis'!$AB24/12))))</f>
        <v/>
      </c>
      <c r="BT26" s="1428" t="str">
        <f>IF($B26="","",IF(BT$4&gt;2,(BS26*(1+'Rent Roll Analysis'!$AK24/12)), IF(AND('Monthly Cash Flow'!BT$4&gt;1,'Monthly Cash Flow'!BT$4&lt;=2),'Monthly Cash Flow'!BS26*(1+'Rent Roll Analysis'!$AE24/12),'Monthly Cash Flow'!BS26*(1+'Rent Roll Analysis'!$AB24/12))))</f>
        <v/>
      </c>
      <c r="BU26" s="1428" t="str">
        <f>IF($B26="","",IF(BU$4&gt;2,(BT26*(1+'Rent Roll Analysis'!$AK24/12)), IF(AND('Monthly Cash Flow'!BU$4&gt;1,'Monthly Cash Flow'!BU$4&lt;=2),'Monthly Cash Flow'!BT26*(1+'Rent Roll Analysis'!$AE24/12),'Monthly Cash Flow'!BT26*(1+'Rent Roll Analysis'!$AB24/12))))</f>
        <v/>
      </c>
      <c r="BV26" s="1428" t="str">
        <f>IF($B26="","",IF(BV$4&gt;2,(BU26*(1+'Rent Roll Analysis'!$AK24/12)), IF(AND('Monthly Cash Flow'!BV$4&gt;1,'Monthly Cash Flow'!BV$4&lt;=2),'Monthly Cash Flow'!BU26*(1+'Rent Roll Analysis'!$AE24/12),'Monthly Cash Flow'!BU26*(1+'Rent Roll Analysis'!$AB24/12))))</f>
        <v/>
      </c>
      <c r="BW26" s="1428" t="str">
        <f>IF($B26="","",IF(BW$4&gt;2,(BV26*(1+'Rent Roll Analysis'!$AK24/12)), IF(AND('Monthly Cash Flow'!BW$4&gt;1,'Monthly Cash Flow'!BW$4&lt;=2),'Monthly Cash Flow'!BV26*(1+'Rent Roll Analysis'!$AE24/12),'Monthly Cash Flow'!BV26*(1+'Rent Roll Analysis'!$AB24/12))))</f>
        <v/>
      </c>
      <c r="BX26" s="1428" t="str">
        <f>IF($B26="","",IF(BX$4&gt;2,(BW26*(1+'Rent Roll Analysis'!$AK24/12)), IF(AND('Monthly Cash Flow'!BX$4&gt;1,'Monthly Cash Flow'!BX$4&lt;=2),'Monthly Cash Flow'!BW26*(1+'Rent Roll Analysis'!$AE24/12),'Monthly Cash Flow'!BW26*(1+'Rent Roll Analysis'!$AB24/12))))</f>
        <v/>
      </c>
      <c r="BY26" s="1428" t="str">
        <f>IF($B26="","",IF(BY$4&gt;2,(BX26*(1+'Rent Roll Analysis'!$AK24/12)), IF(AND('Monthly Cash Flow'!BY$4&gt;1,'Monthly Cash Flow'!BY$4&lt;=2),'Monthly Cash Flow'!BX26*(1+'Rent Roll Analysis'!$AE24/12),'Monthly Cash Flow'!BX26*(1+'Rent Roll Analysis'!$AB24/12))))</f>
        <v/>
      </c>
      <c r="BZ26" s="1428" t="str">
        <f>IF($B26="","",IF(BZ$4&gt;2,(BY26*(1+'Rent Roll Analysis'!$AK24/12)), IF(AND('Monthly Cash Flow'!BZ$4&gt;1,'Monthly Cash Flow'!BZ$4&lt;=2),'Monthly Cash Flow'!BY26*(1+'Rent Roll Analysis'!$AE24/12),'Monthly Cash Flow'!BY26*(1+'Rent Roll Analysis'!$AB24/12))))</f>
        <v/>
      </c>
      <c r="CA26" s="1428" t="str">
        <f>IF($B26="","",IF(CA$4&gt;2,(BZ26*(1+'Rent Roll Analysis'!$AK24/12)), IF(AND('Monthly Cash Flow'!CA$4&gt;1,'Monthly Cash Flow'!CA$4&lt;=2),'Monthly Cash Flow'!BZ26*(1+'Rent Roll Analysis'!$AE24/12),'Monthly Cash Flow'!BZ26*(1+'Rent Roll Analysis'!$AB24/12))))</f>
        <v/>
      </c>
      <c r="CB26" s="1428" t="str">
        <f>IF($B26="","",IF(CB$4&gt;2,(CA26*(1+'Rent Roll Analysis'!$AK24/12)), IF(AND('Monthly Cash Flow'!CB$4&gt;1,'Monthly Cash Flow'!CB$4&lt;=2),'Monthly Cash Flow'!CA26*(1+'Rent Roll Analysis'!$AE24/12),'Monthly Cash Flow'!CA26*(1+'Rent Roll Analysis'!$AB24/12))))</f>
        <v/>
      </c>
      <c r="CC26" s="1428" t="str">
        <f>IF($B26="","",IF(CC$4&gt;2,(CB26*(1+'Rent Roll Analysis'!$AK24/12)), IF(AND('Monthly Cash Flow'!CC$4&gt;1,'Monthly Cash Flow'!CC$4&lt;=2),'Monthly Cash Flow'!CB26*(1+'Rent Roll Analysis'!$AE24/12),'Monthly Cash Flow'!CB26*(1+'Rent Roll Analysis'!$AB24/12))))</f>
        <v/>
      </c>
      <c r="CD26" s="1428" t="str">
        <f>IF($B26="","",IF(CD$4&gt;2,(CC26*(1+'Rent Roll Analysis'!$AK24/12)), IF(AND('Monthly Cash Flow'!CD$4&gt;1,'Monthly Cash Flow'!CD$4&lt;=2),'Monthly Cash Flow'!CC26*(1+'Rent Roll Analysis'!$AE24/12),'Monthly Cash Flow'!CC26*(1+'Rent Roll Analysis'!$AB24/12))))</f>
        <v/>
      </c>
      <c r="CE26" s="1428" t="str">
        <f>IF($B26="","",IF(CE$4&gt;2,(CD26*(1+'Rent Roll Analysis'!$AK24/12)), IF(AND('Monthly Cash Flow'!CE$4&gt;1,'Monthly Cash Flow'!CE$4&lt;=2),'Monthly Cash Flow'!CD26*(1+'Rent Roll Analysis'!$AE24/12),'Monthly Cash Flow'!CD26*(1+'Rent Roll Analysis'!$AB24/12))))</f>
        <v/>
      </c>
      <c r="CF26" s="1428" t="str">
        <f>IF($B26="","",IF(CF$4&gt;2,(CE26*(1+'Rent Roll Analysis'!$AK24/12)), IF(AND('Monthly Cash Flow'!CF$4&gt;1,'Monthly Cash Flow'!CF$4&lt;=2),'Monthly Cash Flow'!CE26*(1+'Rent Roll Analysis'!$AE24/12),'Monthly Cash Flow'!CE26*(1+'Rent Roll Analysis'!$AB24/12))))</f>
        <v/>
      </c>
      <c r="CG26" s="1428" t="str">
        <f>IF($B26="","",IF(CG$4&gt;2,(CF26*(1+'Rent Roll Analysis'!$AK24/12)), IF(AND('Monthly Cash Flow'!CG$4&gt;1,'Monthly Cash Flow'!CG$4&lt;=2),'Monthly Cash Flow'!CF26*(1+'Rent Roll Analysis'!$AE24/12),'Monthly Cash Flow'!CF26*(1+'Rent Roll Analysis'!$AB24/12))))</f>
        <v/>
      </c>
      <c r="CH26" s="1428" t="str">
        <f>IF($B26="","",IF(CH$4&gt;2,(CG26*(1+'Rent Roll Analysis'!$AK24/12)), IF(AND('Monthly Cash Flow'!CH$4&gt;1,'Monthly Cash Flow'!CH$4&lt;=2),'Monthly Cash Flow'!CG26*(1+'Rent Roll Analysis'!$AE24/12),'Monthly Cash Flow'!CG26*(1+'Rent Roll Analysis'!$AB24/12))))</f>
        <v/>
      </c>
      <c r="CI26" s="1428" t="str">
        <f>IF($B26="","",IF(CI$4&gt;2,(CH26*(1+'Rent Roll Analysis'!$AK24/12)), IF(AND('Monthly Cash Flow'!CI$4&gt;1,'Monthly Cash Flow'!CI$4&lt;=2),'Monthly Cash Flow'!CH26*(1+'Rent Roll Analysis'!$AE24/12),'Monthly Cash Flow'!CH26*(1+'Rent Roll Analysis'!$AB24/12))))</f>
        <v/>
      </c>
      <c r="CJ26" s="1428" t="str">
        <f>IF($B26="","",IF(CJ$4&gt;2,(CI26*(1+'Rent Roll Analysis'!$AK24/12)), IF(AND('Monthly Cash Flow'!CJ$4&gt;1,'Monthly Cash Flow'!CJ$4&lt;=2),'Monthly Cash Flow'!CI26*(1+'Rent Roll Analysis'!$AE24/12),'Monthly Cash Flow'!CI26*(1+'Rent Roll Analysis'!$AB24/12))))</f>
        <v/>
      </c>
      <c r="CK26" s="1428" t="str">
        <f>IF($B26="","",IF(CK$4&gt;2,(CJ26*(1+'Rent Roll Analysis'!$AK24/12)), IF(AND('Monthly Cash Flow'!CK$4&gt;1,'Monthly Cash Flow'!CK$4&lt;=2),'Monthly Cash Flow'!CJ26*(1+'Rent Roll Analysis'!$AE24/12),'Monthly Cash Flow'!CJ26*(1+'Rent Roll Analysis'!$AB24/12))))</f>
        <v/>
      </c>
      <c r="CL26" s="1428" t="str">
        <f>IF($B26="","",IF(CL$4&gt;2,(CK26*(1+'Rent Roll Analysis'!$AK24/12)), IF(AND('Monthly Cash Flow'!CL$4&gt;1,'Monthly Cash Flow'!CL$4&lt;=2),'Monthly Cash Flow'!CK26*(1+'Rent Roll Analysis'!$AE24/12),'Monthly Cash Flow'!CK26*(1+'Rent Roll Analysis'!$AB24/12))))</f>
        <v/>
      </c>
      <c r="CM26" s="1428" t="str">
        <f>IF($B26="","",IF(CM$4&gt;2,(CL26*(1+'Rent Roll Analysis'!$AK24/12)), IF(AND('Monthly Cash Flow'!CM$4&gt;1,'Monthly Cash Flow'!CM$4&lt;=2),'Monthly Cash Flow'!CL26*(1+'Rent Roll Analysis'!$AE24/12),'Monthly Cash Flow'!CL26*(1+'Rent Roll Analysis'!$AB24/12))))</f>
        <v/>
      </c>
      <c r="CN26" s="1428" t="str">
        <f>IF($B26="","",IF(CN$4&gt;2,(CM26*(1+'Rent Roll Analysis'!$AK24/12)), IF(AND('Monthly Cash Flow'!CN$4&gt;1,'Monthly Cash Flow'!CN$4&lt;=2),'Monthly Cash Flow'!CM26*(1+'Rent Roll Analysis'!$AE24/12),'Monthly Cash Flow'!CM26*(1+'Rent Roll Analysis'!$AB24/12))))</f>
        <v/>
      </c>
      <c r="CO26" s="1428" t="str">
        <f>IF($B26="","",IF(CO$4&gt;2,(CN26*(1+'Rent Roll Analysis'!$AK24/12)), IF(AND('Monthly Cash Flow'!CO$4&gt;1,'Monthly Cash Flow'!CO$4&lt;=2),'Monthly Cash Flow'!CN26*(1+'Rent Roll Analysis'!$AE24/12),'Monthly Cash Flow'!CN26*(1+'Rent Roll Analysis'!$AB24/12))))</f>
        <v/>
      </c>
      <c r="CP26" s="1428" t="str">
        <f>IF($B26="","",IF(CP$4&gt;2,(CO26*(1+'Rent Roll Analysis'!$AK24/12)), IF(AND('Monthly Cash Flow'!CP$4&gt;1,'Monthly Cash Flow'!CP$4&lt;=2),'Monthly Cash Flow'!CO26*(1+'Rent Roll Analysis'!$AE24/12),'Monthly Cash Flow'!CO26*(1+'Rent Roll Analysis'!$AB24/12))))</f>
        <v/>
      </c>
      <c r="CQ26" s="1428" t="str">
        <f>IF($B26="","",IF(CQ$4&gt;2,(CP26*(1+'Rent Roll Analysis'!$AK24/12)), IF(AND('Monthly Cash Flow'!CQ$4&gt;1,'Monthly Cash Flow'!CQ$4&lt;=2),'Monthly Cash Flow'!CP26*(1+'Rent Roll Analysis'!$AE24/12),'Monthly Cash Flow'!CP26*(1+'Rent Roll Analysis'!$AB24/12))))</f>
        <v/>
      </c>
      <c r="CR26" s="1428" t="str">
        <f>IF($B26="","",IF(CR$4&gt;2,(CQ26*(1+'Rent Roll Analysis'!$AK24/12)), IF(AND('Monthly Cash Flow'!CR$4&gt;1,'Monthly Cash Flow'!CR$4&lt;=2),'Monthly Cash Flow'!CQ26*(1+'Rent Roll Analysis'!$AE24/12),'Monthly Cash Flow'!CQ26*(1+'Rent Roll Analysis'!$AB24/12))))</f>
        <v/>
      </c>
      <c r="CS26" s="1428" t="str">
        <f>IF($B26="","",IF(CS$4&gt;2,(CR26*(1+'Rent Roll Analysis'!$AK24/12)), IF(AND('Monthly Cash Flow'!CS$4&gt;1,'Monthly Cash Flow'!CS$4&lt;=2),'Monthly Cash Flow'!CR26*(1+'Rent Roll Analysis'!$AE24/12),'Monthly Cash Flow'!CR26*(1+'Rent Roll Analysis'!$AB24/12))))</f>
        <v/>
      </c>
      <c r="CT26" s="1428" t="str">
        <f>IF($B26="","",IF(CT$4&gt;2,(CS26*(1+'Rent Roll Analysis'!$AK24/12)), IF(AND('Monthly Cash Flow'!CT$4&gt;1,'Monthly Cash Flow'!CT$4&lt;=2),'Monthly Cash Flow'!CS26*(1+'Rent Roll Analysis'!$AE24/12),'Monthly Cash Flow'!CS26*(1+'Rent Roll Analysis'!$AB24/12))))</f>
        <v/>
      </c>
      <c r="CU26" s="1428" t="str">
        <f>IF($B26="","",IF(CU$4&gt;2,(CT26*(1+'Rent Roll Analysis'!$AK24/12)), IF(AND('Monthly Cash Flow'!CU$4&gt;1,'Monthly Cash Flow'!CU$4&lt;=2),'Monthly Cash Flow'!CT26*(1+'Rent Roll Analysis'!$AE24/12),'Monthly Cash Flow'!CT26*(1+'Rent Roll Analysis'!$AB24/12))))</f>
        <v/>
      </c>
      <c r="CV26" s="1428" t="str">
        <f>IF($B26="","",IF(CV$4&gt;2,(CU26*(1+'Rent Roll Analysis'!$AK24/12)), IF(AND('Monthly Cash Flow'!CV$4&gt;1,'Monthly Cash Flow'!CV$4&lt;=2),'Monthly Cash Flow'!CU26*(1+'Rent Roll Analysis'!$AE24/12),'Monthly Cash Flow'!CU26*(1+'Rent Roll Analysis'!$AB24/12))))</f>
        <v/>
      </c>
      <c r="CW26" s="1428" t="str">
        <f>IF($B26="","",IF(CW$4&gt;2,(CV26*(1+'Rent Roll Analysis'!$AK24/12)), IF(AND('Monthly Cash Flow'!CW$4&gt;1,'Monthly Cash Flow'!CW$4&lt;=2),'Monthly Cash Flow'!CV26*(1+'Rent Roll Analysis'!$AE24/12),'Monthly Cash Flow'!CV26*(1+'Rent Roll Analysis'!$AB24/12))))</f>
        <v/>
      </c>
      <c r="CX26" s="1428" t="str">
        <f>IF($B26="","",IF(CX$4&gt;2,(CW26*(1+'Rent Roll Analysis'!$AK24/12)), IF(AND('Monthly Cash Flow'!CX$4&gt;1,'Monthly Cash Flow'!CX$4&lt;=2),'Monthly Cash Flow'!CW26*(1+'Rent Roll Analysis'!$AE24/12),'Monthly Cash Flow'!CW26*(1+'Rent Roll Analysis'!$AB24/12))))</f>
        <v/>
      </c>
      <c r="CY26" s="1428" t="str">
        <f>IF($B26="","",IF(CY$4&gt;2,(CX26*(1+'Rent Roll Analysis'!$AK24/12)), IF(AND('Monthly Cash Flow'!CY$4&gt;1,'Monthly Cash Flow'!CY$4&lt;=2),'Monthly Cash Flow'!CX26*(1+'Rent Roll Analysis'!$AE24/12),'Monthly Cash Flow'!CX26*(1+'Rent Roll Analysis'!$AB24/12))))</f>
        <v/>
      </c>
      <c r="CZ26" s="1428" t="str">
        <f>IF($B26="","",IF(CZ$4&gt;2,(CY26*(1+'Rent Roll Analysis'!$AK24/12)), IF(AND('Monthly Cash Flow'!CZ$4&gt;1,'Monthly Cash Flow'!CZ$4&lt;=2),'Monthly Cash Flow'!CY26*(1+'Rent Roll Analysis'!$AE24/12),'Monthly Cash Flow'!CY26*(1+'Rent Roll Analysis'!$AB24/12))))</f>
        <v/>
      </c>
      <c r="DA26" s="1428" t="str">
        <f>IF($B26="","",IF(DA$4&gt;2,(CZ26*(1+'Rent Roll Analysis'!$AK24/12)), IF(AND('Monthly Cash Flow'!DA$4&gt;1,'Monthly Cash Flow'!DA$4&lt;=2),'Monthly Cash Flow'!CZ26*(1+'Rent Roll Analysis'!$AE24/12),'Monthly Cash Flow'!CZ26*(1+'Rent Roll Analysis'!$AB24/12))))</f>
        <v/>
      </c>
      <c r="DB26" s="1428" t="str">
        <f>IF($B26="","",IF(DB$4&gt;2,(DA26*(1+'Rent Roll Analysis'!$AK24/12)), IF(AND('Monthly Cash Flow'!DB$4&gt;1,'Monthly Cash Flow'!DB$4&lt;=2),'Monthly Cash Flow'!DA26*(1+'Rent Roll Analysis'!$AE24/12),'Monthly Cash Flow'!DA26*(1+'Rent Roll Analysis'!$AB24/12))))</f>
        <v/>
      </c>
      <c r="DC26" s="1428" t="str">
        <f>IF($B26="","",IF(DC$4&gt;2,(DB26*(1+'Rent Roll Analysis'!$AK24/12)), IF(AND('Monthly Cash Flow'!DC$4&gt;1,'Monthly Cash Flow'!DC$4&lt;=2),'Monthly Cash Flow'!DB26*(1+'Rent Roll Analysis'!$AE24/12),'Monthly Cash Flow'!DB26*(1+'Rent Roll Analysis'!$AB24/12))))</f>
        <v/>
      </c>
      <c r="DD26" s="1428" t="str">
        <f>IF($B26="","",IF(DD$4&gt;2,(DC26*(1+'Rent Roll Analysis'!$AK24/12)), IF(AND('Monthly Cash Flow'!DD$4&gt;1,'Monthly Cash Flow'!DD$4&lt;=2),'Monthly Cash Flow'!DC26*(1+'Rent Roll Analysis'!$AE24/12),'Monthly Cash Flow'!DC26*(1+'Rent Roll Analysis'!$AB24/12))))</f>
        <v/>
      </c>
      <c r="DE26" s="1428" t="str">
        <f>IF($B26="","",IF(DE$4&gt;2,(DD26*(1+'Rent Roll Analysis'!$AK24/12)), IF(AND('Monthly Cash Flow'!DE$4&gt;1,'Monthly Cash Flow'!DE$4&lt;=2),'Monthly Cash Flow'!DD26*(1+'Rent Roll Analysis'!$AE24/12),'Monthly Cash Flow'!DD26*(1+'Rent Roll Analysis'!$AB24/12))))</f>
        <v/>
      </c>
      <c r="DF26" s="1428" t="str">
        <f>IF($B26="","",IF(DF$4&gt;2,(DE26*(1+'Rent Roll Analysis'!$AK24/12)), IF(AND('Monthly Cash Flow'!DF$4&gt;1,'Monthly Cash Flow'!DF$4&lt;=2),'Monthly Cash Flow'!DE26*(1+'Rent Roll Analysis'!$AE24/12),'Monthly Cash Flow'!DE26*(1+'Rent Roll Analysis'!$AB24/12))))</f>
        <v/>
      </c>
      <c r="DG26" s="1428" t="str">
        <f>IF($B26="","",IF(DG$4&gt;2,(DF26*(1+'Rent Roll Analysis'!$AK24/12)), IF(AND('Monthly Cash Flow'!DG$4&gt;1,'Monthly Cash Flow'!DG$4&lt;=2),'Monthly Cash Flow'!DF26*(1+'Rent Roll Analysis'!$AE24/12),'Monthly Cash Flow'!DF26*(1+'Rent Roll Analysis'!$AB24/12))))</f>
        <v/>
      </c>
      <c r="DH26" s="1428" t="str">
        <f>IF($B26="","",IF(DH$4&gt;2,(DG26*(1+'Rent Roll Analysis'!$AK24/12)), IF(AND('Monthly Cash Flow'!DH$4&gt;1,'Monthly Cash Flow'!DH$4&lt;=2),'Monthly Cash Flow'!DG26*(1+'Rent Roll Analysis'!$AE24/12),'Monthly Cash Flow'!DG26*(1+'Rent Roll Analysis'!$AB24/12))))</f>
        <v/>
      </c>
      <c r="DI26" s="1428" t="str">
        <f>IF($B26="","",IF(DI$4&gt;2,(DH26*(1+'Rent Roll Analysis'!$AK24/12)), IF(AND('Monthly Cash Flow'!DI$4&gt;1,'Monthly Cash Flow'!DI$4&lt;=2),'Monthly Cash Flow'!DH26*(1+'Rent Roll Analysis'!$AE24/12),'Monthly Cash Flow'!DH26*(1+'Rent Roll Analysis'!$AB24/12))))</f>
        <v/>
      </c>
      <c r="DJ26" s="1428" t="str">
        <f>IF($B26="","",IF(DJ$4&gt;2,(DI26*(1+'Rent Roll Analysis'!$AK24/12)), IF(AND('Monthly Cash Flow'!DJ$4&gt;1,'Monthly Cash Flow'!DJ$4&lt;=2),'Monthly Cash Flow'!DI26*(1+'Rent Roll Analysis'!$AE24/12),'Monthly Cash Flow'!DI26*(1+'Rent Roll Analysis'!$AB24/12))))</f>
        <v/>
      </c>
      <c r="DK26" s="1428" t="str">
        <f>IF($B26="","",IF(DK$4&gt;2,(DJ26*(1+'Rent Roll Analysis'!$AK24/12)), IF(AND('Monthly Cash Flow'!DK$4&gt;1,'Monthly Cash Flow'!DK$4&lt;=2),'Monthly Cash Flow'!DJ26*(1+'Rent Roll Analysis'!$AE24/12),'Monthly Cash Flow'!DJ26*(1+'Rent Roll Analysis'!$AB24/12))))</f>
        <v/>
      </c>
      <c r="DL26" s="1428" t="str">
        <f>IF($B26="","",IF(DL$4&gt;2,(DK26*(1+'Rent Roll Analysis'!$AK24/12)), IF(AND('Monthly Cash Flow'!DL$4&gt;1,'Monthly Cash Flow'!DL$4&lt;=2),'Monthly Cash Flow'!DK26*(1+'Rent Roll Analysis'!$AE24/12),'Monthly Cash Flow'!DK26*(1+'Rent Roll Analysis'!$AB24/12))))</f>
        <v/>
      </c>
      <c r="DM26" s="1428" t="str">
        <f>IF($B26="","",IF(DM$4&gt;2,(DL26*(1+'Rent Roll Analysis'!$AK24/12)), IF(AND('Monthly Cash Flow'!DM$4&gt;1,'Monthly Cash Flow'!DM$4&lt;=2),'Monthly Cash Flow'!DL26*(1+'Rent Roll Analysis'!$AE24/12),'Monthly Cash Flow'!DL26*(1+'Rent Roll Analysis'!$AB24/12))))</f>
        <v/>
      </c>
      <c r="DN26" s="1428" t="str">
        <f>IF($B26="","",IF(DN$4&gt;2,(DM26*(1+'Rent Roll Analysis'!$AK24/12)), IF(AND('Monthly Cash Flow'!DN$4&gt;1,'Monthly Cash Flow'!DN$4&lt;=2),'Monthly Cash Flow'!DM26*(1+'Rent Roll Analysis'!$AE24/12),'Monthly Cash Flow'!DM26*(1+'Rent Roll Analysis'!$AB24/12))))</f>
        <v/>
      </c>
      <c r="DO26" s="1428" t="str">
        <f>IF($B26="","",IF(DO$4&gt;2,(DN26*(1+'Rent Roll Analysis'!$AK24/12)), IF(AND('Monthly Cash Flow'!DO$4&gt;1,'Monthly Cash Flow'!DO$4&lt;=2),'Monthly Cash Flow'!DN26*(1+'Rent Roll Analysis'!$AE24/12),'Monthly Cash Flow'!DN26*(1+'Rent Roll Analysis'!$AB24/12))))</f>
        <v/>
      </c>
      <c r="DP26" s="1428" t="str">
        <f>IF($B26="","",IF(DP$4&gt;2,(DO26*(1+'Rent Roll Analysis'!$AK24/12)), IF(AND('Monthly Cash Flow'!DP$4&gt;1,'Monthly Cash Flow'!DP$4&lt;=2),'Monthly Cash Flow'!DO26*(1+'Rent Roll Analysis'!$AE24/12),'Monthly Cash Flow'!DO26*(1+'Rent Roll Analysis'!$AB24/12))))</f>
        <v/>
      </c>
      <c r="DQ26" s="1428" t="str">
        <f>IF($B26="","",IF(DQ$4&gt;2,(DP26*(1+'Rent Roll Analysis'!$AK24/12)), IF(AND('Monthly Cash Flow'!DQ$4&gt;1,'Monthly Cash Flow'!DQ$4&lt;=2),'Monthly Cash Flow'!DP26*(1+'Rent Roll Analysis'!$AE24/12),'Monthly Cash Flow'!DP26*(1+'Rent Roll Analysis'!$AB24/12))))</f>
        <v/>
      </c>
      <c r="DR26" s="1428" t="str">
        <f>IF($B26="","",IF(DR$4&gt;2,(DQ26*(1+'Rent Roll Analysis'!$AK24/12)), IF(AND('Monthly Cash Flow'!DR$4&gt;1,'Monthly Cash Flow'!DR$4&lt;=2),'Monthly Cash Flow'!DQ26*(1+'Rent Roll Analysis'!$AE24/12),'Monthly Cash Flow'!DQ26*(1+'Rent Roll Analysis'!$AB24/12))))</f>
        <v/>
      </c>
      <c r="DS26" s="1428" t="str">
        <f>IF($B26="","",IF(DS$4&gt;2,(DR26*(1+'Rent Roll Analysis'!$AK24/12)), IF(AND('Monthly Cash Flow'!DS$4&gt;1,'Monthly Cash Flow'!DS$4&lt;=2),'Monthly Cash Flow'!DR26*(1+'Rent Roll Analysis'!$AE24/12),'Monthly Cash Flow'!DR26*(1+'Rent Roll Analysis'!$AB24/12))))</f>
        <v/>
      </c>
      <c r="DT26" s="1428" t="str">
        <f>IF($B26="","",IF(DT$4&gt;2,(DS26*(1+'Rent Roll Analysis'!$AK24/12)), IF(AND('Monthly Cash Flow'!DT$4&gt;1,'Monthly Cash Flow'!DT$4&lt;=2),'Monthly Cash Flow'!DS26*(1+'Rent Roll Analysis'!$AE24/12),'Monthly Cash Flow'!DS26*(1+'Rent Roll Analysis'!$AB24/12))))</f>
        <v/>
      </c>
      <c r="DU26" s="385" t="s">
        <v>557</v>
      </c>
      <c r="DV26" s="375"/>
    </row>
    <row r="27" spans="1:126" s="92" customFormat="1" ht="20.149999999999999" customHeight="1" outlineLevel="1">
      <c r="A27" s="375"/>
      <c r="B27" s="383" t="str">
        <f>'Rent Roll Analysis'!C25</f>
        <v/>
      </c>
      <c r="C27" s="376"/>
      <c r="D27" s="1426" t="str">
        <f>IF('Rent Roll Analysis'!C25="","",'Rent Roll Analysis'!N25*'Rent Roll Analysis'!E25)</f>
        <v/>
      </c>
      <c r="E27" s="1428" t="str">
        <f t="shared" si="113"/>
        <v/>
      </c>
      <c r="F27" s="1428" t="str">
        <f>IF($B27="","",IF(F$4&gt;2,(E27*(1+'Rent Roll Analysis'!$AK25/12)), IF(AND('Monthly Cash Flow'!F$4&gt;1,'Monthly Cash Flow'!F$4&lt;=2),'Monthly Cash Flow'!E27*(1+'Rent Roll Analysis'!$AE25/12),'Monthly Cash Flow'!E27*(1+'Rent Roll Analysis'!$AB25/12))))</f>
        <v/>
      </c>
      <c r="G27" s="1428" t="str">
        <f>IF($B27="","",IF(G$4&gt;2,(F27*(1+'Rent Roll Analysis'!$AK25/12)), IF(AND('Monthly Cash Flow'!G$4&gt;1,'Monthly Cash Flow'!G$4&lt;=2),'Monthly Cash Flow'!F27*(1+'Rent Roll Analysis'!$AE25/12),'Monthly Cash Flow'!F27*(1+'Rent Roll Analysis'!$AB25/12))))</f>
        <v/>
      </c>
      <c r="H27" s="1428" t="str">
        <f>IF($B27="","",IF(H$4&gt;2,(G27*(1+'Rent Roll Analysis'!$AK25/12)), IF(AND('Monthly Cash Flow'!H$4&gt;1,'Monthly Cash Flow'!H$4&lt;=2),'Monthly Cash Flow'!G27*(1+'Rent Roll Analysis'!$AE25/12),'Monthly Cash Flow'!G27*(1+'Rent Roll Analysis'!$AB25/12))))</f>
        <v/>
      </c>
      <c r="I27" s="1428" t="str">
        <f>IF($B27="","",IF(I$4&gt;2,(H27*(1+'Rent Roll Analysis'!$AK25/12)), IF(AND('Monthly Cash Flow'!I$4&gt;1,'Monthly Cash Flow'!I$4&lt;=2),'Monthly Cash Flow'!H27*(1+'Rent Roll Analysis'!$AE25/12),'Monthly Cash Flow'!H27*(1+'Rent Roll Analysis'!$AB25/12))))</f>
        <v/>
      </c>
      <c r="J27" s="1428" t="str">
        <f>IF($B27="","",IF(J$4&gt;2,(I27*(1+'Rent Roll Analysis'!$AK25/12)), IF(AND('Monthly Cash Flow'!J$4&gt;1,'Monthly Cash Flow'!J$4&lt;=2),'Monthly Cash Flow'!I27*(1+'Rent Roll Analysis'!$AE25/12),'Monthly Cash Flow'!I27*(1+'Rent Roll Analysis'!$AB25/12))))</f>
        <v/>
      </c>
      <c r="K27" s="1428" t="str">
        <f>IF($B27="","",IF(K$4&gt;2,(J27*(1+'Rent Roll Analysis'!$AK25/12)), IF(AND('Monthly Cash Flow'!K$4&gt;1,'Monthly Cash Flow'!K$4&lt;=2),'Monthly Cash Flow'!J27*(1+'Rent Roll Analysis'!$AE25/12),'Monthly Cash Flow'!J27*(1+'Rent Roll Analysis'!$AB25/12))))</f>
        <v/>
      </c>
      <c r="L27" s="1428" t="str">
        <f>IF($B27="","",IF(L$4&gt;2,(K27*(1+'Rent Roll Analysis'!$AK25/12)), IF(AND('Monthly Cash Flow'!L$4&gt;1,'Monthly Cash Flow'!L$4&lt;=2),'Monthly Cash Flow'!K27*(1+'Rent Roll Analysis'!$AE25/12),'Monthly Cash Flow'!K27*(1+'Rent Roll Analysis'!$AB25/12))))</f>
        <v/>
      </c>
      <c r="M27" s="1428" t="str">
        <f>IF($B27="","",IF(M$4&gt;2,(L27*(1+'Rent Roll Analysis'!$AK25/12)), IF(AND('Monthly Cash Flow'!M$4&gt;1,'Monthly Cash Flow'!M$4&lt;=2),'Monthly Cash Flow'!L27*(1+'Rent Roll Analysis'!$AE25/12),'Monthly Cash Flow'!L27*(1+'Rent Roll Analysis'!$AB25/12))))</f>
        <v/>
      </c>
      <c r="N27" s="1428" t="str">
        <f>IF($B27="","",IF(N$4&gt;2,(M27*(1+'Rent Roll Analysis'!$AK25/12)), IF(AND('Monthly Cash Flow'!N$4&gt;1,'Monthly Cash Flow'!N$4&lt;=2),'Monthly Cash Flow'!M27*(1+'Rent Roll Analysis'!$AE25/12),'Monthly Cash Flow'!M27*(1+'Rent Roll Analysis'!$AB25/12))))</f>
        <v/>
      </c>
      <c r="O27" s="1428" t="str">
        <f>IF($B27="","",IF(O$4&gt;2,(N27*(1+'Rent Roll Analysis'!$AK25/12)), IF(AND('Monthly Cash Flow'!O$4&gt;1,'Monthly Cash Flow'!O$4&lt;=2),'Monthly Cash Flow'!N27*(1+'Rent Roll Analysis'!$AE25/12),'Monthly Cash Flow'!N27*(1+'Rent Roll Analysis'!$AB25/12))))</f>
        <v/>
      </c>
      <c r="P27" s="1428" t="str">
        <f>IF($B27="","",IF(P$4&gt;2,(O27*(1+'Rent Roll Analysis'!$AK25/12)), IF(AND('Monthly Cash Flow'!P$4&gt;1,'Monthly Cash Flow'!P$4&lt;=2),'Monthly Cash Flow'!O27*(1+'Rent Roll Analysis'!$AE25/12),'Monthly Cash Flow'!O27*(1+'Rent Roll Analysis'!$AB25/12))))</f>
        <v/>
      </c>
      <c r="Q27" s="1428" t="str">
        <f>IF($B27="","",IF(Q$4&gt;2,(P27*(1+'Rent Roll Analysis'!$AK25/12)), IF(AND('Monthly Cash Flow'!Q$4&gt;1,'Monthly Cash Flow'!Q$4&lt;=2),'Monthly Cash Flow'!P27*(1+'Rent Roll Analysis'!$AE25/12),'Monthly Cash Flow'!P27*(1+'Rent Roll Analysis'!$AB25/12))))</f>
        <v/>
      </c>
      <c r="R27" s="1428" t="str">
        <f>IF($B27="","",IF(R$4&gt;2,(Q27*(1+'Rent Roll Analysis'!$AK25/12)), IF(AND('Monthly Cash Flow'!R$4&gt;1,'Monthly Cash Flow'!R$4&lt;=2),'Monthly Cash Flow'!Q27*(1+'Rent Roll Analysis'!$AE25/12),'Monthly Cash Flow'!Q27*(1+'Rent Roll Analysis'!$AB25/12))))</f>
        <v/>
      </c>
      <c r="S27" s="1428" t="str">
        <f>IF($B27="","",IF(S$4&gt;2,(R27*(1+'Rent Roll Analysis'!$AK25/12)), IF(AND('Monthly Cash Flow'!S$4&gt;1,'Monthly Cash Flow'!S$4&lt;=2),'Monthly Cash Flow'!R27*(1+'Rent Roll Analysis'!$AE25/12),'Monthly Cash Flow'!R27*(1+'Rent Roll Analysis'!$AB25/12))))</f>
        <v/>
      </c>
      <c r="T27" s="1428" t="str">
        <f>IF($B27="","",IF(T$4&gt;2,(S27*(1+'Rent Roll Analysis'!$AK25/12)), IF(AND('Monthly Cash Flow'!T$4&gt;1,'Monthly Cash Flow'!T$4&lt;=2),'Monthly Cash Flow'!S27*(1+'Rent Roll Analysis'!$AE25/12),'Monthly Cash Flow'!S27*(1+'Rent Roll Analysis'!$AB25/12))))</f>
        <v/>
      </c>
      <c r="U27" s="1428" t="str">
        <f>IF($B27="","",IF(U$4&gt;2,(T27*(1+'Rent Roll Analysis'!$AK25/12)), IF(AND('Monthly Cash Flow'!U$4&gt;1,'Monthly Cash Flow'!U$4&lt;=2),'Monthly Cash Flow'!T27*(1+'Rent Roll Analysis'!$AE25/12),'Monthly Cash Flow'!T27*(1+'Rent Roll Analysis'!$AB25/12))))</f>
        <v/>
      </c>
      <c r="V27" s="1428" t="str">
        <f>IF($B27="","",IF(V$4&gt;2,(U27*(1+'Rent Roll Analysis'!$AK25/12)), IF(AND('Monthly Cash Flow'!V$4&gt;1,'Monthly Cash Flow'!V$4&lt;=2),'Monthly Cash Flow'!U27*(1+'Rent Roll Analysis'!$AE25/12),'Monthly Cash Flow'!U27*(1+'Rent Roll Analysis'!$AB25/12))))</f>
        <v/>
      </c>
      <c r="W27" s="1428" t="str">
        <f>IF($B27="","",IF(W$4&gt;2,(V27*(1+'Rent Roll Analysis'!$AK25/12)), IF(AND('Monthly Cash Flow'!W$4&gt;1,'Monthly Cash Flow'!W$4&lt;=2),'Monthly Cash Flow'!V27*(1+'Rent Roll Analysis'!$AE25/12),'Monthly Cash Flow'!V27*(1+'Rent Roll Analysis'!$AB25/12))))</f>
        <v/>
      </c>
      <c r="X27" s="1428" t="str">
        <f>IF($B27="","",IF(X$4&gt;2,(W27*(1+'Rent Roll Analysis'!$AK25/12)), IF(AND('Monthly Cash Flow'!X$4&gt;1,'Monthly Cash Flow'!X$4&lt;=2),'Monthly Cash Flow'!W27*(1+'Rent Roll Analysis'!$AE25/12),'Monthly Cash Flow'!W27*(1+'Rent Roll Analysis'!$AB25/12))))</f>
        <v/>
      </c>
      <c r="Y27" s="1428" t="str">
        <f>IF($B27="","",IF(Y$4&gt;2,(X27*(1+'Rent Roll Analysis'!$AK25/12)), IF(AND('Monthly Cash Flow'!Y$4&gt;1,'Monthly Cash Flow'!Y$4&lt;=2),'Monthly Cash Flow'!X27*(1+'Rent Roll Analysis'!$AE25/12),'Monthly Cash Flow'!X27*(1+'Rent Roll Analysis'!$AB25/12))))</f>
        <v/>
      </c>
      <c r="Z27" s="1428" t="str">
        <f>IF($B27="","",IF(Z$4&gt;2,(Y27*(1+'Rent Roll Analysis'!$AK25/12)), IF(AND('Monthly Cash Flow'!Z$4&gt;1,'Monthly Cash Flow'!Z$4&lt;=2),'Monthly Cash Flow'!Y27*(1+'Rent Roll Analysis'!$AE25/12),'Monthly Cash Flow'!Y27*(1+'Rent Roll Analysis'!$AB25/12))))</f>
        <v/>
      </c>
      <c r="AA27" s="1428" t="str">
        <f>IF($B27="","",IF(AA$4&gt;2,(Z27*(1+'Rent Roll Analysis'!$AK25/12)), IF(AND('Monthly Cash Flow'!AA$4&gt;1,'Monthly Cash Flow'!AA$4&lt;=2),'Monthly Cash Flow'!Z27*(1+'Rent Roll Analysis'!$AE25/12),'Monthly Cash Flow'!Z27*(1+'Rent Roll Analysis'!$AB25/12))))</f>
        <v/>
      </c>
      <c r="AB27" s="1428" t="str">
        <f>IF($B27="","",IF(AB$4&gt;2,(AA27*(1+'Rent Roll Analysis'!$AK25/12)), IF(AND('Monthly Cash Flow'!AB$4&gt;1,'Monthly Cash Flow'!AB$4&lt;=2),'Monthly Cash Flow'!AA27*(1+'Rent Roll Analysis'!$AE25/12),'Monthly Cash Flow'!AA27*(1+'Rent Roll Analysis'!$AB25/12))))</f>
        <v/>
      </c>
      <c r="AC27" s="1428" t="str">
        <f>IF($B27="","",IF(AC$4&gt;2,(AB27*(1+'Rent Roll Analysis'!$AK25/12)), IF(AND('Monthly Cash Flow'!AC$4&gt;1,'Monthly Cash Flow'!AC$4&lt;=2),'Monthly Cash Flow'!AB27*(1+'Rent Roll Analysis'!$AE25/12),'Monthly Cash Flow'!AB27*(1+'Rent Roll Analysis'!$AB25/12))))</f>
        <v/>
      </c>
      <c r="AD27" s="1428" t="str">
        <f>IF($B27="","",IF(AD$4&gt;2,(AC27*(1+'Rent Roll Analysis'!$AK25/12)), IF(AND('Monthly Cash Flow'!AD$4&gt;1,'Monthly Cash Flow'!AD$4&lt;=2),'Monthly Cash Flow'!AC27*(1+'Rent Roll Analysis'!$AE25/12),'Monthly Cash Flow'!AC27*(1+'Rent Roll Analysis'!$AB25/12))))</f>
        <v/>
      </c>
      <c r="AE27" s="1428" t="str">
        <f>IF($B27="","",IF(AE$4&gt;2,(AD27*(1+'Rent Roll Analysis'!$AK25/12)), IF(AND('Monthly Cash Flow'!AE$4&gt;1,'Monthly Cash Flow'!AE$4&lt;=2),'Monthly Cash Flow'!AD27*(1+'Rent Roll Analysis'!$AE25/12),'Monthly Cash Flow'!AD27*(1+'Rent Roll Analysis'!$AB25/12))))</f>
        <v/>
      </c>
      <c r="AF27" s="1428" t="str">
        <f>IF($B27="","",IF(AF$4&gt;2,(AE27*(1+'Rent Roll Analysis'!$AK25/12)), IF(AND('Monthly Cash Flow'!AF$4&gt;1,'Monthly Cash Flow'!AF$4&lt;=2),'Monthly Cash Flow'!AE27*(1+'Rent Roll Analysis'!$AE25/12),'Monthly Cash Flow'!AE27*(1+'Rent Roll Analysis'!$AB25/12))))</f>
        <v/>
      </c>
      <c r="AG27" s="1428" t="str">
        <f>IF($B27="","",IF(AG$4&gt;2,(AF27*(1+'Rent Roll Analysis'!$AK25/12)), IF(AND('Monthly Cash Flow'!AG$4&gt;1,'Monthly Cash Flow'!AG$4&lt;=2),'Monthly Cash Flow'!AF27*(1+'Rent Roll Analysis'!$AE25/12),'Monthly Cash Flow'!AF27*(1+'Rent Roll Analysis'!$AB25/12))))</f>
        <v/>
      </c>
      <c r="AH27" s="1428" t="str">
        <f>IF($B27="","",IF(AH$4&gt;2,(AG27*(1+'Rent Roll Analysis'!$AK25/12)), IF(AND('Monthly Cash Flow'!AH$4&gt;1,'Monthly Cash Flow'!AH$4&lt;=2),'Monthly Cash Flow'!AG27*(1+'Rent Roll Analysis'!$AE25/12),'Monthly Cash Flow'!AG27*(1+'Rent Roll Analysis'!$AB25/12))))</f>
        <v/>
      </c>
      <c r="AI27" s="1428" t="str">
        <f>IF($B27="","",IF(AI$4&gt;2,(AH27*(1+'Rent Roll Analysis'!$AK25/12)), IF(AND('Monthly Cash Flow'!AI$4&gt;1,'Monthly Cash Flow'!AI$4&lt;=2),'Monthly Cash Flow'!AH27*(1+'Rent Roll Analysis'!$AE25/12),'Monthly Cash Flow'!AH27*(1+'Rent Roll Analysis'!$AB25/12))))</f>
        <v/>
      </c>
      <c r="AJ27" s="1428" t="str">
        <f>IF($B27="","",IF(AJ$4&gt;2,(AI27*(1+'Rent Roll Analysis'!$AK25/12)), IF(AND('Monthly Cash Flow'!AJ$4&gt;1,'Monthly Cash Flow'!AJ$4&lt;=2),'Monthly Cash Flow'!AI27*(1+'Rent Roll Analysis'!$AE25/12),'Monthly Cash Flow'!AI27*(1+'Rent Roll Analysis'!$AB25/12))))</f>
        <v/>
      </c>
      <c r="AK27" s="1428" t="str">
        <f>IF($B27="","",IF(AK$4&gt;2,(AJ27*(1+'Rent Roll Analysis'!$AK25/12)), IF(AND('Monthly Cash Flow'!AK$4&gt;1,'Monthly Cash Flow'!AK$4&lt;=2),'Monthly Cash Flow'!AJ27*(1+'Rent Roll Analysis'!$AE25/12),'Monthly Cash Flow'!AJ27*(1+'Rent Roll Analysis'!$AB25/12))))</f>
        <v/>
      </c>
      <c r="AL27" s="1428" t="str">
        <f>IF($B27="","",IF(AL$4&gt;2,(AK27*(1+'Rent Roll Analysis'!$AK25/12)), IF(AND('Monthly Cash Flow'!AL$4&gt;1,'Monthly Cash Flow'!AL$4&lt;=2),'Monthly Cash Flow'!AK27*(1+'Rent Roll Analysis'!$AE25/12),'Monthly Cash Flow'!AK27*(1+'Rent Roll Analysis'!$AB25/12))))</f>
        <v/>
      </c>
      <c r="AM27" s="1428" t="str">
        <f>IF($B27="","",IF(AM$4&gt;2,(AL27*(1+'Rent Roll Analysis'!$AK25/12)), IF(AND('Monthly Cash Flow'!AM$4&gt;1,'Monthly Cash Flow'!AM$4&lt;=2),'Monthly Cash Flow'!AL27*(1+'Rent Roll Analysis'!$AE25/12),'Monthly Cash Flow'!AL27*(1+'Rent Roll Analysis'!$AB25/12))))</f>
        <v/>
      </c>
      <c r="AN27" s="1428" t="str">
        <f>IF($B27="","",IF(AN$4&gt;2,(AM27*(1+'Rent Roll Analysis'!$AK25/12)), IF(AND('Monthly Cash Flow'!AN$4&gt;1,'Monthly Cash Flow'!AN$4&lt;=2),'Monthly Cash Flow'!AM27*(1+'Rent Roll Analysis'!$AE25/12),'Monthly Cash Flow'!AM27*(1+'Rent Roll Analysis'!$AB25/12))))</f>
        <v/>
      </c>
      <c r="AO27" s="1428" t="str">
        <f>IF($B27="","",IF(AO$4&gt;2,(AN27*(1+'Rent Roll Analysis'!$AK25/12)), IF(AND('Monthly Cash Flow'!AO$4&gt;1,'Monthly Cash Flow'!AO$4&lt;=2),'Monthly Cash Flow'!AN27*(1+'Rent Roll Analysis'!$AE25/12),'Monthly Cash Flow'!AN27*(1+'Rent Roll Analysis'!$AB25/12))))</f>
        <v/>
      </c>
      <c r="AP27" s="1428" t="str">
        <f>IF($B27="","",IF(AP$4&gt;2,(AO27*(1+'Rent Roll Analysis'!$AK25/12)), IF(AND('Monthly Cash Flow'!AP$4&gt;1,'Monthly Cash Flow'!AP$4&lt;=2),'Monthly Cash Flow'!AO27*(1+'Rent Roll Analysis'!$AE25/12),'Monthly Cash Flow'!AO27*(1+'Rent Roll Analysis'!$AB25/12))))</f>
        <v/>
      </c>
      <c r="AQ27" s="1428" t="str">
        <f>IF($B27="","",IF(AQ$4&gt;2,(AP27*(1+'Rent Roll Analysis'!$AK25/12)), IF(AND('Monthly Cash Flow'!AQ$4&gt;1,'Monthly Cash Flow'!AQ$4&lt;=2),'Monthly Cash Flow'!AP27*(1+'Rent Roll Analysis'!$AE25/12),'Monthly Cash Flow'!AP27*(1+'Rent Roll Analysis'!$AB25/12))))</f>
        <v/>
      </c>
      <c r="AR27" s="1428" t="str">
        <f>IF($B27="","",IF(AR$4&gt;2,(AQ27*(1+'Rent Roll Analysis'!$AK25/12)), IF(AND('Monthly Cash Flow'!AR$4&gt;1,'Monthly Cash Flow'!AR$4&lt;=2),'Monthly Cash Flow'!AQ27*(1+'Rent Roll Analysis'!$AE25/12),'Monthly Cash Flow'!AQ27*(1+'Rent Roll Analysis'!$AB25/12))))</f>
        <v/>
      </c>
      <c r="AS27" s="1428" t="str">
        <f>IF($B27="","",IF(AS$4&gt;2,(AR27*(1+'Rent Roll Analysis'!$AK25/12)), IF(AND('Monthly Cash Flow'!AS$4&gt;1,'Monthly Cash Flow'!AS$4&lt;=2),'Monthly Cash Flow'!AR27*(1+'Rent Roll Analysis'!$AE25/12),'Monthly Cash Flow'!AR27*(1+'Rent Roll Analysis'!$AB25/12))))</f>
        <v/>
      </c>
      <c r="AT27" s="1428" t="str">
        <f>IF($B27="","",IF(AT$4&gt;2,(AS27*(1+'Rent Roll Analysis'!$AK25/12)), IF(AND('Monthly Cash Flow'!AT$4&gt;1,'Monthly Cash Flow'!AT$4&lt;=2),'Monthly Cash Flow'!AS27*(1+'Rent Roll Analysis'!$AE25/12),'Monthly Cash Flow'!AS27*(1+'Rent Roll Analysis'!$AB25/12))))</f>
        <v/>
      </c>
      <c r="AU27" s="1428" t="str">
        <f>IF($B27="","",IF(AU$4&gt;2,(AT27*(1+'Rent Roll Analysis'!$AK25/12)), IF(AND('Monthly Cash Flow'!AU$4&gt;1,'Monthly Cash Flow'!AU$4&lt;=2),'Monthly Cash Flow'!AT27*(1+'Rent Roll Analysis'!$AE25/12),'Monthly Cash Flow'!AT27*(1+'Rent Roll Analysis'!$AB25/12))))</f>
        <v/>
      </c>
      <c r="AV27" s="1428" t="str">
        <f>IF($B27="","",IF(AV$4&gt;2,(AU27*(1+'Rent Roll Analysis'!$AK25/12)), IF(AND('Monthly Cash Flow'!AV$4&gt;1,'Monthly Cash Flow'!AV$4&lt;=2),'Monthly Cash Flow'!AU27*(1+'Rent Roll Analysis'!$AE25/12),'Monthly Cash Flow'!AU27*(1+'Rent Roll Analysis'!$AB25/12))))</f>
        <v/>
      </c>
      <c r="AW27" s="1428" t="str">
        <f>IF($B27="","",IF(AW$4&gt;2,(AV27*(1+'Rent Roll Analysis'!$AK25/12)), IF(AND('Monthly Cash Flow'!AW$4&gt;1,'Monthly Cash Flow'!AW$4&lt;=2),'Monthly Cash Flow'!AV27*(1+'Rent Roll Analysis'!$AE25/12),'Monthly Cash Flow'!AV27*(1+'Rent Roll Analysis'!$AB25/12))))</f>
        <v/>
      </c>
      <c r="AX27" s="1428" t="str">
        <f>IF($B27="","",IF(AX$4&gt;2,(AW27*(1+'Rent Roll Analysis'!$AK25/12)), IF(AND('Monthly Cash Flow'!AX$4&gt;1,'Monthly Cash Flow'!AX$4&lt;=2),'Monthly Cash Flow'!AW27*(1+'Rent Roll Analysis'!$AE25/12),'Monthly Cash Flow'!AW27*(1+'Rent Roll Analysis'!$AB25/12))))</f>
        <v/>
      </c>
      <c r="AY27" s="1428" t="str">
        <f>IF($B27="","",IF(AY$4&gt;2,(AX27*(1+'Rent Roll Analysis'!$AK25/12)), IF(AND('Monthly Cash Flow'!AY$4&gt;1,'Monthly Cash Flow'!AY$4&lt;=2),'Monthly Cash Flow'!AX27*(1+'Rent Roll Analysis'!$AE25/12),'Monthly Cash Flow'!AX27*(1+'Rent Roll Analysis'!$AB25/12))))</f>
        <v/>
      </c>
      <c r="AZ27" s="1428" t="str">
        <f>IF($B27="","",IF(AZ$4&gt;2,(AY27*(1+'Rent Roll Analysis'!$AK25/12)), IF(AND('Monthly Cash Flow'!AZ$4&gt;1,'Monthly Cash Flow'!AZ$4&lt;=2),'Monthly Cash Flow'!AY27*(1+'Rent Roll Analysis'!$AE25/12),'Monthly Cash Flow'!AY27*(1+'Rent Roll Analysis'!$AB25/12))))</f>
        <v/>
      </c>
      <c r="BA27" s="1428" t="str">
        <f>IF($B27="","",IF(BA$4&gt;2,(AZ27*(1+'Rent Roll Analysis'!$AK25/12)), IF(AND('Monthly Cash Flow'!BA$4&gt;1,'Monthly Cash Flow'!BA$4&lt;=2),'Monthly Cash Flow'!AZ27*(1+'Rent Roll Analysis'!$AE25/12),'Monthly Cash Flow'!AZ27*(1+'Rent Roll Analysis'!$AB25/12))))</f>
        <v/>
      </c>
      <c r="BB27" s="1428" t="str">
        <f>IF($B27="","",IF(BB$4&gt;2,(BA27*(1+'Rent Roll Analysis'!$AK25/12)), IF(AND('Monthly Cash Flow'!BB$4&gt;1,'Monthly Cash Flow'!BB$4&lt;=2),'Monthly Cash Flow'!BA27*(1+'Rent Roll Analysis'!$AE25/12),'Monthly Cash Flow'!BA27*(1+'Rent Roll Analysis'!$AB25/12))))</f>
        <v/>
      </c>
      <c r="BC27" s="1428" t="str">
        <f>IF($B27="","",IF(BC$4&gt;2,(BB27*(1+'Rent Roll Analysis'!$AK25/12)), IF(AND('Monthly Cash Flow'!BC$4&gt;1,'Monthly Cash Flow'!BC$4&lt;=2),'Monthly Cash Flow'!BB27*(1+'Rent Roll Analysis'!$AE25/12),'Monthly Cash Flow'!BB27*(1+'Rent Roll Analysis'!$AB25/12))))</f>
        <v/>
      </c>
      <c r="BD27" s="1428" t="str">
        <f>IF($B27="","",IF(BD$4&gt;2,(BC27*(1+'Rent Roll Analysis'!$AK25/12)), IF(AND('Monthly Cash Flow'!BD$4&gt;1,'Monthly Cash Flow'!BD$4&lt;=2),'Monthly Cash Flow'!BC27*(1+'Rent Roll Analysis'!$AE25/12),'Monthly Cash Flow'!BC27*(1+'Rent Roll Analysis'!$AB25/12))))</f>
        <v/>
      </c>
      <c r="BE27" s="1428" t="str">
        <f>IF($B27="","",IF(BE$4&gt;2,(BD27*(1+'Rent Roll Analysis'!$AK25/12)), IF(AND('Monthly Cash Flow'!BE$4&gt;1,'Monthly Cash Flow'!BE$4&lt;=2),'Monthly Cash Flow'!BD27*(1+'Rent Roll Analysis'!$AE25/12),'Monthly Cash Flow'!BD27*(1+'Rent Roll Analysis'!$AB25/12))))</f>
        <v/>
      </c>
      <c r="BF27" s="1428" t="str">
        <f>IF($B27="","",IF(BF$4&gt;2,(BE27*(1+'Rent Roll Analysis'!$AK25/12)), IF(AND('Monthly Cash Flow'!BF$4&gt;1,'Monthly Cash Flow'!BF$4&lt;=2),'Monthly Cash Flow'!BE27*(1+'Rent Roll Analysis'!$AE25/12),'Monthly Cash Flow'!BE27*(1+'Rent Roll Analysis'!$AB25/12))))</f>
        <v/>
      </c>
      <c r="BG27" s="1428" t="str">
        <f>IF($B27="","",IF(BG$4&gt;2,(BF27*(1+'Rent Roll Analysis'!$AK25/12)), IF(AND('Monthly Cash Flow'!BG$4&gt;1,'Monthly Cash Flow'!BG$4&lt;=2),'Monthly Cash Flow'!BF27*(1+'Rent Roll Analysis'!$AE25/12),'Monthly Cash Flow'!BF27*(1+'Rent Roll Analysis'!$AB25/12))))</f>
        <v/>
      </c>
      <c r="BH27" s="1428" t="str">
        <f>IF($B27="","",IF(BH$4&gt;2,(BG27*(1+'Rent Roll Analysis'!$AK25/12)), IF(AND('Monthly Cash Flow'!BH$4&gt;1,'Monthly Cash Flow'!BH$4&lt;=2),'Monthly Cash Flow'!BG27*(1+'Rent Roll Analysis'!$AE25/12),'Monthly Cash Flow'!BG27*(1+'Rent Roll Analysis'!$AB25/12))))</f>
        <v/>
      </c>
      <c r="BI27" s="1428" t="str">
        <f>IF($B27="","",IF(BI$4&gt;2,(BH27*(1+'Rent Roll Analysis'!$AK25/12)), IF(AND('Monthly Cash Flow'!BI$4&gt;1,'Monthly Cash Flow'!BI$4&lt;=2),'Monthly Cash Flow'!BH27*(1+'Rent Roll Analysis'!$AE25/12),'Monthly Cash Flow'!BH27*(1+'Rent Roll Analysis'!$AB25/12))))</f>
        <v/>
      </c>
      <c r="BJ27" s="1428" t="str">
        <f>IF($B27="","",IF(BJ$4&gt;2,(BI27*(1+'Rent Roll Analysis'!$AK25/12)), IF(AND('Monthly Cash Flow'!BJ$4&gt;1,'Monthly Cash Flow'!BJ$4&lt;=2),'Monthly Cash Flow'!BI27*(1+'Rent Roll Analysis'!$AE25/12),'Monthly Cash Flow'!BI27*(1+'Rent Roll Analysis'!$AB25/12))))</f>
        <v/>
      </c>
      <c r="BK27" s="1428" t="str">
        <f>IF($B27="","",IF(BK$4&gt;2,(BJ27*(1+'Rent Roll Analysis'!$AK25/12)), IF(AND('Monthly Cash Flow'!BK$4&gt;1,'Monthly Cash Flow'!BK$4&lt;=2),'Monthly Cash Flow'!BJ27*(1+'Rent Roll Analysis'!$AE25/12),'Monthly Cash Flow'!BJ27*(1+'Rent Roll Analysis'!$AB25/12))))</f>
        <v/>
      </c>
      <c r="BL27" s="1428" t="str">
        <f>IF($B27="","",IF(BL$4&gt;2,(BK27*(1+'Rent Roll Analysis'!$AK25/12)), IF(AND('Monthly Cash Flow'!BL$4&gt;1,'Monthly Cash Flow'!BL$4&lt;=2),'Monthly Cash Flow'!BK27*(1+'Rent Roll Analysis'!$AE25/12),'Monthly Cash Flow'!BK27*(1+'Rent Roll Analysis'!$AB25/12))))</f>
        <v/>
      </c>
      <c r="BM27" s="1428" t="str">
        <f>IF($B27="","",IF(BM$4&gt;2,(BL27*(1+'Rent Roll Analysis'!$AK25/12)), IF(AND('Monthly Cash Flow'!BM$4&gt;1,'Monthly Cash Flow'!BM$4&lt;=2),'Monthly Cash Flow'!BL27*(1+'Rent Roll Analysis'!$AE25/12),'Monthly Cash Flow'!BL27*(1+'Rent Roll Analysis'!$AB25/12))))</f>
        <v/>
      </c>
      <c r="BN27" s="1428" t="str">
        <f>IF($B27="","",IF(BN$4&gt;2,(BM27*(1+'Rent Roll Analysis'!$AK25/12)), IF(AND('Monthly Cash Flow'!BN$4&gt;1,'Monthly Cash Flow'!BN$4&lt;=2),'Monthly Cash Flow'!BM27*(1+'Rent Roll Analysis'!$AE25/12),'Monthly Cash Flow'!BM27*(1+'Rent Roll Analysis'!$AB25/12))))</f>
        <v/>
      </c>
      <c r="BO27" s="1428" t="str">
        <f>IF($B27="","",IF(BO$4&gt;2,(BN27*(1+'Rent Roll Analysis'!$AK25/12)), IF(AND('Monthly Cash Flow'!BO$4&gt;1,'Monthly Cash Flow'!BO$4&lt;=2),'Monthly Cash Flow'!BN27*(1+'Rent Roll Analysis'!$AE25/12),'Monthly Cash Flow'!BN27*(1+'Rent Roll Analysis'!$AB25/12))))</f>
        <v/>
      </c>
      <c r="BP27" s="1428" t="str">
        <f>IF($B27="","",IF(BP$4&gt;2,(BO27*(1+'Rent Roll Analysis'!$AK25/12)), IF(AND('Monthly Cash Flow'!BP$4&gt;1,'Monthly Cash Flow'!BP$4&lt;=2),'Monthly Cash Flow'!BO27*(1+'Rent Roll Analysis'!$AE25/12),'Monthly Cash Flow'!BO27*(1+'Rent Roll Analysis'!$AB25/12))))</f>
        <v/>
      </c>
      <c r="BQ27" s="1428" t="str">
        <f>IF($B27="","",IF(BQ$4&gt;2,(BP27*(1+'Rent Roll Analysis'!$AK25/12)), IF(AND('Monthly Cash Flow'!BQ$4&gt;1,'Monthly Cash Flow'!BQ$4&lt;=2),'Monthly Cash Flow'!BP27*(1+'Rent Roll Analysis'!$AE25/12),'Monthly Cash Flow'!BP27*(1+'Rent Roll Analysis'!$AB25/12))))</f>
        <v/>
      </c>
      <c r="BR27" s="1428" t="str">
        <f>IF($B27="","",IF(BR$4&gt;2,(BQ27*(1+'Rent Roll Analysis'!$AK25/12)), IF(AND('Monthly Cash Flow'!BR$4&gt;1,'Monthly Cash Flow'!BR$4&lt;=2),'Monthly Cash Flow'!BQ27*(1+'Rent Roll Analysis'!$AE25/12),'Monthly Cash Flow'!BQ27*(1+'Rent Roll Analysis'!$AB25/12))))</f>
        <v/>
      </c>
      <c r="BS27" s="1428" t="str">
        <f>IF($B27="","",IF(BS$4&gt;2,(BR27*(1+'Rent Roll Analysis'!$AK25/12)), IF(AND('Monthly Cash Flow'!BS$4&gt;1,'Monthly Cash Flow'!BS$4&lt;=2),'Monthly Cash Flow'!BR27*(1+'Rent Roll Analysis'!$AE25/12),'Monthly Cash Flow'!BR27*(1+'Rent Roll Analysis'!$AB25/12))))</f>
        <v/>
      </c>
      <c r="BT27" s="1428" t="str">
        <f>IF($B27="","",IF(BT$4&gt;2,(BS27*(1+'Rent Roll Analysis'!$AK25/12)), IF(AND('Monthly Cash Flow'!BT$4&gt;1,'Monthly Cash Flow'!BT$4&lt;=2),'Monthly Cash Flow'!BS27*(1+'Rent Roll Analysis'!$AE25/12),'Monthly Cash Flow'!BS27*(1+'Rent Roll Analysis'!$AB25/12))))</f>
        <v/>
      </c>
      <c r="BU27" s="1428" t="str">
        <f>IF($B27="","",IF(BU$4&gt;2,(BT27*(1+'Rent Roll Analysis'!$AK25/12)), IF(AND('Monthly Cash Flow'!BU$4&gt;1,'Monthly Cash Flow'!BU$4&lt;=2),'Monthly Cash Flow'!BT27*(1+'Rent Roll Analysis'!$AE25/12),'Monthly Cash Flow'!BT27*(1+'Rent Roll Analysis'!$AB25/12))))</f>
        <v/>
      </c>
      <c r="BV27" s="1428" t="str">
        <f>IF($B27="","",IF(BV$4&gt;2,(BU27*(1+'Rent Roll Analysis'!$AK25/12)), IF(AND('Monthly Cash Flow'!BV$4&gt;1,'Monthly Cash Flow'!BV$4&lt;=2),'Monthly Cash Flow'!BU27*(1+'Rent Roll Analysis'!$AE25/12),'Monthly Cash Flow'!BU27*(1+'Rent Roll Analysis'!$AB25/12))))</f>
        <v/>
      </c>
      <c r="BW27" s="1428" t="str">
        <f>IF($B27="","",IF(BW$4&gt;2,(BV27*(1+'Rent Roll Analysis'!$AK25/12)), IF(AND('Monthly Cash Flow'!BW$4&gt;1,'Monthly Cash Flow'!BW$4&lt;=2),'Monthly Cash Flow'!BV27*(1+'Rent Roll Analysis'!$AE25/12),'Monthly Cash Flow'!BV27*(1+'Rent Roll Analysis'!$AB25/12))))</f>
        <v/>
      </c>
      <c r="BX27" s="1428" t="str">
        <f>IF($B27="","",IF(BX$4&gt;2,(BW27*(1+'Rent Roll Analysis'!$AK25/12)), IF(AND('Monthly Cash Flow'!BX$4&gt;1,'Monthly Cash Flow'!BX$4&lt;=2),'Monthly Cash Flow'!BW27*(1+'Rent Roll Analysis'!$AE25/12),'Monthly Cash Flow'!BW27*(1+'Rent Roll Analysis'!$AB25/12))))</f>
        <v/>
      </c>
      <c r="BY27" s="1428" t="str">
        <f>IF($B27="","",IF(BY$4&gt;2,(BX27*(1+'Rent Roll Analysis'!$AK25/12)), IF(AND('Monthly Cash Flow'!BY$4&gt;1,'Monthly Cash Flow'!BY$4&lt;=2),'Monthly Cash Flow'!BX27*(1+'Rent Roll Analysis'!$AE25/12),'Monthly Cash Flow'!BX27*(1+'Rent Roll Analysis'!$AB25/12))))</f>
        <v/>
      </c>
      <c r="BZ27" s="1428" t="str">
        <f>IF($B27="","",IF(BZ$4&gt;2,(BY27*(1+'Rent Roll Analysis'!$AK25/12)), IF(AND('Monthly Cash Flow'!BZ$4&gt;1,'Monthly Cash Flow'!BZ$4&lt;=2),'Monthly Cash Flow'!BY27*(1+'Rent Roll Analysis'!$AE25/12),'Monthly Cash Flow'!BY27*(1+'Rent Roll Analysis'!$AB25/12))))</f>
        <v/>
      </c>
      <c r="CA27" s="1428" t="str">
        <f>IF($B27="","",IF(CA$4&gt;2,(BZ27*(1+'Rent Roll Analysis'!$AK25/12)), IF(AND('Monthly Cash Flow'!CA$4&gt;1,'Monthly Cash Flow'!CA$4&lt;=2),'Monthly Cash Flow'!BZ27*(1+'Rent Roll Analysis'!$AE25/12),'Monthly Cash Flow'!BZ27*(1+'Rent Roll Analysis'!$AB25/12))))</f>
        <v/>
      </c>
      <c r="CB27" s="1428" t="str">
        <f>IF($B27="","",IF(CB$4&gt;2,(CA27*(1+'Rent Roll Analysis'!$AK25/12)), IF(AND('Monthly Cash Flow'!CB$4&gt;1,'Monthly Cash Flow'!CB$4&lt;=2),'Monthly Cash Flow'!CA27*(1+'Rent Roll Analysis'!$AE25/12),'Monthly Cash Flow'!CA27*(1+'Rent Roll Analysis'!$AB25/12))))</f>
        <v/>
      </c>
      <c r="CC27" s="1428" t="str">
        <f>IF($B27="","",IF(CC$4&gt;2,(CB27*(1+'Rent Roll Analysis'!$AK25/12)), IF(AND('Monthly Cash Flow'!CC$4&gt;1,'Monthly Cash Flow'!CC$4&lt;=2),'Monthly Cash Flow'!CB27*(1+'Rent Roll Analysis'!$AE25/12),'Monthly Cash Flow'!CB27*(1+'Rent Roll Analysis'!$AB25/12))))</f>
        <v/>
      </c>
      <c r="CD27" s="1428" t="str">
        <f>IF($B27="","",IF(CD$4&gt;2,(CC27*(1+'Rent Roll Analysis'!$AK25/12)), IF(AND('Monthly Cash Flow'!CD$4&gt;1,'Monthly Cash Flow'!CD$4&lt;=2),'Monthly Cash Flow'!CC27*(1+'Rent Roll Analysis'!$AE25/12),'Monthly Cash Flow'!CC27*(1+'Rent Roll Analysis'!$AB25/12))))</f>
        <v/>
      </c>
      <c r="CE27" s="1428" t="str">
        <f>IF($B27="","",IF(CE$4&gt;2,(CD27*(1+'Rent Roll Analysis'!$AK25/12)), IF(AND('Monthly Cash Flow'!CE$4&gt;1,'Monthly Cash Flow'!CE$4&lt;=2),'Monthly Cash Flow'!CD27*(1+'Rent Roll Analysis'!$AE25/12),'Monthly Cash Flow'!CD27*(1+'Rent Roll Analysis'!$AB25/12))))</f>
        <v/>
      </c>
      <c r="CF27" s="1428" t="str">
        <f>IF($B27="","",IF(CF$4&gt;2,(CE27*(1+'Rent Roll Analysis'!$AK25/12)), IF(AND('Monthly Cash Flow'!CF$4&gt;1,'Monthly Cash Flow'!CF$4&lt;=2),'Monthly Cash Flow'!CE27*(1+'Rent Roll Analysis'!$AE25/12),'Monthly Cash Flow'!CE27*(1+'Rent Roll Analysis'!$AB25/12))))</f>
        <v/>
      </c>
      <c r="CG27" s="1428" t="str">
        <f>IF($B27="","",IF(CG$4&gt;2,(CF27*(1+'Rent Roll Analysis'!$AK25/12)), IF(AND('Monthly Cash Flow'!CG$4&gt;1,'Monthly Cash Flow'!CG$4&lt;=2),'Monthly Cash Flow'!CF27*(1+'Rent Roll Analysis'!$AE25/12),'Monthly Cash Flow'!CF27*(1+'Rent Roll Analysis'!$AB25/12))))</f>
        <v/>
      </c>
      <c r="CH27" s="1428" t="str">
        <f>IF($B27="","",IF(CH$4&gt;2,(CG27*(1+'Rent Roll Analysis'!$AK25/12)), IF(AND('Monthly Cash Flow'!CH$4&gt;1,'Monthly Cash Flow'!CH$4&lt;=2),'Monthly Cash Flow'!CG27*(1+'Rent Roll Analysis'!$AE25/12),'Monthly Cash Flow'!CG27*(1+'Rent Roll Analysis'!$AB25/12))))</f>
        <v/>
      </c>
      <c r="CI27" s="1428" t="str">
        <f>IF($B27="","",IF(CI$4&gt;2,(CH27*(1+'Rent Roll Analysis'!$AK25/12)), IF(AND('Monthly Cash Flow'!CI$4&gt;1,'Monthly Cash Flow'!CI$4&lt;=2),'Monthly Cash Flow'!CH27*(1+'Rent Roll Analysis'!$AE25/12),'Monthly Cash Flow'!CH27*(1+'Rent Roll Analysis'!$AB25/12))))</f>
        <v/>
      </c>
      <c r="CJ27" s="1428" t="str">
        <f>IF($B27="","",IF(CJ$4&gt;2,(CI27*(1+'Rent Roll Analysis'!$AK25/12)), IF(AND('Monthly Cash Flow'!CJ$4&gt;1,'Monthly Cash Flow'!CJ$4&lt;=2),'Monthly Cash Flow'!CI27*(1+'Rent Roll Analysis'!$AE25/12),'Monthly Cash Flow'!CI27*(1+'Rent Roll Analysis'!$AB25/12))))</f>
        <v/>
      </c>
      <c r="CK27" s="1428" t="str">
        <f>IF($B27="","",IF(CK$4&gt;2,(CJ27*(1+'Rent Roll Analysis'!$AK25/12)), IF(AND('Monthly Cash Flow'!CK$4&gt;1,'Monthly Cash Flow'!CK$4&lt;=2),'Monthly Cash Flow'!CJ27*(1+'Rent Roll Analysis'!$AE25/12),'Monthly Cash Flow'!CJ27*(1+'Rent Roll Analysis'!$AB25/12))))</f>
        <v/>
      </c>
      <c r="CL27" s="1428" t="str">
        <f>IF($B27="","",IF(CL$4&gt;2,(CK27*(1+'Rent Roll Analysis'!$AK25/12)), IF(AND('Monthly Cash Flow'!CL$4&gt;1,'Monthly Cash Flow'!CL$4&lt;=2),'Monthly Cash Flow'!CK27*(1+'Rent Roll Analysis'!$AE25/12),'Monthly Cash Flow'!CK27*(1+'Rent Roll Analysis'!$AB25/12))))</f>
        <v/>
      </c>
      <c r="CM27" s="1428" t="str">
        <f>IF($B27="","",IF(CM$4&gt;2,(CL27*(1+'Rent Roll Analysis'!$AK25/12)), IF(AND('Monthly Cash Flow'!CM$4&gt;1,'Monthly Cash Flow'!CM$4&lt;=2),'Monthly Cash Flow'!CL27*(1+'Rent Roll Analysis'!$AE25/12),'Monthly Cash Flow'!CL27*(1+'Rent Roll Analysis'!$AB25/12))))</f>
        <v/>
      </c>
      <c r="CN27" s="1428" t="str">
        <f>IF($B27="","",IF(CN$4&gt;2,(CM27*(1+'Rent Roll Analysis'!$AK25/12)), IF(AND('Monthly Cash Flow'!CN$4&gt;1,'Monthly Cash Flow'!CN$4&lt;=2),'Monthly Cash Flow'!CM27*(1+'Rent Roll Analysis'!$AE25/12),'Monthly Cash Flow'!CM27*(1+'Rent Roll Analysis'!$AB25/12))))</f>
        <v/>
      </c>
      <c r="CO27" s="1428" t="str">
        <f>IF($B27="","",IF(CO$4&gt;2,(CN27*(1+'Rent Roll Analysis'!$AK25/12)), IF(AND('Monthly Cash Flow'!CO$4&gt;1,'Monthly Cash Flow'!CO$4&lt;=2),'Monthly Cash Flow'!CN27*(1+'Rent Roll Analysis'!$AE25/12),'Monthly Cash Flow'!CN27*(1+'Rent Roll Analysis'!$AB25/12))))</f>
        <v/>
      </c>
      <c r="CP27" s="1428" t="str">
        <f>IF($B27="","",IF(CP$4&gt;2,(CO27*(1+'Rent Roll Analysis'!$AK25/12)), IF(AND('Monthly Cash Flow'!CP$4&gt;1,'Monthly Cash Flow'!CP$4&lt;=2),'Monthly Cash Flow'!CO27*(1+'Rent Roll Analysis'!$AE25/12),'Monthly Cash Flow'!CO27*(1+'Rent Roll Analysis'!$AB25/12))))</f>
        <v/>
      </c>
      <c r="CQ27" s="1428" t="str">
        <f>IF($B27="","",IF(CQ$4&gt;2,(CP27*(1+'Rent Roll Analysis'!$AK25/12)), IF(AND('Monthly Cash Flow'!CQ$4&gt;1,'Monthly Cash Flow'!CQ$4&lt;=2),'Monthly Cash Flow'!CP27*(1+'Rent Roll Analysis'!$AE25/12),'Monthly Cash Flow'!CP27*(1+'Rent Roll Analysis'!$AB25/12))))</f>
        <v/>
      </c>
      <c r="CR27" s="1428" t="str">
        <f>IF($B27="","",IF(CR$4&gt;2,(CQ27*(1+'Rent Roll Analysis'!$AK25/12)), IF(AND('Monthly Cash Flow'!CR$4&gt;1,'Monthly Cash Flow'!CR$4&lt;=2),'Monthly Cash Flow'!CQ27*(1+'Rent Roll Analysis'!$AE25/12),'Monthly Cash Flow'!CQ27*(1+'Rent Roll Analysis'!$AB25/12))))</f>
        <v/>
      </c>
      <c r="CS27" s="1428" t="str">
        <f>IF($B27="","",IF(CS$4&gt;2,(CR27*(1+'Rent Roll Analysis'!$AK25/12)), IF(AND('Monthly Cash Flow'!CS$4&gt;1,'Monthly Cash Flow'!CS$4&lt;=2),'Monthly Cash Flow'!CR27*(1+'Rent Roll Analysis'!$AE25/12),'Monthly Cash Flow'!CR27*(1+'Rent Roll Analysis'!$AB25/12))))</f>
        <v/>
      </c>
      <c r="CT27" s="1428" t="str">
        <f>IF($B27="","",IF(CT$4&gt;2,(CS27*(1+'Rent Roll Analysis'!$AK25/12)), IF(AND('Monthly Cash Flow'!CT$4&gt;1,'Monthly Cash Flow'!CT$4&lt;=2),'Monthly Cash Flow'!CS27*(1+'Rent Roll Analysis'!$AE25/12),'Monthly Cash Flow'!CS27*(1+'Rent Roll Analysis'!$AB25/12))))</f>
        <v/>
      </c>
      <c r="CU27" s="1428" t="str">
        <f>IF($B27="","",IF(CU$4&gt;2,(CT27*(1+'Rent Roll Analysis'!$AK25/12)), IF(AND('Monthly Cash Flow'!CU$4&gt;1,'Monthly Cash Flow'!CU$4&lt;=2),'Monthly Cash Flow'!CT27*(1+'Rent Roll Analysis'!$AE25/12),'Monthly Cash Flow'!CT27*(1+'Rent Roll Analysis'!$AB25/12))))</f>
        <v/>
      </c>
      <c r="CV27" s="1428" t="str">
        <f>IF($B27="","",IF(CV$4&gt;2,(CU27*(1+'Rent Roll Analysis'!$AK25/12)), IF(AND('Monthly Cash Flow'!CV$4&gt;1,'Monthly Cash Flow'!CV$4&lt;=2),'Monthly Cash Flow'!CU27*(1+'Rent Roll Analysis'!$AE25/12),'Monthly Cash Flow'!CU27*(1+'Rent Roll Analysis'!$AB25/12))))</f>
        <v/>
      </c>
      <c r="CW27" s="1428" t="str">
        <f>IF($B27="","",IF(CW$4&gt;2,(CV27*(1+'Rent Roll Analysis'!$AK25/12)), IF(AND('Monthly Cash Flow'!CW$4&gt;1,'Monthly Cash Flow'!CW$4&lt;=2),'Monthly Cash Flow'!CV27*(1+'Rent Roll Analysis'!$AE25/12),'Monthly Cash Flow'!CV27*(1+'Rent Roll Analysis'!$AB25/12))))</f>
        <v/>
      </c>
      <c r="CX27" s="1428" t="str">
        <f>IF($B27="","",IF(CX$4&gt;2,(CW27*(1+'Rent Roll Analysis'!$AK25/12)), IF(AND('Monthly Cash Flow'!CX$4&gt;1,'Monthly Cash Flow'!CX$4&lt;=2),'Monthly Cash Flow'!CW27*(1+'Rent Roll Analysis'!$AE25/12),'Monthly Cash Flow'!CW27*(1+'Rent Roll Analysis'!$AB25/12))))</f>
        <v/>
      </c>
      <c r="CY27" s="1428" t="str">
        <f>IF($B27="","",IF(CY$4&gt;2,(CX27*(1+'Rent Roll Analysis'!$AK25/12)), IF(AND('Monthly Cash Flow'!CY$4&gt;1,'Monthly Cash Flow'!CY$4&lt;=2),'Monthly Cash Flow'!CX27*(1+'Rent Roll Analysis'!$AE25/12),'Monthly Cash Flow'!CX27*(1+'Rent Roll Analysis'!$AB25/12))))</f>
        <v/>
      </c>
      <c r="CZ27" s="1428" t="str">
        <f>IF($B27="","",IF(CZ$4&gt;2,(CY27*(1+'Rent Roll Analysis'!$AK25/12)), IF(AND('Monthly Cash Flow'!CZ$4&gt;1,'Monthly Cash Flow'!CZ$4&lt;=2),'Monthly Cash Flow'!CY27*(1+'Rent Roll Analysis'!$AE25/12),'Monthly Cash Flow'!CY27*(1+'Rent Roll Analysis'!$AB25/12))))</f>
        <v/>
      </c>
      <c r="DA27" s="1428" t="str">
        <f>IF($B27="","",IF(DA$4&gt;2,(CZ27*(1+'Rent Roll Analysis'!$AK25/12)), IF(AND('Monthly Cash Flow'!DA$4&gt;1,'Monthly Cash Flow'!DA$4&lt;=2),'Monthly Cash Flow'!CZ27*(1+'Rent Roll Analysis'!$AE25/12),'Monthly Cash Flow'!CZ27*(1+'Rent Roll Analysis'!$AB25/12))))</f>
        <v/>
      </c>
      <c r="DB27" s="1428" t="str">
        <f>IF($B27="","",IF(DB$4&gt;2,(DA27*(1+'Rent Roll Analysis'!$AK25/12)), IF(AND('Monthly Cash Flow'!DB$4&gt;1,'Monthly Cash Flow'!DB$4&lt;=2),'Monthly Cash Flow'!DA27*(1+'Rent Roll Analysis'!$AE25/12),'Monthly Cash Flow'!DA27*(1+'Rent Roll Analysis'!$AB25/12))))</f>
        <v/>
      </c>
      <c r="DC27" s="1428" t="str">
        <f>IF($B27="","",IF(DC$4&gt;2,(DB27*(1+'Rent Roll Analysis'!$AK25/12)), IF(AND('Monthly Cash Flow'!DC$4&gt;1,'Monthly Cash Flow'!DC$4&lt;=2),'Monthly Cash Flow'!DB27*(1+'Rent Roll Analysis'!$AE25/12),'Monthly Cash Flow'!DB27*(1+'Rent Roll Analysis'!$AB25/12))))</f>
        <v/>
      </c>
      <c r="DD27" s="1428" t="str">
        <f>IF($B27="","",IF(DD$4&gt;2,(DC27*(1+'Rent Roll Analysis'!$AK25/12)), IF(AND('Monthly Cash Flow'!DD$4&gt;1,'Monthly Cash Flow'!DD$4&lt;=2),'Monthly Cash Flow'!DC27*(1+'Rent Roll Analysis'!$AE25/12),'Monthly Cash Flow'!DC27*(1+'Rent Roll Analysis'!$AB25/12))))</f>
        <v/>
      </c>
      <c r="DE27" s="1428" t="str">
        <f>IF($B27="","",IF(DE$4&gt;2,(DD27*(1+'Rent Roll Analysis'!$AK25/12)), IF(AND('Monthly Cash Flow'!DE$4&gt;1,'Monthly Cash Flow'!DE$4&lt;=2),'Monthly Cash Flow'!DD27*(1+'Rent Roll Analysis'!$AE25/12),'Monthly Cash Flow'!DD27*(1+'Rent Roll Analysis'!$AB25/12))))</f>
        <v/>
      </c>
      <c r="DF27" s="1428" t="str">
        <f>IF($B27="","",IF(DF$4&gt;2,(DE27*(1+'Rent Roll Analysis'!$AK25/12)), IF(AND('Monthly Cash Flow'!DF$4&gt;1,'Monthly Cash Flow'!DF$4&lt;=2),'Monthly Cash Flow'!DE27*(1+'Rent Roll Analysis'!$AE25/12),'Monthly Cash Flow'!DE27*(1+'Rent Roll Analysis'!$AB25/12))))</f>
        <v/>
      </c>
      <c r="DG27" s="1428" t="str">
        <f>IF($B27="","",IF(DG$4&gt;2,(DF27*(1+'Rent Roll Analysis'!$AK25/12)), IF(AND('Monthly Cash Flow'!DG$4&gt;1,'Monthly Cash Flow'!DG$4&lt;=2),'Monthly Cash Flow'!DF27*(1+'Rent Roll Analysis'!$AE25/12),'Monthly Cash Flow'!DF27*(1+'Rent Roll Analysis'!$AB25/12))))</f>
        <v/>
      </c>
      <c r="DH27" s="1428" t="str">
        <f>IF($B27="","",IF(DH$4&gt;2,(DG27*(1+'Rent Roll Analysis'!$AK25/12)), IF(AND('Monthly Cash Flow'!DH$4&gt;1,'Monthly Cash Flow'!DH$4&lt;=2),'Monthly Cash Flow'!DG27*(1+'Rent Roll Analysis'!$AE25/12),'Monthly Cash Flow'!DG27*(1+'Rent Roll Analysis'!$AB25/12))))</f>
        <v/>
      </c>
      <c r="DI27" s="1428" t="str">
        <f>IF($B27="","",IF(DI$4&gt;2,(DH27*(1+'Rent Roll Analysis'!$AK25/12)), IF(AND('Monthly Cash Flow'!DI$4&gt;1,'Monthly Cash Flow'!DI$4&lt;=2),'Monthly Cash Flow'!DH27*(1+'Rent Roll Analysis'!$AE25/12),'Monthly Cash Flow'!DH27*(1+'Rent Roll Analysis'!$AB25/12))))</f>
        <v/>
      </c>
      <c r="DJ27" s="1428" t="str">
        <f>IF($B27="","",IF(DJ$4&gt;2,(DI27*(1+'Rent Roll Analysis'!$AK25/12)), IF(AND('Monthly Cash Flow'!DJ$4&gt;1,'Monthly Cash Flow'!DJ$4&lt;=2),'Monthly Cash Flow'!DI27*(1+'Rent Roll Analysis'!$AE25/12),'Monthly Cash Flow'!DI27*(1+'Rent Roll Analysis'!$AB25/12))))</f>
        <v/>
      </c>
      <c r="DK27" s="1428" t="str">
        <f>IF($B27="","",IF(DK$4&gt;2,(DJ27*(1+'Rent Roll Analysis'!$AK25/12)), IF(AND('Monthly Cash Flow'!DK$4&gt;1,'Monthly Cash Flow'!DK$4&lt;=2),'Monthly Cash Flow'!DJ27*(1+'Rent Roll Analysis'!$AE25/12),'Monthly Cash Flow'!DJ27*(1+'Rent Roll Analysis'!$AB25/12))))</f>
        <v/>
      </c>
      <c r="DL27" s="1428" t="str">
        <f>IF($B27="","",IF(DL$4&gt;2,(DK27*(1+'Rent Roll Analysis'!$AK25/12)), IF(AND('Monthly Cash Flow'!DL$4&gt;1,'Monthly Cash Flow'!DL$4&lt;=2),'Monthly Cash Flow'!DK27*(1+'Rent Roll Analysis'!$AE25/12),'Monthly Cash Flow'!DK27*(1+'Rent Roll Analysis'!$AB25/12))))</f>
        <v/>
      </c>
      <c r="DM27" s="1428" t="str">
        <f>IF($B27="","",IF(DM$4&gt;2,(DL27*(1+'Rent Roll Analysis'!$AK25/12)), IF(AND('Monthly Cash Flow'!DM$4&gt;1,'Monthly Cash Flow'!DM$4&lt;=2),'Monthly Cash Flow'!DL27*(1+'Rent Roll Analysis'!$AE25/12),'Monthly Cash Flow'!DL27*(1+'Rent Roll Analysis'!$AB25/12))))</f>
        <v/>
      </c>
      <c r="DN27" s="1428" t="str">
        <f>IF($B27="","",IF(DN$4&gt;2,(DM27*(1+'Rent Roll Analysis'!$AK25/12)), IF(AND('Monthly Cash Flow'!DN$4&gt;1,'Monthly Cash Flow'!DN$4&lt;=2),'Monthly Cash Flow'!DM27*(1+'Rent Roll Analysis'!$AE25/12),'Monthly Cash Flow'!DM27*(1+'Rent Roll Analysis'!$AB25/12))))</f>
        <v/>
      </c>
      <c r="DO27" s="1428" t="str">
        <f>IF($B27="","",IF(DO$4&gt;2,(DN27*(1+'Rent Roll Analysis'!$AK25/12)), IF(AND('Monthly Cash Flow'!DO$4&gt;1,'Monthly Cash Flow'!DO$4&lt;=2),'Monthly Cash Flow'!DN27*(1+'Rent Roll Analysis'!$AE25/12),'Monthly Cash Flow'!DN27*(1+'Rent Roll Analysis'!$AB25/12))))</f>
        <v/>
      </c>
      <c r="DP27" s="1428" t="str">
        <f>IF($B27="","",IF(DP$4&gt;2,(DO27*(1+'Rent Roll Analysis'!$AK25/12)), IF(AND('Monthly Cash Flow'!DP$4&gt;1,'Monthly Cash Flow'!DP$4&lt;=2),'Monthly Cash Flow'!DO27*(1+'Rent Roll Analysis'!$AE25/12),'Monthly Cash Flow'!DO27*(1+'Rent Roll Analysis'!$AB25/12))))</f>
        <v/>
      </c>
      <c r="DQ27" s="1428" t="str">
        <f>IF($B27="","",IF(DQ$4&gt;2,(DP27*(1+'Rent Roll Analysis'!$AK25/12)), IF(AND('Monthly Cash Flow'!DQ$4&gt;1,'Monthly Cash Flow'!DQ$4&lt;=2),'Monthly Cash Flow'!DP27*(1+'Rent Roll Analysis'!$AE25/12),'Monthly Cash Flow'!DP27*(1+'Rent Roll Analysis'!$AB25/12))))</f>
        <v/>
      </c>
      <c r="DR27" s="1428" t="str">
        <f>IF($B27="","",IF(DR$4&gt;2,(DQ27*(1+'Rent Roll Analysis'!$AK25/12)), IF(AND('Monthly Cash Flow'!DR$4&gt;1,'Monthly Cash Flow'!DR$4&lt;=2),'Monthly Cash Flow'!DQ27*(1+'Rent Roll Analysis'!$AE25/12),'Monthly Cash Flow'!DQ27*(1+'Rent Roll Analysis'!$AB25/12))))</f>
        <v/>
      </c>
      <c r="DS27" s="1428" t="str">
        <f>IF($B27="","",IF(DS$4&gt;2,(DR27*(1+'Rent Roll Analysis'!$AK25/12)), IF(AND('Monthly Cash Flow'!DS$4&gt;1,'Monthly Cash Flow'!DS$4&lt;=2),'Monthly Cash Flow'!DR27*(1+'Rent Roll Analysis'!$AE25/12),'Monthly Cash Flow'!DR27*(1+'Rent Roll Analysis'!$AB25/12))))</f>
        <v/>
      </c>
      <c r="DT27" s="1428" t="str">
        <f>IF($B27="","",IF(DT$4&gt;2,(DS27*(1+'Rent Roll Analysis'!$AK25/12)), IF(AND('Monthly Cash Flow'!DT$4&gt;1,'Monthly Cash Flow'!DT$4&lt;=2),'Monthly Cash Flow'!DS27*(1+'Rent Roll Analysis'!$AE25/12),'Monthly Cash Flow'!DS27*(1+'Rent Roll Analysis'!$AB25/12))))</f>
        <v/>
      </c>
      <c r="DU27" s="385" t="s">
        <v>557</v>
      </c>
      <c r="DV27" s="375"/>
    </row>
    <row r="28" spans="1:126" s="92" customFormat="1" ht="20.149999999999999" customHeight="1" outlineLevel="1">
      <c r="A28" s="375"/>
      <c r="B28" s="383" t="str">
        <f>'Rent Roll Analysis'!C26</f>
        <v/>
      </c>
      <c r="C28" s="376"/>
      <c r="D28" s="1426" t="str">
        <f>IF('Rent Roll Analysis'!C26="","",'Rent Roll Analysis'!N26*'Rent Roll Analysis'!E26)</f>
        <v/>
      </c>
      <c r="E28" s="1428" t="str">
        <f t="shared" si="113"/>
        <v/>
      </c>
      <c r="F28" s="1428" t="str">
        <f>IF($B28="","",IF(F$4&gt;2,(E28*(1+'Rent Roll Analysis'!$AK26/12)), IF(AND('Monthly Cash Flow'!F$4&gt;1,'Monthly Cash Flow'!F$4&lt;=2),'Monthly Cash Flow'!E28*(1+'Rent Roll Analysis'!$AE26/12),'Monthly Cash Flow'!E28*(1+'Rent Roll Analysis'!$AB26/12))))</f>
        <v/>
      </c>
      <c r="G28" s="1428" t="str">
        <f>IF($B28="","",IF(G$4&gt;2,(F28*(1+'Rent Roll Analysis'!$AK26/12)), IF(AND('Monthly Cash Flow'!G$4&gt;1,'Monthly Cash Flow'!G$4&lt;=2),'Monthly Cash Flow'!F28*(1+'Rent Roll Analysis'!$AE26/12),'Monthly Cash Flow'!F28*(1+'Rent Roll Analysis'!$AB26/12))))</f>
        <v/>
      </c>
      <c r="H28" s="1428" t="str">
        <f>IF($B28="","",IF(H$4&gt;2,(G28*(1+'Rent Roll Analysis'!$AK26/12)), IF(AND('Monthly Cash Flow'!H$4&gt;1,'Monthly Cash Flow'!H$4&lt;=2),'Monthly Cash Flow'!G28*(1+'Rent Roll Analysis'!$AE26/12),'Monthly Cash Flow'!G28*(1+'Rent Roll Analysis'!$AB26/12))))</f>
        <v/>
      </c>
      <c r="I28" s="1428" t="str">
        <f>IF($B28="","",IF(I$4&gt;2,(H28*(1+'Rent Roll Analysis'!$AK26/12)), IF(AND('Monthly Cash Flow'!I$4&gt;1,'Monthly Cash Flow'!I$4&lt;=2),'Monthly Cash Flow'!H28*(1+'Rent Roll Analysis'!$AE26/12),'Monthly Cash Flow'!H28*(1+'Rent Roll Analysis'!$AB26/12))))</f>
        <v/>
      </c>
      <c r="J28" s="1428" t="str">
        <f>IF($B28="","",IF(J$4&gt;2,(I28*(1+'Rent Roll Analysis'!$AK26/12)), IF(AND('Monthly Cash Flow'!J$4&gt;1,'Monthly Cash Flow'!J$4&lt;=2),'Monthly Cash Flow'!I28*(1+'Rent Roll Analysis'!$AE26/12),'Monthly Cash Flow'!I28*(1+'Rent Roll Analysis'!$AB26/12))))</f>
        <v/>
      </c>
      <c r="K28" s="1428" t="str">
        <f>IF($B28="","",IF(K$4&gt;2,(J28*(1+'Rent Roll Analysis'!$AK26/12)), IF(AND('Monthly Cash Flow'!K$4&gt;1,'Monthly Cash Flow'!K$4&lt;=2),'Monthly Cash Flow'!J28*(1+'Rent Roll Analysis'!$AE26/12),'Monthly Cash Flow'!J28*(1+'Rent Roll Analysis'!$AB26/12))))</f>
        <v/>
      </c>
      <c r="L28" s="1428" t="str">
        <f>IF($B28="","",IF(L$4&gt;2,(K28*(1+'Rent Roll Analysis'!$AK26/12)), IF(AND('Monthly Cash Flow'!L$4&gt;1,'Monthly Cash Flow'!L$4&lt;=2),'Monthly Cash Flow'!K28*(1+'Rent Roll Analysis'!$AE26/12),'Monthly Cash Flow'!K28*(1+'Rent Roll Analysis'!$AB26/12))))</f>
        <v/>
      </c>
      <c r="M28" s="1428" t="str">
        <f>IF($B28="","",IF(M$4&gt;2,(L28*(1+'Rent Roll Analysis'!$AK26/12)), IF(AND('Monthly Cash Flow'!M$4&gt;1,'Monthly Cash Flow'!M$4&lt;=2),'Monthly Cash Flow'!L28*(1+'Rent Roll Analysis'!$AE26/12),'Monthly Cash Flow'!L28*(1+'Rent Roll Analysis'!$AB26/12))))</f>
        <v/>
      </c>
      <c r="N28" s="1428" t="str">
        <f>IF($B28="","",IF(N$4&gt;2,(M28*(1+'Rent Roll Analysis'!$AK26/12)), IF(AND('Monthly Cash Flow'!N$4&gt;1,'Monthly Cash Flow'!N$4&lt;=2),'Monthly Cash Flow'!M28*(1+'Rent Roll Analysis'!$AE26/12),'Monthly Cash Flow'!M28*(1+'Rent Roll Analysis'!$AB26/12))))</f>
        <v/>
      </c>
      <c r="O28" s="1428" t="str">
        <f>IF($B28="","",IF(O$4&gt;2,(N28*(1+'Rent Roll Analysis'!$AK26/12)), IF(AND('Monthly Cash Flow'!O$4&gt;1,'Monthly Cash Flow'!O$4&lt;=2),'Monthly Cash Flow'!N28*(1+'Rent Roll Analysis'!$AE26/12),'Monthly Cash Flow'!N28*(1+'Rent Roll Analysis'!$AB26/12))))</f>
        <v/>
      </c>
      <c r="P28" s="1428" t="str">
        <f>IF($B28="","",IF(P$4&gt;2,(O28*(1+'Rent Roll Analysis'!$AK26/12)), IF(AND('Monthly Cash Flow'!P$4&gt;1,'Monthly Cash Flow'!P$4&lt;=2),'Monthly Cash Flow'!O28*(1+'Rent Roll Analysis'!$AE26/12),'Monthly Cash Flow'!O28*(1+'Rent Roll Analysis'!$AB26/12))))</f>
        <v/>
      </c>
      <c r="Q28" s="1428" t="str">
        <f>IF($B28="","",IF(Q$4&gt;2,(P28*(1+'Rent Roll Analysis'!$AK26/12)), IF(AND('Monthly Cash Flow'!Q$4&gt;1,'Monthly Cash Flow'!Q$4&lt;=2),'Monthly Cash Flow'!P28*(1+'Rent Roll Analysis'!$AE26/12),'Monthly Cash Flow'!P28*(1+'Rent Roll Analysis'!$AB26/12))))</f>
        <v/>
      </c>
      <c r="R28" s="1428" t="str">
        <f>IF($B28="","",IF(R$4&gt;2,(Q28*(1+'Rent Roll Analysis'!$AK26/12)), IF(AND('Monthly Cash Flow'!R$4&gt;1,'Monthly Cash Flow'!R$4&lt;=2),'Monthly Cash Flow'!Q28*(1+'Rent Roll Analysis'!$AE26/12),'Monthly Cash Flow'!Q28*(1+'Rent Roll Analysis'!$AB26/12))))</f>
        <v/>
      </c>
      <c r="S28" s="1428" t="str">
        <f>IF($B28="","",IF(S$4&gt;2,(R28*(1+'Rent Roll Analysis'!$AK26/12)), IF(AND('Monthly Cash Flow'!S$4&gt;1,'Monthly Cash Flow'!S$4&lt;=2),'Monthly Cash Flow'!R28*(1+'Rent Roll Analysis'!$AE26/12),'Monthly Cash Flow'!R28*(1+'Rent Roll Analysis'!$AB26/12))))</f>
        <v/>
      </c>
      <c r="T28" s="1428" t="str">
        <f>IF($B28="","",IF(T$4&gt;2,(S28*(1+'Rent Roll Analysis'!$AK26/12)), IF(AND('Monthly Cash Flow'!T$4&gt;1,'Monthly Cash Flow'!T$4&lt;=2),'Monthly Cash Flow'!S28*(1+'Rent Roll Analysis'!$AE26/12),'Monthly Cash Flow'!S28*(1+'Rent Roll Analysis'!$AB26/12))))</f>
        <v/>
      </c>
      <c r="U28" s="1428" t="str">
        <f>IF($B28="","",IF(U$4&gt;2,(T28*(1+'Rent Roll Analysis'!$AK26/12)), IF(AND('Monthly Cash Flow'!U$4&gt;1,'Monthly Cash Flow'!U$4&lt;=2),'Monthly Cash Flow'!T28*(1+'Rent Roll Analysis'!$AE26/12),'Monthly Cash Flow'!T28*(1+'Rent Roll Analysis'!$AB26/12))))</f>
        <v/>
      </c>
      <c r="V28" s="1428" t="str">
        <f>IF($B28="","",IF(V$4&gt;2,(U28*(1+'Rent Roll Analysis'!$AK26/12)), IF(AND('Monthly Cash Flow'!V$4&gt;1,'Monthly Cash Flow'!V$4&lt;=2),'Monthly Cash Flow'!U28*(1+'Rent Roll Analysis'!$AE26/12),'Monthly Cash Flow'!U28*(1+'Rent Roll Analysis'!$AB26/12))))</f>
        <v/>
      </c>
      <c r="W28" s="1428" t="str">
        <f>IF($B28="","",IF(W$4&gt;2,(V28*(1+'Rent Roll Analysis'!$AK26/12)), IF(AND('Monthly Cash Flow'!W$4&gt;1,'Monthly Cash Flow'!W$4&lt;=2),'Monthly Cash Flow'!V28*(1+'Rent Roll Analysis'!$AE26/12),'Monthly Cash Flow'!V28*(1+'Rent Roll Analysis'!$AB26/12))))</f>
        <v/>
      </c>
      <c r="X28" s="1428" t="str">
        <f>IF($B28="","",IF(X$4&gt;2,(W28*(1+'Rent Roll Analysis'!$AK26/12)), IF(AND('Monthly Cash Flow'!X$4&gt;1,'Monthly Cash Flow'!X$4&lt;=2),'Monthly Cash Flow'!W28*(1+'Rent Roll Analysis'!$AE26/12),'Monthly Cash Flow'!W28*(1+'Rent Roll Analysis'!$AB26/12))))</f>
        <v/>
      </c>
      <c r="Y28" s="1428" t="str">
        <f>IF($B28="","",IF(Y$4&gt;2,(X28*(1+'Rent Roll Analysis'!$AK26/12)), IF(AND('Monthly Cash Flow'!Y$4&gt;1,'Monthly Cash Flow'!Y$4&lt;=2),'Monthly Cash Flow'!X28*(1+'Rent Roll Analysis'!$AE26/12),'Monthly Cash Flow'!X28*(1+'Rent Roll Analysis'!$AB26/12))))</f>
        <v/>
      </c>
      <c r="Z28" s="1428" t="str">
        <f>IF($B28="","",IF(Z$4&gt;2,(Y28*(1+'Rent Roll Analysis'!$AK26/12)), IF(AND('Monthly Cash Flow'!Z$4&gt;1,'Monthly Cash Flow'!Z$4&lt;=2),'Monthly Cash Flow'!Y28*(1+'Rent Roll Analysis'!$AE26/12),'Monthly Cash Flow'!Y28*(1+'Rent Roll Analysis'!$AB26/12))))</f>
        <v/>
      </c>
      <c r="AA28" s="1428" t="str">
        <f>IF($B28="","",IF(AA$4&gt;2,(Z28*(1+'Rent Roll Analysis'!$AK26/12)), IF(AND('Monthly Cash Flow'!AA$4&gt;1,'Monthly Cash Flow'!AA$4&lt;=2),'Monthly Cash Flow'!Z28*(1+'Rent Roll Analysis'!$AE26/12),'Monthly Cash Flow'!Z28*(1+'Rent Roll Analysis'!$AB26/12))))</f>
        <v/>
      </c>
      <c r="AB28" s="1428" t="str">
        <f>IF($B28="","",IF(AB$4&gt;2,(AA28*(1+'Rent Roll Analysis'!$AK26/12)), IF(AND('Monthly Cash Flow'!AB$4&gt;1,'Monthly Cash Flow'!AB$4&lt;=2),'Monthly Cash Flow'!AA28*(1+'Rent Roll Analysis'!$AE26/12),'Monthly Cash Flow'!AA28*(1+'Rent Roll Analysis'!$AB26/12))))</f>
        <v/>
      </c>
      <c r="AC28" s="1428" t="str">
        <f>IF($B28="","",IF(AC$4&gt;2,(AB28*(1+'Rent Roll Analysis'!$AK26/12)), IF(AND('Monthly Cash Flow'!AC$4&gt;1,'Monthly Cash Flow'!AC$4&lt;=2),'Monthly Cash Flow'!AB28*(1+'Rent Roll Analysis'!$AE26/12),'Monthly Cash Flow'!AB28*(1+'Rent Roll Analysis'!$AB26/12))))</f>
        <v/>
      </c>
      <c r="AD28" s="1428" t="str">
        <f>IF($B28="","",IF(AD$4&gt;2,(AC28*(1+'Rent Roll Analysis'!$AK26/12)), IF(AND('Monthly Cash Flow'!AD$4&gt;1,'Monthly Cash Flow'!AD$4&lt;=2),'Monthly Cash Flow'!AC28*(1+'Rent Roll Analysis'!$AE26/12),'Monthly Cash Flow'!AC28*(1+'Rent Roll Analysis'!$AB26/12))))</f>
        <v/>
      </c>
      <c r="AE28" s="1428" t="str">
        <f>IF($B28="","",IF(AE$4&gt;2,(AD28*(1+'Rent Roll Analysis'!$AK26/12)), IF(AND('Monthly Cash Flow'!AE$4&gt;1,'Monthly Cash Flow'!AE$4&lt;=2),'Monthly Cash Flow'!AD28*(1+'Rent Roll Analysis'!$AE26/12),'Monthly Cash Flow'!AD28*(1+'Rent Roll Analysis'!$AB26/12))))</f>
        <v/>
      </c>
      <c r="AF28" s="1428" t="str">
        <f>IF($B28="","",IF(AF$4&gt;2,(AE28*(1+'Rent Roll Analysis'!$AK26/12)), IF(AND('Monthly Cash Flow'!AF$4&gt;1,'Monthly Cash Flow'!AF$4&lt;=2),'Monthly Cash Flow'!AE28*(1+'Rent Roll Analysis'!$AE26/12),'Monthly Cash Flow'!AE28*(1+'Rent Roll Analysis'!$AB26/12))))</f>
        <v/>
      </c>
      <c r="AG28" s="1428" t="str">
        <f>IF($B28="","",IF(AG$4&gt;2,(AF28*(1+'Rent Roll Analysis'!$AK26/12)), IF(AND('Monthly Cash Flow'!AG$4&gt;1,'Monthly Cash Flow'!AG$4&lt;=2),'Monthly Cash Flow'!AF28*(1+'Rent Roll Analysis'!$AE26/12),'Monthly Cash Flow'!AF28*(1+'Rent Roll Analysis'!$AB26/12))))</f>
        <v/>
      </c>
      <c r="AH28" s="1428" t="str">
        <f>IF($B28="","",IF(AH$4&gt;2,(AG28*(1+'Rent Roll Analysis'!$AK26/12)), IF(AND('Monthly Cash Flow'!AH$4&gt;1,'Monthly Cash Flow'!AH$4&lt;=2),'Monthly Cash Flow'!AG28*(1+'Rent Roll Analysis'!$AE26/12),'Monthly Cash Flow'!AG28*(1+'Rent Roll Analysis'!$AB26/12))))</f>
        <v/>
      </c>
      <c r="AI28" s="1428" t="str">
        <f>IF($B28="","",IF(AI$4&gt;2,(AH28*(1+'Rent Roll Analysis'!$AK26/12)), IF(AND('Monthly Cash Flow'!AI$4&gt;1,'Monthly Cash Flow'!AI$4&lt;=2),'Monthly Cash Flow'!AH28*(1+'Rent Roll Analysis'!$AE26/12),'Monthly Cash Flow'!AH28*(1+'Rent Roll Analysis'!$AB26/12))))</f>
        <v/>
      </c>
      <c r="AJ28" s="1428" t="str">
        <f>IF($B28="","",IF(AJ$4&gt;2,(AI28*(1+'Rent Roll Analysis'!$AK26/12)), IF(AND('Monthly Cash Flow'!AJ$4&gt;1,'Monthly Cash Flow'!AJ$4&lt;=2),'Monthly Cash Flow'!AI28*(1+'Rent Roll Analysis'!$AE26/12),'Monthly Cash Flow'!AI28*(1+'Rent Roll Analysis'!$AB26/12))))</f>
        <v/>
      </c>
      <c r="AK28" s="1428" t="str">
        <f>IF($B28="","",IF(AK$4&gt;2,(AJ28*(1+'Rent Roll Analysis'!$AK26/12)), IF(AND('Monthly Cash Flow'!AK$4&gt;1,'Monthly Cash Flow'!AK$4&lt;=2),'Monthly Cash Flow'!AJ28*(1+'Rent Roll Analysis'!$AE26/12),'Monthly Cash Flow'!AJ28*(1+'Rent Roll Analysis'!$AB26/12))))</f>
        <v/>
      </c>
      <c r="AL28" s="1428" t="str">
        <f>IF($B28="","",IF(AL$4&gt;2,(AK28*(1+'Rent Roll Analysis'!$AK26/12)), IF(AND('Monthly Cash Flow'!AL$4&gt;1,'Monthly Cash Flow'!AL$4&lt;=2),'Monthly Cash Flow'!AK28*(1+'Rent Roll Analysis'!$AE26/12),'Monthly Cash Flow'!AK28*(1+'Rent Roll Analysis'!$AB26/12))))</f>
        <v/>
      </c>
      <c r="AM28" s="1428" t="str">
        <f>IF($B28="","",IF(AM$4&gt;2,(AL28*(1+'Rent Roll Analysis'!$AK26/12)), IF(AND('Monthly Cash Flow'!AM$4&gt;1,'Monthly Cash Flow'!AM$4&lt;=2),'Monthly Cash Flow'!AL28*(1+'Rent Roll Analysis'!$AE26/12),'Monthly Cash Flow'!AL28*(1+'Rent Roll Analysis'!$AB26/12))))</f>
        <v/>
      </c>
      <c r="AN28" s="1428" t="str">
        <f>IF($B28="","",IF(AN$4&gt;2,(AM28*(1+'Rent Roll Analysis'!$AK26/12)), IF(AND('Monthly Cash Flow'!AN$4&gt;1,'Monthly Cash Flow'!AN$4&lt;=2),'Monthly Cash Flow'!AM28*(1+'Rent Roll Analysis'!$AE26/12),'Monthly Cash Flow'!AM28*(1+'Rent Roll Analysis'!$AB26/12))))</f>
        <v/>
      </c>
      <c r="AO28" s="1428" t="str">
        <f>IF($B28="","",IF(AO$4&gt;2,(AN28*(1+'Rent Roll Analysis'!$AK26/12)), IF(AND('Monthly Cash Flow'!AO$4&gt;1,'Monthly Cash Flow'!AO$4&lt;=2),'Monthly Cash Flow'!AN28*(1+'Rent Roll Analysis'!$AE26/12),'Monthly Cash Flow'!AN28*(1+'Rent Roll Analysis'!$AB26/12))))</f>
        <v/>
      </c>
      <c r="AP28" s="1428" t="str">
        <f>IF($B28="","",IF(AP$4&gt;2,(AO28*(1+'Rent Roll Analysis'!$AK26/12)), IF(AND('Monthly Cash Flow'!AP$4&gt;1,'Monthly Cash Flow'!AP$4&lt;=2),'Monthly Cash Flow'!AO28*(1+'Rent Roll Analysis'!$AE26/12),'Monthly Cash Flow'!AO28*(1+'Rent Roll Analysis'!$AB26/12))))</f>
        <v/>
      </c>
      <c r="AQ28" s="1428" t="str">
        <f>IF($B28="","",IF(AQ$4&gt;2,(AP28*(1+'Rent Roll Analysis'!$AK26/12)), IF(AND('Monthly Cash Flow'!AQ$4&gt;1,'Monthly Cash Flow'!AQ$4&lt;=2),'Monthly Cash Flow'!AP28*(1+'Rent Roll Analysis'!$AE26/12),'Monthly Cash Flow'!AP28*(1+'Rent Roll Analysis'!$AB26/12))))</f>
        <v/>
      </c>
      <c r="AR28" s="1428" t="str">
        <f>IF($B28="","",IF(AR$4&gt;2,(AQ28*(1+'Rent Roll Analysis'!$AK26/12)), IF(AND('Monthly Cash Flow'!AR$4&gt;1,'Monthly Cash Flow'!AR$4&lt;=2),'Monthly Cash Flow'!AQ28*(1+'Rent Roll Analysis'!$AE26/12),'Monthly Cash Flow'!AQ28*(1+'Rent Roll Analysis'!$AB26/12))))</f>
        <v/>
      </c>
      <c r="AS28" s="1428" t="str">
        <f>IF($B28="","",IF(AS$4&gt;2,(AR28*(1+'Rent Roll Analysis'!$AK26/12)), IF(AND('Monthly Cash Flow'!AS$4&gt;1,'Monthly Cash Flow'!AS$4&lt;=2),'Monthly Cash Flow'!AR28*(1+'Rent Roll Analysis'!$AE26/12),'Monthly Cash Flow'!AR28*(1+'Rent Roll Analysis'!$AB26/12))))</f>
        <v/>
      </c>
      <c r="AT28" s="1428" t="str">
        <f>IF($B28="","",IF(AT$4&gt;2,(AS28*(1+'Rent Roll Analysis'!$AK26/12)), IF(AND('Monthly Cash Flow'!AT$4&gt;1,'Monthly Cash Flow'!AT$4&lt;=2),'Monthly Cash Flow'!AS28*(1+'Rent Roll Analysis'!$AE26/12),'Monthly Cash Flow'!AS28*(1+'Rent Roll Analysis'!$AB26/12))))</f>
        <v/>
      </c>
      <c r="AU28" s="1428" t="str">
        <f>IF($B28="","",IF(AU$4&gt;2,(AT28*(1+'Rent Roll Analysis'!$AK26/12)), IF(AND('Monthly Cash Flow'!AU$4&gt;1,'Monthly Cash Flow'!AU$4&lt;=2),'Monthly Cash Flow'!AT28*(1+'Rent Roll Analysis'!$AE26/12),'Monthly Cash Flow'!AT28*(1+'Rent Roll Analysis'!$AB26/12))))</f>
        <v/>
      </c>
      <c r="AV28" s="1428" t="str">
        <f>IF($B28="","",IF(AV$4&gt;2,(AU28*(1+'Rent Roll Analysis'!$AK26/12)), IF(AND('Monthly Cash Flow'!AV$4&gt;1,'Monthly Cash Flow'!AV$4&lt;=2),'Monthly Cash Flow'!AU28*(1+'Rent Roll Analysis'!$AE26/12),'Monthly Cash Flow'!AU28*(1+'Rent Roll Analysis'!$AB26/12))))</f>
        <v/>
      </c>
      <c r="AW28" s="1428" t="str">
        <f>IF($B28="","",IF(AW$4&gt;2,(AV28*(1+'Rent Roll Analysis'!$AK26/12)), IF(AND('Monthly Cash Flow'!AW$4&gt;1,'Monthly Cash Flow'!AW$4&lt;=2),'Monthly Cash Flow'!AV28*(1+'Rent Roll Analysis'!$AE26/12),'Monthly Cash Flow'!AV28*(1+'Rent Roll Analysis'!$AB26/12))))</f>
        <v/>
      </c>
      <c r="AX28" s="1428" t="str">
        <f>IF($B28="","",IF(AX$4&gt;2,(AW28*(1+'Rent Roll Analysis'!$AK26/12)), IF(AND('Monthly Cash Flow'!AX$4&gt;1,'Monthly Cash Flow'!AX$4&lt;=2),'Monthly Cash Flow'!AW28*(1+'Rent Roll Analysis'!$AE26/12),'Monthly Cash Flow'!AW28*(1+'Rent Roll Analysis'!$AB26/12))))</f>
        <v/>
      </c>
      <c r="AY28" s="1428" t="str">
        <f>IF($B28="","",IF(AY$4&gt;2,(AX28*(1+'Rent Roll Analysis'!$AK26/12)), IF(AND('Monthly Cash Flow'!AY$4&gt;1,'Monthly Cash Flow'!AY$4&lt;=2),'Monthly Cash Flow'!AX28*(1+'Rent Roll Analysis'!$AE26/12),'Monthly Cash Flow'!AX28*(1+'Rent Roll Analysis'!$AB26/12))))</f>
        <v/>
      </c>
      <c r="AZ28" s="1428" t="str">
        <f>IF($B28="","",IF(AZ$4&gt;2,(AY28*(1+'Rent Roll Analysis'!$AK26/12)), IF(AND('Monthly Cash Flow'!AZ$4&gt;1,'Monthly Cash Flow'!AZ$4&lt;=2),'Monthly Cash Flow'!AY28*(1+'Rent Roll Analysis'!$AE26/12),'Monthly Cash Flow'!AY28*(1+'Rent Roll Analysis'!$AB26/12))))</f>
        <v/>
      </c>
      <c r="BA28" s="1428" t="str">
        <f>IF($B28="","",IF(BA$4&gt;2,(AZ28*(1+'Rent Roll Analysis'!$AK26/12)), IF(AND('Monthly Cash Flow'!BA$4&gt;1,'Monthly Cash Flow'!BA$4&lt;=2),'Monthly Cash Flow'!AZ28*(1+'Rent Roll Analysis'!$AE26/12),'Monthly Cash Flow'!AZ28*(1+'Rent Roll Analysis'!$AB26/12))))</f>
        <v/>
      </c>
      <c r="BB28" s="1428" t="str">
        <f>IF($B28="","",IF(BB$4&gt;2,(BA28*(1+'Rent Roll Analysis'!$AK26/12)), IF(AND('Monthly Cash Flow'!BB$4&gt;1,'Monthly Cash Flow'!BB$4&lt;=2),'Monthly Cash Flow'!BA28*(1+'Rent Roll Analysis'!$AE26/12),'Monthly Cash Flow'!BA28*(1+'Rent Roll Analysis'!$AB26/12))))</f>
        <v/>
      </c>
      <c r="BC28" s="1428" t="str">
        <f>IF($B28="","",IF(BC$4&gt;2,(BB28*(1+'Rent Roll Analysis'!$AK26/12)), IF(AND('Monthly Cash Flow'!BC$4&gt;1,'Monthly Cash Flow'!BC$4&lt;=2),'Monthly Cash Flow'!BB28*(1+'Rent Roll Analysis'!$AE26/12),'Monthly Cash Flow'!BB28*(1+'Rent Roll Analysis'!$AB26/12))))</f>
        <v/>
      </c>
      <c r="BD28" s="1428" t="str">
        <f>IF($B28="","",IF(BD$4&gt;2,(BC28*(1+'Rent Roll Analysis'!$AK26/12)), IF(AND('Monthly Cash Flow'!BD$4&gt;1,'Monthly Cash Flow'!BD$4&lt;=2),'Monthly Cash Flow'!BC28*(1+'Rent Roll Analysis'!$AE26/12),'Monthly Cash Flow'!BC28*(1+'Rent Roll Analysis'!$AB26/12))))</f>
        <v/>
      </c>
      <c r="BE28" s="1428" t="str">
        <f>IF($B28="","",IF(BE$4&gt;2,(BD28*(1+'Rent Roll Analysis'!$AK26/12)), IF(AND('Monthly Cash Flow'!BE$4&gt;1,'Monthly Cash Flow'!BE$4&lt;=2),'Monthly Cash Flow'!BD28*(1+'Rent Roll Analysis'!$AE26/12),'Monthly Cash Flow'!BD28*(1+'Rent Roll Analysis'!$AB26/12))))</f>
        <v/>
      </c>
      <c r="BF28" s="1428" t="str">
        <f>IF($B28="","",IF(BF$4&gt;2,(BE28*(1+'Rent Roll Analysis'!$AK26/12)), IF(AND('Monthly Cash Flow'!BF$4&gt;1,'Monthly Cash Flow'!BF$4&lt;=2),'Monthly Cash Flow'!BE28*(1+'Rent Roll Analysis'!$AE26/12),'Monthly Cash Flow'!BE28*(1+'Rent Roll Analysis'!$AB26/12))))</f>
        <v/>
      </c>
      <c r="BG28" s="1428" t="str">
        <f>IF($B28="","",IF(BG$4&gt;2,(BF28*(1+'Rent Roll Analysis'!$AK26/12)), IF(AND('Monthly Cash Flow'!BG$4&gt;1,'Monthly Cash Flow'!BG$4&lt;=2),'Monthly Cash Flow'!BF28*(1+'Rent Roll Analysis'!$AE26/12),'Monthly Cash Flow'!BF28*(1+'Rent Roll Analysis'!$AB26/12))))</f>
        <v/>
      </c>
      <c r="BH28" s="1428" t="str">
        <f>IF($B28="","",IF(BH$4&gt;2,(BG28*(1+'Rent Roll Analysis'!$AK26/12)), IF(AND('Monthly Cash Flow'!BH$4&gt;1,'Monthly Cash Flow'!BH$4&lt;=2),'Monthly Cash Flow'!BG28*(1+'Rent Roll Analysis'!$AE26/12),'Monthly Cash Flow'!BG28*(1+'Rent Roll Analysis'!$AB26/12))))</f>
        <v/>
      </c>
      <c r="BI28" s="1428" t="str">
        <f>IF($B28="","",IF(BI$4&gt;2,(BH28*(1+'Rent Roll Analysis'!$AK26/12)), IF(AND('Monthly Cash Flow'!BI$4&gt;1,'Monthly Cash Flow'!BI$4&lt;=2),'Monthly Cash Flow'!BH28*(1+'Rent Roll Analysis'!$AE26/12),'Monthly Cash Flow'!BH28*(1+'Rent Roll Analysis'!$AB26/12))))</f>
        <v/>
      </c>
      <c r="BJ28" s="1428" t="str">
        <f>IF($B28="","",IF(BJ$4&gt;2,(BI28*(1+'Rent Roll Analysis'!$AK26/12)), IF(AND('Monthly Cash Flow'!BJ$4&gt;1,'Monthly Cash Flow'!BJ$4&lt;=2),'Monthly Cash Flow'!BI28*(1+'Rent Roll Analysis'!$AE26/12),'Monthly Cash Flow'!BI28*(1+'Rent Roll Analysis'!$AB26/12))))</f>
        <v/>
      </c>
      <c r="BK28" s="1428" t="str">
        <f>IF($B28="","",IF(BK$4&gt;2,(BJ28*(1+'Rent Roll Analysis'!$AK26/12)), IF(AND('Monthly Cash Flow'!BK$4&gt;1,'Monthly Cash Flow'!BK$4&lt;=2),'Monthly Cash Flow'!BJ28*(1+'Rent Roll Analysis'!$AE26/12),'Monthly Cash Flow'!BJ28*(1+'Rent Roll Analysis'!$AB26/12))))</f>
        <v/>
      </c>
      <c r="BL28" s="1428" t="str">
        <f>IF($B28="","",IF(BL$4&gt;2,(BK28*(1+'Rent Roll Analysis'!$AK26/12)), IF(AND('Monthly Cash Flow'!BL$4&gt;1,'Monthly Cash Flow'!BL$4&lt;=2),'Monthly Cash Flow'!BK28*(1+'Rent Roll Analysis'!$AE26/12),'Monthly Cash Flow'!BK28*(1+'Rent Roll Analysis'!$AB26/12))))</f>
        <v/>
      </c>
      <c r="BM28" s="1428" t="str">
        <f>IF($B28="","",IF(BM$4&gt;2,(BL28*(1+'Rent Roll Analysis'!$AK26/12)), IF(AND('Monthly Cash Flow'!BM$4&gt;1,'Monthly Cash Flow'!BM$4&lt;=2),'Monthly Cash Flow'!BL28*(1+'Rent Roll Analysis'!$AE26/12),'Monthly Cash Flow'!BL28*(1+'Rent Roll Analysis'!$AB26/12))))</f>
        <v/>
      </c>
      <c r="BN28" s="1428" t="str">
        <f>IF($B28="","",IF(BN$4&gt;2,(BM28*(1+'Rent Roll Analysis'!$AK26/12)), IF(AND('Monthly Cash Flow'!BN$4&gt;1,'Monthly Cash Flow'!BN$4&lt;=2),'Monthly Cash Flow'!BM28*(1+'Rent Roll Analysis'!$AE26/12),'Monthly Cash Flow'!BM28*(1+'Rent Roll Analysis'!$AB26/12))))</f>
        <v/>
      </c>
      <c r="BO28" s="1428" t="str">
        <f>IF($B28="","",IF(BO$4&gt;2,(BN28*(1+'Rent Roll Analysis'!$AK26/12)), IF(AND('Monthly Cash Flow'!BO$4&gt;1,'Monthly Cash Flow'!BO$4&lt;=2),'Monthly Cash Flow'!BN28*(1+'Rent Roll Analysis'!$AE26/12),'Monthly Cash Flow'!BN28*(1+'Rent Roll Analysis'!$AB26/12))))</f>
        <v/>
      </c>
      <c r="BP28" s="1428" t="str">
        <f>IF($B28="","",IF(BP$4&gt;2,(BO28*(1+'Rent Roll Analysis'!$AK26/12)), IF(AND('Monthly Cash Flow'!BP$4&gt;1,'Monthly Cash Flow'!BP$4&lt;=2),'Monthly Cash Flow'!BO28*(1+'Rent Roll Analysis'!$AE26/12),'Monthly Cash Flow'!BO28*(1+'Rent Roll Analysis'!$AB26/12))))</f>
        <v/>
      </c>
      <c r="BQ28" s="1428" t="str">
        <f>IF($B28="","",IF(BQ$4&gt;2,(BP28*(1+'Rent Roll Analysis'!$AK26/12)), IF(AND('Monthly Cash Flow'!BQ$4&gt;1,'Monthly Cash Flow'!BQ$4&lt;=2),'Monthly Cash Flow'!BP28*(1+'Rent Roll Analysis'!$AE26/12),'Monthly Cash Flow'!BP28*(1+'Rent Roll Analysis'!$AB26/12))))</f>
        <v/>
      </c>
      <c r="BR28" s="1428" t="str">
        <f>IF($B28="","",IF(BR$4&gt;2,(BQ28*(1+'Rent Roll Analysis'!$AK26/12)), IF(AND('Monthly Cash Flow'!BR$4&gt;1,'Monthly Cash Flow'!BR$4&lt;=2),'Monthly Cash Flow'!BQ28*(1+'Rent Roll Analysis'!$AE26/12),'Monthly Cash Flow'!BQ28*(1+'Rent Roll Analysis'!$AB26/12))))</f>
        <v/>
      </c>
      <c r="BS28" s="1428" t="str">
        <f>IF($B28="","",IF(BS$4&gt;2,(BR28*(1+'Rent Roll Analysis'!$AK26/12)), IF(AND('Monthly Cash Flow'!BS$4&gt;1,'Monthly Cash Flow'!BS$4&lt;=2),'Monthly Cash Flow'!BR28*(1+'Rent Roll Analysis'!$AE26/12),'Monthly Cash Flow'!BR28*(1+'Rent Roll Analysis'!$AB26/12))))</f>
        <v/>
      </c>
      <c r="BT28" s="1428" t="str">
        <f>IF($B28="","",IF(BT$4&gt;2,(BS28*(1+'Rent Roll Analysis'!$AK26/12)), IF(AND('Monthly Cash Flow'!BT$4&gt;1,'Monthly Cash Flow'!BT$4&lt;=2),'Monthly Cash Flow'!BS28*(1+'Rent Roll Analysis'!$AE26/12),'Monthly Cash Flow'!BS28*(1+'Rent Roll Analysis'!$AB26/12))))</f>
        <v/>
      </c>
      <c r="BU28" s="1428" t="str">
        <f>IF($B28="","",IF(BU$4&gt;2,(BT28*(1+'Rent Roll Analysis'!$AK26/12)), IF(AND('Monthly Cash Flow'!BU$4&gt;1,'Monthly Cash Flow'!BU$4&lt;=2),'Monthly Cash Flow'!BT28*(1+'Rent Roll Analysis'!$AE26/12),'Monthly Cash Flow'!BT28*(1+'Rent Roll Analysis'!$AB26/12))))</f>
        <v/>
      </c>
      <c r="BV28" s="1428" t="str">
        <f>IF($B28="","",IF(BV$4&gt;2,(BU28*(1+'Rent Roll Analysis'!$AK26/12)), IF(AND('Monthly Cash Flow'!BV$4&gt;1,'Monthly Cash Flow'!BV$4&lt;=2),'Monthly Cash Flow'!BU28*(1+'Rent Roll Analysis'!$AE26/12),'Monthly Cash Flow'!BU28*(1+'Rent Roll Analysis'!$AB26/12))))</f>
        <v/>
      </c>
      <c r="BW28" s="1428" t="str">
        <f>IF($B28="","",IF(BW$4&gt;2,(BV28*(1+'Rent Roll Analysis'!$AK26/12)), IF(AND('Monthly Cash Flow'!BW$4&gt;1,'Monthly Cash Flow'!BW$4&lt;=2),'Monthly Cash Flow'!BV28*(1+'Rent Roll Analysis'!$AE26/12),'Monthly Cash Flow'!BV28*(1+'Rent Roll Analysis'!$AB26/12))))</f>
        <v/>
      </c>
      <c r="BX28" s="1428" t="str">
        <f>IF($B28="","",IF(BX$4&gt;2,(BW28*(1+'Rent Roll Analysis'!$AK26/12)), IF(AND('Monthly Cash Flow'!BX$4&gt;1,'Monthly Cash Flow'!BX$4&lt;=2),'Monthly Cash Flow'!BW28*(1+'Rent Roll Analysis'!$AE26/12),'Monthly Cash Flow'!BW28*(1+'Rent Roll Analysis'!$AB26/12))))</f>
        <v/>
      </c>
      <c r="BY28" s="1428" t="str">
        <f>IF($B28="","",IF(BY$4&gt;2,(BX28*(1+'Rent Roll Analysis'!$AK26/12)), IF(AND('Monthly Cash Flow'!BY$4&gt;1,'Monthly Cash Flow'!BY$4&lt;=2),'Monthly Cash Flow'!BX28*(1+'Rent Roll Analysis'!$AE26/12),'Monthly Cash Flow'!BX28*(1+'Rent Roll Analysis'!$AB26/12))))</f>
        <v/>
      </c>
      <c r="BZ28" s="1428" t="str">
        <f>IF($B28="","",IF(BZ$4&gt;2,(BY28*(1+'Rent Roll Analysis'!$AK26/12)), IF(AND('Monthly Cash Flow'!BZ$4&gt;1,'Monthly Cash Flow'!BZ$4&lt;=2),'Monthly Cash Flow'!BY28*(1+'Rent Roll Analysis'!$AE26/12),'Monthly Cash Flow'!BY28*(1+'Rent Roll Analysis'!$AB26/12))))</f>
        <v/>
      </c>
      <c r="CA28" s="1428" t="str">
        <f>IF($B28="","",IF(CA$4&gt;2,(BZ28*(1+'Rent Roll Analysis'!$AK26/12)), IF(AND('Monthly Cash Flow'!CA$4&gt;1,'Monthly Cash Flow'!CA$4&lt;=2),'Monthly Cash Flow'!BZ28*(1+'Rent Roll Analysis'!$AE26/12),'Monthly Cash Flow'!BZ28*(1+'Rent Roll Analysis'!$AB26/12))))</f>
        <v/>
      </c>
      <c r="CB28" s="1428" t="str">
        <f>IF($B28="","",IF(CB$4&gt;2,(CA28*(1+'Rent Roll Analysis'!$AK26/12)), IF(AND('Monthly Cash Flow'!CB$4&gt;1,'Monthly Cash Flow'!CB$4&lt;=2),'Monthly Cash Flow'!CA28*(1+'Rent Roll Analysis'!$AE26/12),'Monthly Cash Flow'!CA28*(1+'Rent Roll Analysis'!$AB26/12))))</f>
        <v/>
      </c>
      <c r="CC28" s="1428" t="str">
        <f>IF($B28="","",IF(CC$4&gt;2,(CB28*(1+'Rent Roll Analysis'!$AK26/12)), IF(AND('Monthly Cash Flow'!CC$4&gt;1,'Monthly Cash Flow'!CC$4&lt;=2),'Monthly Cash Flow'!CB28*(1+'Rent Roll Analysis'!$AE26/12),'Monthly Cash Flow'!CB28*(1+'Rent Roll Analysis'!$AB26/12))))</f>
        <v/>
      </c>
      <c r="CD28" s="1428" t="str">
        <f>IF($B28="","",IF(CD$4&gt;2,(CC28*(1+'Rent Roll Analysis'!$AK26/12)), IF(AND('Monthly Cash Flow'!CD$4&gt;1,'Monthly Cash Flow'!CD$4&lt;=2),'Monthly Cash Flow'!CC28*(1+'Rent Roll Analysis'!$AE26/12),'Monthly Cash Flow'!CC28*(1+'Rent Roll Analysis'!$AB26/12))))</f>
        <v/>
      </c>
      <c r="CE28" s="1428" t="str">
        <f>IF($B28="","",IF(CE$4&gt;2,(CD28*(1+'Rent Roll Analysis'!$AK26/12)), IF(AND('Monthly Cash Flow'!CE$4&gt;1,'Monthly Cash Flow'!CE$4&lt;=2),'Monthly Cash Flow'!CD28*(1+'Rent Roll Analysis'!$AE26/12),'Monthly Cash Flow'!CD28*(1+'Rent Roll Analysis'!$AB26/12))))</f>
        <v/>
      </c>
      <c r="CF28" s="1428" t="str">
        <f>IF($B28="","",IF(CF$4&gt;2,(CE28*(1+'Rent Roll Analysis'!$AK26/12)), IF(AND('Monthly Cash Flow'!CF$4&gt;1,'Monthly Cash Flow'!CF$4&lt;=2),'Monthly Cash Flow'!CE28*(1+'Rent Roll Analysis'!$AE26/12),'Monthly Cash Flow'!CE28*(1+'Rent Roll Analysis'!$AB26/12))))</f>
        <v/>
      </c>
      <c r="CG28" s="1428" t="str">
        <f>IF($B28="","",IF(CG$4&gt;2,(CF28*(1+'Rent Roll Analysis'!$AK26/12)), IF(AND('Monthly Cash Flow'!CG$4&gt;1,'Monthly Cash Flow'!CG$4&lt;=2),'Monthly Cash Flow'!CF28*(1+'Rent Roll Analysis'!$AE26/12),'Monthly Cash Flow'!CF28*(1+'Rent Roll Analysis'!$AB26/12))))</f>
        <v/>
      </c>
      <c r="CH28" s="1428" t="str">
        <f>IF($B28="","",IF(CH$4&gt;2,(CG28*(1+'Rent Roll Analysis'!$AK26/12)), IF(AND('Monthly Cash Flow'!CH$4&gt;1,'Monthly Cash Flow'!CH$4&lt;=2),'Monthly Cash Flow'!CG28*(1+'Rent Roll Analysis'!$AE26/12),'Monthly Cash Flow'!CG28*(1+'Rent Roll Analysis'!$AB26/12))))</f>
        <v/>
      </c>
      <c r="CI28" s="1428" t="str">
        <f>IF($B28="","",IF(CI$4&gt;2,(CH28*(1+'Rent Roll Analysis'!$AK26/12)), IF(AND('Monthly Cash Flow'!CI$4&gt;1,'Monthly Cash Flow'!CI$4&lt;=2),'Monthly Cash Flow'!CH28*(1+'Rent Roll Analysis'!$AE26/12),'Monthly Cash Flow'!CH28*(1+'Rent Roll Analysis'!$AB26/12))))</f>
        <v/>
      </c>
      <c r="CJ28" s="1428" t="str">
        <f>IF($B28="","",IF(CJ$4&gt;2,(CI28*(1+'Rent Roll Analysis'!$AK26/12)), IF(AND('Monthly Cash Flow'!CJ$4&gt;1,'Monthly Cash Flow'!CJ$4&lt;=2),'Monthly Cash Flow'!CI28*(1+'Rent Roll Analysis'!$AE26/12),'Monthly Cash Flow'!CI28*(1+'Rent Roll Analysis'!$AB26/12))))</f>
        <v/>
      </c>
      <c r="CK28" s="1428" t="str">
        <f>IF($B28="","",IF(CK$4&gt;2,(CJ28*(1+'Rent Roll Analysis'!$AK26/12)), IF(AND('Monthly Cash Flow'!CK$4&gt;1,'Monthly Cash Flow'!CK$4&lt;=2),'Monthly Cash Flow'!CJ28*(1+'Rent Roll Analysis'!$AE26/12),'Monthly Cash Flow'!CJ28*(1+'Rent Roll Analysis'!$AB26/12))))</f>
        <v/>
      </c>
      <c r="CL28" s="1428" t="str">
        <f>IF($B28="","",IF(CL$4&gt;2,(CK28*(1+'Rent Roll Analysis'!$AK26/12)), IF(AND('Monthly Cash Flow'!CL$4&gt;1,'Monthly Cash Flow'!CL$4&lt;=2),'Monthly Cash Flow'!CK28*(1+'Rent Roll Analysis'!$AE26/12),'Monthly Cash Flow'!CK28*(1+'Rent Roll Analysis'!$AB26/12))))</f>
        <v/>
      </c>
      <c r="CM28" s="1428" t="str">
        <f>IF($B28="","",IF(CM$4&gt;2,(CL28*(1+'Rent Roll Analysis'!$AK26/12)), IF(AND('Monthly Cash Flow'!CM$4&gt;1,'Monthly Cash Flow'!CM$4&lt;=2),'Monthly Cash Flow'!CL28*(1+'Rent Roll Analysis'!$AE26/12),'Monthly Cash Flow'!CL28*(1+'Rent Roll Analysis'!$AB26/12))))</f>
        <v/>
      </c>
      <c r="CN28" s="1428" t="str">
        <f>IF($B28="","",IF(CN$4&gt;2,(CM28*(1+'Rent Roll Analysis'!$AK26/12)), IF(AND('Monthly Cash Flow'!CN$4&gt;1,'Monthly Cash Flow'!CN$4&lt;=2),'Monthly Cash Flow'!CM28*(1+'Rent Roll Analysis'!$AE26/12),'Monthly Cash Flow'!CM28*(1+'Rent Roll Analysis'!$AB26/12))))</f>
        <v/>
      </c>
      <c r="CO28" s="1428" t="str">
        <f>IF($B28="","",IF(CO$4&gt;2,(CN28*(1+'Rent Roll Analysis'!$AK26/12)), IF(AND('Monthly Cash Flow'!CO$4&gt;1,'Monthly Cash Flow'!CO$4&lt;=2),'Monthly Cash Flow'!CN28*(1+'Rent Roll Analysis'!$AE26/12),'Monthly Cash Flow'!CN28*(1+'Rent Roll Analysis'!$AB26/12))))</f>
        <v/>
      </c>
      <c r="CP28" s="1428" t="str">
        <f>IF($B28="","",IF(CP$4&gt;2,(CO28*(1+'Rent Roll Analysis'!$AK26/12)), IF(AND('Monthly Cash Flow'!CP$4&gt;1,'Monthly Cash Flow'!CP$4&lt;=2),'Monthly Cash Flow'!CO28*(1+'Rent Roll Analysis'!$AE26/12),'Monthly Cash Flow'!CO28*(1+'Rent Roll Analysis'!$AB26/12))))</f>
        <v/>
      </c>
      <c r="CQ28" s="1428" t="str">
        <f>IF($B28="","",IF(CQ$4&gt;2,(CP28*(1+'Rent Roll Analysis'!$AK26/12)), IF(AND('Monthly Cash Flow'!CQ$4&gt;1,'Monthly Cash Flow'!CQ$4&lt;=2),'Monthly Cash Flow'!CP28*(1+'Rent Roll Analysis'!$AE26/12),'Monthly Cash Flow'!CP28*(1+'Rent Roll Analysis'!$AB26/12))))</f>
        <v/>
      </c>
      <c r="CR28" s="1428" t="str">
        <f>IF($B28="","",IF(CR$4&gt;2,(CQ28*(1+'Rent Roll Analysis'!$AK26/12)), IF(AND('Monthly Cash Flow'!CR$4&gt;1,'Monthly Cash Flow'!CR$4&lt;=2),'Monthly Cash Flow'!CQ28*(1+'Rent Roll Analysis'!$AE26/12),'Monthly Cash Flow'!CQ28*(1+'Rent Roll Analysis'!$AB26/12))))</f>
        <v/>
      </c>
      <c r="CS28" s="1428" t="str">
        <f>IF($B28="","",IF(CS$4&gt;2,(CR28*(1+'Rent Roll Analysis'!$AK26/12)), IF(AND('Monthly Cash Flow'!CS$4&gt;1,'Monthly Cash Flow'!CS$4&lt;=2),'Monthly Cash Flow'!CR28*(1+'Rent Roll Analysis'!$AE26/12),'Monthly Cash Flow'!CR28*(1+'Rent Roll Analysis'!$AB26/12))))</f>
        <v/>
      </c>
      <c r="CT28" s="1428" t="str">
        <f>IF($B28="","",IF(CT$4&gt;2,(CS28*(1+'Rent Roll Analysis'!$AK26/12)), IF(AND('Monthly Cash Flow'!CT$4&gt;1,'Monthly Cash Flow'!CT$4&lt;=2),'Monthly Cash Flow'!CS28*(1+'Rent Roll Analysis'!$AE26/12),'Monthly Cash Flow'!CS28*(1+'Rent Roll Analysis'!$AB26/12))))</f>
        <v/>
      </c>
      <c r="CU28" s="1428" t="str">
        <f>IF($B28="","",IF(CU$4&gt;2,(CT28*(1+'Rent Roll Analysis'!$AK26/12)), IF(AND('Monthly Cash Flow'!CU$4&gt;1,'Monthly Cash Flow'!CU$4&lt;=2),'Monthly Cash Flow'!CT28*(1+'Rent Roll Analysis'!$AE26/12),'Monthly Cash Flow'!CT28*(1+'Rent Roll Analysis'!$AB26/12))))</f>
        <v/>
      </c>
      <c r="CV28" s="1428" t="str">
        <f>IF($B28="","",IF(CV$4&gt;2,(CU28*(1+'Rent Roll Analysis'!$AK26/12)), IF(AND('Monthly Cash Flow'!CV$4&gt;1,'Monthly Cash Flow'!CV$4&lt;=2),'Monthly Cash Flow'!CU28*(1+'Rent Roll Analysis'!$AE26/12),'Monthly Cash Flow'!CU28*(1+'Rent Roll Analysis'!$AB26/12))))</f>
        <v/>
      </c>
      <c r="CW28" s="1428" t="str">
        <f>IF($B28="","",IF(CW$4&gt;2,(CV28*(1+'Rent Roll Analysis'!$AK26/12)), IF(AND('Monthly Cash Flow'!CW$4&gt;1,'Monthly Cash Flow'!CW$4&lt;=2),'Monthly Cash Flow'!CV28*(1+'Rent Roll Analysis'!$AE26/12),'Monthly Cash Flow'!CV28*(1+'Rent Roll Analysis'!$AB26/12))))</f>
        <v/>
      </c>
      <c r="CX28" s="1428" t="str">
        <f>IF($B28="","",IF(CX$4&gt;2,(CW28*(1+'Rent Roll Analysis'!$AK26/12)), IF(AND('Monthly Cash Flow'!CX$4&gt;1,'Monthly Cash Flow'!CX$4&lt;=2),'Monthly Cash Flow'!CW28*(1+'Rent Roll Analysis'!$AE26/12),'Monthly Cash Flow'!CW28*(1+'Rent Roll Analysis'!$AB26/12))))</f>
        <v/>
      </c>
      <c r="CY28" s="1428" t="str">
        <f>IF($B28="","",IF(CY$4&gt;2,(CX28*(1+'Rent Roll Analysis'!$AK26/12)), IF(AND('Monthly Cash Flow'!CY$4&gt;1,'Monthly Cash Flow'!CY$4&lt;=2),'Monthly Cash Flow'!CX28*(1+'Rent Roll Analysis'!$AE26/12),'Monthly Cash Flow'!CX28*(1+'Rent Roll Analysis'!$AB26/12))))</f>
        <v/>
      </c>
      <c r="CZ28" s="1428" t="str">
        <f>IF($B28="","",IF(CZ$4&gt;2,(CY28*(1+'Rent Roll Analysis'!$AK26/12)), IF(AND('Monthly Cash Flow'!CZ$4&gt;1,'Monthly Cash Flow'!CZ$4&lt;=2),'Monthly Cash Flow'!CY28*(1+'Rent Roll Analysis'!$AE26/12),'Monthly Cash Flow'!CY28*(1+'Rent Roll Analysis'!$AB26/12))))</f>
        <v/>
      </c>
      <c r="DA28" s="1428" t="str">
        <f>IF($B28="","",IF(DA$4&gt;2,(CZ28*(1+'Rent Roll Analysis'!$AK26/12)), IF(AND('Monthly Cash Flow'!DA$4&gt;1,'Monthly Cash Flow'!DA$4&lt;=2),'Monthly Cash Flow'!CZ28*(1+'Rent Roll Analysis'!$AE26/12),'Monthly Cash Flow'!CZ28*(1+'Rent Roll Analysis'!$AB26/12))))</f>
        <v/>
      </c>
      <c r="DB28" s="1428" t="str">
        <f>IF($B28="","",IF(DB$4&gt;2,(DA28*(1+'Rent Roll Analysis'!$AK26/12)), IF(AND('Monthly Cash Flow'!DB$4&gt;1,'Monthly Cash Flow'!DB$4&lt;=2),'Monthly Cash Flow'!DA28*(1+'Rent Roll Analysis'!$AE26/12),'Monthly Cash Flow'!DA28*(1+'Rent Roll Analysis'!$AB26/12))))</f>
        <v/>
      </c>
      <c r="DC28" s="1428" t="str">
        <f>IF($B28="","",IF(DC$4&gt;2,(DB28*(1+'Rent Roll Analysis'!$AK26/12)), IF(AND('Monthly Cash Flow'!DC$4&gt;1,'Monthly Cash Flow'!DC$4&lt;=2),'Monthly Cash Flow'!DB28*(1+'Rent Roll Analysis'!$AE26/12),'Monthly Cash Flow'!DB28*(1+'Rent Roll Analysis'!$AB26/12))))</f>
        <v/>
      </c>
      <c r="DD28" s="1428" t="str">
        <f>IF($B28="","",IF(DD$4&gt;2,(DC28*(1+'Rent Roll Analysis'!$AK26/12)), IF(AND('Monthly Cash Flow'!DD$4&gt;1,'Monthly Cash Flow'!DD$4&lt;=2),'Monthly Cash Flow'!DC28*(1+'Rent Roll Analysis'!$AE26/12),'Monthly Cash Flow'!DC28*(1+'Rent Roll Analysis'!$AB26/12))))</f>
        <v/>
      </c>
      <c r="DE28" s="1428" t="str">
        <f>IF($B28="","",IF(DE$4&gt;2,(DD28*(1+'Rent Roll Analysis'!$AK26/12)), IF(AND('Monthly Cash Flow'!DE$4&gt;1,'Monthly Cash Flow'!DE$4&lt;=2),'Monthly Cash Flow'!DD28*(1+'Rent Roll Analysis'!$AE26/12),'Monthly Cash Flow'!DD28*(1+'Rent Roll Analysis'!$AB26/12))))</f>
        <v/>
      </c>
      <c r="DF28" s="1428" t="str">
        <f>IF($B28="","",IF(DF$4&gt;2,(DE28*(1+'Rent Roll Analysis'!$AK26/12)), IF(AND('Monthly Cash Flow'!DF$4&gt;1,'Monthly Cash Flow'!DF$4&lt;=2),'Monthly Cash Flow'!DE28*(1+'Rent Roll Analysis'!$AE26/12),'Monthly Cash Flow'!DE28*(1+'Rent Roll Analysis'!$AB26/12))))</f>
        <v/>
      </c>
      <c r="DG28" s="1428" t="str">
        <f>IF($B28="","",IF(DG$4&gt;2,(DF28*(1+'Rent Roll Analysis'!$AK26/12)), IF(AND('Monthly Cash Flow'!DG$4&gt;1,'Monthly Cash Flow'!DG$4&lt;=2),'Monthly Cash Flow'!DF28*(1+'Rent Roll Analysis'!$AE26/12),'Monthly Cash Flow'!DF28*(1+'Rent Roll Analysis'!$AB26/12))))</f>
        <v/>
      </c>
      <c r="DH28" s="1428" t="str">
        <f>IF($B28="","",IF(DH$4&gt;2,(DG28*(1+'Rent Roll Analysis'!$AK26/12)), IF(AND('Monthly Cash Flow'!DH$4&gt;1,'Monthly Cash Flow'!DH$4&lt;=2),'Monthly Cash Flow'!DG28*(1+'Rent Roll Analysis'!$AE26/12),'Monthly Cash Flow'!DG28*(1+'Rent Roll Analysis'!$AB26/12))))</f>
        <v/>
      </c>
      <c r="DI28" s="1428" t="str">
        <f>IF($B28="","",IF(DI$4&gt;2,(DH28*(1+'Rent Roll Analysis'!$AK26/12)), IF(AND('Monthly Cash Flow'!DI$4&gt;1,'Monthly Cash Flow'!DI$4&lt;=2),'Monthly Cash Flow'!DH28*(1+'Rent Roll Analysis'!$AE26/12),'Monthly Cash Flow'!DH28*(1+'Rent Roll Analysis'!$AB26/12))))</f>
        <v/>
      </c>
      <c r="DJ28" s="1428" t="str">
        <f>IF($B28="","",IF(DJ$4&gt;2,(DI28*(1+'Rent Roll Analysis'!$AK26/12)), IF(AND('Monthly Cash Flow'!DJ$4&gt;1,'Monthly Cash Flow'!DJ$4&lt;=2),'Monthly Cash Flow'!DI28*(1+'Rent Roll Analysis'!$AE26/12),'Monthly Cash Flow'!DI28*(1+'Rent Roll Analysis'!$AB26/12))))</f>
        <v/>
      </c>
      <c r="DK28" s="1428" t="str">
        <f>IF($B28="","",IF(DK$4&gt;2,(DJ28*(1+'Rent Roll Analysis'!$AK26/12)), IF(AND('Monthly Cash Flow'!DK$4&gt;1,'Monthly Cash Flow'!DK$4&lt;=2),'Monthly Cash Flow'!DJ28*(1+'Rent Roll Analysis'!$AE26/12),'Monthly Cash Flow'!DJ28*(1+'Rent Roll Analysis'!$AB26/12))))</f>
        <v/>
      </c>
      <c r="DL28" s="1428" t="str">
        <f>IF($B28="","",IF(DL$4&gt;2,(DK28*(1+'Rent Roll Analysis'!$AK26/12)), IF(AND('Monthly Cash Flow'!DL$4&gt;1,'Monthly Cash Flow'!DL$4&lt;=2),'Monthly Cash Flow'!DK28*(1+'Rent Roll Analysis'!$AE26/12),'Monthly Cash Flow'!DK28*(1+'Rent Roll Analysis'!$AB26/12))))</f>
        <v/>
      </c>
      <c r="DM28" s="1428" t="str">
        <f>IF($B28="","",IF(DM$4&gt;2,(DL28*(1+'Rent Roll Analysis'!$AK26/12)), IF(AND('Monthly Cash Flow'!DM$4&gt;1,'Monthly Cash Flow'!DM$4&lt;=2),'Monthly Cash Flow'!DL28*(1+'Rent Roll Analysis'!$AE26/12),'Monthly Cash Flow'!DL28*(1+'Rent Roll Analysis'!$AB26/12))))</f>
        <v/>
      </c>
      <c r="DN28" s="1428" t="str">
        <f>IF($B28="","",IF(DN$4&gt;2,(DM28*(1+'Rent Roll Analysis'!$AK26/12)), IF(AND('Monthly Cash Flow'!DN$4&gt;1,'Monthly Cash Flow'!DN$4&lt;=2),'Monthly Cash Flow'!DM28*(1+'Rent Roll Analysis'!$AE26/12),'Monthly Cash Flow'!DM28*(1+'Rent Roll Analysis'!$AB26/12))))</f>
        <v/>
      </c>
      <c r="DO28" s="1428" t="str">
        <f>IF($B28="","",IF(DO$4&gt;2,(DN28*(1+'Rent Roll Analysis'!$AK26/12)), IF(AND('Monthly Cash Flow'!DO$4&gt;1,'Monthly Cash Flow'!DO$4&lt;=2),'Monthly Cash Flow'!DN28*(1+'Rent Roll Analysis'!$AE26/12),'Monthly Cash Flow'!DN28*(1+'Rent Roll Analysis'!$AB26/12))))</f>
        <v/>
      </c>
      <c r="DP28" s="1428" t="str">
        <f>IF($B28="","",IF(DP$4&gt;2,(DO28*(1+'Rent Roll Analysis'!$AK26/12)), IF(AND('Monthly Cash Flow'!DP$4&gt;1,'Monthly Cash Flow'!DP$4&lt;=2),'Monthly Cash Flow'!DO28*(1+'Rent Roll Analysis'!$AE26/12),'Monthly Cash Flow'!DO28*(1+'Rent Roll Analysis'!$AB26/12))))</f>
        <v/>
      </c>
      <c r="DQ28" s="1428" t="str">
        <f>IF($B28="","",IF(DQ$4&gt;2,(DP28*(1+'Rent Roll Analysis'!$AK26/12)), IF(AND('Monthly Cash Flow'!DQ$4&gt;1,'Monthly Cash Flow'!DQ$4&lt;=2),'Monthly Cash Flow'!DP28*(1+'Rent Roll Analysis'!$AE26/12),'Monthly Cash Flow'!DP28*(1+'Rent Roll Analysis'!$AB26/12))))</f>
        <v/>
      </c>
      <c r="DR28" s="1428" t="str">
        <f>IF($B28="","",IF(DR$4&gt;2,(DQ28*(1+'Rent Roll Analysis'!$AK26/12)), IF(AND('Monthly Cash Flow'!DR$4&gt;1,'Monthly Cash Flow'!DR$4&lt;=2),'Monthly Cash Flow'!DQ28*(1+'Rent Roll Analysis'!$AE26/12),'Monthly Cash Flow'!DQ28*(1+'Rent Roll Analysis'!$AB26/12))))</f>
        <v/>
      </c>
      <c r="DS28" s="1428" t="str">
        <f>IF($B28="","",IF(DS$4&gt;2,(DR28*(1+'Rent Roll Analysis'!$AK26/12)), IF(AND('Monthly Cash Flow'!DS$4&gt;1,'Monthly Cash Flow'!DS$4&lt;=2),'Monthly Cash Flow'!DR28*(1+'Rent Roll Analysis'!$AE26/12),'Monthly Cash Flow'!DR28*(1+'Rent Roll Analysis'!$AB26/12))))</f>
        <v/>
      </c>
      <c r="DT28" s="1428" t="str">
        <f>IF($B28="","",IF(DT$4&gt;2,(DS28*(1+'Rent Roll Analysis'!$AK26/12)), IF(AND('Monthly Cash Flow'!DT$4&gt;1,'Monthly Cash Flow'!DT$4&lt;=2),'Monthly Cash Flow'!DS28*(1+'Rent Roll Analysis'!$AE26/12),'Monthly Cash Flow'!DS28*(1+'Rent Roll Analysis'!$AB26/12))))</f>
        <v/>
      </c>
      <c r="DU28" s="385" t="s">
        <v>557</v>
      </c>
      <c r="DV28" s="375"/>
    </row>
    <row r="29" spans="1:126" s="92" customFormat="1" ht="20.149999999999999" customHeight="1" outlineLevel="1">
      <c r="A29" s="375"/>
      <c r="B29" s="383" t="str">
        <f>'Rent Roll Analysis'!C27</f>
        <v/>
      </c>
      <c r="C29" s="376"/>
      <c r="D29" s="1426" t="str">
        <f>IF('Rent Roll Analysis'!C27="","",'Rent Roll Analysis'!N27*'Rent Roll Analysis'!E27)</f>
        <v/>
      </c>
      <c r="E29" s="1428" t="str">
        <f t="shared" si="113"/>
        <v/>
      </c>
      <c r="F29" s="1428" t="str">
        <f>IF($B29="","",IF(F$4&gt;2,(E29*(1+'Rent Roll Analysis'!$AK27/12)), IF(AND('Monthly Cash Flow'!F$4&gt;1,'Monthly Cash Flow'!F$4&lt;=2),'Monthly Cash Flow'!E29*(1+'Rent Roll Analysis'!$AE27/12),'Monthly Cash Flow'!E29*(1+'Rent Roll Analysis'!$AB27/12))))</f>
        <v/>
      </c>
      <c r="G29" s="1428" t="str">
        <f>IF($B29="","",IF(G$4&gt;2,(F29*(1+'Rent Roll Analysis'!$AK27/12)), IF(AND('Monthly Cash Flow'!G$4&gt;1,'Monthly Cash Flow'!G$4&lt;=2),'Monthly Cash Flow'!F29*(1+'Rent Roll Analysis'!$AE27/12),'Monthly Cash Flow'!F29*(1+'Rent Roll Analysis'!$AB27/12))))</f>
        <v/>
      </c>
      <c r="H29" s="1428" t="str">
        <f>IF($B29="","",IF(H$4&gt;2,(G29*(1+'Rent Roll Analysis'!$AK27/12)), IF(AND('Monthly Cash Flow'!H$4&gt;1,'Monthly Cash Flow'!H$4&lt;=2),'Monthly Cash Flow'!G29*(1+'Rent Roll Analysis'!$AE27/12),'Monthly Cash Flow'!G29*(1+'Rent Roll Analysis'!$AB27/12))))</f>
        <v/>
      </c>
      <c r="I29" s="1428" t="str">
        <f>IF($B29="","",IF(I$4&gt;2,(H29*(1+'Rent Roll Analysis'!$AK27/12)), IF(AND('Monthly Cash Flow'!I$4&gt;1,'Monthly Cash Flow'!I$4&lt;=2),'Monthly Cash Flow'!H29*(1+'Rent Roll Analysis'!$AE27/12),'Monthly Cash Flow'!H29*(1+'Rent Roll Analysis'!$AB27/12))))</f>
        <v/>
      </c>
      <c r="J29" s="1428" t="str">
        <f>IF($B29="","",IF(J$4&gt;2,(I29*(1+'Rent Roll Analysis'!$AK27/12)), IF(AND('Monthly Cash Flow'!J$4&gt;1,'Monthly Cash Flow'!J$4&lt;=2),'Monthly Cash Flow'!I29*(1+'Rent Roll Analysis'!$AE27/12),'Monthly Cash Flow'!I29*(1+'Rent Roll Analysis'!$AB27/12))))</f>
        <v/>
      </c>
      <c r="K29" s="1428" t="str">
        <f>IF($B29="","",IF(K$4&gt;2,(J29*(1+'Rent Roll Analysis'!$AK27/12)), IF(AND('Monthly Cash Flow'!K$4&gt;1,'Monthly Cash Flow'!K$4&lt;=2),'Monthly Cash Flow'!J29*(1+'Rent Roll Analysis'!$AE27/12),'Monthly Cash Flow'!J29*(1+'Rent Roll Analysis'!$AB27/12))))</f>
        <v/>
      </c>
      <c r="L29" s="1428" t="str">
        <f>IF($B29="","",IF(L$4&gt;2,(K29*(1+'Rent Roll Analysis'!$AK27/12)), IF(AND('Monthly Cash Flow'!L$4&gt;1,'Monthly Cash Flow'!L$4&lt;=2),'Monthly Cash Flow'!K29*(1+'Rent Roll Analysis'!$AE27/12),'Monthly Cash Flow'!K29*(1+'Rent Roll Analysis'!$AB27/12))))</f>
        <v/>
      </c>
      <c r="M29" s="1428" t="str">
        <f>IF($B29="","",IF(M$4&gt;2,(L29*(1+'Rent Roll Analysis'!$AK27/12)), IF(AND('Monthly Cash Flow'!M$4&gt;1,'Monthly Cash Flow'!M$4&lt;=2),'Monthly Cash Flow'!L29*(1+'Rent Roll Analysis'!$AE27/12),'Monthly Cash Flow'!L29*(1+'Rent Roll Analysis'!$AB27/12))))</f>
        <v/>
      </c>
      <c r="N29" s="1428" t="str">
        <f>IF($B29="","",IF(N$4&gt;2,(M29*(1+'Rent Roll Analysis'!$AK27/12)), IF(AND('Monthly Cash Flow'!N$4&gt;1,'Monthly Cash Flow'!N$4&lt;=2),'Monthly Cash Flow'!M29*(1+'Rent Roll Analysis'!$AE27/12),'Monthly Cash Flow'!M29*(1+'Rent Roll Analysis'!$AB27/12))))</f>
        <v/>
      </c>
      <c r="O29" s="1428" t="str">
        <f>IF($B29="","",IF(O$4&gt;2,(N29*(1+'Rent Roll Analysis'!$AK27/12)), IF(AND('Monthly Cash Flow'!O$4&gt;1,'Monthly Cash Flow'!O$4&lt;=2),'Monthly Cash Flow'!N29*(1+'Rent Roll Analysis'!$AE27/12),'Monthly Cash Flow'!N29*(1+'Rent Roll Analysis'!$AB27/12))))</f>
        <v/>
      </c>
      <c r="P29" s="1428" t="str">
        <f>IF($B29="","",IF(P$4&gt;2,(O29*(1+'Rent Roll Analysis'!$AK27/12)), IF(AND('Monthly Cash Flow'!P$4&gt;1,'Monthly Cash Flow'!P$4&lt;=2),'Monthly Cash Flow'!O29*(1+'Rent Roll Analysis'!$AE27/12),'Monthly Cash Flow'!O29*(1+'Rent Roll Analysis'!$AB27/12))))</f>
        <v/>
      </c>
      <c r="Q29" s="1428" t="str">
        <f>IF($B29="","",IF(Q$4&gt;2,(P29*(1+'Rent Roll Analysis'!$AK27/12)), IF(AND('Monthly Cash Flow'!Q$4&gt;1,'Monthly Cash Flow'!Q$4&lt;=2),'Monthly Cash Flow'!P29*(1+'Rent Roll Analysis'!$AE27/12),'Monthly Cash Flow'!P29*(1+'Rent Roll Analysis'!$AB27/12))))</f>
        <v/>
      </c>
      <c r="R29" s="1428" t="str">
        <f>IF($B29="","",IF(R$4&gt;2,(Q29*(1+'Rent Roll Analysis'!$AK27/12)), IF(AND('Monthly Cash Flow'!R$4&gt;1,'Monthly Cash Flow'!R$4&lt;=2),'Monthly Cash Flow'!Q29*(1+'Rent Roll Analysis'!$AE27/12),'Monthly Cash Flow'!Q29*(1+'Rent Roll Analysis'!$AB27/12))))</f>
        <v/>
      </c>
      <c r="S29" s="1428" t="str">
        <f>IF($B29="","",IF(S$4&gt;2,(R29*(1+'Rent Roll Analysis'!$AK27/12)), IF(AND('Monthly Cash Flow'!S$4&gt;1,'Monthly Cash Flow'!S$4&lt;=2),'Monthly Cash Flow'!R29*(1+'Rent Roll Analysis'!$AE27/12),'Monthly Cash Flow'!R29*(1+'Rent Roll Analysis'!$AB27/12))))</f>
        <v/>
      </c>
      <c r="T29" s="1428" t="str">
        <f>IF($B29="","",IF(T$4&gt;2,(S29*(1+'Rent Roll Analysis'!$AK27/12)), IF(AND('Monthly Cash Flow'!T$4&gt;1,'Monthly Cash Flow'!T$4&lt;=2),'Monthly Cash Flow'!S29*(1+'Rent Roll Analysis'!$AE27/12),'Monthly Cash Flow'!S29*(1+'Rent Roll Analysis'!$AB27/12))))</f>
        <v/>
      </c>
      <c r="U29" s="1428" t="str">
        <f>IF($B29="","",IF(U$4&gt;2,(T29*(1+'Rent Roll Analysis'!$AK27/12)), IF(AND('Monthly Cash Flow'!U$4&gt;1,'Monthly Cash Flow'!U$4&lt;=2),'Monthly Cash Flow'!T29*(1+'Rent Roll Analysis'!$AE27/12),'Monthly Cash Flow'!T29*(1+'Rent Roll Analysis'!$AB27/12))))</f>
        <v/>
      </c>
      <c r="V29" s="1428" t="str">
        <f>IF($B29="","",IF(V$4&gt;2,(U29*(1+'Rent Roll Analysis'!$AK27/12)), IF(AND('Monthly Cash Flow'!V$4&gt;1,'Monthly Cash Flow'!V$4&lt;=2),'Monthly Cash Flow'!U29*(1+'Rent Roll Analysis'!$AE27/12),'Monthly Cash Flow'!U29*(1+'Rent Roll Analysis'!$AB27/12))))</f>
        <v/>
      </c>
      <c r="W29" s="1428" t="str">
        <f>IF($B29="","",IF(W$4&gt;2,(V29*(1+'Rent Roll Analysis'!$AK27/12)), IF(AND('Monthly Cash Flow'!W$4&gt;1,'Monthly Cash Flow'!W$4&lt;=2),'Monthly Cash Flow'!V29*(1+'Rent Roll Analysis'!$AE27/12),'Monthly Cash Flow'!V29*(1+'Rent Roll Analysis'!$AB27/12))))</f>
        <v/>
      </c>
      <c r="X29" s="1428" t="str">
        <f>IF($B29="","",IF(X$4&gt;2,(W29*(1+'Rent Roll Analysis'!$AK27/12)), IF(AND('Monthly Cash Flow'!X$4&gt;1,'Monthly Cash Flow'!X$4&lt;=2),'Monthly Cash Flow'!W29*(1+'Rent Roll Analysis'!$AE27/12),'Monthly Cash Flow'!W29*(1+'Rent Roll Analysis'!$AB27/12))))</f>
        <v/>
      </c>
      <c r="Y29" s="1428" t="str">
        <f>IF($B29="","",IF(Y$4&gt;2,(X29*(1+'Rent Roll Analysis'!$AK27/12)), IF(AND('Monthly Cash Flow'!Y$4&gt;1,'Monthly Cash Flow'!Y$4&lt;=2),'Monthly Cash Flow'!X29*(1+'Rent Roll Analysis'!$AE27/12),'Monthly Cash Flow'!X29*(1+'Rent Roll Analysis'!$AB27/12))))</f>
        <v/>
      </c>
      <c r="Z29" s="1428" t="str">
        <f>IF($B29="","",IF(Z$4&gt;2,(Y29*(1+'Rent Roll Analysis'!$AK27/12)), IF(AND('Monthly Cash Flow'!Z$4&gt;1,'Monthly Cash Flow'!Z$4&lt;=2),'Monthly Cash Flow'!Y29*(1+'Rent Roll Analysis'!$AE27/12),'Monthly Cash Flow'!Y29*(1+'Rent Roll Analysis'!$AB27/12))))</f>
        <v/>
      </c>
      <c r="AA29" s="1428" t="str">
        <f>IF($B29="","",IF(AA$4&gt;2,(Z29*(1+'Rent Roll Analysis'!$AK27/12)), IF(AND('Monthly Cash Flow'!AA$4&gt;1,'Monthly Cash Flow'!AA$4&lt;=2),'Monthly Cash Flow'!Z29*(1+'Rent Roll Analysis'!$AE27/12),'Monthly Cash Flow'!Z29*(1+'Rent Roll Analysis'!$AB27/12))))</f>
        <v/>
      </c>
      <c r="AB29" s="1428" t="str">
        <f>IF($B29="","",IF(AB$4&gt;2,(AA29*(1+'Rent Roll Analysis'!$AK27/12)), IF(AND('Monthly Cash Flow'!AB$4&gt;1,'Monthly Cash Flow'!AB$4&lt;=2),'Monthly Cash Flow'!AA29*(1+'Rent Roll Analysis'!$AE27/12),'Monthly Cash Flow'!AA29*(1+'Rent Roll Analysis'!$AB27/12))))</f>
        <v/>
      </c>
      <c r="AC29" s="1428" t="str">
        <f>IF($B29="","",IF(AC$4&gt;2,(AB29*(1+'Rent Roll Analysis'!$AK27/12)), IF(AND('Monthly Cash Flow'!AC$4&gt;1,'Monthly Cash Flow'!AC$4&lt;=2),'Monthly Cash Flow'!AB29*(1+'Rent Roll Analysis'!$AE27/12),'Monthly Cash Flow'!AB29*(1+'Rent Roll Analysis'!$AB27/12))))</f>
        <v/>
      </c>
      <c r="AD29" s="1428" t="str">
        <f>IF($B29="","",IF(AD$4&gt;2,(AC29*(1+'Rent Roll Analysis'!$AK27/12)), IF(AND('Monthly Cash Flow'!AD$4&gt;1,'Monthly Cash Flow'!AD$4&lt;=2),'Monthly Cash Flow'!AC29*(1+'Rent Roll Analysis'!$AE27/12),'Monthly Cash Flow'!AC29*(1+'Rent Roll Analysis'!$AB27/12))))</f>
        <v/>
      </c>
      <c r="AE29" s="1428" t="str">
        <f>IF($B29="","",IF(AE$4&gt;2,(AD29*(1+'Rent Roll Analysis'!$AK27/12)), IF(AND('Monthly Cash Flow'!AE$4&gt;1,'Monthly Cash Flow'!AE$4&lt;=2),'Monthly Cash Flow'!AD29*(1+'Rent Roll Analysis'!$AE27/12),'Monthly Cash Flow'!AD29*(1+'Rent Roll Analysis'!$AB27/12))))</f>
        <v/>
      </c>
      <c r="AF29" s="1428" t="str">
        <f>IF($B29="","",IF(AF$4&gt;2,(AE29*(1+'Rent Roll Analysis'!$AK27/12)), IF(AND('Monthly Cash Flow'!AF$4&gt;1,'Monthly Cash Flow'!AF$4&lt;=2),'Monthly Cash Flow'!AE29*(1+'Rent Roll Analysis'!$AE27/12),'Monthly Cash Flow'!AE29*(1+'Rent Roll Analysis'!$AB27/12))))</f>
        <v/>
      </c>
      <c r="AG29" s="1428" t="str">
        <f>IF($B29="","",IF(AG$4&gt;2,(AF29*(1+'Rent Roll Analysis'!$AK27/12)), IF(AND('Monthly Cash Flow'!AG$4&gt;1,'Monthly Cash Flow'!AG$4&lt;=2),'Monthly Cash Flow'!AF29*(1+'Rent Roll Analysis'!$AE27/12),'Monthly Cash Flow'!AF29*(1+'Rent Roll Analysis'!$AB27/12))))</f>
        <v/>
      </c>
      <c r="AH29" s="1428" t="str">
        <f>IF($B29="","",IF(AH$4&gt;2,(AG29*(1+'Rent Roll Analysis'!$AK27/12)), IF(AND('Monthly Cash Flow'!AH$4&gt;1,'Monthly Cash Flow'!AH$4&lt;=2),'Monthly Cash Flow'!AG29*(1+'Rent Roll Analysis'!$AE27/12),'Monthly Cash Flow'!AG29*(1+'Rent Roll Analysis'!$AB27/12))))</f>
        <v/>
      </c>
      <c r="AI29" s="1428" t="str">
        <f>IF($B29="","",IF(AI$4&gt;2,(AH29*(1+'Rent Roll Analysis'!$AK27/12)), IF(AND('Monthly Cash Flow'!AI$4&gt;1,'Monthly Cash Flow'!AI$4&lt;=2),'Monthly Cash Flow'!AH29*(1+'Rent Roll Analysis'!$AE27/12),'Monthly Cash Flow'!AH29*(1+'Rent Roll Analysis'!$AB27/12))))</f>
        <v/>
      </c>
      <c r="AJ29" s="1428" t="str">
        <f>IF($B29="","",IF(AJ$4&gt;2,(AI29*(1+'Rent Roll Analysis'!$AK27/12)), IF(AND('Monthly Cash Flow'!AJ$4&gt;1,'Monthly Cash Flow'!AJ$4&lt;=2),'Monthly Cash Flow'!AI29*(1+'Rent Roll Analysis'!$AE27/12),'Monthly Cash Flow'!AI29*(1+'Rent Roll Analysis'!$AB27/12))))</f>
        <v/>
      </c>
      <c r="AK29" s="1428" t="str">
        <f>IF($B29="","",IF(AK$4&gt;2,(AJ29*(1+'Rent Roll Analysis'!$AK27/12)), IF(AND('Monthly Cash Flow'!AK$4&gt;1,'Monthly Cash Flow'!AK$4&lt;=2),'Monthly Cash Flow'!AJ29*(1+'Rent Roll Analysis'!$AE27/12),'Monthly Cash Flow'!AJ29*(1+'Rent Roll Analysis'!$AB27/12))))</f>
        <v/>
      </c>
      <c r="AL29" s="1428" t="str">
        <f>IF($B29="","",IF(AL$4&gt;2,(AK29*(1+'Rent Roll Analysis'!$AK27/12)), IF(AND('Monthly Cash Flow'!AL$4&gt;1,'Monthly Cash Flow'!AL$4&lt;=2),'Monthly Cash Flow'!AK29*(1+'Rent Roll Analysis'!$AE27/12),'Monthly Cash Flow'!AK29*(1+'Rent Roll Analysis'!$AB27/12))))</f>
        <v/>
      </c>
      <c r="AM29" s="1428" t="str">
        <f>IF($B29="","",IF(AM$4&gt;2,(AL29*(1+'Rent Roll Analysis'!$AK27/12)), IF(AND('Monthly Cash Flow'!AM$4&gt;1,'Monthly Cash Flow'!AM$4&lt;=2),'Monthly Cash Flow'!AL29*(1+'Rent Roll Analysis'!$AE27/12),'Monthly Cash Flow'!AL29*(1+'Rent Roll Analysis'!$AB27/12))))</f>
        <v/>
      </c>
      <c r="AN29" s="1428" t="str">
        <f>IF($B29="","",IF(AN$4&gt;2,(AM29*(1+'Rent Roll Analysis'!$AK27/12)), IF(AND('Monthly Cash Flow'!AN$4&gt;1,'Monthly Cash Flow'!AN$4&lt;=2),'Monthly Cash Flow'!AM29*(1+'Rent Roll Analysis'!$AE27/12),'Monthly Cash Flow'!AM29*(1+'Rent Roll Analysis'!$AB27/12))))</f>
        <v/>
      </c>
      <c r="AO29" s="1428" t="str">
        <f>IF($B29="","",IF(AO$4&gt;2,(AN29*(1+'Rent Roll Analysis'!$AK27/12)), IF(AND('Monthly Cash Flow'!AO$4&gt;1,'Monthly Cash Flow'!AO$4&lt;=2),'Monthly Cash Flow'!AN29*(1+'Rent Roll Analysis'!$AE27/12),'Monthly Cash Flow'!AN29*(1+'Rent Roll Analysis'!$AB27/12))))</f>
        <v/>
      </c>
      <c r="AP29" s="1428" t="str">
        <f>IF($B29="","",IF(AP$4&gt;2,(AO29*(1+'Rent Roll Analysis'!$AK27/12)), IF(AND('Monthly Cash Flow'!AP$4&gt;1,'Monthly Cash Flow'!AP$4&lt;=2),'Monthly Cash Flow'!AO29*(1+'Rent Roll Analysis'!$AE27/12),'Monthly Cash Flow'!AO29*(1+'Rent Roll Analysis'!$AB27/12))))</f>
        <v/>
      </c>
      <c r="AQ29" s="1428" t="str">
        <f>IF($B29="","",IF(AQ$4&gt;2,(AP29*(1+'Rent Roll Analysis'!$AK27/12)), IF(AND('Monthly Cash Flow'!AQ$4&gt;1,'Monthly Cash Flow'!AQ$4&lt;=2),'Monthly Cash Flow'!AP29*(1+'Rent Roll Analysis'!$AE27/12),'Monthly Cash Flow'!AP29*(1+'Rent Roll Analysis'!$AB27/12))))</f>
        <v/>
      </c>
      <c r="AR29" s="1428" t="str">
        <f>IF($B29="","",IF(AR$4&gt;2,(AQ29*(1+'Rent Roll Analysis'!$AK27/12)), IF(AND('Monthly Cash Flow'!AR$4&gt;1,'Monthly Cash Flow'!AR$4&lt;=2),'Monthly Cash Flow'!AQ29*(1+'Rent Roll Analysis'!$AE27/12),'Monthly Cash Flow'!AQ29*(1+'Rent Roll Analysis'!$AB27/12))))</f>
        <v/>
      </c>
      <c r="AS29" s="1428" t="str">
        <f>IF($B29="","",IF(AS$4&gt;2,(AR29*(1+'Rent Roll Analysis'!$AK27/12)), IF(AND('Monthly Cash Flow'!AS$4&gt;1,'Monthly Cash Flow'!AS$4&lt;=2),'Monthly Cash Flow'!AR29*(1+'Rent Roll Analysis'!$AE27/12),'Monthly Cash Flow'!AR29*(1+'Rent Roll Analysis'!$AB27/12))))</f>
        <v/>
      </c>
      <c r="AT29" s="1428" t="str">
        <f>IF($B29="","",IF(AT$4&gt;2,(AS29*(1+'Rent Roll Analysis'!$AK27/12)), IF(AND('Monthly Cash Flow'!AT$4&gt;1,'Monthly Cash Flow'!AT$4&lt;=2),'Monthly Cash Flow'!AS29*(1+'Rent Roll Analysis'!$AE27/12),'Monthly Cash Flow'!AS29*(1+'Rent Roll Analysis'!$AB27/12))))</f>
        <v/>
      </c>
      <c r="AU29" s="1428" t="str">
        <f>IF($B29="","",IF(AU$4&gt;2,(AT29*(1+'Rent Roll Analysis'!$AK27/12)), IF(AND('Monthly Cash Flow'!AU$4&gt;1,'Monthly Cash Flow'!AU$4&lt;=2),'Monthly Cash Flow'!AT29*(1+'Rent Roll Analysis'!$AE27/12),'Monthly Cash Flow'!AT29*(1+'Rent Roll Analysis'!$AB27/12))))</f>
        <v/>
      </c>
      <c r="AV29" s="1428" t="str">
        <f>IF($B29="","",IF(AV$4&gt;2,(AU29*(1+'Rent Roll Analysis'!$AK27/12)), IF(AND('Monthly Cash Flow'!AV$4&gt;1,'Monthly Cash Flow'!AV$4&lt;=2),'Monthly Cash Flow'!AU29*(1+'Rent Roll Analysis'!$AE27/12),'Monthly Cash Flow'!AU29*(1+'Rent Roll Analysis'!$AB27/12))))</f>
        <v/>
      </c>
      <c r="AW29" s="1428" t="str">
        <f>IF($B29="","",IF(AW$4&gt;2,(AV29*(1+'Rent Roll Analysis'!$AK27/12)), IF(AND('Monthly Cash Flow'!AW$4&gt;1,'Monthly Cash Flow'!AW$4&lt;=2),'Monthly Cash Flow'!AV29*(1+'Rent Roll Analysis'!$AE27/12),'Monthly Cash Flow'!AV29*(1+'Rent Roll Analysis'!$AB27/12))))</f>
        <v/>
      </c>
      <c r="AX29" s="1428" t="str">
        <f>IF($B29="","",IF(AX$4&gt;2,(AW29*(1+'Rent Roll Analysis'!$AK27/12)), IF(AND('Monthly Cash Flow'!AX$4&gt;1,'Monthly Cash Flow'!AX$4&lt;=2),'Monthly Cash Flow'!AW29*(1+'Rent Roll Analysis'!$AE27/12),'Monthly Cash Flow'!AW29*(1+'Rent Roll Analysis'!$AB27/12))))</f>
        <v/>
      </c>
      <c r="AY29" s="1428" t="str">
        <f>IF($B29="","",IF(AY$4&gt;2,(AX29*(1+'Rent Roll Analysis'!$AK27/12)), IF(AND('Monthly Cash Flow'!AY$4&gt;1,'Monthly Cash Flow'!AY$4&lt;=2),'Monthly Cash Flow'!AX29*(1+'Rent Roll Analysis'!$AE27/12),'Monthly Cash Flow'!AX29*(1+'Rent Roll Analysis'!$AB27/12))))</f>
        <v/>
      </c>
      <c r="AZ29" s="1428" t="str">
        <f>IF($B29="","",IF(AZ$4&gt;2,(AY29*(1+'Rent Roll Analysis'!$AK27/12)), IF(AND('Monthly Cash Flow'!AZ$4&gt;1,'Monthly Cash Flow'!AZ$4&lt;=2),'Monthly Cash Flow'!AY29*(1+'Rent Roll Analysis'!$AE27/12),'Monthly Cash Flow'!AY29*(1+'Rent Roll Analysis'!$AB27/12))))</f>
        <v/>
      </c>
      <c r="BA29" s="1428" t="str">
        <f>IF($B29="","",IF(BA$4&gt;2,(AZ29*(1+'Rent Roll Analysis'!$AK27/12)), IF(AND('Monthly Cash Flow'!BA$4&gt;1,'Monthly Cash Flow'!BA$4&lt;=2),'Monthly Cash Flow'!AZ29*(1+'Rent Roll Analysis'!$AE27/12),'Monthly Cash Flow'!AZ29*(1+'Rent Roll Analysis'!$AB27/12))))</f>
        <v/>
      </c>
      <c r="BB29" s="1428" t="str">
        <f>IF($B29="","",IF(BB$4&gt;2,(BA29*(1+'Rent Roll Analysis'!$AK27/12)), IF(AND('Monthly Cash Flow'!BB$4&gt;1,'Monthly Cash Flow'!BB$4&lt;=2),'Monthly Cash Flow'!BA29*(1+'Rent Roll Analysis'!$AE27/12),'Monthly Cash Flow'!BA29*(1+'Rent Roll Analysis'!$AB27/12))))</f>
        <v/>
      </c>
      <c r="BC29" s="1428" t="str">
        <f>IF($B29="","",IF(BC$4&gt;2,(BB29*(1+'Rent Roll Analysis'!$AK27/12)), IF(AND('Monthly Cash Flow'!BC$4&gt;1,'Monthly Cash Flow'!BC$4&lt;=2),'Monthly Cash Flow'!BB29*(1+'Rent Roll Analysis'!$AE27/12),'Monthly Cash Flow'!BB29*(1+'Rent Roll Analysis'!$AB27/12))))</f>
        <v/>
      </c>
      <c r="BD29" s="1428" t="str">
        <f>IF($B29="","",IF(BD$4&gt;2,(BC29*(1+'Rent Roll Analysis'!$AK27/12)), IF(AND('Monthly Cash Flow'!BD$4&gt;1,'Monthly Cash Flow'!BD$4&lt;=2),'Monthly Cash Flow'!BC29*(1+'Rent Roll Analysis'!$AE27/12),'Monthly Cash Flow'!BC29*(1+'Rent Roll Analysis'!$AB27/12))))</f>
        <v/>
      </c>
      <c r="BE29" s="1428" t="str">
        <f>IF($B29="","",IF(BE$4&gt;2,(BD29*(1+'Rent Roll Analysis'!$AK27/12)), IF(AND('Monthly Cash Flow'!BE$4&gt;1,'Monthly Cash Flow'!BE$4&lt;=2),'Monthly Cash Flow'!BD29*(1+'Rent Roll Analysis'!$AE27/12),'Monthly Cash Flow'!BD29*(1+'Rent Roll Analysis'!$AB27/12))))</f>
        <v/>
      </c>
      <c r="BF29" s="1428" t="str">
        <f>IF($B29="","",IF(BF$4&gt;2,(BE29*(1+'Rent Roll Analysis'!$AK27/12)), IF(AND('Monthly Cash Flow'!BF$4&gt;1,'Monthly Cash Flow'!BF$4&lt;=2),'Monthly Cash Flow'!BE29*(1+'Rent Roll Analysis'!$AE27/12),'Monthly Cash Flow'!BE29*(1+'Rent Roll Analysis'!$AB27/12))))</f>
        <v/>
      </c>
      <c r="BG29" s="1428" t="str">
        <f>IF($B29="","",IF(BG$4&gt;2,(BF29*(1+'Rent Roll Analysis'!$AK27/12)), IF(AND('Monthly Cash Flow'!BG$4&gt;1,'Monthly Cash Flow'!BG$4&lt;=2),'Monthly Cash Flow'!BF29*(1+'Rent Roll Analysis'!$AE27/12),'Monthly Cash Flow'!BF29*(1+'Rent Roll Analysis'!$AB27/12))))</f>
        <v/>
      </c>
      <c r="BH29" s="1428" t="str">
        <f>IF($B29="","",IF(BH$4&gt;2,(BG29*(1+'Rent Roll Analysis'!$AK27/12)), IF(AND('Monthly Cash Flow'!BH$4&gt;1,'Monthly Cash Flow'!BH$4&lt;=2),'Monthly Cash Flow'!BG29*(1+'Rent Roll Analysis'!$AE27/12),'Monthly Cash Flow'!BG29*(1+'Rent Roll Analysis'!$AB27/12))))</f>
        <v/>
      </c>
      <c r="BI29" s="1428" t="str">
        <f>IF($B29="","",IF(BI$4&gt;2,(BH29*(1+'Rent Roll Analysis'!$AK27/12)), IF(AND('Monthly Cash Flow'!BI$4&gt;1,'Monthly Cash Flow'!BI$4&lt;=2),'Monthly Cash Flow'!BH29*(1+'Rent Roll Analysis'!$AE27/12),'Monthly Cash Flow'!BH29*(1+'Rent Roll Analysis'!$AB27/12))))</f>
        <v/>
      </c>
      <c r="BJ29" s="1428" t="str">
        <f>IF($B29="","",IF(BJ$4&gt;2,(BI29*(1+'Rent Roll Analysis'!$AK27/12)), IF(AND('Monthly Cash Flow'!BJ$4&gt;1,'Monthly Cash Flow'!BJ$4&lt;=2),'Monthly Cash Flow'!BI29*(1+'Rent Roll Analysis'!$AE27/12),'Monthly Cash Flow'!BI29*(1+'Rent Roll Analysis'!$AB27/12))))</f>
        <v/>
      </c>
      <c r="BK29" s="1428" t="str">
        <f>IF($B29="","",IF(BK$4&gt;2,(BJ29*(1+'Rent Roll Analysis'!$AK27/12)), IF(AND('Monthly Cash Flow'!BK$4&gt;1,'Monthly Cash Flow'!BK$4&lt;=2),'Monthly Cash Flow'!BJ29*(1+'Rent Roll Analysis'!$AE27/12),'Monthly Cash Flow'!BJ29*(1+'Rent Roll Analysis'!$AB27/12))))</f>
        <v/>
      </c>
      <c r="BL29" s="1428" t="str">
        <f>IF($B29="","",IF(BL$4&gt;2,(BK29*(1+'Rent Roll Analysis'!$AK27/12)), IF(AND('Monthly Cash Flow'!BL$4&gt;1,'Monthly Cash Flow'!BL$4&lt;=2),'Monthly Cash Flow'!BK29*(1+'Rent Roll Analysis'!$AE27/12),'Monthly Cash Flow'!BK29*(1+'Rent Roll Analysis'!$AB27/12))))</f>
        <v/>
      </c>
      <c r="BM29" s="1428" t="str">
        <f>IF($B29="","",IF(BM$4&gt;2,(BL29*(1+'Rent Roll Analysis'!$AK27/12)), IF(AND('Monthly Cash Flow'!BM$4&gt;1,'Monthly Cash Flow'!BM$4&lt;=2),'Monthly Cash Flow'!BL29*(1+'Rent Roll Analysis'!$AE27/12),'Monthly Cash Flow'!BL29*(1+'Rent Roll Analysis'!$AB27/12))))</f>
        <v/>
      </c>
      <c r="BN29" s="1428" t="str">
        <f>IF($B29="","",IF(BN$4&gt;2,(BM29*(1+'Rent Roll Analysis'!$AK27/12)), IF(AND('Monthly Cash Flow'!BN$4&gt;1,'Monthly Cash Flow'!BN$4&lt;=2),'Monthly Cash Flow'!BM29*(1+'Rent Roll Analysis'!$AE27/12),'Monthly Cash Flow'!BM29*(1+'Rent Roll Analysis'!$AB27/12))))</f>
        <v/>
      </c>
      <c r="BO29" s="1428" t="str">
        <f>IF($B29="","",IF(BO$4&gt;2,(BN29*(1+'Rent Roll Analysis'!$AK27/12)), IF(AND('Monthly Cash Flow'!BO$4&gt;1,'Monthly Cash Flow'!BO$4&lt;=2),'Monthly Cash Flow'!BN29*(1+'Rent Roll Analysis'!$AE27/12),'Monthly Cash Flow'!BN29*(1+'Rent Roll Analysis'!$AB27/12))))</f>
        <v/>
      </c>
      <c r="BP29" s="1428" t="str">
        <f>IF($B29="","",IF(BP$4&gt;2,(BO29*(1+'Rent Roll Analysis'!$AK27/12)), IF(AND('Monthly Cash Flow'!BP$4&gt;1,'Monthly Cash Flow'!BP$4&lt;=2),'Monthly Cash Flow'!BO29*(1+'Rent Roll Analysis'!$AE27/12),'Monthly Cash Flow'!BO29*(1+'Rent Roll Analysis'!$AB27/12))))</f>
        <v/>
      </c>
      <c r="BQ29" s="1428" t="str">
        <f>IF($B29="","",IF(BQ$4&gt;2,(BP29*(1+'Rent Roll Analysis'!$AK27/12)), IF(AND('Monthly Cash Flow'!BQ$4&gt;1,'Monthly Cash Flow'!BQ$4&lt;=2),'Monthly Cash Flow'!BP29*(1+'Rent Roll Analysis'!$AE27/12),'Monthly Cash Flow'!BP29*(1+'Rent Roll Analysis'!$AB27/12))))</f>
        <v/>
      </c>
      <c r="BR29" s="1428" t="str">
        <f>IF($B29="","",IF(BR$4&gt;2,(BQ29*(1+'Rent Roll Analysis'!$AK27/12)), IF(AND('Monthly Cash Flow'!BR$4&gt;1,'Monthly Cash Flow'!BR$4&lt;=2),'Monthly Cash Flow'!BQ29*(1+'Rent Roll Analysis'!$AE27/12),'Monthly Cash Flow'!BQ29*(1+'Rent Roll Analysis'!$AB27/12))))</f>
        <v/>
      </c>
      <c r="BS29" s="1428" t="str">
        <f>IF($B29="","",IF(BS$4&gt;2,(BR29*(1+'Rent Roll Analysis'!$AK27/12)), IF(AND('Monthly Cash Flow'!BS$4&gt;1,'Monthly Cash Flow'!BS$4&lt;=2),'Monthly Cash Flow'!BR29*(1+'Rent Roll Analysis'!$AE27/12),'Monthly Cash Flow'!BR29*(1+'Rent Roll Analysis'!$AB27/12))))</f>
        <v/>
      </c>
      <c r="BT29" s="1428" t="str">
        <f>IF($B29="","",IF(BT$4&gt;2,(BS29*(1+'Rent Roll Analysis'!$AK27/12)), IF(AND('Monthly Cash Flow'!BT$4&gt;1,'Monthly Cash Flow'!BT$4&lt;=2),'Monthly Cash Flow'!BS29*(1+'Rent Roll Analysis'!$AE27/12),'Monthly Cash Flow'!BS29*(1+'Rent Roll Analysis'!$AB27/12))))</f>
        <v/>
      </c>
      <c r="BU29" s="1428" t="str">
        <f>IF($B29="","",IF(BU$4&gt;2,(BT29*(1+'Rent Roll Analysis'!$AK27/12)), IF(AND('Monthly Cash Flow'!BU$4&gt;1,'Monthly Cash Flow'!BU$4&lt;=2),'Monthly Cash Flow'!BT29*(1+'Rent Roll Analysis'!$AE27/12),'Monthly Cash Flow'!BT29*(1+'Rent Roll Analysis'!$AB27/12))))</f>
        <v/>
      </c>
      <c r="BV29" s="1428" t="str">
        <f>IF($B29="","",IF(BV$4&gt;2,(BU29*(1+'Rent Roll Analysis'!$AK27/12)), IF(AND('Monthly Cash Flow'!BV$4&gt;1,'Monthly Cash Flow'!BV$4&lt;=2),'Monthly Cash Flow'!BU29*(1+'Rent Roll Analysis'!$AE27/12),'Monthly Cash Flow'!BU29*(1+'Rent Roll Analysis'!$AB27/12))))</f>
        <v/>
      </c>
      <c r="BW29" s="1428" t="str">
        <f>IF($B29="","",IF(BW$4&gt;2,(BV29*(1+'Rent Roll Analysis'!$AK27/12)), IF(AND('Monthly Cash Flow'!BW$4&gt;1,'Monthly Cash Flow'!BW$4&lt;=2),'Monthly Cash Flow'!BV29*(1+'Rent Roll Analysis'!$AE27/12),'Monthly Cash Flow'!BV29*(1+'Rent Roll Analysis'!$AB27/12))))</f>
        <v/>
      </c>
      <c r="BX29" s="1428" t="str">
        <f>IF($B29="","",IF(BX$4&gt;2,(BW29*(1+'Rent Roll Analysis'!$AK27/12)), IF(AND('Monthly Cash Flow'!BX$4&gt;1,'Monthly Cash Flow'!BX$4&lt;=2),'Monthly Cash Flow'!BW29*(1+'Rent Roll Analysis'!$AE27/12),'Monthly Cash Flow'!BW29*(1+'Rent Roll Analysis'!$AB27/12))))</f>
        <v/>
      </c>
      <c r="BY29" s="1428" t="str">
        <f>IF($B29="","",IF(BY$4&gt;2,(BX29*(1+'Rent Roll Analysis'!$AK27/12)), IF(AND('Monthly Cash Flow'!BY$4&gt;1,'Monthly Cash Flow'!BY$4&lt;=2),'Monthly Cash Flow'!BX29*(1+'Rent Roll Analysis'!$AE27/12),'Monthly Cash Flow'!BX29*(1+'Rent Roll Analysis'!$AB27/12))))</f>
        <v/>
      </c>
      <c r="BZ29" s="1428" t="str">
        <f>IF($B29="","",IF(BZ$4&gt;2,(BY29*(1+'Rent Roll Analysis'!$AK27/12)), IF(AND('Monthly Cash Flow'!BZ$4&gt;1,'Monthly Cash Flow'!BZ$4&lt;=2),'Monthly Cash Flow'!BY29*(1+'Rent Roll Analysis'!$AE27/12),'Monthly Cash Flow'!BY29*(1+'Rent Roll Analysis'!$AB27/12))))</f>
        <v/>
      </c>
      <c r="CA29" s="1428" t="str">
        <f>IF($B29="","",IF(CA$4&gt;2,(BZ29*(1+'Rent Roll Analysis'!$AK27/12)), IF(AND('Monthly Cash Flow'!CA$4&gt;1,'Monthly Cash Flow'!CA$4&lt;=2),'Monthly Cash Flow'!BZ29*(1+'Rent Roll Analysis'!$AE27/12),'Monthly Cash Flow'!BZ29*(1+'Rent Roll Analysis'!$AB27/12))))</f>
        <v/>
      </c>
      <c r="CB29" s="1428" t="str">
        <f>IF($B29="","",IF(CB$4&gt;2,(CA29*(1+'Rent Roll Analysis'!$AK27/12)), IF(AND('Monthly Cash Flow'!CB$4&gt;1,'Monthly Cash Flow'!CB$4&lt;=2),'Monthly Cash Flow'!CA29*(1+'Rent Roll Analysis'!$AE27/12),'Monthly Cash Flow'!CA29*(1+'Rent Roll Analysis'!$AB27/12))))</f>
        <v/>
      </c>
      <c r="CC29" s="1428" t="str">
        <f>IF($B29="","",IF(CC$4&gt;2,(CB29*(1+'Rent Roll Analysis'!$AK27/12)), IF(AND('Monthly Cash Flow'!CC$4&gt;1,'Monthly Cash Flow'!CC$4&lt;=2),'Monthly Cash Flow'!CB29*(1+'Rent Roll Analysis'!$AE27/12),'Monthly Cash Flow'!CB29*(1+'Rent Roll Analysis'!$AB27/12))))</f>
        <v/>
      </c>
      <c r="CD29" s="1428" t="str">
        <f>IF($B29="","",IF(CD$4&gt;2,(CC29*(1+'Rent Roll Analysis'!$AK27/12)), IF(AND('Monthly Cash Flow'!CD$4&gt;1,'Monthly Cash Flow'!CD$4&lt;=2),'Monthly Cash Flow'!CC29*(1+'Rent Roll Analysis'!$AE27/12),'Monthly Cash Flow'!CC29*(1+'Rent Roll Analysis'!$AB27/12))))</f>
        <v/>
      </c>
      <c r="CE29" s="1428" t="str">
        <f>IF($B29="","",IF(CE$4&gt;2,(CD29*(1+'Rent Roll Analysis'!$AK27/12)), IF(AND('Monthly Cash Flow'!CE$4&gt;1,'Monthly Cash Flow'!CE$4&lt;=2),'Monthly Cash Flow'!CD29*(1+'Rent Roll Analysis'!$AE27/12),'Monthly Cash Flow'!CD29*(1+'Rent Roll Analysis'!$AB27/12))))</f>
        <v/>
      </c>
      <c r="CF29" s="1428" t="str">
        <f>IF($B29="","",IF(CF$4&gt;2,(CE29*(1+'Rent Roll Analysis'!$AK27/12)), IF(AND('Monthly Cash Flow'!CF$4&gt;1,'Monthly Cash Flow'!CF$4&lt;=2),'Monthly Cash Flow'!CE29*(1+'Rent Roll Analysis'!$AE27/12),'Monthly Cash Flow'!CE29*(1+'Rent Roll Analysis'!$AB27/12))))</f>
        <v/>
      </c>
      <c r="CG29" s="1428" t="str">
        <f>IF($B29="","",IF(CG$4&gt;2,(CF29*(1+'Rent Roll Analysis'!$AK27/12)), IF(AND('Monthly Cash Flow'!CG$4&gt;1,'Monthly Cash Flow'!CG$4&lt;=2),'Monthly Cash Flow'!CF29*(1+'Rent Roll Analysis'!$AE27/12),'Monthly Cash Flow'!CF29*(1+'Rent Roll Analysis'!$AB27/12))))</f>
        <v/>
      </c>
      <c r="CH29" s="1428" t="str">
        <f>IF($B29="","",IF(CH$4&gt;2,(CG29*(1+'Rent Roll Analysis'!$AK27/12)), IF(AND('Monthly Cash Flow'!CH$4&gt;1,'Monthly Cash Flow'!CH$4&lt;=2),'Monthly Cash Flow'!CG29*(1+'Rent Roll Analysis'!$AE27/12),'Monthly Cash Flow'!CG29*(1+'Rent Roll Analysis'!$AB27/12))))</f>
        <v/>
      </c>
      <c r="CI29" s="1428" t="str">
        <f>IF($B29="","",IF(CI$4&gt;2,(CH29*(1+'Rent Roll Analysis'!$AK27/12)), IF(AND('Monthly Cash Flow'!CI$4&gt;1,'Monthly Cash Flow'!CI$4&lt;=2),'Monthly Cash Flow'!CH29*(1+'Rent Roll Analysis'!$AE27/12),'Monthly Cash Flow'!CH29*(1+'Rent Roll Analysis'!$AB27/12))))</f>
        <v/>
      </c>
      <c r="CJ29" s="1428" t="str">
        <f>IF($B29="","",IF(CJ$4&gt;2,(CI29*(1+'Rent Roll Analysis'!$AK27/12)), IF(AND('Monthly Cash Flow'!CJ$4&gt;1,'Monthly Cash Flow'!CJ$4&lt;=2),'Monthly Cash Flow'!CI29*(1+'Rent Roll Analysis'!$AE27/12),'Monthly Cash Flow'!CI29*(1+'Rent Roll Analysis'!$AB27/12))))</f>
        <v/>
      </c>
      <c r="CK29" s="1428" t="str">
        <f>IF($B29="","",IF(CK$4&gt;2,(CJ29*(1+'Rent Roll Analysis'!$AK27/12)), IF(AND('Monthly Cash Flow'!CK$4&gt;1,'Monthly Cash Flow'!CK$4&lt;=2),'Monthly Cash Flow'!CJ29*(1+'Rent Roll Analysis'!$AE27/12),'Monthly Cash Flow'!CJ29*(1+'Rent Roll Analysis'!$AB27/12))))</f>
        <v/>
      </c>
      <c r="CL29" s="1428" t="str">
        <f>IF($B29="","",IF(CL$4&gt;2,(CK29*(1+'Rent Roll Analysis'!$AK27/12)), IF(AND('Monthly Cash Flow'!CL$4&gt;1,'Monthly Cash Flow'!CL$4&lt;=2),'Monthly Cash Flow'!CK29*(1+'Rent Roll Analysis'!$AE27/12),'Monthly Cash Flow'!CK29*(1+'Rent Roll Analysis'!$AB27/12))))</f>
        <v/>
      </c>
      <c r="CM29" s="1428" t="str">
        <f>IF($B29="","",IF(CM$4&gt;2,(CL29*(1+'Rent Roll Analysis'!$AK27/12)), IF(AND('Monthly Cash Flow'!CM$4&gt;1,'Monthly Cash Flow'!CM$4&lt;=2),'Monthly Cash Flow'!CL29*(1+'Rent Roll Analysis'!$AE27/12),'Monthly Cash Flow'!CL29*(1+'Rent Roll Analysis'!$AB27/12))))</f>
        <v/>
      </c>
      <c r="CN29" s="1428" t="str">
        <f>IF($B29="","",IF(CN$4&gt;2,(CM29*(1+'Rent Roll Analysis'!$AK27/12)), IF(AND('Monthly Cash Flow'!CN$4&gt;1,'Monthly Cash Flow'!CN$4&lt;=2),'Monthly Cash Flow'!CM29*(1+'Rent Roll Analysis'!$AE27/12),'Monthly Cash Flow'!CM29*(1+'Rent Roll Analysis'!$AB27/12))))</f>
        <v/>
      </c>
      <c r="CO29" s="1428" t="str">
        <f>IF($B29="","",IF(CO$4&gt;2,(CN29*(1+'Rent Roll Analysis'!$AK27/12)), IF(AND('Monthly Cash Flow'!CO$4&gt;1,'Monthly Cash Flow'!CO$4&lt;=2),'Monthly Cash Flow'!CN29*(1+'Rent Roll Analysis'!$AE27/12),'Monthly Cash Flow'!CN29*(1+'Rent Roll Analysis'!$AB27/12))))</f>
        <v/>
      </c>
      <c r="CP29" s="1428" t="str">
        <f>IF($B29="","",IF(CP$4&gt;2,(CO29*(1+'Rent Roll Analysis'!$AK27/12)), IF(AND('Monthly Cash Flow'!CP$4&gt;1,'Monthly Cash Flow'!CP$4&lt;=2),'Monthly Cash Flow'!CO29*(1+'Rent Roll Analysis'!$AE27/12),'Monthly Cash Flow'!CO29*(1+'Rent Roll Analysis'!$AB27/12))))</f>
        <v/>
      </c>
      <c r="CQ29" s="1428" t="str">
        <f>IF($B29="","",IF(CQ$4&gt;2,(CP29*(1+'Rent Roll Analysis'!$AK27/12)), IF(AND('Monthly Cash Flow'!CQ$4&gt;1,'Monthly Cash Flow'!CQ$4&lt;=2),'Monthly Cash Flow'!CP29*(1+'Rent Roll Analysis'!$AE27/12),'Monthly Cash Flow'!CP29*(1+'Rent Roll Analysis'!$AB27/12))))</f>
        <v/>
      </c>
      <c r="CR29" s="1428" t="str">
        <f>IF($B29="","",IF(CR$4&gt;2,(CQ29*(1+'Rent Roll Analysis'!$AK27/12)), IF(AND('Monthly Cash Flow'!CR$4&gt;1,'Monthly Cash Flow'!CR$4&lt;=2),'Monthly Cash Flow'!CQ29*(1+'Rent Roll Analysis'!$AE27/12),'Monthly Cash Flow'!CQ29*(1+'Rent Roll Analysis'!$AB27/12))))</f>
        <v/>
      </c>
      <c r="CS29" s="1428" t="str">
        <f>IF($B29="","",IF(CS$4&gt;2,(CR29*(1+'Rent Roll Analysis'!$AK27/12)), IF(AND('Monthly Cash Flow'!CS$4&gt;1,'Monthly Cash Flow'!CS$4&lt;=2),'Monthly Cash Flow'!CR29*(1+'Rent Roll Analysis'!$AE27/12),'Monthly Cash Flow'!CR29*(1+'Rent Roll Analysis'!$AB27/12))))</f>
        <v/>
      </c>
      <c r="CT29" s="1428" t="str">
        <f>IF($B29="","",IF(CT$4&gt;2,(CS29*(1+'Rent Roll Analysis'!$AK27/12)), IF(AND('Monthly Cash Flow'!CT$4&gt;1,'Monthly Cash Flow'!CT$4&lt;=2),'Monthly Cash Flow'!CS29*(1+'Rent Roll Analysis'!$AE27/12),'Monthly Cash Flow'!CS29*(1+'Rent Roll Analysis'!$AB27/12))))</f>
        <v/>
      </c>
      <c r="CU29" s="1428" t="str">
        <f>IF($B29="","",IF(CU$4&gt;2,(CT29*(1+'Rent Roll Analysis'!$AK27/12)), IF(AND('Monthly Cash Flow'!CU$4&gt;1,'Monthly Cash Flow'!CU$4&lt;=2),'Monthly Cash Flow'!CT29*(1+'Rent Roll Analysis'!$AE27/12),'Monthly Cash Flow'!CT29*(1+'Rent Roll Analysis'!$AB27/12))))</f>
        <v/>
      </c>
      <c r="CV29" s="1428" t="str">
        <f>IF($B29="","",IF(CV$4&gt;2,(CU29*(1+'Rent Roll Analysis'!$AK27/12)), IF(AND('Monthly Cash Flow'!CV$4&gt;1,'Monthly Cash Flow'!CV$4&lt;=2),'Monthly Cash Flow'!CU29*(1+'Rent Roll Analysis'!$AE27/12),'Monthly Cash Flow'!CU29*(1+'Rent Roll Analysis'!$AB27/12))))</f>
        <v/>
      </c>
      <c r="CW29" s="1428" t="str">
        <f>IF($B29="","",IF(CW$4&gt;2,(CV29*(1+'Rent Roll Analysis'!$AK27/12)), IF(AND('Monthly Cash Flow'!CW$4&gt;1,'Monthly Cash Flow'!CW$4&lt;=2),'Monthly Cash Flow'!CV29*(1+'Rent Roll Analysis'!$AE27/12),'Monthly Cash Flow'!CV29*(1+'Rent Roll Analysis'!$AB27/12))))</f>
        <v/>
      </c>
      <c r="CX29" s="1428" t="str">
        <f>IF($B29="","",IF(CX$4&gt;2,(CW29*(1+'Rent Roll Analysis'!$AK27/12)), IF(AND('Monthly Cash Flow'!CX$4&gt;1,'Monthly Cash Flow'!CX$4&lt;=2),'Monthly Cash Flow'!CW29*(1+'Rent Roll Analysis'!$AE27/12),'Monthly Cash Flow'!CW29*(1+'Rent Roll Analysis'!$AB27/12))))</f>
        <v/>
      </c>
      <c r="CY29" s="1428" t="str">
        <f>IF($B29="","",IF(CY$4&gt;2,(CX29*(1+'Rent Roll Analysis'!$AK27/12)), IF(AND('Monthly Cash Flow'!CY$4&gt;1,'Monthly Cash Flow'!CY$4&lt;=2),'Monthly Cash Flow'!CX29*(1+'Rent Roll Analysis'!$AE27/12),'Monthly Cash Flow'!CX29*(1+'Rent Roll Analysis'!$AB27/12))))</f>
        <v/>
      </c>
      <c r="CZ29" s="1428" t="str">
        <f>IF($B29="","",IF(CZ$4&gt;2,(CY29*(1+'Rent Roll Analysis'!$AK27/12)), IF(AND('Monthly Cash Flow'!CZ$4&gt;1,'Monthly Cash Flow'!CZ$4&lt;=2),'Monthly Cash Flow'!CY29*(1+'Rent Roll Analysis'!$AE27/12),'Monthly Cash Flow'!CY29*(1+'Rent Roll Analysis'!$AB27/12))))</f>
        <v/>
      </c>
      <c r="DA29" s="1428" t="str">
        <f>IF($B29="","",IF(DA$4&gt;2,(CZ29*(1+'Rent Roll Analysis'!$AK27/12)), IF(AND('Monthly Cash Flow'!DA$4&gt;1,'Monthly Cash Flow'!DA$4&lt;=2),'Monthly Cash Flow'!CZ29*(1+'Rent Roll Analysis'!$AE27/12),'Monthly Cash Flow'!CZ29*(1+'Rent Roll Analysis'!$AB27/12))))</f>
        <v/>
      </c>
      <c r="DB29" s="1428" t="str">
        <f>IF($B29="","",IF(DB$4&gt;2,(DA29*(1+'Rent Roll Analysis'!$AK27/12)), IF(AND('Monthly Cash Flow'!DB$4&gt;1,'Monthly Cash Flow'!DB$4&lt;=2),'Monthly Cash Flow'!DA29*(1+'Rent Roll Analysis'!$AE27/12),'Monthly Cash Flow'!DA29*(1+'Rent Roll Analysis'!$AB27/12))))</f>
        <v/>
      </c>
      <c r="DC29" s="1428" t="str">
        <f>IF($B29="","",IF(DC$4&gt;2,(DB29*(1+'Rent Roll Analysis'!$AK27/12)), IF(AND('Monthly Cash Flow'!DC$4&gt;1,'Monthly Cash Flow'!DC$4&lt;=2),'Monthly Cash Flow'!DB29*(1+'Rent Roll Analysis'!$AE27/12),'Monthly Cash Flow'!DB29*(1+'Rent Roll Analysis'!$AB27/12))))</f>
        <v/>
      </c>
      <c r="DD29" s="1428" t="str">
        <f>IF($B29="","",IF(DD$4&gt;2,(DC29*(1+'Rent Roll Analysis'!$AK27/12)), IF(AND('Monthly Cash Flow'!DD$4&gt;1,'Monthly Cash Flow'!DD$4&lt;=2),'Monthly Cash Flow'!DC29*(1+'Rent Roll Analysis'!$AE27/12),'Monthly Cash Flow'!DC29*(1+'Rent Roll Analysis'!$AB27/12))))</f>
        <v/>
      </c>
      <c r="DE29" s="1428" t="str">
        <f>IF($B29="","",IF(DE$4&gt;2,(DD29*(1+'Rent Roll Analysis'!$AK27/12)), IF(AND('Monthly Cash Flow'!DE$4&gt;1,'Monthly Cash Flow'!DE$4&lt;=2),'Monthly Cash Flow'!DD29*(1+'Rent Roll Analysis'!$AE27/12),'Monthly Cash Flow'!DD29*(1+'Rent Roll Analysis'!$AB27/12))))</f>
        <v/>
      </c>
      <c r="DF29" s="1428" t="str">
        <f>IF($B29="","",IF(DF$4&gt;2,(DE29*(1+'Rent Roll Analysis'!$AK27/12)), IF(AND('Monthly Cash Flow'!DF$4&gt;1,'Monthly Cash Flow'!DF$4&lt;=2),'Monthly Cash Flow'!DE29*(1+'Rent Roll Analysis'!$AE27/12),'Monthly Cash Flow'!DE29*(1+'Rent Roll Analysis'!$AB27/12))))</f>
        <v/>
      </c>
      <c r="DG29" s="1428" t="str">
        <f>IF($B29="","",IF(DG$4&gt;2,(DF29*(1+'Rent Roll Analysis'!$AK27/12)), IF(AND('Monthly Cash Flow'!DG$4&gt;1,'Monthly Cash Flow'!DG$4&lt;=2),'Monthly Cash Flow'!DF29*(1+'Rent Roll Analysis'!$AE27/12),'Monthly Cash Flow'!DF29*(1+'Rent Roll Analysis'!$AB27/12))))</f>
        <v/>
      </c>
      <c r="DH29" s="1428" t="str">
        <f>IF($B29="","",IF(DH$4&gt;2,(DG29*(1+'Rent Roll Analysis'!$AK27/12)), IF(AND('Monthly Cash Flow'!DH$4&gt;1,'Monthly Cash Flow'!DH$4&lt;=2),'Monthly Cash Flow'!DG29*(1+'Rent Roll Analysis'!$AE27/12),'Monthly Cash Flow'!DG29*(1+'Rent Roll Analysis'!$AB27/12))))</f>
        <v/>
      </c>
      <c r="DI29" s="1428" t="str">
        <f>IF($B29="","",IF(DI$4&gt;2,(DH29*(1+'Rent Roll Analysis'!$AK27/12)), IF(AND('Monthly Cash Flow'!DI$4&gt;1,'Monthly Cash Flow'!DI$4&lt;=2),'Monthly Cash Flow'!DH29*(1+'Rent Roll Analysis'!$AE27/12),'Monthly Cash Flow'!DH29*(1+'Rent Roll Analysis'!$AB27/12))))</f>
        <v/>
      </c>
      <c r="DJ29" s="1428" t="str">
        <f>IF($B29="","",IF(DJ$4&gt;2,(DI29*(1+'Rent Roll Analysis'!$AK27/12)), IF(AND('Monthly Cash Flow'!DJ$4&gt;1,'Monthly Cash Flow'!DJ$4&lt;=2),'Monthly Cash Flow'!DI29*(1+'Rent Roll Analysis'!$AE27/12),'Monthly Cash Flow'!DI29*(1+'Rent Roll Analysis'!$AB27/12))))</f>
        <v/>
      </c>
      <c r="DK29" s="1428" t="str">
        <f>IF($B29="","",IF(DK$4&gt;2,(DJ29*(1+'Rent Roll Analysis'!$AK27/12)), IF(AND('Monthly Cash Flow'!DK$4&gt;1,'Monthly Cash Flow'!DK$4&lt;=2),'Monthly Cash Flow'!DJ29*(1+'Rent Roll Analysis'!$AE27/12),'Monthly Cash Flow'!DJ29*(1+'Rent Roll Analysis'!$AB27/12))))</f>
        <v/>
      </c>
      <c r="DL29" s="1428" t="str">
        <f>IF($B29="","",IF(DL$4&gt;2,(DK29*(1+'Rent Roll Analysis'!$AK27/12)), IF(AND('Monthly Cash Flow'!DL$4&gt;1,'Monthly Cash Flow'!DL$4&lt;=2),'Monthly Cash Flow'!DK29*(1+'Rent Roll Analysis'!$AE27/12),'Monthly Cash Flow'!DK29*(1+'Rent Roll Analysis'!$AB27/12))))</f>
        <v/>
      </c>
      <c r="DM29" s="1428" t="str">
        <f>IF($B29="","",IF(DM$4&gt;2,(DL29*(1+'Rent Roll Analysis'!$AK27/12)), IF(AND('Monthly Cash Flow'!DM$4&gt;1,'Monthly Cash Flow'!DM$4&lt;=2),'Monthly Cash Flow'!DL29*(1+'Rent Roll Analysis'!$AE27/12),'Monthly Cash Flow'!DL29*(1+'Rent Roll Analysis'!$AB27/12))))</f>
        <v/>
      </c>
      <c r="DN29" s="1428" t="str">
        <f>IF($B29="","",IF(DN$4&gt;2,(DM29*(1+'Rent Roll Analysis'!$AK27/12)), IF(AND('Monthly Cash Flow'!DN$4&gt;1,'Monthly Cash Flow'!DN$4&lt;=2),'Monthly Cash Flow'!DM29*(1+'Rent Roll Analysis'!$AE27/12),'Monthly Cash Flow'!DM29*(1+'Rent Roll Analysis'!$AB27/12))))</f>
        <v/>
      </c>
      <c r="DO29" s="1428" t="str">
        <f>IF($B29="","",IF(DO$4&gt;2,(DN29*(1+'Rent Roll Analysis'!$AK27/12)), IF(AND('Monthly Cash Flow'!DO$4&gt;1,'Monthly Cash Flow'!DO$4&lt;=2),'Monthly Cash Flow'!DN29*(1+'Rent Roll Analysis'!$AE27/12),'Monthly Cash Flow'!DN29*(1+'Rent Roll Analysis'!$AB27/12))))</f>
        <v/>
      </c>
      <c r="DP29" s="1428" t="str">
        <f>IF($B29="","",IF(DP$4&gt;2,(DO29*(1+'Rent Roll Analysis'!$AK27/12)), IF(AND('Monthly Cash Flow'!DP$4&gt;1,'Monthly Cash Flow'!DP$4&lt;=2),'Monthly Cash Flow'!DO29*(1+'Rent Roll Analysis'!$AE27/12),'Monthly Cash Flow'!DO29*(1+'Rent Roll Analysis'!$AB27/12))))</f>
        <v/>
      </c>
      <c r="DQ29" s="1428" t="str">
        <f>IF($B29="","",IF(DQ$4&gt;2,(DP29*(1+'Rent Roll Analysis'!$AK27/12)), IF(AND('Monthly Cash Flow'!DQ$4&gt;1,'Monthly Cash Flow'!DQ$4&lt;=2),'Monthly Cash Flow'!DP29*(1+'Rent Roll Analysis'!$AE27/12),'Monthly Cash Flow'!DP29*(1+'Rent Roll Analysis'!$AB27/12))))</f>
        <v/>
      </c>
      <c r="DR29" s="1428" t="str">
        <f>IF($B29="","",IF(DR$4&gt;2,(DQ29*(1+'Rent Roll Analysis'!$AK27/12)), IF(AND('Monthly Cash Flow'!DR$4&gt;1,'Monthly Cash Flow'!DR$4&lt;=2),'Monthly Cash Flow'!DQ29*(1+'Rent Roll Analysis'!$AE27/12),'Monthly Cash Flow'!DQ29*(1+'Rent Roll Analysis'!$AB27/12))))</f>
        <v/>
      </c>
      <c r="DS29" s="1428" t="str">
        <f>IF($B29="","",IF(DS$4&gt;2,(DR29*(1+'Rent Roll Analysis'!$AK27/12)), IF(AND('Monthly Cash Flow'!DS$4&gt;1,'Monthly Cash Flow'!DS$4&lt;=2),'Monthly Cash Flow'!DR29*(1+'Rent Roll Analysis'!$AE27/12),'Monthly Cash Flow'!DR29*(1+'Rent Roll Analysis'!$AB27/12))))</f>
        <v/>
      </c>
      <c r="DT29" s="1428" t="str">
        <f>IF($B29="","",IF(DT$4&gt;2,(DS29*(1+'Rent Roll Analysis'!$AK27/12)), IF(AND('Monthly Cash Flow'!DT$4&gt;1,'Monthly Cash Flow'!DT$4&lt;=2),'Monthly Cash Flow'!DS29*(1+'Rent Roll Analysis'!$AE27/12),'Monthly Cash Flow'!DS29*(1+'Rent Roll Analysis'!$AB27/12))))</f>
        <v/>
      </c>
      <c r="DU29" s="385" t="s">
        <v>557</v>
      </c>
      <c r="DV29" s="375"/>
    </row>
    <row r="30" spans="1:126" s="92" customFormat="1" ht="20.149999999999999" customHeight="1" outlineLevel="1">
      <c r="A30" s="375"/>
      <c r="B30" s="383" t="str">
        <f>'Rent Roll Analysis'!C28</f>
        <v/>
      </c>
      <c r="C30" s="376"/>
      <c r="D30" s="1426" t="str">
        <f>IF('Rent Roll Analysis'!C28="","",'Rent Roll Analysis'!N28*'Rent Roll Analysis'!E28)</f>
        <v/>
      </c>
      <c r="E30" s="1428" t="str">
        <f t="shared" si="113"/>
        <v/>
      </c>
      <c r="F30" s="1428" t="str">
        <f>IF($B30="","",IF(F$4&gt;2,(E30*(1+'Rent Roll Analysis'!$AK28/12)), IF(AND('Monthly Cash Flow'!F$4&gt;1,'Monthly Cash Flow'!F$4&lt;=2),'Monthly Cash Flow'!E30*(1+'Rent Roll Analysis'!$AE28/12),'Monthly Cash Flow'!E30*(1+'Rent Roll Analysis'!$AB28/12))))</f>
        <v/>
      </c>
      <c r="G30" s="1428" t="str">
        <f>IF($B30="","",IF(G$4&gt;2,(F30*(1+'Rent Roll Analysis'!$AK28/12)), IF(AND('Monthly Cash Flow'!G$4&gt;1,'Monthly Cash Flow'!G$4&lt;=2),'Monthly Cash Flow'!F30*(1+'Rent Roll Analysis'!$AE28/12),'Monthly Cash Flow'!F30*(1+'Rent Roll Analysis'!$AB28/12))))</f>
        <v/>
      </c>
      <c r="H30" s="1428" t="str">
        <f>IF($B30="","",IF(H$4&gt;2,(G30*(1+'Rent Roll Analysis'!$AK28/12)), IF(AND('Monthly Cash Flow'!H$4&gt;1,'Monthly Cash Flow'!H$4&lt;=2),'Monthly Cash Flow'!G30*(1+'Rent Roll Analysis'!$AE28/12),'Monthly Cash Flow'!G30*(1+'Rent Roll Analysis'!$AB28/12))))</f>
        <v/>
      </c>
      <c r="I30" s="1428" t="str">
        <f>IF($B30="","",IF(I$4&gt;2,(H30*(1+'Rent Roll Analysis'!$AK28/12)), IF(AND('Monthly Cash Flow'!I$4&gt;1,'Monthly Cash Flow'!I$4&lt;=2),'Monthly Cash Flow'!H30*(1+'Rent Roll Analysis'!$AE28/12),'Monthly Cash Flow'!H30*(1+'Rent Roll Analysis'!$AB28/12))))</f>
        <v/>
      </c>
      <c r="J30" s="1428" t="str">
        <f>IF($B30="","",IF(J$4&gt;2,(I30*(1+'Rent Roll Analysis'!$AK28/12)), IF(AND('Monthly Cash Flow'!J$4&gt;1,'Monthly Cash Flow'!J$4&lt;=2),'Monthly Cash Flow'!I30*(1+'Rent Roll Analysis'!$AE28/12),'Monthly Cash Flow'!I30*(1+'Rent Roll Analysis'!$AB28/12))))</f>
        <v/>
      </c>
      <c r="K30" s="1428" t="str">
        <f>IF($B30="","",IF(K$4&gt;2,(J30*(1+'Rent Roll Analysis'!$AK28/12)), IF(AND('Monthly Cash Flow'!K$4&gt;1,'Monthly Cash Flow'!K$4&lt;=2),'Monthly Cash Flow'!J30*(1+'Rent Roll Analysis'!$AE28/12),'Monthly Cash Flow'!J30*(1+'Rent Roll Analysis'!$AB28/12))))</f>
        <v/>
      </c>
      <c r="L30" s="1428" t="str">
        <f>IF($B30="","",IF(L$4&gt;2,(K30*(1+'Rent Roll Analysis'!$AK28/12)), IF(AND('Monthly Cash Flow'!L$4&gt;1,'Monthly Cash Flow'!L$4&lt;=2),'Monthly Cash Flow'!K30*(1+'Rent Roll Analysis'!$AE28/12),'Monthly Cash Flow'!K30*(1+'Rent Roll Analysis'!$AB28/12))))</f>
        <v/>
      </c>
      <c r="M30" s="1428" t="str">
        <f>IF($B30="","",IF(M$4&gt;2,(L30*(1+'Rent Roll Analysis'!$AK28/12)), IF(AND('Monthly Cash Flow'!M$4&gt;1,'Monthly Cash Flow'!M$4&lt;=2),'Monthly Cash Flow'!L30*(1+'Rent Roll Analysis'!$AE28/12),'Monthly Cash Flow'!L30*(1+'Rent Roll Analysis'!$AB28/12))))</f>
        <v/>
      </c>
      <c r="N30" s="1428" t="str">
        <f>IF($B30="","",IF(N$4&gt;2,(M30*(1+'Rent Roll Analysis'!$AK28/12)), IF(AND('Monthly Cash Flow'!N$4&gt;1,'Monthly Cash Flow'!N$4&lt;=2),'Monthly Cash Flow'!M30*(1+'Rent Roll Analysis'!$AE28/12),'Monthly Cash Flow'!M30*(1+'Rent Roll Analysis'!$AB28/12))))</f>
        <v/>
      </c>
      <c r="O30" s="1428" t="str">
        <f>IF($B30="","",IF(O$4&gt;2,(N30*(1+'Rent Roll Analysis'!$AK28/12)), IF(AND('Monthly Cash Flow'!O$4&gt;1,'Monthly Cash Flow'!O$4&lt;=2),'Monthly Cash Flow'!N30*(1+'Rent Roll Analysis'!$AE28/12),'Monthly Cash Flow'!N30*(1+'Rent Roll Analysis'!$AB28/12))))</f>
        <v/>
      </c>
      <c r="P30" s="1428" t="str">
        <f>IF($B30="","",IF(P$4&gt;2,(O30*(1+'Rent Roll Analysis'!$AK28/12)), IF(AND('Monthly Cash Flow'!P$4&gt;1,'Monthly Cash Flow'!P$4&lt;=2),'Monthly Cash Flow'!O30*(1+'Rent Roll Analysis'!$AE28/12),'Monthly Cash Flow'!O30*(1+'Rent Roll Analysis'!$AB28/12))))</f>
        <v/>
      </c>
      <c r="Q30" s="1428" t="str">
        <f>IF($B30="","",IF(Q$4&gt;2,(P30*(1+'Rent Roll Analysis'!$AK28/12)), IF(AND('Monthly Cash Flow'!Q$4&gt;1,'Monthly Cash Flow'!Q$4&lt;=2),'Monthly Cash Flow'!P30*(1+'Rent Roll Analysis'!$AE28/12),'Monthly Cash Flow'!P30*(1+'Rent Roll Analysis'!$AB28/12))))</f>
        <v/>
      </c>
      <c r="R30" s="1428" t="str">
        <f>IF($B30="","",IF(R$4&gt;2,(Q30*(1+'Rent Roll Analysis'!$AK28/12)), IF(AND('Monthly Cash Flow'!R$4&gt;1,'Monthly Cash Flow'!R$4&lt;=2),'Monthly Cash Flow'!Q30*(1+'Rent Roll Analysis'!$AE28/12),'Monthly Cash Flow'!Q30*(1+'Rent Roll Analysis'!$AB28/12))))</f>
        <v/>
      </c>
      <c r="S30" s="1428" t="str">
        <f>IF($B30="","",IF(S$4&gt;2,(R30*(1+'Rent Roll Analysis'!$AK28/12)), IF(AND('Monthly Cash Flow'!S$4&gt;1,'Monthly Cash Flow'!S$4&lt;=2),'Monthly Cash Flow'!R30*(1+'Rent Roll Analysis'!$AE28/12),'Monthly Cash Flow'!R30*(1+'Rent Roll Analysis'!$AB28/12))))</f>
        <v/>
      </c>
      <c r="T30" s="1428" t="str">
        <f>IF($B30="","",IF(T$4&gt;2,(S30*(1+'Rent Roll Analysis'!$AK28/12)), IF(AND('Monthly Cash Flow'!T$4&gt;1,'Monthly Cash Flow'!T$4&lt;=2),'Monthly Cash Flow'!S30*(1+'Rent Roll Analysis'!$AE28/12),'Monthly Cash Flow'!S30*(1+'Rent Roll Analysis'!$AB28/12))))</f>
        <v/>
      </c>
      <c r="U30" s="1428" t="str">
        <f>IF($B30="","",IF(U$4&gt;2,(T30*(1+'Rent Roll Analysis'!$AK28/12)), IF(AND('Monthly Cash Flow'!U$4&gt;1,'Monthly Cash Flow'!U$4&lt;=2),'Monthly Cash Flow'!T30*(1+'Rent Roll Analysis'!$AE28/12),'Monthly Cash Flow'!T30*(1+'Rent Roll Analysis'!$AB28/12))))</f>
        <v/>
      </c>
      <c r="V30" s="1428" t="str">
        <f>IF($B30="","",IF(V$4&gt;2,(U30*(1+'Rent Roll Analysis'!$AK28/12)), IF(AND('Monthly Cash Flow'!V$4&gt;1,'Monthly Cash Flow'!V$4&lt;=2),'Monthly Cash Flow'!U30*(1+'Rent Roll Analysis'!$AE28/12),'Monthly Cash Flow'!U30*(1+'Rent Roll Analysis'!$AB28/12))))</f>
        <v/>
      </c>
      <c r="W30" s="1428" t="str">
        <f>IF($B30="","",IF(W$4&gt;2,(V30*(1+'Rent Roll Analysis'!$AK28/12)), IF(AND('Monthly Cash Flow'!W$4&gt;1,'Monthly Cash Flow'!W$4&lt;=2),'Monthly Cash Flow'!V30*(1+'Rent Roll Analysis'!$AE28/12),'Monthly Cash Flow'!V30*(1+'Rent Roll Analysis'!$AB28/12))))</f>
        <v/>
      </c>
      <c r="X30" s="1428" t="str">
        <f>IF($B30="","",IF(X$4&gt;2,(W30*(1+'Rent Roll Analysis'!$AK28/12)), IF(AND('Monthly Cash Flow'!X$4&gt;1,'Monthly Cash Flow'!X$4&lt;=2),'Monthly Cash Flow'!W30*(1+'Rent Roll Analysis'!$AE28/12),'Monthly Cash Flow'!W30*(1+'Rent Roll Analysis'!$AB28/12))))</f>
        <v/>
      </c>
      <c r="Y30" s="1428" t="str">
        <f>IF($B30="","",IF(Y$4&gt;2,(X30*(1+'Rent Roll Analysis'!$AK28/12)), IF(AND('Monthly Cash Flow'!Y$4&gt;1,'Monthly Cash Flow'!Y$4&lt;=2),'Monthly Cash Flow'!X30*(1+'Rent Roll Analysis'!$AE28/12),'Monthly Cash Flow'!X30*(1+'Rent Roll Analysis'!$AB28/12))))</f>
        <v/>
      </c>
      <c r="Z30" s="1428" t="str">
        <f>IF($B30="","",IF(Z$4&gt;2,(Y30*(1+'Rent Roll Analysis'!$AK28/12)), IF(AND('Monthly Cash Flow'!Z$4&gt;1,'Monthly Cash Flow'!Z$4&lt;=2),'Monthly Cash Flow'!Y30*(1+'Rent Roll Analysis'!$AE28/12),'Monthly Cash Flow'!Y30*(1+'Rent Roll Analysis'!$AB28/12))))</f>
        <v/>
      </c>
      <c r="AA30" s="1428" t="str">
        <f>IF($B30="","",IF(AA$4&gt;2,(Z30*(1+'Rent Roll Analysis'!$AK28/12)), IF(AND('Monthly Cash Flow'!AA$4&gt;1,'Monthly Cash Flow'!AA$4&lt;=2),'Monthly Cash Flow'!Z30*(1+'Rent Roll Analysis'!$AE28/12),'Monthly Cash Flow'!Z30*(1+'Rent Roll Analysis'!$AB28/12))))</f>
        <v/>
      </c>
      <c r="AB30" s="1428" t="str">
        <f>IF($B30="","",IF(AB$4&gt;2,(AA30*(1+'Rent Roll Analysis'!$AK28/12)), IF(AND('Monthly Cash Flow'!AB$4&gt;1,'Monthly Cash Flow'!AB$4&lt;=2),'Monthly Cash Flow'!AA30*(1+'Rent Roll Analysis'!$AE28/12),'Monthly Cash Flow'!AA30*(1+'Rent Roll Analysis'!$AB28/12))))</f>
        <v/>
      </c>
      <c r="AC30" s="1428" t="str">
        <f>IF($B30="","",IF(AC$4&gt;2,(AB30*(1+'Rent Roll Analysis'!$AK28/12)), IF(AND('Monthly Cash Flow'!AC$4&gt;1,'Monthly Cash Flow'!AC$4&lt;=2),'Monthly Cash Flow'!AB30*(1+'Rent Roll Analysis'!$AE28/12),'Monthly Cash Flow'!AB30*(1+'Rent Roll Analysis'!$AB28/12))))</f>
        <v/>
      </c>
      <c r="AD30" s="1428" t="str">
        <f>IF($B30="","",IF(AD$4&gt;2,(AC30*(1+'Rent Roll Analysis'!$AK28/12)), IF(AND('Monthly Cash Flow'!AD$4&gt;1,'Monthly Cash Flow'!AD$4&lt;=2),'Monthly Cash Flow'!AC30*(1+'Rent Roll Analysis'!$AE28/12),'Monthly Cash Flow'!AC30*(1+'Rent Roll Analysis'!$AB28/12))))</f>
        <v/>
      </c>
      <c r="AE30" s="1428" t="str">
        <f>IF($B30="","",IF(AE$4&gt;2,(AD30*(1+'Rent Roll Analysis'!$AK28/12)), IF(AND('Monthly Cash Flow'!AE$4&gt;1,'Monthly Cash Flow'!AE$4&lt;=2),'Monthly Cash Flow'!AD30*(1+'Rent Roll Analysis'!$AE28/12),'Monthly Cash Flow'!AD30*(1+'Rent Roll Analysis'!$AB28/12))))</f>
        <v/>
      </c>
      <c r="AF30" s="1428" t="str">
        <f>IF($B30="","",IF(AF$4&gt;2,(AE30*(1+'Rent Roll Analysis'!$AK28/12)), IF(AND('Monthly Cash Flow'!AF$4&gt;1,'Monthly Cash Flow'!AF$4&lt;=2),'Monthly Cash Flow'!AE30*(1+'Rent Roll Analysis'!$AE28/12),'Monthly Cash Flow'!AE30*(1+'Rent Roll Analysis'!$AB28/12))))</f>
        <v/>
      </c>
      <c r="AG30" s="1428" t="str">
        <f>IF($B30="","",IF(AG$4&gt;2,(AF30*(1+'Rent Roll Analysis'!$AK28/12)), IF(AND('Monthly Cash Flow'!AG$4&gt;1,'Monthly Cash Flow'!AG$4&lt;=2),'Monthly Cash Flow'!AF30*(1+'Rent Roll Analysis'!$AE28/12),'Monthly Cash Flow'!AF30*(1+'Rent Roll Analysis'!$AB28/12))))</f>
        <v/>
      </c>
      <c r="AH30" s="1428" t="str">
        <f>IF($B30="","",IF(AH$4&gt;2,(AG30*(1+'Rent Roll Analysis'!$AK28/12)), IF(AND('Monthly Cash Flow'!AH$4&gt;1,'Monthly Cash Flow'!AH$4&lt;=2),'Monthly Cash Flow'!AG30*(1+'Rent Roll Analysis'!$AE28/12),'Monthly Cash Flow'!AG30*(1+'Rent Roll Analysis'!$AB28/12))))</f>
        <v/>
      </c>
      <c r="AI30" s="1428" t="str">
        <f>IF($B30="","",IF(AI$4&gt;2,(AH30*(1+'Rent Roll Analysis'!$AK28/12)), IF(AND('Monthly Cash Flow'!AI$4&gt;1,'Monthly Cash Flow'!AI$4&lt;=2),'Monthly Cash Flow'!AH30*(1+'Rent Roll Analysis'!$AE28/12),'Monthly Cash Flow'!AH30*(1+'Rent Roll Analysis'!$AB28/12))))</f>
        <v/>
      </c>
      <c r="AJ30" s="1428" t="str">
        <f>IF($B30="","",IF(AJ$4&gt;2,(AI30*(1+'Rent Roll Analysis'!$AK28/12)), IF(AND('Monthly Cash Flow'!AJ$4&gt;1,'Monthly Cash Flow'!AJ$4&lt;=2),'Monthly Cash Flow'!AI30*(1+'Rent Roll Analysis'!$AE28/12),'Monthly Cash Flow'!AI30*(1+'Rent Roll Analysis'!$AB28/12))))</f>
        <v/>
      </c>
      <c r="AK30" s="1428" t="str">
        <f>IF($B30="","",IF(AK$4&gt;2,(AJ30*(1+'Rent Roll Analysis'!$AK28/12)), IF(AND('Monthly Cash Flow'!AK$4&gt;1,'Monthly Cash Flow'!AK$4&lt;=2),'Monthly Cash Flow'!AJ30*(1+'Rent Roll Analysis'!$AE28/12),'Monthly Cash Flow'!AJ30*(1+'Rent Roll Analysis'!$AB28/12))))</f>
        <v/>
      </c>
      <c r="AL30" s="1428" t="str">
        <f>IF($B30="","",IF(AL$4&gt;2,(AK30*(1+'Rent Roll Analysis'!$AK28/12)), IF(AND('Monthly Cash Flow'!AL$4&gt;1,'Monthly Cash Flow'!AL$4&lt;=2),'Monthly Cash Flow'!AK30*(1+'Rent Roll Analysis'!$AE28/12),'Monthly Cash Flow'!AK30*(1+'Rent Roll Analysis'!$AB28/12))))</f>
        <v/>
      </c>
      <c r="AM30" s="1428" t="str">
        <f>IF($B30="","",IF(AM$4&gt;2,(AL30*(1+'Rent Roll Analysis'!$AK28/12)), IF(AND('Monthly Cash Flow'!AM$4&gt;1,'Monthly Cash Flow'!AM$4&lt;=2),'Monthly Cash Flow'!AL30*(1+'Rent Roll Analysis'!$AE28/12),'Monthly Cash Flow'!AL30*(1+'Rent Roll Analysis'!$AB28/12))))</f>
        <v/>
      </c>
      <c r="AN30" s="1428" t="str">
        <f>IF($B30="","",IF(AN$4&gt;2,(AM30*(1+'Rent Roll Analysis'!$AK28/12)), IF(AND('Monthly Cash Flow'!AN$4&gt;1,'Monthly Cash Flow'!AN$4&lt;=2),'Monthly Cash Flow'!AM30*(1+'Rent Roll Analysis'!$AE28/12),'Monthly Cash Flow'!AM30*(1+'Rent Roll Analysis'!$AB28/12))))</f>
        <v/>
      </c>
      <c r="AO30" s="1428" t="str">
        <f>IF($B30="","",IF(AO$4&gt;2,(AN30*(1+'Rent Roll Analysis'!$AK28/12)), IF(AND('Monthly Cash Flow'!AO$4&gt;1,'Monthly Cash Flow'!AO$4&lt;=2),'Monthly Cash Flow'!AN30*(1+'Rent Roll Analysis'!$AE28/12),'Monthly Cash Flow'!AN30*(1+'Rent Roll Analysis'!$AB28/12))))</f>
        <v/>
      </c>
      <c r="AP30" s="1428" t="str">
        <f>IF($B30="","",IF(AP$4&gt;2,(AO30*(1+'Rent Roll Analysis'!$AK28/12)), IF(AND('Monthly Cash Flow'!AP$4&gt;1,'Monthly Cash Flow'!AP$4&lt;=2),'Monthly Cash Flow'!AO30*(1+'Rent Roll Analysis'!$AE28/12),'Monthly Cash Flow'!AO30*(1+'Rent Roll Analysis'!$AB28/12))))</f>
        <v/>
      </c>
      <c r="AQ30" s="1428" t="str">
        <f>IF($B30="","",IF(AQ$4&gt;2,(AP30*(1+'Rent Roll Analysis'!$AK28/12)), IF(AND('Monthly Cash Flow'!AQ$4&gt;1,'Monthly Cash Flow'!AQ$4&lt;=2),'Monthly Cash Flow'!AP30*(1+'Rent Roll Analysis'!$AE28/12),'Monthly Cash Flow'!AP30*(1+'Rent Roll Analysis'!$AB28/12))))</f>
        <v/>
      </c>
      <c r="AR30" s="1428" t="str">
        <f>IF($B30="","",IF(AR$4&gt;2,(AQ30*(1+'Rent Roll Analysis'!$AK28/12)), IF(AND('Monthly Cash Flow'!AR$4&gt;1,'Monthly Cash Flow'!AR$4&lt;=2),'Monthly Cash Flow'!AQ30*(1+'Rent Roll Analysis'!$AE28/12),'Monthly Cash Flow'!AQ30*(1+'Rent Roll Analysis'!$AB28/12))))</f>
        <v/>
      </c>
      <c r="AS30" s="1428" t="str">
        <f>IF($B30="","",IF(AS$4&gt;2,(AR30*(1+'Rent Roll Analysis'!$AK28/12)), IF(AND('Monthly Cash Flow'!AS$4&gt;1,'Monthly Cash Flow'!AS$4&lt;=2),'Monthly Cash Flow'!AR30*(1+'Rent Roll Analysis'!$AE28/12),'Monthly Cash Flow'!AR30*(1+'Rent Roll Analysis'!$AB28/12))))</f>
        <v/>
      </c>
      <c r="AT30" s="1428" t="str">
        <f>IF($B30="","",IF(AT$4&gt;2,(AS30*(1+'Rent Roll Analysis'!$AK28/12)), IF(AND('Monthly Cash Flow'!AT$4&gt;1,'Monthly Cash Flow'!AT$4&lt;=2),'Monthly Cash Flow'!AS30*(1+'Rent Roll Analysis'!$AE28/12),'Monthly Cash Flow'!AS30*(1+'Rent Roll Analysis'!$AB28/12))))</f>
        <v/>
      </c>
      <c r="AU30" s="1428" t="str">
        <f>IF($B30="","",IF(AU$4&gt;2,(AT30*(1+'Rent Roll Analysis'!$AK28/12)), IF(AND('Monthly Cash Flow'!AU$4&gt;1,'Monthly Cash Flow'!AU$4&lt;=2),'Monthly Cash Flow'!AT30*(1+'Rent Roll Analysis'!$AE28/12),'Monthly Cash Flow'!AT30*(1+'Rent Roll Analysis'!$AB28/12))))</f>
        <v/>
      </c>
      <c r="AV30" s="1428" t="str">
        <f>IF($B30="","",IF(AV$4&gt;2,(AU30*(1+'Rent Roll Analysis'!$AK28/12)), IF(AND('Monthly Cash Flow'!AV$4&gt;1,'Monthly Cash Flow'!AV$4&lt;=2),'Monthly Cash Flow'!AU30*(1+'Rent Roll Analysis'!$AE28/12),'Monthly Cash Flow'!AU30*(1+'Rent Roll Analysis'!$AB28/12))))</f>
        <v/>
      </c>
      <c r="AW30" s="1428" t="str">
        <f>IF($B30="","",IF(AW$4&gt;2,(AV30*(1+'Rent Roll Analysis'!$AK28/12)), IF(AND('Monthly Cash Flow'!AW$4&gt;1,'Monthly Cash Flow'!AW$4&lt;=2),'Monthly Cash Flow'!AV30*(1+'Rent Roll Analysis'!$AE28/12),'Monthly Cash Flow'!AV30*(1+'Rent Roll Analysis'!$AB28/12))))</f>
        <v/>
      </c>
      <c r="AX30" s="1428" t="str">
        <f>IF($B30="","",IF(AX$4&gt;2,(AW30*(1+'Rent Roll Analysis'!$AK28/12)), IF(AND('Monthly Cash Flow'!AX$4&gt;1,'Monthly Cash Flow'!AX$4&lt;=2),'Monthly Cash Flow'!AW30*(1+'Rent Roll Analysis'!$AE28/12),'Monthly Cash Flow'!AW30*(1+'Rent Roll Analysis'!$AB28/12))))</f>
        <v/>
      </c>
      <c r="AY30" s="1428" t="str">
        <f>IF($B30="","",IF(AY$4&gt;2,(AX30*(1+'Rent Roll Analysis'!$AK28/12)), IF(AND('Monthly Cash Flow'!AY$4&gt;1,'Monthly Cash Flow'!AY$4&lt;=2),'Monthly Cash Flow'!AX30*(1+'Rent Roll Analysis'!$AE28/12),'Monthly Cash Flow'!AX30*(1+'Rent Roll Analysis'!$AB28/12))))</f>
        <v/>
      </c>
      <c r="AZ30" s="1428" t="str">
        <f>IF($B30="","",IF(AZ$4&gt;2,(AY30*(1+'Rent Roll Analysis'!$AK28/12)), IF(AND('Monthly Cash Flow'!AZ$4&gt;1,'Monthly Cash Flow'!AZ$4&lt;=2),'Monthly Cash Flow'!AY30*(1+'Rent Roll Analysis'!$AE28/12),'Monthly Cash Flow'!AY30*(1+'Rent Roll Analysis'!$AB28/12))))</f>
        <v/>
      </c>
      <c r="BA30" s="1428" t="str">
        <f>IF($B30="","",IF(BA$4&gt;2,(AZ30*(1+'Rent Roll Analysis'!$AK28/12)), IF(AND('Monthly Cash Flow'!BA$4&gt;1,'Monthly Cash Flow'!BA$4&lt;=2),'Monthly Cash Flow'!AZ30*(1+'Rent Roll Analysis'!$AE28/12),'Monthly Cash Flow'!AZ30*(1+'Rent Roll Analysis'!$AB28/12))))</f>
        <v/>
      </c>
      <c r="BB30" s="1428" t="str">
        <f>IF($B30="","",IF(BB$4&gt;2,(BA30*(1+'Rent Roll Analysis'!$AK28/12)), IF(AND('Monthly Cash Flow'!BB$4&gt;1,'Monthly Cash Flow'!BB$4&lt;=2),'Monthly Cash Flow'!BA30*(1+'Rent Roll Analysis'!$AE28/12),'Monthly Cash Flow'!BA30*(1+'Rent Roll Analysis'!$AB28/12))))</f>
        <v/>
      </c>
      <c r="BC30" s="1428" t="str">
        <f>IF($B30="","",IF(BC$4&gt;2,(BB30*(1+'Rent Roll Analysis'!$AK28/12)), IF(AND('Monthly Cash Flow'!BC$4&gt;1,'Monthly Cash Flow'!BC$4&lt;=2),'Monthly Cash Flow'!BB30*(1+'Rent Roll Analysis'!$AE28/12),'Monthly Cash Flow'!BB30*(1+'Rent Roll Analysis'!$AB28/12))))</f>
        <v/>
      </c>
      <c r="BD30" s="1428" t="str">
        <f>IF($B30="","",IF(BD$4&gt;2,(BC30*(1+'Rent Roll Analysis'!$AK28/12)), IF(AND('Monthly Cash Flow'!BD$4&gt;1,'Monthly Cash Flow'!BD$4&lt;=2),'Monthly Cash Flow'!BC30*(1+'Rent Roll Analysis'!$AE28/12),'Monthly Cash Flow'!BC30*(1+'Rent Roll Analysis'!$AB28/12))))</f>
        <v/>
      </c>
      <c r="BE30" s="1428" t="str">
        <f>IF($B30="","",IF(BE$4&gt;2,(BD30*(1+'Rent Roll Analysis'!$AK28/12)), IF(AND('Monthly Cash Flow'!BE$4&gt;1,'Monthly Cash Flow'!BE$4&lt;=2),'Monthly Cash Flow'!BD30*(1+'Rent Roll Analysis'!$AE28/12),'Monthly Cash Flow'!BD30*(1+'Rent Roll Analysis'!$AB28/12))))</f>
        <v/>
      </c>
      <c r="BF30" s="1428" t="str">
        <f>IF($B30="","",IF(BF$4&gt;2,(BE30*(1+'Rent Roll Analysis'!$AK28/12)), IF(AND('Monthly Cash Flow'!BF$4&gt;1,'Monthly Cash Flow'!BF$4&lt;=2),'Monthly Cash Flow'!BE30*(1+'Rent Roll Analysis'!$AE28/12),'Monthly Cash Flow'!BE30*(1+'Rent Roll Analysis'!$AB28/12))))</f>
        <v/>
      </c>
      <c r="BG30" s="1428" t="str">
        <f>IF($B30="","",IF(BG$4&gt;2,(BF30*(1+'Rent Roll Analysis'!$AK28/12)), IF(AND('Monthly Cash Flow'!BG$4&gt;1,'Monthly Cash Flow'!BG$4&lt;=2),'Monthly Cash Flow'!BF30*(1+'Rent Roll Analysis'!$AE28/12),'Monthly Cash Flow'!BF30*(1+'Rent Roll Analysis'!$AB28/12))))</f>
        <v/>
      </c>
      <c r="BH30" s="1428" t="str">
        <f>IF($B30="","",IF(BH$4&gt;2,(BG30*(1+'Rent Roll Analysis'!$AK28/12)), IF(AND('Monthly Cash Flow'!BH$4&gt;1,'Monthly Cash Flow'!BH$4&lt;=2),'Monthly Cash Flow'!BG30*(1+'Rent Roll Analysis'!$AE28/12),'Monthly Cash Flow'!BG30*(1+'Rent Roll Analysis'!$AB28/12))))</f>
        <v/>
      </c>
      <c r="BI30" s="1428" t="str">
        <f>IF($B30="","",IF(BI$4&gt;2,(BH30*(1+'Rent Roll Analysis'!$AK28/12)), IF(AND('Monthly Cash Flow'!BI$4&gt;1,'Monthly Cash Flow'!BI$4&lt;=2),'Monthly Cash Flow'!BH30*(1+'Rent Roll Analysis'!$AE28/12),'Monthly Cash Flow'!BH30*(1+'Rent Roll Analysis'!$AB28/12))))</f>
        <v/>
      </c>
      <c r="BJ30" s="1428" t="str">
        <f>IF($B30="","",IF(BJ$4&gt;2,(BI30*(1+'Rent Roll Analysis'!$AK28/12)), IF(AND('Monthly Cash Flow'!BJ$4&gt;1,'Monthly Cash Flow'!BJ$4&lt;=2),'Monthly Cash Flow'!BI30*(1+'Rent Roll Analysis'!$AE28/12),'Monthly Cash Flow'!BI30*(1+'Rent Roll Analysis'!$AB28/12))))</f>
        <v/>
      </c>
      <c r="BK30" s="1428" t="str">
        <f>IF($B30="","",IF(BK$4&gt;2,(BJ30*(1+'Rent Roll Analysis'!$AK28/12)), IF(AND('Monthly Cash Flow'!BK$4&gt;1,'Monthly Cash Flow'!BK$4&lt;=2),'Monthly Cash Flow'!BJ30*(1+'Rent Roll Analysis'!$AE28/12),'Monthly Cash Flow'!BJ30*(1+'Rent Roll Analysis'!$AB28/12))))</f>
        <v/>
      </c>
      <c r="BL30" s="1428" t="str">
        <f>IF($B30="","",IF(BL$4&gt;2,(BK30*(1+'Rent Roll Analysis'!$AK28/12)), IF(AND('Monthly Cash Flow'!BL$4&gt;1,'Monthly Cash Flow'!BL$4&lt;=2),'Monthly Cash Flow'!BK30*(1+'Rent Roll Analysis'!$AE28/12),'Monthly Cash Flow'!BK30*(1+'Rent Roll Analysis'!$AB28/12))))</f>
        <v/>
      </c>
      <c r="BM30" s="1428" t="str">
        <f>IF($B30="","",IF(BM$4&gt;2,(BL30*(1+'Rent Roll Analysis'!$AK28/12)), IF(AND('Monthly Cash Flow'!BM$4&gt;1,'Monthly Cash Flow'!BM$4&lt;=2),'Monthly Cash Flow'!BL30*(1+'Rent Roll Analysis'!$AE28/12),'Monthly Cash Flow'!BL30*(1+'Rent Roll Analysis'!$AB28/12))))</f>
        <v/>
      </c>
      <c r="BN30" s="1428" t="str">
        <f>IF($B30="","",IF(BN$4&gt;2,(BM30*(1+'Rent Roll Analysis'!$AK28/12)), IF(AND('Monthly Cash Flow'!BN$4&gt;1,'Monthly Cash Flow'!BN$4&lt;=2),'Monthly Cash Flow'!BM30*(1+'Rent Roll Analysis'!$AE28/12),'Monthly Cash Flow'!BM30*(1+'Rent Roll Analysis'!$AB28/12))))</f>
        <v/>
      </c>
      <c r="BO30" s="1428" t="str">
        <f>IF($B30="","",IF(BO$4&gt;2,(BN30*(1+'Rent Roll Analysis'!$AK28/12)), IF(AND('Monthly Cash Flow'!BO$4&gt;1,'Monthly Cash Flow'!BO$4&lt;=2),'Monthly Cash Flow'!BN30*(1+'Rent Roll Analysis'!$AE28/12),'Monthly Cash Flow'!BN30*(1+'Rent Roll Analysis'!$AB28/12))))</f>
        <v/>
      </c>
      <c r="BP30" s="1428" t="str">
        <f>IF($B30="","",IF(BP$4&gt;2,(BO30*(1+'Rent Roll Analysis'!$AK28/12)), IF(AND('Monthly Cash Flow'!BP$4&gt;1,'Monthly Cash Flow'!BP$4&lt;=2),'Monthly Cash Flow'!BO30*(1+'Rent Roll Analysis'!$AE28/12),'Monthly Cash Flow'!BO30*(1+'Rent Roll Analysis'!$AB28/12))))</f>
        <v/>
      </c>
      <c r="BQ30" s="1428" t="str">
        <f>IF($B30="","",IF(BQ$4&gt;2,(BP30*(1+'Rent Roll Analysis'!$AK28/12)), IF(AND('Monthly Cash Flow'!BQ$4&gt;1,'Monthly Cash Flow'!BQ$4&lt;=2),'Monthly Cash Flow'!BP30*(1+'Rent Roll Analysis'!$AE28/12),'Monthly Cash Flow'!BP30*(1+'Rent Roll Analysis'!$AB28/12))))</f>
        <v/>
      </c>
      <c r="BR30" s="1428" t="str">
        <f>IF($B30="","",IF(BR$4&gt;2,(BQ30*(1+'Rent Roll Analysis'!$AK28/12)), IF(AND('Monthly Cash Flow'!BR$4&gt;1,'Monthly Cash Flow'!BR$4&lt;=2),'Monthly Cash Flow'!BQ30*(1+'Rent Roll Analysis'!$AE28/12),'Monthly Cash Flow'!BQ30*(1+'Rent Roll Analysis'!$AB28/12))))</f>
        <v/>
      </c>
      <c r="BS30" s="1428" t="str">
        <f>IF($B30="","",IF(BS$4&gt;2,(BR30*(1+'Rent Roll Analysis'!$AK28/12)), IF(AND('Monthly Cash Flow'!BS$4&gt;1,'Monthly Cash Flow'!BS$4&lt;=2),'Monthly Cash Flow'!BR30*(1+'Rent Roll Analysis'!$AE28/12),'Monthly Cash Flow'!BR30*(1+'Rent Roll Analysis'!$AB28/12))))</f>
        <v/>
      </c>
      <c r="BT30" s="1428" t="str">
        <f>IF($B30="","",IF(BT$4&gt;2,(BS30*(1+'Rent Roll Analysis'!$AK28/12)), IF(AND('Monthly Cash Flow'!BT$4&gt;1,'Monthly Cash Flow'!BT$4&lt;=2),'Monthly Cash Flow'!BS30*(1+'Rent Roll Analysis'!$AE28/12),'Monthly Cash Flow'!BS30*(1+'Rent Roll Analysis'!$AB28/12))))</f>
        <v/>
      </c>
      <c r="BU30" s="1428" t="str">
        <f>IF($B30="","",IF(BU$4&gt;2,(BT30*(1+'Rent Roll Analysis'!$AK28/12)), IF(AND('Monthly Cash Flow'!BU$4&gt;1,'Monthly Cash Flow'!BU$4&lt;=2),'Monthly Cash Flow'!BT30*(1+'Rent Roll Analysis'!$AE28/12),'Monthly Cash Flow'!BT30*(1+'Rent Roll Analysis'!$AB28/12))))</f>
        <v/>
      </c>
      <c r="BV30" s="1428" t="str">
        <f>IF($B30="","",IF(BV$4&gt;2,(BU30*(1+'Rent Roll Analysis'!$AK28/12)), IF(AND('Monthly Cash Flow'!BV$4&gt;1,'Monthly Cash Flow'!BV$4&lt;=2),'Monthly Cash Flow'!BU30*(1+'Rent Roll Analysis'!$AE28/12),'Monthly Cash Flow'!BU30*(1+'Rent Roll Analysis'!$AB28/12))))</f>
        <v/>
      </c>
      <c r="BW30" s="1428" t="str">
        <f>IF($B30="","",IF(BW$4&gt;2,(BV30*(1+'Rent Roll Analysis'!$AK28/12)), IF(AND('Monthly Cash Flow'!BW$4&gt;1,'Monthly Cash Flow'!BW$4&lt;=2),'Monthly Cash Flow'!BV30*(1+'Rent Roll Analysis'!$AE28/12),'Monthly Cash Flow'!BV30*(1+'Rent Roll Analysis'!$AB28/12))))</f>
        <v/>
      </c>
      <c r="BX30" s="1428" t="str">
        <f>IF($B30="","",IF(BX$4&gt;2,(BW30*(1+'Rent Roll Analysis'!$AK28/12)), IF(AND('Monthly Cash Flow'!BX$4&gt;1,'Monthly Cash Flow'!BX$4&lt;=2),'Monthly Cash Flow'!BW30*(1+'Rent Roll Analysis'!$AE28/12),'Monthly Cash Flow'!BW30*(1+'Rent Roll Analysis'!$AB28/12))))</f>
        <v/>
      </c>
      <c r="BY30" s="1428" t="str">
        <f>IF($B30="","",IF(BY$4&gt;2,(BX30*(1+'Rent Roll Analysis'!$AK28/12)), IF(AND('Monthly Cash Flow'!BY$4&gt;1,'Monthly Cash Flow'!BY$4&lt;=2),'Monthly Cash Flow'!BX30*(1+'Rent Roll Analysis'!$AE28/12),'Monthly Cash Flow'!BX30*(1+'Rent Roll Analysis'!$AB28/12))))</f>
        <v/>
      </c>
      <c r="BZ30" s="1428" t="str">
        <f>IF($B30="","",IF(BZ$4&gt;2,(BY30*(1+'Rent Roll Analysis'!$AK28/12)), IF(AND('Monthly Cash Flow'!BZ$4&gt;1,'Monthly Cash Flow'!BZ$4&lt;=2),'Monthly Cash Flow'!BY30*(1+'Rent Roll Analysis'!$AE28/12),'Monthly Cash Flow'!BY30*(1+'Rent Roll Analysis'!$AB28/12))))</f>
        <v/>
      </c>
      <c r="CA30" s="1428" t="str">
        <f>IF($B30="","",IF(CA$4&gt;2,(BZ30*(1+'Rent Roll Analysis'!$AK28/12)), IF(AND('Monthly Cash Flow'!CA$4&gt;1,'Monthly Cash Flow'!CA$4&lt;=2),'Monthly Cash Flow'!BZ30*(1+'Rent Roll Analysis'!$AE28/12),'Monthly Cash Flow'!BZ30*(1+'Rent Roll Analysis'!$AB28/12))))</f>
        <v/>
      </c>
      <c r="CB30" s="1428" t="str">
        <f>IF($B30="","",IF(CB$4&gt;2,(CA30*(1+'Rent Roll Analysis'!$AK28/12)), IF(AND('Monthly Cash Flow'!CB$4&gt;1,'Monthly Cash Flow'!CB$4&lt;=2),'Monthly Cash Flow'!CA30*(1+'Rent Roll Analysis'!$AE28/12),'Monthly Cash Flow'!CA30*(1+'Rent Roll Analysis'!$AB28/12))))</f>
        <v/>
      </c>
      <c r="CC30" s="1428" t="str">
        <f>IF($B30="","",IF(CC$4&gt;2,(CB30*(1+'Rent Roll Analysis'!$AK28/12)), IF(AND('Monthly Cash Flow'!CC$4&gt;1,'Monthly Cash Flow'!CC$4&lt;=2),'Monthly Cash Flow'!CB30*(1+'Rent Roll Analysis'!$AE28/12),'Monthly Cash Flow'!CB30*(1+'Rent Roll Analysis'!$AB28/12))))</f>
        <v/>
      </c>
      <c r="CD30" s="1428" t="str">
        <f>IF($B30="","",IF(CD$4&gt;2,(CC30*(1+'Rent Roll Analysis'!$AK28/12)), IF(AND('Monthly Cash Flow'!CD$4&gt;1,'Monthly Cash Flow'!CD$4&lt;=2),'Monthly Cash Flow'!CC30*(1+'Rent Roll Analysis'!$AE28/12),'Monthly Cash Flow'!CC30*(1+'Rent Roll Analysis'!$AB28/12))))</f>
        <v/>
      </c>
      <c r="CE30" s="1428" t="str">
        <f>IF($B30="","",IF(CE$4&gt;2,(CD30*(1+'Rent Roll Analysis'!$AK28/12)), IF(AND('Monthly Cash Flow'!CE$4&gt;1,'Monthly Cash Flow'!CE$4&lt;=2),'Monthly Cash Flow'!CD30*(1+'Rent Roll Analysis'!$AE28/12),'Monthly Cash Flow'!CD30*(1+'Rent Roll Analysis'!$AB28/12))))</f>
        <v/>
      </c>
      <c r="CF30" s="1428" t="str">
        <f>IF($B30="","",IF(CF$4&gt;2,(CE30*(1+'Rent Roll Analysis'!$AK28/12)), IF(AND('Monthly Cash Flow'!CF$4&gt;1,'Monthly Cash Flow'!CF$4&lt;=2),'Monthly Cash Flow'!CE30*(1+'Rent Roll Analysis'!$AE28/12),'Monthly Cash Flow'!CE30*(1+'Rent Roll Analysis'!$AB28/12))))</f>
        <v/>
      </c>
      <c r="CG30" s="1428" t="str">
        <f>IF($B30="","",IF(CG$4&gt;2,(CF30*(1+'Rent Roll Analysis'!$AK28/12)), IF(AND('Monthly Cash Flow'!CG$4&gt;1,'Monthly Cash Flow'!CG$4&lt;=2),'Monthly Cash Flow'!CF30*(1+'Rent Roll Analysis'!$AE28/12),'Monthly Cash Flow'!CF30*(1+'Rent Roll Analysis'!$AB28/12))))</f>
        <v/>
      </c>
      <c r="CH30" s="1428" t="str">
        <f>IF($B30="","",IF(CH$4&gt;2,(CG30*(1+'Rent Roll Analysis'!$AK28/12)), IF(AND('Monthly Cash Flow'!CH$4&gt;1,'Monthly Cash Flow'!CH$4&lt;=2),'Monthly Cash Flow'!CG30*(1+'Rent Roll Analysis'!$AE28/12),'Monthly Cash Flow'!CG30*(1+'Rent Roll Analysis'!$AB28/12))))</f>
        <v/>
      </c>
      <c r="CI30" s="1428" t="str">
        <f>IF($B30="","",IF(CI$4&gt;2,(CH30*(1+'Rent Roll Analysis'!$AK28/12)), IF(AND('Monthly Cash Flow'!CI$4&gt;1,'Monthly Cash Flow'!CI$4&lt;=2),'Monthly Cash Flow'!CH30*(1+'Rent Roll Analysis'!$AE28/12),'Monthly Cash Flow'!CH30*(1+'Rent Roll Analysis'!$AB28/12))))</f>
        <v/>
      </c>
      <c r="CJ30" s="1428" t="str">
        <f>IF($B30="","",IF(CJ$4&gt;2,(CI30*(1+'Rent Roll Analysis'!$AK28/12)), IF(AND('Monthly Cash Flow'!CJ$4&gt;1,'Monthly Cash Flow'!CJ$4&lt;=2),'Monthly Cash Flow'!CI30*(1+'Rent Roll Analysis'!$AE28/12),'Monthly Cash Flow'!CI30*(1+'Rent Roll Analysis'!$AB28/12))))</f>
        <v/>
      </c>
      <c r="CK30" s="1428" t="str">
        <f>IF($B30="","",IF(CK$4&gt;2,(CJ30*(1+'Rent Roll Analysis'!$AK28/12)), IF(AND('Monthly Cash Flow'!CK$4&gt;1,'Monthly Cash Flow'!CK$4&lt;=2),'Monthly Cash Flow'!CJ30*(1+'Rent Roll Analysis'!$AE28/12),'Monthly Cash Flow'!CJ30*(1+'Rent Roll Analysis'!$AB28/12))))</f>
        <v/>
      </c>
      <c r="CL30" s="1428" t="str">
        <f>IF($B30="","",IF(CL$4&gt;2,(CK30*(1+'Rent Roll Analysis'!$AK28/12)), IF(AND('Monthly Cash Flow'!CL$4&gt;1,'Monthly Cash Flow'!CL$4&lt;=2),'Monthly Cash Flow'!CK30*(1+'Rent Roll Analysis'!$AE28/12),'Monthly Cash Flow'!CK30*(1+'Rent Roll Analysis'!$AB28/12))))</f>
        <v/>
      </c>
      <c r="CM30" s="1428" t="str">
        <f>IF($B30="","",IF(CM$4&gt;2,(CL30*(1+'Rent Roll Analysis'!$AK28/12)), IF(AND('Monthly Cash Flow'!CM$4&gt;1,'Monthly Cash Flow'!CM$4&lt;=2),'Monthly Cash Flow'!CL30*(1+'Rent Roll Analysis'!$AE28/12),'Monthly Cash Flow'!CL30*(1+'Rent Roll Analysis'!$AB28/12))))</f>
        <v/>
      </c>
      <c r="CN30" s="1428" t="str">
        <f>IF($B30="","",IF(CN$4&gt;2,(CM30*(1+'Rent Roll Analysis'!$AK28/12)), IF(AND('Monthly Cash Flow'!CN$4&gt;1,'Monthly Cash Flow'!CN$4&lt;=2),'Monthly Cash Flow'!CM30*(1+'Rent Roll Analysis'!$AE28/12),'Monthly Cash Flow'!CM30*(1+'Rent Roll Analysis'!$AB28/12))))</f>
        <v/>
      </c>
      <c r="CO30" s="1428" t="str">
        <f>IF($B30="","",IF(CO$4&gt;2,(CN30*(1+'Rent Roll Analysis'!$AK28/12)), IF(AND('Monthly Cash Flow'!CO$4&gt;1,'Monthly Cash Flow'!CO$4&lt;=2),'Monthly Cash Flow'!CN30*(1+'Rent Roll Analysis'!$AE28/12),'Monthly Cash Flow'!CN30*(1+'Rent Roll Analysis'!$AB28/12))))</f>
        <v/>
      </c>
      <c r="CP30" s="1428" t="str">
        <f>IF($B30="","",IF(CP$4&gt;2,(CO30*(1+'Rent Roll Analysis'!$AK28/12)), IF(AND('Monthly Cash Flow'!CP$4&gt;1,'Monthly Cash Flow'!CP$4&lt;=2),'Monthly Cash Flow'!CO30*(1+'Rent Roll Analysis'!$AE28/12),'Monthly Cash Flow'!CO30*(1+'Rent Roll Analysis'!$AB28/12))))</f>
        <v/>
      </c>
      <c r="CQ30" s="1428" t="str">
        <f>IF($B30="","",IF(CQ$4&gt;2,(CP30*(1+'Rent Roll Analysis'!$AK28/12)), IF(AND('Monthly Cash Flow'!CQ$4&gt;1,'Monthly Cash Flow'!CQ$4&lt;=2),'Monthly Cash Flow'!CP30*(1+'Rent Roll Analysis'!$AE28/12),'Monthly Cash Flow'!CP30*(1+'Rent Roll Analysis'!$AB28/12))))</f>
        <v/>
      </c>
      <c r="CR30" s="1428" t="str">
        <f>IF($B30="","",IF(CR$4&gt;2,(CQ30*(1+'Rent Roll Analysis'!$AK28/12)), IF(AND('Monthly Cash Flow'!CR$4&gt;1,'Monthly Cash Flow'!CR$4&lt;=2),'Monthly Cash Flow'!CQ30*(1+'Rent Roll Analysis'!$AE28/12),'Monthly Cash Flow'!CQ30*(1+'Rent Roll Analysis'!$AB28/12))))</f>
        <v/>
      </c>
      <c r="CS30" s="1428" t="str">
        <f>IF($B30="","",IF(CS$4&gt;2,(CR30*(1+'Rent Roll Analysis'!$AK28/12)), IF(AND('Monthly Cash Flow'!CS$4&gt;1,'Monthly Cash Flow'!CS$4&lt;=2),'Monthly Cash Flow'!CR30*(1+'Rent Roll Analysis'!$AE28/12),'Monthly Cash Flow'!CR30*(1+'Rent Roll Analysis'!$AB28/12))))</f>
        <v/>
      </c>
      <c r="CT30" s="1428" t="str">
        <f>IF($B30="","",IF(CT$4&gt;2,(CS30*(1+'Rent Roll Analysis'!$AK28/12)), IF(AND('Monthly Cash Flow'!CT$4&gt;1,'Monthly Cash Flow'!CT$4&lt;=2),'Monthly Cash Flow'!CS30*(1+'Rent Roll Analysis'!$AE28/12),'Monthly Cash Flow'!CS30*(1+'Rent Roll Analysis'!$AB28/12))))</f>
        <v/>
      </c>
      <c r="CU30" s="1428" t="str">
        <f>IF($B30="","",IF(CU$4&gt;2,(CT30*(1+'Rent Roll Analysis'!$AK28/12)), IF(AND('Monthly Cash Flow'!CU$4&gt;1,'Monthly Cash Flow'!CU$4&lt;=2),'Monthly Cash Flow'!CT30*(1+'Rent Roll Analysis'!$AE28/12),'Monthly Cash Flow'!CT30*(1+'Rent Roll Analysis'!$AB28/12))))</f>
        <v/>
      </c>
      <c r="CV30" s="1428" t="str">
        <f>IF($B30="","",IF(CV$4&gt;2,(CU30*(1+'Rent Roll Analysis'!$AK28/12)), IF(AND('Monthly Cash Flow'!CV$4&gt;1,'Monthly Cash Flow'!CV$4&lt;=2),'Monthly Cash Flow'!CU30*(1+'Rent Roll Analysis'!$AE28/12),'Monthly Cash Flow'!CU30*(1+'Rent Roll Analysis'!$AB28/12))))</f>
        <v/>
      </c>
      <c r="CW30" s="1428" t="str">
        <f>IF($B30="","",IF(CW$4&gt;2,(CV30*(1+'Rent Roll Analysis'!$AK28/12)), IF(AND('Monthly Cash Flow'!CW$4&gt;1,'Monthly Cash Flow'!CW$4&lt;=2),'Monthly Cash Flow'!CV30*(1+'Rent Roll Analysis'!$AE28/12),'Monthly Cash Flow'!CV30*(1+'Rent Roll Analysis'!$AB28/12))))</f>
        <v/>
      </c>
      <c r="CX30" s="1428" t="str">
        <f>IF($B30="","",IF(CX$4&gt;2,(CW30*(1+'Rent Roll Analysis'!$AK28/12)), IF(AND('Monthly Cash Flow'!CX$4&gt;1,'Monthly Cash Flow'!CX$4&lt;=2),'Monthly Cash Flow'!CW30*(1+'Rent Roll Analysis'!$AE28/12),'Monthly Cash Flow'!CW30*(1+'Rent Roll Analysis'!$AB28/12))))</f>
        <v/>
      </c>
      <c r="CY30" s="1428" t="str">
        <f>IF($B30="","",IF(CY$4&gt;2,(CX30*(1+'Rent Roll Analysis'!$AK28/12)), IF(AND('Monthly Cash Flow'!CY$4&gt;1,'Monthly Cash Flow'!CY$4&lt;=2),'Monthly Cash Flow'!CX30*(1+'Rent Roll Analysis'!$AE28/12),'Monthly Cash Flow'!CX30*(1+'Rent Roll Analysis'!$AB28/12))))</f>
        <v/>
      </c>
      <c r="CZ30" s="1428" t="str">
        <f>IF($B30="","",IF(CZ$4&gt;2,(CY30*(1+'Rent Roll Analysis'!$AK28/12)), IF(AND('Monthly Cash Flow'!CZ$4&gt;1,'Monthly Cash Flow'!CZ$4&lt;=2),'Monthly Cash Flow'!CY30*(1+'Rent Roll Analysis'!$AE28/12),'Monthly Cash Flow'!CY30*(1+'Rent Roll Analysis'!$AB28/12))))</f>
        <v/>
      </c>
      <c r="DA30" s="1428" t="str">
        <f>IF($B30="","",IF(DA$4&gt;2,(CZ30*(1+'Rent Roll Analysis'!$AK28/12)), IF(AND('Monthly Cash Flow'!DA$4&gt;1,'Monthly Cash Flow'!DA$4&lt;=2),'Monthly Cash Flow'!CZ30*(1+'Rent Roll Analysis'!$AE28/12),'Monthly Cash Flow'!CZ30*(1+'Rent Roll Analysis'!$AB28/12))))</f>
        <v/>
      </c>
      <c r="DB30" s="1428" t="str">
        <f>IF($B30="","",IF(DB$4&gt;2,(DA30*(1+'Rent Roll Analysis'!$AK28/12)), IF(AND('Monthly Cash Flow'!DB$4&gt;1,'Monthly Cash Flow'!DB$4&lt;=2),'Monthly Cash Flow'!DA30*(1+'Rent Roll Analysis'!$AE28/12),'Monthly Cash Flow'!DA30*(1+'Rent Roll Analysis'!$AB28/12))))</f>
        <v/>
      </c>
      <c r="DC30" s="1428" t="str">
        <f>IF($B30="","",IF(DC$4&gt;2,(DB30*(1+'Rent Roll Analysis'!$AK28/12)), IF(AND('Monthly Cash Flow'!DC$4&gt;1,'Monthly Cash Flow'!DC$4&lt;=2),'Monthly Cash Flow'!DB30*(1+'Rent Roll Analysis'!$AE28/12),'Monthly Cash Flow'!DB30*(1+'Rent Roll Analysis'!$AB28/12))))</f>
        <v/>
      </c>
      <c r="DD30" s="1428" t="str">
        <f>IF($B30="","",IF(DD$4&gt;2,(DC30*(1+'Rent Roll Analysis'!$AK28/12)), IF(AND('Monthly Cash Flow'!DD$4&gt;1,'Monthly Cash Flow'!DD$4&lt;=2),'Monthly Cash Flow'!DC30*(1+'Rent Roll Analysis'!$AE28/12),'Monthly Cash Flow'!DC30*(1+'Rent Roll Analysis'!$AB28/12))))</f>
        <v/>
      </c>
      <c r="DE30" s="1428" t="str">
        <f>IF($B30="","",IF(DE$4&gt;2,(DD30*(1+'Rent Roll Analysis'!$AK28/12)), IF(AND('Monthly Cash Flow'!DE$4&gt;1,'Monthly Cash Flow'!DE$4&lt;=2),'Monthly Cash Flow'!DD30*(1+'Rent Roll Analysis'!$AE28/12),'Monthly Cash Flow'!DD30*(1+'Rent Roll Analysis'!$AB28/12))))</f>
        <v/>
      </c>
      <c r="DF30" s="1428" t="str">
        <f>IF($B30="","",IF(DF$4&gt;2,(DE30*(1+'Rent Roll Analysis'!$AK28/12)), IF(AND('Monthly Cash Flow'!DF$4&gt;1,'Monthly Cash Flow'!DF$4&lt;=2),'Monthly Cash Flow'!DE30*(1+'Rent Roll Analysis'!$AE28/12),'Monthly Cash Flow'!DE30*(1+'Rent Roll Analysis'!$AB28/12))))</f>
        <v/>
      </c>
      <c r="DG30" s="1428" t="str">
        <f>IF($B30="","",IF(DG$4&gt;2,(DF30*(1+'Rent Roll Analysis'!$AK28/12)), IF(AND('Monthly Cash Flow'!DG$4&gt;1,'Monthly Cash Flow'!DG$4&lt;=2),'Monthly Cash Flow'!DF30*(1+'Rent Roll Analysis'!$AE28/12),'Monthly Cash Flow'!DF30*(1+'Rent Roll Analysis'!$AB28/12))))</f>
        <v/>
      </c>
      <c r="DH30" s="1428" t="str">
        <f>IF($B30="","",IF(DH$4&gt;2,(DG30*(1+'Rent Roll Analysis'!$AK28/12)), IF(AND('Monthly Cash Flow'!DH$4&gt;1,'Monthly Cash Flow'!DH$4&lt;=2),'Monthly Cash Flow'!DG30*(1+'Rent Roll Analysis'!$AE28/12),'Monthly Cash Flow'!DG30*(1+'Rent Roll Analysis'!$AB28/12))))</f>
        <v/>
      </c>
      <c r="DI30" s="1428" t="str">
        <f>IF($B30="","",IF(DI$4&gt;2,(DH30*(1+'Rent Roll Analysis'!$AK28/12)), IF(AND('Monthly Cash Flow'!DI$4&gt;1,'Monthly Cash Flow'!DI$4&lt;=2),'Monthly Cash Flow'!DH30*(1+'Rent Roll Analysis'!$AE28/12),'Monthly Cash Flow'!DH30*(1+'Rent Roll Analysis'!$AB28/12))))</f>
        <v/>
      </c>
      <c r="DJ30" s="1428" t="str">
        <f>IF($B30="","",IF(DJ$4&gt;2,(DI30*(1+'Rent Roll Analysis'!$AK28/12)), IF(AND('Monthly Cash Flow'!DJ$4&gt;1,'Monthly Cash Flow'!DJ$4&lt;=2),'Monthly Cash Flow'!DI30*(1+'Rent Roll Analysis'!$AE28/12),'Monthly Cash Flow'!DI30*(1+'Rent Roll Analysis'!$AB28/12))))</f>
        <v/>
      </c>
      <c r="DK30" s="1428" t="str">
        <f>IF($B30="","",IF(DK$4&gt;2,(DJ30*(1+'Rent Roll Analysis'!$AK28/12)), IF(AND('Monthly Cash Flow'!DK$4&gt;1,'Monthly Cash Flow'!DK$4&lt;=2),'Monthly Cash Flow'!DJ30*(1+'Rent Roll Analysis'!$AE28/12),'Monthly Cash Flow'!DJ30*(1+'Rent Roll Analysis'!$AB28/12))))</f>
        <v/>
      </c>
      <c r="DL30" s="1428" t="str">
        <f>IF($B30="","",IF(DL$4&gt;2,(DK30*(1+'Rent Roll Analysis'!$AK28/12)), IF(AND('Monthly Cash Flow'!DL$4&gt;1,'Monthly Cash Flow'!DL$4&lt;=2),'Monthly Cash Flow'!DK30*(1+'Rent Roll Analysis'!$AE28/12),'Monthly Cash Flow'!DK30*(1+'Rent Roll Analysis'!$AB28/12))))</f>
        <v/>
      </c>
      <c r="DM30" s="1428" t="str">
        <f>IF($B30="","",IF(DM$4&gt;2,(DL30*(1+'Rent Roll Analysis'!$AK28/12)), IF(AND('Monthly Cash Flow'!DM$4&gt;1,'Monthly Cash Flow'!DM$4&lt;=2),'Monthly Cash Flow'!DL30*(1+'Rent Roll Analysis'!$AE28/12),'Monthly Cash Flow'!DL30*(1+'Rent Roll Analysis'!$AB28/12))))</f>
        <v/>
      </c>
      <c r="DN30" s="1428" t="str">
        <f>IF($B30="","",IF(DN$4&gt;2,(DM30*(1+'Rent Roll Analysis'!$AK28/12)), IF(AND('Monthly Cash Flow'!DN$4&gt;1,'Monthly Cash Flow'!DN$4&lt;=2),'Monthly Cash Flow'!DM30*(1+'Rent Roll Analysis'!$AE28/12),'Monthly Cash Flow'!DM30*(1+'Rent Roll Analysis'!$AB28/12))))</f>
        <v/>
      </c>
      <c r="DO30" s="1428" t="str">
        <f>IF($B30="","",IF(DO$4&gt;2,(DN30*(1+'Rent Roll Analysis'!$AK28/12)), IF(AND('Monthly Cash Flow'!DO$4&gt;1,'Monthly Cash Flow'!DO$4&lt;=2),'Monthly Cash Flow'!DN30*(1+'Rent Roll Analysis'!$AE28/12),'Monthly Cash Flow'!DN30*(1+'Rent Roll Analysis'!$AB28/12))))</f>
        <v/>
      </c>
      <c r="DP30" s="1428" t="str">
        <f>IF($B30="","",IF(DP$4&gt;2,(DO30*(1+'Rent Roll Analysis'!$AK28/12)), IF(AND('Monthly Cash Flow'!DP$4&gt;1,'Monthly Cash Flow'!DP$4&lt;=2),'Monthly Cash Flow'!DO30*(1+'Rent Roll Analysis'!$AE28/12),'Monthly Cash Flow'!DO30*(1+'Rent Roll Analysis'!$AB28/12))))</f>
        <v/>
      </c>
      <c r="DQ30" s="1428" t="str">
        <f>IF($B30="","",IF(DQ$4&gt;2,(DP30*(1+'Rent Roll Analysis'!$AK28/12)), IF(AND('Monthly Cash Flow'!DQ$4&gt;1,'Monthly Cash Flow'!DQ$4&lt;=2),'Monthly Cash Flow'!DP30*(1+'Rent Roll Analysis'!$AE28/12),'Monthly Cash Flow'!DP30*(1+'Rent Roll Analysis'!$AB28/12))))</f>
        <v/>
      </c>
      <c r="DR30" s="1428" t="str">
        <f>IF($B30="","",IF(DR$4&gt;2,(DQ30*(1+'Rent Roll Analysis'!$AK28/12)), IF(AND('Monthly Cash Flow'!DR$4&gt;1,'Monthly Cash Flow'!DR$4&lt;=2),'Monthly Cash Flow'!DQ30*(1+'Rent Roll Analysis'!$AE28/12),'Monthly Cash Flow'!DQ30*(1+'Rent Roll Analysis'!$AB28/12))))</f>
        <v/>
      </c>
      <c r="DS30" s="1428" t="str">
        <f>IF($B30="","",IF(DS$4&gt;2,(DR30*(1+'Rent Roll Analysis'!$AK28/12)), IF(AND('Monthly Cash Flow'!DS$4&gt;1,'Monthly Cash Flow'!DS$4&lt;=2),'Monthly Cash Flow'!DR30*(1+'Rent Roll Analysis'!$AE28/12),'Monthly Cash Flow'!DR30*(1+'Rent Roll Analysis'!$AB28/12))))</f>
        <v/>
      </c>
      <c r="DT30" s="1428" t="str">
        <f>IF($B30="","",IF(DT$4&gt;2,(DS30*(1+'Rent Roll Analysis'!$AK28/12)), IF(AND('Monthly Cash Flow'!DT$4&gt;1,'Monthly Cash Flow'!DT$4&lt;=2),'Monthly Cash Flow'!DS30*(1+'Rent Roll Analysis'!$AE28/12),'Monthly Cash Flow'!DS30*(1+'Rent Roll Analysis'!$AB28/12))))</f>
        <v/>
      </c>
      <c r="DU30" s="385" t="s">
        <v>557</v>
      </c>
      <c r="DV30" s="375"/>
    </row>
    <row r="31" spans="1:126" s="92" customFormat="1" ht="20.149999999999999" customHeight="1" outlineLevel="1">
      <c r="A31" s="375"/>
      <c r="B31" s="383" t="str">
        <f>'Rent Roll Analysis'!C29</f>
        <v/>
      </c>
      <c r="C31" s="376"/>
      <c r="D31" s="1426" t="str">
        <f>IF('Rent Roll Analysis'!C29="","",'Rent Roll Analysis'!N29*'Rent Roll Analysis'!E29)</f>
        <v/>
      </c>
      <c r="E31" s="1428" t="str">
        <f t="shared" si="113"/>
        <v/>
      </c>
      <c r="F31" s="1428" t="str">
        <f>IF($B31="","",IF(F$4&gt;2,(E31*(1+'Rent Roll Analysis'!$AK29/12)), IF(AND('Monthly Cash Flow'!F$4&gt;1,'Monthly Cash Flow'!F$4&lt;=2),'Monthly Cash Flow'!E31*(1+'Rent Roll Analysis'!$AE29/12),'Monthly Cash Flow'!E31*(1+'Rent Roll Analysis'!$AB29/12))))</f>
        <v/>
      </c>
      <c r="G31" s="1428" t="str">
        <f>IF($B31="","",IF(G$4&gt;2,(F31*(1+'Rent Roll Analysis'!$AK29/12)), IF(AND('Monthly Cash Flow'!G$4&gt;1,'Monthly Cash Flow'!G$4&lt;=2),'Monthly Cash Flow'!F31*(1+'Rent Roll Analysis'!$AE29/12),'Monthly Cash Flow'!F31*(1+'Rent Roll Analysis'!$AB29/12))))</f>
        <v/>
      </c>
      <c r="H31" s="1428" t="str">
        <f>IF($B31="","",IF(H$4&gt;2,(G31*(1+'Rent Roll Analysis'!$AK29/12)), IF(AND('Monthly Cash Flow'!H$4&gt;1,'Monthly Cash Flow'!H$4&lt;=2),'Monthly Cash Flow'!G31*(1+'Rent Roll Analysis'!$AE29/12),'Monthly Cash Flow'!G31*(1+'Rent Roll Analysis'!$AB29/12))))</f>
        <v/>
      </c>
      <c r="I31" s="1428" t="str">
        <f>IF($B31="","",IF(I$4&gt;2,(H31*(1+'Rent Roll Analysis'!$AK29/12)), IF(AND('Monthly Cash Flow'!I$4&gt;1,'Monthly Cash Flow'!I$4&lt;=2),'Monthly Cash Flow'!H31*(1+'Rent Roll Analysis'!$AE29/12),'Monthly Cash Flow'!H31*(1+'Rent Roll Analysis'!$AB29/12))))</f>
        <v/>
      </c>
      <c r="J31" s="1428" t="str">
        <f>IF($B31="","",IF(J$4&gt;2,(I31*(1+'Rent Roll Analysis'!$AK29/12)), IF(AND('Monthly Cash Flow'!J$4&gt;1,'Monthly Cash Flow'!J$4&lt;=2),'Monthly Cash Flow'!I31*(1+'Rent Roll Analysis'!$AE29/12),'Monthly Cash Flow'!I31*(1+'Rent Roll Analysis'!$AB29/12))))</f>
        <v/>
      </c>
      <c r="K31" s="1428" t="str">
        <f>IF($B31="","",IF(K$4&gt;2,(J31*(1+'Rent Roll Analysis'!$AK29/12)), IF(AND('Monthly Cash Flow'!K$4&gt;1,'Monthly Cash Flow'!K$4&lt;=2),'Monthly Cash Flow'!J31*(1+'Rent Roll Analysis'!$AE29/12),'Monthly Cash Flow'!J31*(1+'Rent Roll Analysis'!$AB29/12))))</f>
        <v/>
      </c>
      <c r="L31" s="1428" t="str">
        <f>IF($B31="","",IF(L$4&gt;2,(K31*(1+'Rent Roll Analysis'!$AK29/12)), IF(AND('Monthly Cash Flow'!L$4&gt;1,'Monthly Cash Flow'!L$4&lt;=2),'Monthly Cash Flow'!K31*(1+'Rent Roll Analysis'!$AE29/12),'Monthly Cash Flow'!K31*(1+'Rent Roll Analysis'!$AB29/12))))</f>
        <v/>
      </c>
      <c r="M31" s="1428" t="str">
        <f>IF($B31="","",IF(M$4&gt;2,(L31*(1+'Rent Roll Analysis'!$AK29/12)), IF(AND('Monthly Cash Flow'!M$4&gt;1,'Monthly Cash Flow'!M$4&lt;=2),'Monthly Cash Flow'!L31*(1+'Rent Roll Analysis'!$AE29/12),'Monthly Cash Flow'!L31*(1+'Rent Roll Analysis'!$AB29/12))))</f>
        <v/>
      </c>
      <c r="N31" s="1428" t="str">
        <f>IF($B31="","",IF(N$4&gt;2,(M31*(1+'Rent Roll Analysis'!$AK29/12)), IF(AND('Monthly Cash Flow'!N$4&gt;1,'Monthly Cash Flow'!N$4&lt;=2),'Monthly Cash Flow'!M31*(1+'Rent Roll Analysis'!$AE29/12),'Monthly Cash Flow'!M31*(1+'Rent Roll Analysis'!$AB29/12))))</f>
        <v/>
      </c>
      <c r="O31" s="1428" t="str">
        <f>IF($B31="","",IF(O$4&gt;2,(N31*(1+'Rent Roll Analysis'!$AK29/12)), IF(AND('Monthly Cash Flow'!O$4&gt;1,'Monthly Cash Flow'!O$4&lt;=2),'Monthly Cash Flow'!N31*(1+'Rent Roll Analysis'!$AE29/12),'Monthly Cash Flow'!N31*(1+'Rent Roll Analysis'!$AB29/12))))</f>
        <v/>
      </c>
      <c r="P31" s="1428" t="str">
        <f>IF($B31="","",IF(P$4&gt;2,(O31*(1+'Rent Roll Analysis'!$AK29/12)), IF(AND('Monthly Cash Flow'!P$4&gt;1,'Monthly Cash Flow'!P$4&lt;=2),'Monthly Cash Flow'!O31*(1+'Rent Roll Analysis'!$AE29/12),'Monthly Cash Flow'!O31*(1+'Rent Roll Analysis'!$AB29/12))))</f>
        <v/>
      </c>
      <c r="Q31" s="1428" t="str">
        <f>IF($B31="","",IF(Q$4&gt;2,(P31*(1+'Rent Roll Analysis'!$AK29/12)), IF(AND('Monthly Cash Flow'!Q$4&gt;1,'Monthly Cash Flow'!Q$4&lt;=2),'Monthly Cash Flow'!P31*(1+'Rent Roll Analysis'!$AE29/12),'Monthly Cash Flow'!P31*(1+'Rent Roll Analysis'!$AB29/12))))</f>
        <v/>
      </c>
      <c r="R31" s="1428" t="str">
        <f>IF($B31="","",IF(R$4&gt;2,(Q31*(1+'Rent Roll Analysis'!$AK29/12)), IF(AND('Monthly Cash Flow'!R$4&gt;1,'Monthly Cash Flow'!R$4&lt;=2),'Monthly Cash Flow'!Q31*(1+'Rent Roll Analysis'!$AE29/12),'Monthly Cash Flow'!Q31*(1+'Rent Roll Analysis'!$AB29/12))))</f>
        <v/>
      </c>
      <c r="S31" s="1428" t="str">
        <f>IF($B31="","",IF(S$4&gt;2,(R31*(1+'Rent Roll Analysis'!$AK29/12)), IF(AND('Monthly Cash Flow'!S$4&gt;1,'Monthly Cash Flow'!S$4&lt;=2),'Monthly Cash Flow'!R31*(1+'Rent Roll Analysis'!$AE29/12),'Monthly Cash Flow'!R31*(1+'Rent Roll Analysis'!$AB29/12))))</f>
        <v/>
      </c>
      <c r="T31" s="1428" t="str">
        <f>IF($B31="","",IF(T$4&gt;2,(S31*(1+'Rent Roll Analysis'!$AK29/12)), IF(AND('Monthly Cash Flow'!T$4&gt;1,'Monthly Cash Flow'!T$4&lt;=2),'Monthly Cash Flow'!S31*(1+'Rent Roll Analysis'!$AE29/12),'Monthly Cash Flow'!S31*(1+'Rent Roll Analysis'!$AB29/12))))</f>
        <v/>
      </c>
      <c r="U31" s="1428" t="str">
        <f>IF($B31="","",IF(U$4&gt;2,(T31*(1+'Rent Roll Analysis'!$AK29/12)), IF(AND('Monthly Cash Flow'!U$4&gt;1,'Monthly Cash Flow'!U$4&lt;=2),'Monthly Cash Flow'!T31*(1+'Rent Roll Analysis'!$AE29/12),'Monthly Cash Flow'!T31*(1+'Rent Roll Analysis'!$AB29/12))))</f>
        <v/>
      </c>
      <c r="V31" s="1428" t="str">
        <f>IF($B31="","",IF(V$4&gt;2,(U31*(1+'Rent Roll Analysis'!$AK29/12)), IF(AND('Monthly Cash Flow'!V$4&gt;1,'Monthly Cash Flow'!V$4&lt;=2),'Monthly Cash Flow'!U31*(1+'Rent Roll Analysis'!$AE29/12),'Monthly Cash Flow'!U31*(1+'Rent Roll Analysis'!$AB29/12))))</f>
        <v/>
      </c>
      <c r="W31" s="1428" t="str">
        <f>IF($B31="","",IF(W$4&gt;2,(V31*(1+'Rent Roll Analysis'!$AK29/12)), IF(AND('Monthly Cash Flow'!W$4&gt;1,'Monthly Cash Flow'!W$4&lt;=2),'Monthly Cash Flow'!V31*(1+'Rent Roll Analysis'!$AE29/12),'Monthly Cash Flow'!V31*(1+'Rent Roll Analysis'!$AB29/12))))</f>
        <v/>
      </c>
      <c r="X31" s="1428" t="str">
        <f>IF($B31="","",IF(X$4&gt;2,(W31*(1+'Rent Roll Analysis'!$AK29/12)), IF(AND('Monthly Cash Flow'!X$4&gt;1,'Monthly Cash Flow'!X$4&lt;=2),'Monthly Cash Flow'!W31*(1+'Rent Roll Analysis'!$AE29/12),'Monthly Cash Flow'!W31*(1+'Rent Roll Analysis'!$AB29/12))))</f>
        <v/>
      </c>
      <c r="Y31" s="1428" t="str">
        <f>IF($B31="","",IF(Y$4&gt;2,(X31*(1+'Rent Roll Analysis'!$AK29/12)), IF(AND('Monthly Cash Flow'!Y$4&gt;1,'Monthly Cash Flow'!Y$4&lt;=2),'Monthly Cash Flow'!X31*(1+'Rent Roll Analysis'!$AE29/12),'Monthly Cash Flow'!X31*(1+'Rent Roll Analysis'!$AB29/12))))</f>
        <v/>
      </c>
      <c r="Z31" s="1428" t="str">
        <f>IF($B31="","",IF(Z$4&gt;2,(Y31*(1+'Rent Roll Analysis'!$AK29/12)), IF(AND('Monthly Cash Flow'!Z$4&gt;1,'Monthly Cash Flow'!Z$4&lt;=2),'Monthly Cash Flow'!Y31*(1+'Rent Roll Analysis'!$AE29/12),'Monthly Cash Flow'!Y31*(1+'Rent Roll Analysis'!$AB29/12))))</f>
        <v/>
      </c>
      <c r="AA31" s="1428" t="str">
        <f>IF($B31="","",IF(AA$4&gt;2,(Z31*(1+'Rent Roll Analysis'!$AK29/12)), IF(AND('Monthly Cash Flow'!AA$4&gt;1,'Monthly Cash Flow'!AA$4&lt;=2),'Monthly Cash Flow'!Z31*(1+'Rent Roll Analysis'!$AE29/12),'Monthly Cash Flow'!Z31*(1+'Rent Roll Analysis'!$AB29/12))))</f>
        <v/>
      </c>
      <c r="AB31" s="1428" t="str">
        <f>IF($B31="","",IF(AB$4&gt;2,(AA31*(1+'Rent Roll Analysis'!$AK29/12)), IF(AND('Monthly Cash Flow'!AB$4&gt;1,'Monthly Cash Flow'!AB$4&lt;=2),'Monthly Cash Flow'!AA31*(1+'Rent Roll Analysis'!$AE29/12),'Monthly Cash Flow'!AA31*(1+'Rent Roll Analysis'!$AB29/12))))</f>
        <v/>
      </c>
      <c r="AC31" s="1428" t="str">
        <f>IF($B31="","",IF(AC$4&gt;2,(AB31*(1+'Rent Roll Analysis'!$AK29/12)), IF(AND('Monthly Cash Flow'!AC$4&gt;1,'Monthly Cash Flow'!AC$4&lt;=2),'Monthly Cash Flow'!AB31*(1+'Rent Roll Analysis'!$AE29/12),'Monthly Cash Flow'!AB31*(1+'Rent Roll Analysis'!$AB29/12))))</f>
        <v/>
      </c>
      <c r="AD31" s="1428" t="str">
        <f>IF($B31="","",IF(AD$4&gt;2,(AC31*(1+'Rent Roll Analysis'!$AK29/12)), IF(AND('Monthly Cash Flow'!AD$4&gt;1,'Monthly Cash Flow'!AD$4&lt;=2),'Monthly Cash Flow'!AC31*(1+'Rent Roll Analysis'!$AE29/12),'Monthly Cash Flow'!AC31*(1+'Rent Roll Analysis'!$AB29/12))))</f>
        <v/>
      </c>
      <c r="AE31" s="1428" t="str">
        <f>IF($B31="","",IF(AE$4&gt;2,(AD31*(1+'Rent Roll Analysis'!$AK29/12)), IF(AND('Monthly Cash Flow'!AE$4&gt;1,'Monthly Cash Flow'!AE$4&lt;=2),'Monthly Cash Flow'!AD31*(1+'Rent Roll Analysis'!$AE29/12),'Monthly Cash Flow'!AD31*(1+'Rent Roll Analysis'!$AB29/12))))</f>
        <v/>
      </c>
      <c r="AF31" s="1428" t="str">
        <f>IF($B31="","",IF(AF$4&gt;2,(AE31*(1+'Rent Roll Analysis'!$AK29/12)), IF(AND('Monthly Cash Flow'!AF$4&gt;1,'Monthly Cash Flow'!AF$4&lt;=2),'Monthly Cash Flow'!AE31*(1+'Rent Roll Analysis'!$AE29/12),'Monthly Cash Flow'!AE31*(1+'Rent Roll Analysis'!$AB29/12))))</f>
        <v/>
      </c>
      <c r="AG31" s="1428" t="str">
        <f>IF($B31="","",IF(AG$4&gt;2,(AF31*(1+'Rent Roll Analysis'!$AK29/12)), IF(AND('Monthly Cash Flow'!AG$4&gt;1,'Monthly Cash Flow'!AG$4&lt;=2),'Monthly Cash Flow'!AF31*(1+'Rent Roll Analysis'!$AE29/12),'Monthly Cash Flow'!AF31*(1+'Rent Roll Analysis'!$AB29/12))))</f>
        <v/>
      </c>
      <c r="AH31" s="1428" t="str">
        <f>IF($B31="","",IF(AH$4&gt;2,(AG31*(1+'Rent Roll Analysis'!$AK29/12)), IF(AND('Monthly Cash Flow'!AH$4&gt;1,'Monthly Cash Flow'!AH$4&lt;=2),'Monthly Cash Flow'!AG31*(1+'Rent Roll Analysis'!$AE29/12),'Monthly Cash Flow'!AG31*(1+'Rent Roll Analysis'!$AB29/12))))</f>
        <v/>
      </c>
      <c r="AI31" s="1428" t="str">
        <f>IF($B31="","",IF(AI$4&gt;2,(AH31*(1+'Rent Roll Analysis'!$AK29/12)), IF(AND('Monthly Cash Flow'!AI$4&gt;1,'Monthly Cash Flow'!AI$4&lt;=2),'Monthly Cash Flow'!AH31*(1+'Rent Roll Analysis'!$AE29/12),'Monthly Cash Flow'!AH31*(1+'Rent Roll Analysis'!$AB29/12))))</f>
        <v/>
      </c>
      <c r="AJ31" s="1428" t="str">
        <f>IF($B31="","",IF(AJ$4&gt;2,(AI31*(1+'Rent Roll Analysis'!$AK29/12)), IF(AND('Monthly Cash Flow'!AJ$4&gt;1,'Monthly Cash Flow'!AJ$4&lt;=2),'Monthly Cash Flow'!AI31*(1+'Rent Roll Analysis'!$AE29/12),'Monthly Cash Flow'!AI31*(1+'Rent Roll Analysis'!$AB29/12))))</f>
        <v/>
      </c>
      <c r="AK31" s="1428" t="str">
        <f>IF($B31="","",IF(AK$4&gt;2,(AJ31*(1+'Rent Roll Analysis'!$AK29/12)), IF(AND('Monthly Cash Flow'!AK$4&gt;1,'Monthly Cash Flow'!AK$4&lt;=2),'Monthly Cash Flow'!AJ31*(1+'Rent Roll Analysis'!$AE29/12),'Monthly Cash Flow'!AJ31*(1+'Rent Roll Analysis'!$AB29/12))))</f>
        <v/>
      </c>
      <c r="AL31" s="1428" t="str">
        <f>IF($B31="","",IF(AL$4&gt;2,(AK31*(1+'Rent Roll Analysis'!$AK29/12)), IF(AND('Monthly Cash Flow'!AL$4&gt;1,'Monthly Cash Flow'!AL$4&lt;=2),'Monthly Cash Flow'!AK31*(1+'Rent Roll Analysis'!$AE29/12),'Monthly Cash Flow'!AK31*(1+'Rent Roll Analysis'!$AB29/12))))</f>
        <v/>
      </c>
      <c r="AM31" s="1428" t="str">
        <f>IF($B31="","",IF(AM$4&gt;2,(AL31*(1+'Rent Roll Analysis'!$AK29/12)), IF(AND('Monthly Cash Flow'!AM$4&gt;1,'Monthly Cash Flow'!AM$4&lt;=2),'Monthly Cash Flow'!AL31*(1+'Rent Roll Analysis'!$AE29/12),'Monthly Cash Flow'!AL31*(1+'Rent Roll Analysis'!$AB29/12))))</f>
        <v/>
      </c>
      <c r="AN31" s="1428" t="str">
        <f>IF($B31="","",IF(AN$4&gt;2,(AM31*(1+'Rent Roll Analysis'!$AK29/12)), IF(AND('Monthly Cash Flow'!AN$4&gt;1,'Monthly Cash Flow'!AN$4&lt;=2),'Monthly Cash Flow'!AM31*(1+'Rent Roll Analysis'!$AE29/12),'Monthly Cash Flow'!AM31*(1+'Rent Roll Analysis'!$AB29/12))))</f>
        <v/>
      </c>
      <c r="AO31" s="1428" t="str">
        <f>IF($B31="","",IF(AO$4&gt;2,(AN31*(1+'Rent Roll Analysis'!$AK29/12)), IF(AND('Monthly Cash Flow'!AO$4&gt;1,'Monthly Cash Flow'!AO$4&lt;=2),'Monthly Cash Flow'!AN31*(1+'Rent Roll Analysis'!$AE29/12),'Monthly Cash Flow'!AN31*(1+'Rent Roll Analysis'!$AB29/12))))</f>
        <v/>
      </c>
      <c r="AP31" s="1428" t="str">
        <f>IF($B31="","",IF(AP$4&gt;2,(AO31*(1+'Rent Roll Analysis'!$AK29/12)), IF(AND('Monthly Cash Flow'!AP$4&gt;1,'Monthly Cash Flow'!AP$4&lt;=2),'Monthly Cash Flow'!AO31*(1+'Rent Roll Analysis'!$AE29/12),'Monthly Cash Flow'!AO31*(1+'Rent Roll Analysis'!$AB29/12))))</f>
        <v/>
      </c>
      <c r="AQ31" s="1428" t="str">
        <f>IF($B31="","",IF(AQ$4&gt;2,(AP31*(1+'Rent Roll Analysis'!$AK29/12)), IF(AND('Monthly Cash Flow'!AQ$4&gt;1,'Monthly Cash Flow'!AQ$4&lt;=2),'Monthly Cash Flow'!AP31*(1+'Rent Roll Analysis'!$AE29/12),'Monthly Cash Flow'!AP31*(1+'Rent Roll Analysis'!$AB29/12))))</f>
        <v/>
      </c>
      <c r="AR31" s="1428" t="str">
        <f>IF($B31="","",IF(AR$4&gt;2,(AQ31*(1+'Rent Roll Analysis'!$AK29/12)), IF(AND('Monthly Cash Flow'!AR$4&gt;1,'Monthly Cash Flow'!AR$4&lt;=2),'Monthly Cash Flow'!AQ31*(1+'Rent Roll Analysis'!$AE29/12),'Monthly Cash Flow'!AQ31*(1+'Rent Roll Analysis'!$AB29/12))))</f>
        <v/>
      </c>
      <c r="AS31" s="1428" t="str">
        <f>IF($B31="","",IF(AS$4&gt;2,(AR31*(1+'Rent Roll Analysis'!$AK29/12)), IF(AND('Monthly Cash Flow'!AS$4&gt;1,'Monthly Cash Flow'!AS$4&lt;=2),'Monthly Cash Flow'!AR31*(1+'Rent Roll Analysis'!$AE29/12),'Monthly Cash Flow'!AR31*(1+'Rent Roll Analysis'!$AB29/12))))</f>
        <v/>
      </c>
      <c r="AT31" s="1428" t="str">
        <f>IF($B31="","",IF(AT$4&gt;2,(AS31*(1+'Rent Roll Analysis'!$AK29/12)), IF(AND('Monthly Cash Flow'!AT$4&gt;1,'Monthly Cash Flow'!AT$4&lt;=2),'Monthly Cash Flow'!AS31*(1+'Rent Roll Analysis'!$AE29/12),'Monthly Cash Flow'!AS31*(1+'Rent Roll Analysis'!$AB29/12))))</f>
        <v/>
      </c>
      <c r="AU31" s="1428" t="str">
        <f>IF($B31="","",IF(AU$4&gt;2,(AT31*(1+'Rent Roll Analysis'!$AK29/12)), IF(AND('Monthly Cash Flow'!AU$4&gt;1,'Monthly Cash Flow'!AU$4&lt;=2),'Monthly Cash Flow'!AT31*(1+'Rent Roll Analysis'!$AE29/12),'Monthly Cash Flow'!AT31*(1+'Rent Roll Analysis'!$AB29/12))))</f>
        <v/>
      </c>
      <c r="AV31" s="1428" t="str">
        <f>IF($B31="","",IF(AV$4&gt;2,(AU31*(1+'Rent Roll Analysis'!$AK29/12)), IF(AND('Monthly Cash Flow'!AV$4&gt;1,'Monthly Cash Flow'!AV$4&lt;=2),'Monthly Cash Flow'!AU31*(1+'Rent Roll Analysis'!$AE29/12),'Monthly Cash Flow'!AU31*(1+'Rent Roll Analysis'!$AB29/12))))</f>
        <v/>
      </c>
      <c r="AW31" s="1428" t="str">
        <f>IF($B31="","",IF(AW$4&gt;2,(AV31*(1+'Rent Roll Analysis'!$AK29/12)), IF(AND('Monthly Cash Flow'!AW$4&gt;1,'Monthly Cash Flow'!AW$4&lt;=2),'Monthly Cash Flow'!AV31*(1+'Rent Roll Analysis'!$AE29/12),'Monthly Cash Flow'!AV31*(1+'Rent Roll Analysis'!$AB29/12))))</f>
        <v/>
      </c>
      <c r="AX31" s="1428" t="str">
        <f>IF($B31="","",IF(AX$4&gt;2,(AW31*(1+'Rent Roll Analysis'!$AK29/12)), IF(AND('Monthly Cash Flow'!AX$4&gt;1,'Monthly Cash Flow'!AX$4&lt;=2),'Monthly Cash Flow'!AW31*(1+'Rent Roll Analysis'!$AE29/12),'Monthly Cash Flow'!AW31*(1+'Rent Roll Analysis'!$AB29/12))))</f>
        <v/>
      </c>
      <c r="AY31" s="1428" t="str">
        <f>IF($B31="","",IF(AY$4&gt;2,(AX31*(1+'Rent Roll Analysis'!$AK29/12)), IF(AND('Monthly Cash Flow'!AY$4&gt;1,'Monthly Cash Flow'!AY$4&lt;=2),'Monthly Cash Flow'!AX31*(1+'Rent Roll Analysis'!$AE29/12),'Monthly Cash Flow'!AX31*(1+'Rent Roll Analysis'!$AB29/12))))</f>
        <v/>
      </c>
      <c r="AZ31" s="1428" t="str">
        <f>IF($B31="","",IF(AZ$4&gt;2,(AY31*(1+'Rent Roll Analysis'!$AK29/12)), IF(AND('Monthly Cash Flow'!AZ$4&gt;1,'Monthly Cash Flow'!AZ$4&lt;=2),'Monthly Cash Flow'!AY31*(1+'Rent Roll Analysis'!$AE29/12),'Monthly Cash Flow'!AY31*(1+'Rent Roll Analysis'!$AB29/12))))</f>
        <v/>
      </c>
      <c r="BA31" s="1428" t="str">
        <f>IF($B31="","",IF(BA$4&gt;2,(AZ31*(1+'Rent Roll Analysis'!$AK29/12)), IF(AND('Monthly Cash Flow'!BA$4&gt;1,'Monthly Cash Flow'!BA$4&lt;=2),'Monthly Cash Flow'!AZ31*(1+'Rent Roll Analysis'!$AE29/12),'Monthly Cash Flow'!AZ31*(1+'Rent Roll Analysis'!$AB29/12))))</f>
        <v/>
      </c>
      <c r="BB31" s="1428" t="str">
        <f>IF($B31="","",IF(BB$4&gt;2,(BA31*(1+'Rent Roll Analysis'!$AK29/12)), IF(AND('Monthly Cash Flow'!BB$4&gt;1,'Monthly Cash Flow'!BB$4&lt;=2),'Monthly Cash Flow'!BA31*(1+'Rent Roll Analysis'!$AE29/12),'Monthly Cash Flow'!BA31*(1+'Rent Roll Analysis'!$AB29/12))))</f>
        <v/>
      </c>
      <c r="BC31" s="1428" t="str">
        <f>IF($B31="","",IF(BC$4&gt;2,(BB31*(1+'Rent Roll Analysis'!$AK29/12)), IF(AND('Monthly Cash Flow'!BC$4&gt;1,'Monthly Cash Flow'!BC$4&lt;=2),'Monthly Cash Flow'!BB31*(1+'Rent Roll Analysis'!$AE29/12),'Monthly Cash Flow'!BB31*(1+'Rent Roll Analysis'!$AB29/12))))</f>
        <v/>
      </c>
      <c r="BD31" s="1428" t="str">
        <f>IF($B31="","",IF(BD$4&gt;2,(BC31*(1+'Rent Roll Analysis'!$AK29/12)), IF(AND('Monthly Cash Flow'!BD$4&gt;1,'Monthly Cash Flow'!BD$4&lt;=2),'Monthly Cash Flow'!BC31*(1+'Rent Roll Analysis'!$AE29/12),'Monthly Cash Flow'!BC31*(1+'Rent Roll Analysis'!$AB29/12))))</f>
        <v/>
      </c>
      <c r="BE31" s="1428" t="str">
        <f>IF($B31="","",IF(BE$4&gt;2,(BD31*(1+'Rent Roll Analysis'!$AK29/12)), IF(AND('Monthly Cash Flow'!BE$4&gt;1,'Monthly Cash Flow'!BE$4&lt;=2),'Monthly Cash Flow'!BD31*(1+'Rent Roll Analysis'!$AE29/12),'Monthly Cash Flow'!BD31*(1+'Rent Roll Analysis'!$AB29/12))))</f>
        <v/>
      </c>
      <c r="BF31" s="1428" t="str">
        <f>IF($B31="","",IF(BF$4&gt;2,(BE31*(1+'Rent Roll Analysis'!$AK29/12)), IF(AND('Monthly Cash Flow'!BF$4&gt;1,'Monthly Cash Flow'!BF$4&lt;=2),'Monthly Cash Flow'!BE31*(1+'Rent Roll Analysis'!$AE29/12),'Monthly Cash Flow'!BE31*(1+'Rent Roll Analysis'!$AB29/12))))</f>
        <v/>
      </c>
      <c r="BG31" s="1428" t="str">
        <f>IF($B31="","",IF(BG$4&gt;2,(BF31*(1+'Rent Roll Analysis'!$AK29/12)), IF(AND('Monthly Cash Flow'!BG$4&gt;1,'Monthly Cash Flow'!BG$4&lt;=2),'Monthly Cash Flow'!BF31*(1+'Rent Roll Analysis'!$AE29/12),'Monthly Cash Flow'!BF31*(1+'Rent Roll Analysis'!$AB29/12))))</f>
        <v/>
      </c>
      <c r="BH31" s="1428" t="str">
        <f>IF($B31="","",IF(BH$4&gt;2,(BG31*(1+'Rent Roll Analysis'!$AK29/12)), IF(AND('Monthly Cash Flow'!BH$4&gt;1,'Monthly Cash Flow'!BH$4&lt;=2),'Monthly Cash Flow'!BG31*(1+'Rent Roll Analysis'!$AE29/12),'Monthly Cash Flow'!BG31*(1+'Rent Roll Analysis'!$AB29/12))))</f>
        <v/>
      </c>
      <c r="BI31" s="1428" t="str">
        <f>IF($B31="","",IF(BI$4&gt;2,(BH31*(1+'Rent Roll Analysis'!$AK29/12)), IF(AND('Monthly Cash Flow'!BI$4&gt;1,'Monthly Cash Flow'!BI$4&lt;=2),'Monthly Cash Flow'!BH31*(1+'Rent Roll Analysis'!$AE29/12),'Monthly Cash Flow'!BH31*(1+'Rent Roll Analysis'!$AB29/12))))</f>
        <v/>
      </c>
      <c r="BJ31" s="1428" t="str">
        <f>IF($B31="","",IF(BJ$4&gt;2,(BI31*(1+'Rent Roll Analysis'!$AK29/12)), IF(AND('Monthly Cash Flow'!BJ$4&gt;1,'Monthly Cash Flow'!BJ$4&lt;=2),'Monthly Cash Flow'!BI31*(1+'Rent Roll Analysis'!$AE29/12),'Monthly Cash Flow'!BI31*(1+'Rent Roll Analysis'!$AB29/12))))</f>
        <v/>
      </c>
      <c r="BK31" s="1428" t="str">
        <f>IF($B31="","",IF(BK$4&gt;2,(BJ31*(1+'Rent Roll Analysis'!$AK29/12)), IF(AND('Monthly Cash Flow'!BK$4&gt;1,'Monthly Cash Flow'!BK$4&lt;=2),'Monthly Cash Flow'!BJ31*(1+'Rent Roll Analysis'!$AE29/12),'Monthly Cash Flow'!BJ31*(1+'Rent Roll Analysis'!$AB29/12))))</f>
        <v/>
      </c>
      <c r="BL31" s="1428" t="str">
        <f>IF($B31="","",IF(BL$4&gt;2,(BK31*(1+'Rent Roll Analysis'!$AK29/12)), IF(AND('Monthly Cash Flow'!BL$4&gt;1,'Monthly Cash Flow'!BL$4&lt;=2),'Monthly Cash Flow'!BK31*(1+'Rent Roll Analysis'!$AE29/12),'Monthly Cash Flow'!BK31*(1+'Rent Roll Analysis'!$AB29/12))))</f>
        <v/>
      </c>
      <c r="BM31" s="1428" t="str">
        <f>IF($B31="","",IF(BM$4&gt;2,(BL31*(1+'Rent Roll Analysis'!$AK29/12)), IF(AND('Monthly Cash Flow'!BM$4&gt;1,'Monthly Cash Flow'!BM$4&lt;=2),'Monthly Cash Flow'!BL31*(1+'Rent Roll Analysis'!$AE29/12),'Monthly Cash Flow'!BL31*(1+'Rent Roll Analysis'!$AB29/12))))</f>
        <v/>
      </c>
      <c r="BN31" s="1428" t="str">
        <f>IF($B31="","",IF(BN$4&gt;2,(BM31*(1+'Rent Roll Analysis'!$AK29/12)), IF(AND('Monthly Cash Flow'!BN$4&gt;1,'Monthly Cash Flow'!BN$4&lt;=2),'Monthly Cash Flow'!BM31*(1+'Rent Roll Analysis'!$AE29/12),'Monthly Cash Flow'!BM31*(1+'Rent Roll Analysis'!$AB29/12))))</f>
        <v/>
      </c>
      <c r="BO31" s="1428" t="str">
        <f>IF($B31="","",IF(BO$4&gt;2,(BN31*(1+'Rent Roll Analysis'!$AK29/12)), IF(AND('Monthly Cash Flow'!BO$4&gt;1,'Monthly Cash Flow'!BO$4&lt;=2),'Monthly Cash Flow'!BN31*(1+'Rent Roll Analysis'!$AE29/12),'Monthly Cash Flow'!BN31*(1+'Rent Roll Analysis'!$AB29/12))))</f>
        <v/>
      </c>
      <c r="BP31" s="1428" t="str">
        <f>IF($B31="","",IF(BP$4&gt;2,(BO31*(1+'Rent Roll Analysis'!$AK29/12)), IF(AND('Monthly Cash Flow'!BP$4&gt;1,'Monthly Cash Flow'!BP$4&lt;=2),'Monthly Cash Flow'!BO31*(1+'Rent Roll Analysis'!$AE29/12),'Monthly Cash Flow'!BO31*(1+'Rent Roll Analysis'!$AB29/12))))</f>
        <v/>
      </c>
      <c r="BQ31" s="1428" t="str">
        <f>IF($B31="","",IF(BQ$4&gt;2,(BP31*(1+'Rent Roll Analysis'!$AK29/12)), IF(AND('Monthly Cash Flow'!BQ$4&gt;1,'Monthly Cash Flow'!BQ$4&lt;=2),'Monthly Cash Flow'!BP31*(1+'Rent Roll Analysis'!$AE29/12),'Monthly Cash Flow'!BP31*(1+'Rent Roll Analysis'!$AB29/12))))</f>
        <v/>
      </c>
      <c r="BR31" s="1428" t="str">
        <f>IF($B31="","",IF(BR$4&gt;2,(BQ31*(1+'Rent Roll Analysis'!$AK29/12)), IF(AND('Monthly Cash Flow'!BR$4&gt;1,'Monthly Cash Flow'!BR$4&lt;=2),'Monthly Cash Flow'!BQ31*(1+'Rent Roll Analysis'!$AE29/12),'Monthly Cash Flow'!BQ31*(1+'Rent Roll Analysis'!$AB29/12))))</f>
        <v/>
      </c>
      <c r="BS31" s="1428" t="str">
        <f>IF($B31="","",IF(BS$4&gt;2,(BR31*(1+'Rent Roll Analysis'!$AK29/12)), IF(AND('Monthly Cash Flow'!BS$4&gt;1,'Monthly Cash Flow'!BS$4&lt;=2),'Monthly Cash Flow'!BR31*(1+'Rent Roll Analysis'!$AE29/12),'Monthly Cash Flow'!BR31*(1+'Rent Roll Analysis'!$AB29/12))))</f>
        <v/>
      </c>
      <c r="BT31" s="1428" t="str">
        <f>IF($B31="","",IF(BT$4&gt;2,(BS31*(1+'Rent Roll Analysis'!$AK29/12)), IF(AND('Monthly Cash Flow'!BT$4&gt;1,'Monthly Cash Flow'!BT$4&lt;=2),'Monthly Cash Flow'!BS31*(1+'Rent Roll Analysis'!$AE29/12),'Monthly Cash Flow'!BS31*(1+'Rent Roll Analysis'!$AB29/12))))</f>
        <v/>
      </c>
      <c r="BU31" s="1428" t="str">
        <f>IF($B31="","",IF(BU$4&gt;2,(BT31*(1+'Rent Roll Analysis'!$AK29/12)), IF(AND('Monthly Cash Flow'!BU$4&gt;1,'Monthly Cash Flow'!BU$4&lt;=2),'Monthly Cash Flow'!BT31*(1+'Rent Roll Analysis'!$AE29/12),'Monthly Cash Flow'!BT31*(1+'Rent Roll Analysis'!$AB29/12))))</f>
        <v/>
      </c>
      <c r="BV31" s="1428" t="str">
        <f>IF($B31="","",IF(BV$4&gt;2,(BU31*(1+'Rent Roll Analysis'!$AK29/12)), IF(AND('Monthly Cash Flow'!BV$4&gt;1,'Monthly Cash Flow'!BV$4&lt;=2),'Monthly Cash Flow'!BU31*(1+'Rent Roll Analysis'!$AE29/12),'Monthly Cash Flow'!BU31*(1+'Rent Roll Analysis'!$AB29/12))))</f>
        <v/>
      </c>
      <c r="BW31" s="1428" t="str">
        <f>IF($B31="","",IF(BW$4&gt;2,(BV31*(1+'Rent Roll Analysis'!$AK29/12)), IF(AND('Monthly Cash Flow'!BW$4&gt;1,'Monthly Cash Flow'!BW$4&lt;=2),'Monthly Cash Flow'!BV31*(1+'Rent Roll Analysis'!$AE29/12),'Monthly Cash Flow'!BV31*(1+'Rent Roll Analysis'!$AB29/12))))</f>
        <v/>
      </c>
      <c r="BX31" s="1428" t="str">
        <f>IF($B31="","",IF(BX$4&gt;2,(BW31*(1+'Rent Roll Analysis'!$AK29/12)), IF(AND('Monthly Cash Flow'!BX$4&gt;1,'Monthly Cash Flow'!BX$4&lt;=2),'Monthly Cash Flow'!BW31*(1+'Rent Roll Analysis'!$AE29/12),'Monthly Cash Flow'!BW31*(1+'Rent Roll Analysis'!$AB29/12))))</f>
        <v/>
      </c>
      <c r="BY31" s="1428" t="str">
        <f>IF($B31="","",IF(BY$4&gt;2,(BX31*(1+'Rent Roll Analysis'!$AK29/12)), IF(AND('Monthly Cash Flow'!BY$4&gt;1,'Monthly Cash Flow'!BY$4&lt;=2),'Monthly Cash Flow'!BX31*(1+'Rent Roll Analysis'!$AE29/12),'Monthly Cash Flow'!BX31*(1+'Rent Roll Analysis'!$AB29/12))))</f>
        <v/>
      </c>
      <c r="BZ31" s="1428" t="str">
        <f>IF($B31="","",IF(BZ$4&gt;2,(BY31*(1+'Rent Roll Analysis'!$AK29/12)), IF(AND('Monthly Cash Flow'!BZ$4&gt;1,'Monthly Cash Flow'!BZ$4&lt;=2),'Monthly Cash Flow'!BY31*(1+'Rent Roll Analysis'!$AE29/12),'Monthly Cash Flow'!BY31*(1+'Rent Roll Analysis'!$AB29/12))))</f>
        <v/>
      </c>
      <c r="CA31" s="1428" t="str">
        <f>IF($B31="","",IF(CA$4&gt;2,(BZ31*(1+'Rent Roll Analysis'!$AK29/12)), IF(AND('Monthly Cash Flow'!CA$4&gt;1,'Monthly Cash Flow'!CA$4&lt;=2),'Monthly Cash Flow'!BZ31*(1+'Rent Roll Analysis'!$AE29/12),'Monthly Cash Flow'!BZ31*(1+'Rent Roll Analysis'!$AB29/12))))</f>
        <v/>
      </c>
      <c r="CB31" s="1428" t="str">
        <f>IF($B31="","",IF(CB$4&gt;2,(CA31*(1+'Rent Roll Analysis'!$AK29/12)), IF(AND('Monthly Cash Flow'!CB$4&gt;1,'Monthly Cash Flow'!CB$4&lt;=2),'Monthly Cash Flow'!CA31*(1+'Rent Roll Analysis'!$AE29/12),'Monthly Cash Flow'!CA31*(1+'Rent Roll Analysis'!$AB29/12))))</f>
        <v/>
      </c>
      <c r="CC31" s="1428" t="str">
        <f>IF($B31="","",IF(CC$4&gt;2,(CB31*(1+'Rent Roll Analysis'!$AK29/12)), IF(AND('Monthly Cash Flow'!CC$4&gt;1,'Monthly Cash Flow'!CC$4&lt;=2),'Monthly Cash Flow'!CB31*(1+'Rent Roll Analysis'!$AE29/12),'Monthly Cash Flow'!CB31*(1+'Rent Roll Analysis'!$AB29/12))))</f>
        <v/>
      </c>
      <c r="CD31" s="1428" t="str">
        <f>IF($B31="","",IF(CD$4&gt;2,(CC31*(1+'Rent Roll Analysis'!$AK29/12)), IF(AND('Monthly Cash Flow'!CD$4&gt;1,'Monthly Cash Flow'!CD$4&lt;=2),'Monthly Cash Flow'!CC31*(1+'Rent Roll Analysis'!$AE29/12),'Monthly Cash Flow'!CC31*(1+'Rent Roll Analysis'!$AB29/12))))</f>
        <v/>
      </c>
      <c r="CE31" s="1428" t="str">
        <f>IF($B31="","",IF(CE$4&gt;2,(CD31*(1+'Rent Roll Analysis'!$AK29/12)), IF(AND('Monthly Cash Flow'!CE$4&gt;1,'Monthly Cash Flow'!CE$4&lt;=2),'Monthly Cash Flow'!CD31*(1+'Rent Roll Analysis'!$AE29/12),'Monthly Cash Flow'!CD31*(1+'Rent Roll Analysis'!$AB29/12))))</f>
        <v/>
      </c>
      <c r="CF31" s="1428" t="str">
        <f>IF($B31="","",IF(CF$4&gt;2,(CE31*(1+'Rent Roll Analysis'!$AK29/12)), IF(AND('Monthly Cash Flow'!CF$4&gt;1,'Monthly Cash Flow'!CF$4&lt;=2),'Monthly Cash Flow'!CE31*(1+'Rent Roll Analysis'!$AE29/12),'Monthly Cash Flow'!CE31*(1+'Rent Roll Analysis'!$AB29/12))))</f>
        <v/>
      </c>
      <c r="CG31" s="1428" t="str">
        <f>IF($B31="","",IF(CG$4&gt;2,(CF31*(1+'Rent Roll Analysis'!$AK29/12)), IF(AND('Monthly Cash Flow'!CG$4&gt;1,'Monthly Cash Flow'!CG$4&lt;=2),'Monthly Cash Flow'!CF31*(1+'Rent Roll Analysis'!$AE29/12),'Monthly Cash Flow'!CF31*(1+'Rent Roll Analysis'!$AB29/12))))</f>
        <v/>
      </c>
      <c r="CH31" s="1428" t="str">
        <f>IF($B31="","",IF(CH$4&gt;2,(CG31*(1+'Rent Roll Analysis'!$AK29/12)), IF(AND('Monthly Cash Flow'!CH$4&gt;1,'Monthly Cash Flow'!CH$4&lt;=2),'Monthly Cash Flow'!CG31*(1+'Rent Roll Analysis'!$AE29/12),'Monthly Cash Flow'!CG31*(1+'Rent Roll Analysis'!$AB29/12))))</f>
        <v/>
      </c>
      <c r="CI31" s="1428" t="str">
        <f>IF($B31="","",IF(CI$4&gt;2,(CH31*(1+'Rent Roll Analysis'!$AK29/12)), IF(AND('Monthly Cash Flow'!CI$4&gt;1,'Monthly Cash Flow'!CI$4&lt;=2),'Monthly Cash Flow'!CH31*(1+'Rent Roll Analysis'!$AE29/12),'Monthly Cash Flow'!CH31*(1+'Rent Roll Analysis'!$AB29/12))))</f>
        <v/>
      </c>
      <c r="CJ31" s="1428" t="str">
        <f>IF($B31="","",IF(CJ$4&gt;2,(CI31*(1+'Rent Roll Analysis'!$AK29/12)), IF(AND('Monthly Cash Flow'!CJ$4&gt;1,'Monthly Cash Flow'!CJ$4&lt;=2),'Monthly Cash Flow'!CI31*(1+'Rent Roll Analysis'!$AE29/12),'Monthly Cash Flow'!CI31*(1+'Rent Roll Analysis'!$AB29/12))))</f>
        <v/>
      </c>
      <c r="CK31" s="1428" t="str">
        <f>IF($B31="","",IF(CK$4&gt;2,(CJ31*(1+'Rent Roll Analysis'!$AK29/12)), IF(AND('Monthly Cash Flow'!CK$4&gt;1,'Monthly Cash Flow'!CK$4&lt;=2),'Monthly Cash Flow'!CJ31*(1+'Rent Roll Analysis'!$AE29/12),'Monthly Cash Flow'!CJ31*(1+'Rent Roll Analysis'!$AB29/12))))</f>
        <v/>
      </c>
      <c r="CL31" s="1428" t="str">
        <f>IF($B31="","",IF(CL$4&gt;2,(CK31*(1+'Rent Roll Analysis'!$AK29/12)), IF(AND('Monthly Cash Flow'!CL$4&gt;1,'Monthly Cash Flow'!CL$4&lt;=2),'Monthly Cash Flow'!CK31*(1+'Rent Roll Analysis'!$AE29/12),'Monthly Cash Flow'!CK31*(1+'Rent Roll Analysis'!$AB29/12))))</f>
        <v/>
      </c>
      <c r="CM31" s="1428" t="str">
        <f>IF($B31="","",IF(CM$4&gt;2,(CL31*(1+'Rent Roll Analysis'!$AK29/12)), IF(AND('Monthly Cash Flow'!CM$4&gt;1,'Monthly Cash Flow'!CM$4&lt;=2),'Monthly Cash Flow'!CL31*(1+'Rent Roll Analysis'!$AE29/12),'Monthly Cash Flow'!CL31*(1+'Rent Roll Analysis'!$AB29/12))))</f>
        <v/>
      </c>
      <c r="CN31" s="1428" t="str">
        <f>IF($B31="","",IF(CN$4&gt;2,(CM31*(1+'Rent Roll Analysis'!$AK29/12)), IF(AND('Monthly Cash Flow'!CN$4&gt;1,'Monthly Cash Flow'!CN$4&lt;=2),'Monthly Cash Flow'!CM31*(1+'Rent Roll Analysis'!$AE29/12),'Monthly Cash Flow'!CM31*(1+'Rent Roll Analysis'!$AB29/12))))</f>
        <v/>
      </c>
      <c r="CO31" s="1428" t="str">
        <f>IF($B31="","",IF(CO$4&gt;2,(CN31*(1+'Rent Roll Analysis'!$AK29/12)), IF(AND('Monthly Cash Flow'!CO$4&gt;1,'Monthly Cash Flow'!CO$4&lt;=2),'Monthly Cash Flow'!CN31*(1+'Rent Roll Analysis'!$AE29/12),'Monthly Cash Flow'!CN31*(1+'Rent Roll Analysis'!$AB29/12))))</f>
        <v/>
      </c>
      <c r="CP31" s="1428" t="str">
        <f>IF($B31="","",IF(CP$4&gt;2,(CO31*(1+'Rent Roll Analysis'!$AK29/12)), IF(AND('Monthly Cash Flow'!CP$4&gt;1,'Monthly Cash Flow'!CP$4&lt;=2),'Monthly Cash Flow'!CO31*(1+'Rent Roll Analysis'!$AE29/12),'Monthly Cash Flow'!CO31*(1+'Rent Roll Analysis'!$AB29/12))))</f>
        <v/>
      </c>
      <c r="CQ31" s="1428" t="str">
        <f>IF($B31="","",IF(CQ$4&gt;2,(CP31*(1+'Rent Roll Analysis'!$AK29/12)), IF(AND('Monthly Cash Flow'!CQ$4&gt;1,'Monthly Cash Flow'!CQ$4&lt;=2),'Monthly Cash Flow'!CP31*(1+'Rent Roll Analysis'!$AE29/12),'Monthly Cash Flow'!CP31*(1+'Rent Roll Analysis'!$AB29/12))))</f>
        <v/>
      </c>
      <c r="CR31" s="1428" t="str">
        <f>IF($B31="","",IF(CR$4&gt;2,(CQ31*(1+'Rent Roll Analysis'!$AK29/12)), IF(AND('Monthly Cash Flow'!CR$4&gt;1,'Monthly Cash Flow'!CR$4&lt;=2),'Monthly Cash Flow'!CQ31*(1+'Rent Roll Analysis'!$AE29/12),'Monthly Cash Flow'!CQ31*(1+'Rent Roll Analysis'!$AB29/12))))</f>
        <v/>
      </c>
      <c r="CS31" s="1428" t="str">
        <f>IF($B31="","",IF(CS$4&gt;2,(CR31*(1+'Rent Roll Analysis'!$AK29/12)), IF(AND('Monthly Cash Flow'!CS$4&gt;1,'Monthly Cash Flow'!CS$4&lt;=2),'Monthly Cash Flow'!CR31*(1+'Rent Roll Analysis'!$AE29/12),'Monthly Cash Flow'!CR31*(1+'Rent Roll Analysis'!$AB29/12))))</f>
        <v/>
      </c>
      <c r="CT31" s="1428" t="str">
        <f>IF($B31="","",IF(CT$4&gt;2,(CS31*(1+'Rent Roll Analysis'!$AK29/12)), IF(AND('Monthly Cash Flow'!CT$4&gt;1,'Monthly Cash Flow'!CT$4&lt;=2),'Monthly Cash Flow'!CS31*(1+'Rent Roll Analysis'!$AE29/12),'Monthly Cash Flow'!CS31*(1+'Rent Roll Analysis'!$AB29/12))))</f>
        <v/>
      </c>
      <c r="CU31" s="1428" t="str">
        <f>IF($B31="","",IF(CU$4&gt;2,(CT31*(1+'Rent Roll Analysis'!$AK29/12)), IF(AND('Monthly Cash Flow'!CU$4&gt;1,'Monthly Cash Flow'!CU$4&lt;=2),'Monthly Cash Flow'!CT31*(1+'Rent Roll Analysis'!$AE29/12),'Monthly Cash Flow'!CT31*(1+'Rent Roll Analysis'!$AB29/12))))</f>
        <v/>
      </c>
      <c r="CV31" s="1428" t="str">
        <f>IF($B31="","",IF(CV$4&gt;2,(CU31*(1+'Rent Roll Analysis'!$AK29/12)), IF(AND('Monthly Cash Flow'!CV$4&gt;1,'Monthly Cash Flow'!CV$4&lt;=2),'Monthly Cash Flow'!CU31*(1+'Rent Roll Analysis'!$AE29/12),'Monthly Cash Flow'!CU31*(1+'Rent Roll Analysis'!$AB29/12))))</f>
        <v/>
      </c>
      <c r="CW31" s="1428" t="str">
        <f>IF($B31="","",IF(CW$4&gt;2,(CV31*(1+'Rent Roll Analysis'!$AK29/12)), IF(AND('Monthly Cash Flow'!CW$4&gt;1,'Monthly Cash Flow'!CW$4&lt;=2),'Monthly Cash Flow'!CV31*(1+'Rent Roll Analysis'!$AE29/12),'Monthly Cash Flow'!CV31*(1+'Rent Roll Analysis'!$AB29/12))))</f>
        <v/>
      </c>
      <c r="CX31" s="1428" t="str">
        <f>IF($B31="","",IF(CX$4&gt;2,(CW31*(1+'Rent Roll Analysis'!$AK29/12)), IF(AND('Monthly Cash Flow'!CX$4&gt;1,'Monthly Cash Flow'!CX$4&lt;=2),'Monthly Cash Flow'!CW31*(1+'Rent Roll Analysis'!$AE29/12),'Monthly Cash Flow'!CW31*(1+'Rent Roll Analysis'!$AB29/12))))</f>
        <v/>
      </c>
      <c r="CY31" s="1428" t="str">
        <f>IF($B31="","",IF(CY$4&gt;2,(CX31*(1+'Rent Roll Analysis'!$AK29/12)), IF(AND('Monthly Cash Flow'!CY$4&gt;1,'Monthly Cash Flow'!CY$4&lt;=2),'Monthly Cash Flow'!CX31*(1+'Rent Roll Analysis'!$AE29/12),'Monthly Cash Flow'!CX31*(1+'Rent Roll Analysis'!$AB29/12))))</f>
        <v/>
      </c>
      <c r="CZ31" s="1428" t="str">
        <f>IF($B31="","",IF(CZ$4&gt;2,(CY31*(1+'Rent Roll Analysis'!$AK29/12)), IF(AND('Monthly Cash Flow'!CZ$4&gt;1,'Monthly Cash Flow'!CZ$4&lt;=2),'Monthly Cash Flow'!CY31*(1+'Rent Roll Analysis'!$AE29/12),'Monthly Cash Flow'!CY31*(1+'Rent Roll Analysis'!$AB29/12))))</f>
        <v/>
      </c>
      <c r="DA31" s="1428" t="str">
        <f>IF($B31="","",IF(DA$4&gt;2,(CZ31*(1+'Rent Roll Analysis'!$AK29/12)), IF(AND('Monthly Cash Flow'!DA$4&gt;1,'Monthly Cash Flow'!DA$4&lt;=2),'Monthly Cash Flow'!CZ31*(1+'Rent Roll Analysis'!$AE29/12),'Monthly Cash Flow'!CZ31*(1+'Rent Roll Analysis'!$AB29/12))))</f>
        <v/>
      </c>
      <c r="DB31" s="1428" t="str">
        <f>IF($B31="","",IF(DB$4&gt;2,(DA31*(1+'Rent Roll Analysis'!$AK29/12)), IF(AND('Monthly Cash Flow'!DB$4&gt;1,'Monthly Cash Flow'!DB$4&lt;=2),'Monthly Cash Flow'!DA31*(1+'Rent Roll Analysis'!$AE29/12),'Monthly Cash Flow'!DA31*(1+'Rent Roll Analysis'!$AB29/12))))</f>
        <v/>
      </c>
      <c r="DC31" s="1428" t="str">
        <f>IF($B31="","",IF(DC$4&gt;2,(DB31*(1+'Rent Roll Analysis'!$AK29/12)), IF(AND('Monthly Cash Flow'!DC$4&gt;1,'Monthly Cash Flow'!DC$4&lt;=2),'Monthly Cash Flow'!DB31*(1+'Rent Roll Analysis'!$AE29/12),'Monthly Cash Flow'!DB31*(1+'Rent Roll Analysis'!$AB29/12))))</f>
        <v/>
      </c>
      <c r="DD31" s="1428" t="str">
        <f>IF($B31="","",IF(DD$4&gt;2,(DC31*(1+'Rent Roll Analysis'!$AK29/12)), IF(AND('Monthly Cash Flow'!DD$4&gt;1,'Monthly Cash Flow'!DD$4&lt;=2),'Monthly Cash Flow'!DC31*(1+'Rent Roll Analysis'!$AE29/12),'Monthly Cash Flow'!DC31*(1+'Rent Roll Analysis'!$AB29/12))))</f>
        <v/>
      </c>
      <c r="DE31" s="1428" t="str">
        <f>IF($B31="","",IF(DE$4&gt;2,(DD31*(1+'Rent Roll Analysis'!$AK29/12)), IF(AND('Monthly Cash Flow'!DE$4&gt;1,'Monthly Cash Flow'!DE$4&lt;=2),'Monthly Cash Flow'!DD31*(1+'Rent Roll Analysis'!$AE29/12),'Monthly Cash Flow'!DD31*(1+'Rent Roll Analysis'!$AB29/12))))</f>
        <v/>
      </c>
      <c r="DF31" s="1428" t="str">
        <f>IF($B31="","",IF(DF$4&gt;2,(DE31*(1+'Rent Roll Analysis'!$AK29/12)), IF(AND('Monthly Cash Flow'!DF$4&gt;1,'Monthly Cash Flow'!DF$4&lt;=2),'Monthly Cash Flow'!DE31*(1+'Rent Roll Analysis'!$AE29/12),'Monthly Cash Flow'!DE31*(1+'Rent Roll Analysis'!$AB29/12))))</f>
        <v/>
      </c>
      <c r="DG31" s="1428" t="str">
        <f>IF($B31="","",IF(DG$4&gt;2,(DF31*(1+'Rent Roll Analysis'!$AK29/12)), IF(AND('Monthly Cash Flow'!DG$4&gt;1,'Monthly Cash Flow'!DG$4&lt;=2),'Monthly Cash Flow'!DF31*(1+'Rent Roll Analysis'!$AE29/12),'Monthly Cash Flow'!DF31*(1+'Rent Roll Analysis'!$AB29/12))))</f>
        <v/>
      </c>
      <c r="DH31" s="1428" t="str">
        <f>IF($B31="","",IF(DH$4&gt;2,(DG31*(1+'Rent Roll Analysis'!$AK29/12)), IF(AND('Monthly Cash Flow'!DH$4&gt;1,'Monthly Cash Flow'!DH$4&lt;=2),'Monthly Cash Flow'!DG31*(1+'Rent Roll Analysis'!$AE29/12),'Monthly Cash Flow'!DG31*(1+'Rent Roll Analysis'!$AB29/12))))</f>
        <v/>
      </c>
      <c r="DI31" s="1428" t="str">
        <f>IF($B31="","",IF(DI$4&gt;2,(DH31*(1+'Rent Roll Analysis'!$AK29/12)), IF(AND('Monthly Cash Flow'!DI$4&gt;1,'Monthly Cash Flow'!DI$4&lt;=2),'Monthly Cash Flow'!DH31*(1+'Rent Roll Analysis'!$AE29/12),'Monthly Cash Flow'!DH31*(1+'Rent Roll Analysis'!$AB29/12))))</f>
        <v/>
      </c>
      <c r="DJ31" s="1428" t="str">
        <f>IF($B31="","",IF(DJ$4&gt;2,(DI31*(1+'Rent Roll Analysis'!$AK29/12)), IF(AND('Monthly Cash Flow'!DJ$4&gt;1,'Monthly Cash Flow'!DJ$4&lt;=2),'Monthly Cash Flow'!DI31*(1+'Rent Roll Analysis'!$AE29/12),'Monthly Cash Flow'!DI31*(1+'Rent Roll Analysis'!$AB29/12))))</f>
        <v/>
      </c>
      <c r="DK31" s="1428" t="str">
        <f>IF($B31="","",IF(DK$4&gt;2,(DJ31*(1+'Rent Roll Analysis'!$AK29/12)), IF(AND('Monthly Cash Flow'!DK$4&gt;1,'Monthly Cash Flow'!DK$4&lt;=2),'Monthly Cash Flow'!DJ31*(1+'Rent Roll Analysis'!$AE29/12),'Monthly Cash Flow'!DJ31*(1+'Rent Roll Analysis'!$AB29/12))))</f>
        <v/>
      </c>
      <c r="DL31" s="1428" t="str">
        <f>IF($B31="","",IF(DL$4&gt;2,(DK31*(1+'Rent Roll Analysis'!$AK29/12)), IF(AND('Monthly Cash Flow'!DL$4&gt;1,'Monthly Cash Flow'!DL$4&lt;=2),'Monthly Cash Flow'!DK31*(1+'Rent Roll Analysis'!$AE29/12),'Monthly Cash Flow'!DK31*(1+'Rent Roll Analysis'!$AB29/12))))</f>
        <v/>
      </c>
      <c r="DM31" s="1428" t="str">
        <f>IF($B31="","",IF(DM$4&gt;2,(DL31*(1+'Rent Roll Analysis'!$AK29/12)), IF(AND('Monthly Cash Flow'!DM$4&gt;1,'Monthly Cash Flow'!DM$4&lt;=2),'Monthly Cash Flow'!DL31*(1+'Rent Roll Analysis'!$AE29/12),'Monthly Cash Flow'!DL31*(1+'Rent Roll Analysis'!$AB29/12))))</f>
        <v/>
      </c>
      <c r="DN31" s="1428" t="str">
        <f>IF($B31="","",IF(DN$4&gt;2,(DM31*(1+'Rent Roll Analysis'!$AK29/12)), IF(AND('Monthly Cash Flow'!DN$4&gt;1,'Monthly Cash Flow'!DN$4&lt;=2),'Monthly Cash Flow'!DM31*(1+'Rent Roll Analysis'!$AE29/12),'Monthly Cash Flow'!DM31*(1+'Rent Roll Analysis'!$AB29/12))))</f>
        <v/>
      </c>
      <c r="DO31" s="1428" t="str">
        <f>IF($B31="","",IF(DO$4&gt;2,(DN31*(1+'Rent Roll Analysis'!$AK29/12)), IF(AND('Monthly Cash Flow'!DO$4&gt;1,'Monthly Cash Flow'!DO$4&lt;=2),'Monthly Cash Flow'!DN31*(1+'Rent Roll Analysis'!$AE29/12),'Monthly Cash Flow'!DN31*(1+'Rent Roll Analysis'!$AB29/12))))</f>
        <v/>
      </c>
      <c r="DP31" s="1428" t="str">
        <f>IF($B31="","",IF(DP$4&gt;2,(DO31*(1+'Rent Roll Analysis'!$AK29/12)), IF(AND('Monthly Cash Flow'!DP$4&gt;1,'Monthly Cash Flow'!DP$4&lt;=2),'Monthly Cash Flow'!DO31*(1+'Rent Roll Analysis'!$AE29/12),'Monthly Cash Flow'!DO31*(1+'Rent Roll Analysis'!$AB29/12))))</f>
        <v/>
      </c>
      <c r="DQ31" s="1428" t="str">
        <f>IF($B31="","",IF(DQ$4&gt;2,(DP31*(1+'Rent Roll Analysis'!$AK29/12)), IF(AND('Monthly Cash Flow'!DQ$4&gt;1,'Monthly Cash Flow'!DQ$4&lt;=2),'Monthly Cash Flow'!DP31*(1+'Rent Roll Analysis'!$AE29/12),'Monthly Cash Flow'!DP31*(1+'Rent Roll Analysis'!$AB29/12))))</f>
        <v/>
      </c>
      <c r="DR31" s="1428" t="str">
        <f>IF($B31="","",IF(DR$4&gt;2,(DQ31*(1+'Rent Roll Analysis'!$AK29/12)), IF(AND('Monthly Cash Flow'!DR$4&gt;1,'Monthly Cash Flow'!DR$4&lt;=2),'Monthly Cash Flow'!DQ31*(1+'Rent Roll Analysis'!$AE29/12),'Monthly Cash Flow'!DQ31*(1+'Rent Roll Analysis'!$AB29/12))))</f>
        <v/>
      </c>
      <c r="DS31" s="1428" t="str">
        <f>IF($B31="","",IF(DS$4&gt;2,(DR31*(1+'Rent Roll Analysis'!$AK29/12)), IF(AND('Monthly Cash Flow'!DS$4&gt;1,'Monthly Cash Flow'!DS$4&lt;=2),'Monthly Cash Flow'!DR31*(1+'Rent Roll Analysis'!$AE29/12),'Monthly Cash Flow'!DR31*(1+'Rent Roll Analysis'!$AB29/12))))</f>
        <v/>
      </c>
      <c r="DT31" s="1428" t="str">
        <f>IF($B31="","",IF(DT$4&gt;2,(DS31*(1+'Rent Roll Analysis'!$AK29/12)), IF(AND('Monthly Cash Flow'!DT$4&gt;1,'Monthly Cash Flow'!DT$4&lt;=2),'Monthly Cash Flow'!DS31*(1+'Rent Roll Analysis'!$AE29/12),'Monthly Cash Flow'!DS31*(1+'Rent Roll Analysis'!$AB29/12))))</f>
        <v/>
      </c>
      <c r="DU31" s="385" t="s">
        <v>557</v>
      </c>
      <c r="DV31" s="375"/>
    </row>
    <row r="32" spans="1:126" s="92" customFormat="1" ht="20.149999999999999" customHeight="1" outlineLevel="1">
      <c r="A32" s="375"/>
      <c r="B32" s="383" t="str">
        <f>'Rent Roll Analysis'!C30</f>
        <v/>
      </c>
      <c r="C32" s="376"/>
      <c r="D32" s="1426" t="str">
        <f>IF('Rent Roll Analysis'!C30="","",'Rent Roll Analysis'!N30*'Rent Roll Analysis'!E30)</f>
        <v/>
      </c>
      <c r="E32" s="1428" t="str">
        <f t="shared" si="113"/>
        <v/>
      </c>
      <c r="F32" s="1428" t="str">
        <f>IF($B32="","",IF(F$4&gt;2,(E32*(1+'Rent Roll Analysis'!$AK30/12)), IF(AND('Monthly Cash Flow'!F$4&gt;1,'Monthly Cash Flow'!F$4&lt;=2),'Monthly Cash Flow'!E32*(1+'Rent Roll Analysis'!$AE30/12),'Monthly Cash Flow'!E32*(1+'Rent Roll Analysis'!$AB30/12))))</f>
        <v/>
      </c>
      <c r="G32" s="1428" t="str">
        <f>IF($B32="","",IF(G$4&gt;2,(F32*(1+'Rent Roll Analysis'!$AK30/12)), IF(AND('Monthly Cash Flow'!G$4&gt;1,'Monthly Cash Flow'!G$4&lt;=2),'Monthly Cash Flow'!F32*(1+'Rent Roll Analysis'!$AE30/12),'Monthly Cash Flow'!F32*(1+'Rent Roll Analysis'!$AB30/12))))</f>
        <v/>
      </c>
      <c r="H32" s="1428" t="str">
        <f>IF($B32="","",IF(H$4&gt;2,(G32*(1+'Rent Roll Analysis'!$AK30/12)), IF(AND('Monthly Cash Flow'!H$4&gt;1,'Monthly Cash Flow'!H$4&lt;=2),'Monthly Cash Flow'!G32*(1+'Rent Roll Analysis'!$AE30/12),'Monthly Cash Flow'!G32*(1+'Rent Roll Analysis'!$AB30/12))))</f>
        <v/>
      </c>
      <c r="I32" s="1428" t="str">
        <f>IF($B32="","",IF(I$4&gt;2,(H32*(1+'Rent Roll Analysis'!$AK30/12)), IF(AND('Monthly Cash Flow'!I$4&gt;1,'Monthly Cash Flow'!I$4&lt;=2),'Monthly Cash Flow'!H32*(1+'Rent Roll Analysis'!$AE30/12),'Monthly Cash Flow'!H32*(1+'Rent Roll Analysis'!$AB30/12))))</f>
        <v/>
      </c>
      <c r="J32" s="1428" t="str">
        <f>IF($B32="","",IF(J$4&gt;2,(I32*(1+'Rent Roll Analysis'!$AK30/12)), IF(AND('Monthly Cash Flow'!J$4&gt;1,'Monthly Cash Flow'!J$4&lt;=2),'Monthly Cash Flow'!I32*(1+'Rent Roll Analysis'!$AE30/12),'Monthly Cash Flow'!I32*(1+'Rent Roll Analysis'!$AB30/12))))</f>
        <v/>
      </c>
      <c r="K32" s="1428" t="str">
        <f>IF($B32="","",IF(K$4&gt;2,(J32*(1+'Rent Roll Analysis'!$AK30/12)), IF(AND('Monthly Cash Flow'!K$4&gt;1,'Monthly Cash Flow'!K$4&lt;=2),'Monthly Cash Flow'!J32*(1+'Rent Roll Analysis'!$AE30/12),'Monthly Cash Flow'!J32*(1+'Rent Roll Analysis'!$AB30/12))))</f>
        <v/>
      </c>
      <c r="L32" s="1428" t="str">
        <f>IF($B32="","",IF(L$4&gt;2,(K32*(1+'Rent Roll Analysis'!$AK30/12)), IF(AND('Monthly Cash Flow'!L$4&gt;1,'Monthly Cash Flow'!L$4&lt;=2),'Monthly Cash Flow'!K32*(1+'Rent Roll Analysis'!$AE30/12),'Monthly Cash Flow'!K32*(1+'Rent Roll Analysis'!$AB30/12))))</f>
        <v/>
      </c>
      <c r="M32" s="1428" t="str">
        <f>IF($B32="","",IF(M$4&gt;2,(L32*(1+'Rent Roll Analysis'!$AK30/12)), IF(AND('Monthly Cash Flow'!M$4&gt;1,'Monthly Cash Flow'!M$4&lt;=2),'Monthly Cash Flow'!L32*(1+'Rent Roll Analysis'!$AE30/12),'Monthly Cash Flow'!L32*(1+'Rent Roll Analysis'!$AB30/12))))</f>
        <v/>
      </c>
      <c r="N32" s="1428" t="str">
        <f>IF($B32="","",IF(N$4&gt;2,(M32*(1+'Rent Roll Analysis'!$AK30/12)), IF(AND('Monthly Cash Flow'!N$4&gt;1,'Monthly Cash Flow'!N$4&lt;=2),'Monthly Cash Flow'!M32*(1+'Rent Roll Analysis'!$AE30/12),'Monthly Cash Flow'!M32*(1+'Rent Roll Analysis'!$AB30/12))))</f>
        <v/>
      </c>
      <c r="O32" s="1428" t="str">
        <f>IF($B32="","",IF(O$4&gt;2,(N32*(1+'Rent Roll Analysis'!$AK30/12)), IF(AND('Monthly Cash Flow'!O$4&gt;1,'Monthly Cash Flow'!O$4&lt;=2),'Monthly Cash Flow'!N32*(1+'Rent Roll Analysis'!$AE30/12),'Monthly Cash Flow'!N32*(1+'Rent Roll Analysis'!$AB30/12))))</f>
        <v/>
      </c>
      <c r="P32" s="1428" t="str">
        <f>IF($B32="","",IF(P$4&gt;2,(O32*(1+'Rent Roll Analysis'!$AK30/12)), IF(AND('Monthly Cash Flow'!P$4&gt;1,'Monthly Cash Flow'!P$4&lt;=2),'Monthly Cash Flow'!O32*(1+'Rent Roll Analysis'!$AE30/12),'Monthly Cash Flow'!O32*(1+'Rent Roll Analysis'!$AB30/12))))</f>
        <v/>
      </c>
      <c r="Q32" s="1428" t="str">
        <f>IF($B32="","",IF(Q$4&gt;2,(P32*(1+'Rent Roll Analysis'!$AK30/12)), IF(AND('Monthly Cash Flow'!Q$4&gt;1,'Monthly Cash Flow'!Q$4&lt;=2),'Monthly Cash Flow'!P32*(1+'Rent Roll Analysis'!$AE30/12),'Monthly Cash Flow'!P32*(1+'Rent Roll Analysis'!$AB30/12))))</f>
        <v/>
      </c>
      <c r="R32" s="1428" t="str">
        <f>IF($B32="","",IF(R$4&gt;2,(Q32*(1+'Rent Roll Analysis'!$AK30/12)), IF(AND('Monthly Cash Flow'!R$4&gt;1,'Monthly Cash Flow'!R$4&lt;=2),'Monthly Cash Flow'!Q32*(1+'Rent Roll Analysis'!$AE30/12),'Monthly Cash Flow'!Q32*(1+'Rent Roll Analysis'!$AB30/12))))</f>
        <v/>
      </c>
      <c r="S32" s="1428" t="str">
        <f>IF($B32="","",IF(S$4&gt;2,(R32*(1+'Rent Roll Analysis'!$AK30/12)), IF(AND('Monthly Cash Flow'!S$4&gt;1,'Monthly Cash Flow'!S$4&lt;=2),'Monthly Cash Flow'!R32*(1+'Rent Roll Analysis'!$AE30/12),'Monthly Cash Flow'!R32*(1+'Rent Roll Analysis'!$AB30/12))))</f>
        <v/>
      </c>
      <c r="T32" s="1428" t="str">
        <f>IF($B32="","",IF(T$4&gt;2,(S32*(1+'Rent Roll Analysis'!$AK30/12)), IF(AND('Monthly Cash Flow'!T$4&gt;1,'Monthly Cash Flow'!T$4&lt;=2),'Monthly Cash Flow'!S32*(1+'Rent Roll Analysis'!$AE30/12),'Monthly Cash Flow'!S32*(1+'Rent Roll Analysis'!$AB30/12))))</f>
        <v/>
      </c>
      <c r="U32" s="1428" t="str">
        <f>IF($B32="","",IF(U$4&gt;2,(T32*(1+'Rent Roll Analysis'!$AK30/12)), IF(AND('Monthly Cash Flow'!U$4&gt;1,'Monthly Cash Flow'!U$4&lt;=2),'Monthly Cash Flow'!T32*(1+'Rent Roll Analysis'!$AE30/12),'Monthly Cash Flow'!T32*(1+'Rent Roll Analysis'!$AB30/12))))</f>
        <v/>
      </c>
      <c r="V32" s="1428" t="str">
        <f>IF($B32="","",IF(V$4&gt;2,(U32*(1+'Rent Roll Analysis'!$AK30/12)), IF(AND('Monthly Cash Flow'!V$4&gt;1,'Monthly Cash Flow'!V$4&lt;=2),'Monthly Cash Flow'!U32*(1+'Rent Roll Analysis'!$AE30/12),'Monthly Cash Flow'!U32*(1+'Rent Roll Analysis'!$AB30/12))))</f>
        <v/>
      </c>
      <c r="W32" s="1428" t="str">
        <f>IF($B32="","",IF(W$4&gt;2,(V32*(1+'Rent Roll Analysis'!$AK30/12)), IF(AND('Monthly Cash Flow'!W$4&gt;1,'Monthly Cash Flow'!W$4&lt;=2),'Monthly Cash Flow'!V32*(1+'Rent Roll Analysis'!$AE30/12),'Monthly Cash Flow'!V32*(1+'Rent Roll Analysis'!$AB30/12))))</f>
        <v/>
      </c>
      <c r="X32" s="1428" t="str">
        <f>IF($B32="","",IF(X$4&gt;2,(W32*(1+'Rent Roll Analysis'!$AK30/12)), IF(AND('Monthly Cash Flow'!X$4&gt;1,'Monthly Cash Flow'!X$4&lt;=2),'Monthly Cash Flow'!W32*(1+'Rent Roll Analysis'!$AE30/12),'Monthly Cash Flow'!W32*(1+'Rent Roll Analysis'!$AB30/12))))</f>
        <v/>
      </c>
      <c r="Y32" s="1428" t="str">
        <f>IF($B32="","",IF(Y$4&gt;2,(X32*(1+'Rent Roll Analysis'!$AK30/12)), IF(AND('Monthly Cash Flow'!Y$4&gt;1,'Monthly Cash Flow'!Y$4&lt;=2),'Monthly Cash Flow'!X32*(1+'Rent Roll Analysis'!$AE30/12),'Monthly Cash Flow'!X32*(1+'Rent Roll Analysis'!$AB30/12))))</f>
        <v/>
      </c>
      <c r="Z32" s="1428" t="str">
        <f>IF($B32="","",IF(Z$4&gt;2,(Y32*(1+'Rent Roll Analysis'!$AK30/12)), IF(AND('Monthly Cash Flow'!Z$4&gt;1,'Monthly Cash Flow'!Z$4&lt;=2),'Monthly Cash Flow'!Y32*(1+'Rent Roll Analysis'!$AE30/12),'Monthly Cash Flow'!Y32*(1+'Rent Roll Analysis'!$AB30/12))))</f>
        <v/>
      </c>
      <c r="AA32" s="1428" t="str">
        <f>IF($B32="","",IF(AA$4&gt;2,(Z32*(1+'Rent Roll Analysis'!$AK30/12)), IF(AND('Monthly Cash Flow'!AA$4&gt;1,'Monthly Cash Flow'!AA$4&lt;=2),'Monthly Cash Flow'!Z32*(1+'Rent Roll Analysis'!$AE30/12),'Monthly Cash Flow'!Z32*(1+'Rent Roll Analysis'!$AB30/12))))</f>
        <v/>
      </c>
      <c r="AB32" s="1428" t="str">
        <f>IF($B32="","",IF(AB$4&gt;2,(AA32*(1+'Rent Roll Analysis'!$AK30/12)), IF(AND('Monthly Cash Flow'!AB$4&gt;1,'Monthly Cash Flow'!AB$4&lt;=2),'Monthly Cash Flow'!AA32*(1+'Rent Roll Analysis'!$AE30/12),'Monthly Cash Flow'!AA32*(1+'Rent Roll Analysis'!$AB30/12))))</f>
        <v/>
      </c>
      <c r="AC32" s="1428" t="str">
        <f>IF($B32="","",IF(AC$4&gt;2,(AB32*(1+'Rent Roll Analysis'!$AK30/12)), IF(AND('Monthly Cash Flow'!AC$4&gt;1,'Monthly Cash Flow'!AC$4&lt;=2),'Monthly Cash Flow'!AB32*(1+'Rent Roll Analysis'!$AE30/12),'Monthly Cash Flow'!AB32*(1+'Rent Roll Analysis'!$AB30/12))))</f>
        <v/>
      </c>
      <c r="AD32" s="1428" t="str">
        <f>IF($B32="","",IF(AD$4&gt;2,(AC32*(1+'Rent Roll Analysis'!$AK30/12)), IF(AND('Monthly Cash Flow'!AD$4&gt;1,'Monthly Cash Flow'!AD$4&lt;=2),'Monthly Cash Flow'!AC32*(1+'Rent Roll Analysis'!$AE30/12),'Monthly Cash Flow'!AC32*(1+'Rent Roll Analysis'!$AB30/12))))</f>
        <v/>
      </c>
      <c r="AE32" s="1428" t="str">
        <f>IF($B32="","",IF(AE$4&gt;2,(AD32*(1+'Rent Roll Analysis'!$AK30/12)), IF(AND('Monthly Cash Flow'!AE$4&gt;1,'Monthly Cash Flow'!AE$4&lt;=2),'Monthly Cash Flow'!AD32*(1+'Rent Roll Analysis'!$AE30/12),'Monthly Cash Flow'!AD32*(1+'Rent Roll Analysis'!$AB30/12))))</f>
        <v/>
      </c>
      <c r="AF32" s="1428" t="str">
        <f>IF($B32="","",IF(AF$4&gt;2,(AE32*(1+'Rent Roll Analysis'!$AK30/12)), IF(AND('Monthly Cash Flow'!AF$4&gt;1,'Monthly Cash Flow'!AF$4&lt;=2),'Monthly Cash Flow'!AE32*(1+'Rent Roll Analysis'!$AE30/12),'Monthly Cash Flow'!AE32*(1+'Rent Roll Analysis'!$AB30/12))))</f>
        <v/>
      </c>
      <c r="AG32" s="1428" t="str">
        <f>IF($B32="","",IF(AG$4&gt;2,(AF32*(1+'Rent Roll Analysis'!$AK30/12)), IF(AND('Monthly Cash Flow'!AG$4&gt;1,'Monthly Cash Flow'!AG$4&lt;=2),'Monthly Cash Flow'!AF32*(1+'Rent Roll Analysis'!$AE30/12),'Monthly Cash Flow'!AF32*(1+'Rent Roll Analysis'!$AB30/12))))</f>
        <v/>
      </c>
      <c r="AH32" s="1428" t="str">
        <f>IF($B32="","",IF(AH$4&gt;2,(AG32*(1+'Rent Roll Analysis'!$AK30/12)), IF(AND('Monthly Cash Flow'!AH$4&gt;1,'Monthly Cash Flow'!AH$4&lt;=2),'Monthly Cash Flow'!AG32*(1+'Rent Roll Analysis'!$AE30/12),'Monthly Cash Flow'!AG32*(1+'Rent Roll Analysis'!$AB30/12))))</f>
        <v/>
      </c>
      <c r="AI32" s="1428" t="str">
        <f>IF($B32="","",IF(AI$4&gt;2,(AH32*(1+'Rent Roll Analysis'!$AK30/12)), IF(AND('Monthly Cash Flow'!AI$4&gt;1,'Monthly Cash Flow'!AI$4&lt;=2),'Monthly Cash Flow'!AH32*(1+'Rent Roll Analysis'!$AE30/12),'Monthly Cash Flow'!AH32*(1+'Rent Roll Analysis'!$AB30/12))))</f>
        <v/>
      </c>
      <c r="AJ32" s="1428" t="str">
        <f>IF($B32="","",IF(AJ$4&gt;2,(AI32*(1+'Rent Roll Analysis'!$AK30/12)), IF(AND('Monthly Cash Flow'!AJ$4&gt;1,'Monthly Cash Flow'!AJ$4&lt;=2),'Monthly Cash Flow'!AI32*(1+'Rent Roll Analysis'!$AE30/12),'Monthly Cash Flow'!AI32*(1+'Rent Roll Analysis'!$AB30/12))))</f>
        <v/>
      </c>
      <c r="AK32" s="1428" t="str">
        <f>IF($B32="","",IF(AK$4&gt;2,(AJ32*(1+'Rent Roll Analysis'!$AK30/12)), IF(AND('Monthly Cash Flow'!AK$4&gt;1,'Monthly Cash Flow'!AK$4&lt;=2),'Monthly Cash Flow'!AJ32*(1+'Rent Roll Analysis'!$AE30/12),'Monthly Cash Flow'!AJ32*(1+'Rent Roll Analysis'!$AB30/12))))</f>
        <v/>
      </c>
      <c r="AL32" s="1428" t="str">
        <f>IF($B32="","",IF(AL$4&gt;2,(AK32*(1+'Rent Roll Analysis'!$AK30/12)), IF(AND('Monthly Cash Flow'!AL$4&gt;1,'Monthly Cash Flow'!AL$4&lt;=2),'Monthly Cash Flow'!AK32*(1+'Rent Roll Analysis'!$AE30/12),'Monthly Cash Flow'!AK32*(1+'Rent Roll Analysis'!$AB30/12))))</f>
        <v/>
      </c>
      <c r="AM32" s="1428" t="str">
        <f>IF($B32="","",IF(AM$4&gt;2,(AL32*(1+'Rent Roll Analysis'!$AK30/12)), IF(AND('Monthly Cash Flow'!AM$4&gt;1,'Monthly Cash Flow'!AM$4&lt;=2),'Monthly Cash Flow'!AL32*(1+'Rent Roll Analysis'!$AE30/12),'Monthly Cash Flow'!AL32*(1+'Rent Roll Analysis'!$AB30/12))))</f>
        <v/>
      </c>
      <c r="AN32" s="1428" t="str">
        <f>IF($B32="","",IF(AN$4&gt;2,(AM32*(1+'Rent Roll Analysis'!$AK30/12)), IF(AND('Monthly Cash Flow'!AN$4&gt;1,'Monthly Cash Flow'!AN$4&lt;=2),'Monthly Cash Flow'!AM32*(1+'Rent Roll Analysis'!$AE30/12),'Monthly Cash Flow'!AM32*(1+'Rent Roll Analysis'!$AB30/12))))</f>
        <v/>
      </c>
      <c r="AO32" s="1428" t="str">
        <f>IF($B32="","",IF(AO$4&gt;2,(AN32*(1+'Rent Roll Analysis'!$AK30/12)), IF(AND('Monthly Cash Flow'!AO$4&gt;1,'Monthly Cash Flow'!AO$4&lt;=2),'Monthly Cash Flow'!AN32*(1+'Rent Roll Analysis'!$AE30/12),'Monthly Cash Flow'!AN32*(1+'Rent Roll Analysis'!$AB30/12))))</f>
        <v/>
      </c>
      <c r="AP32" s="1428" t="str">
        <f>IF($B32="","",IF(AP$4&gt;2,(AO32*(1+'Rent Roll Analysis'!$AK30/12)), IF(AND('Monthly Cash Flow'!AP$4&gt;1,'Monthly Cash Flow'!AP$4&lt;=2),'Monthly Cash Flow'!AO32*(1+'Rent Roll Analysis'!$AE30/12),'Monthly Cash Flow'!AO32*(1+'Rent Roll Analysis'!$AB30/12))))</f>
        <v/>
      </c>
      <c r="AQ32" s="1428" t="str">
        <f>IF($B32="","",IF(AQ$4&gt;2,(AP32*(1+'Rent Roll Analysis'!$AK30/12)), IF(AND('Monthly Cash Flow'!AQ$4&gt;1,'Monthly Cash Flow'!AQ$4&lt;=2),'Monthly Cash Flow'!AP32*(1+'Rent Roll Analysis'!$AE30/12),'Monthly Cash Flow'!AP32*(1+'Rent Roll Analysis'!$AB30/12))))</f>
        <v/>
      </c>
      <c r="AR32" s="1428" t="str">
        <f>IF($B32="","",IF(AR$4&gt;2,(AQ32*(1+'Rent Roll Analysis'!$AK30/12)), IF(AND('Monthly Cash Flow'!AR$4&gt;1,'Monthly Cash Flow'!AR$4&lt;=2),'Monthly Cash Flow'!AQ32*(1+'Rent Roll Analysis'!$AE30/12),'Monthly Cash Flow'!AQ32*(1+'Rent Roll Analysis'!$AB30/12))))</f>
        <v/>
      </c>
      <c r="AS32" s="1428" t="str">
        <f>IF($B32="","",IF(AS$4&gt;2,(AR32*(1+'Rent Roll Analysis'!$AK30/12)), IF(AND('Monthly Cash Flow'!AS$4&gt;1,'Monthly Cash Flow'!AS$4&lt;=2),'Monthly Cash Flow'!AR32*(1+'Rent Roll Analysis'!$AE30/12),'Monthly Cash Flow'!AR32*(1+'Rent Roll Analysis'!$AB30/12))))</f>
        <v/>
      </c>
      <c r="AT32" s="1428" t="str">
        <f>IF($B32="","",IF(AT$4&gt;2,(AS32*(1+'Rent Roll Analysis'!$AK30/12)), IF(AND('Monthly Cash Flow'!AT$4&gt;1,'Monthly Cash Flow'!AT$4&lt;=2),'Monthly Cash Flow'!AS32*(1+'Rent Roll Analysis'!$AE30/12),'Monthly Cash Flow'!AS32*(1+'Rent Roll Analysis'!$AB30/12))))</f>
        <v/>
      </c>
      <c r="AU32" s="1428" t="str">
        <f>IF($B32="","",IF(AU$4&gt;2,(AT32*(1+'Rent Roll Analysis'!$AK30/12)), IF(AND('Monthly Cash Flow'!AU$4&gt;1,'Monthly Cash Flow'!AU$4&lt;=2),'Monthly Cash Flow'!AT32*(1+'Rent Roll Analysis'!$AE30/12),'Monthly Cash Flow'!AT32*(1+'Rent Roll Analysis'!$AB30/12))))</f>
        <v/>
      </c>
      <c r="AV32" s="1428" t="str">
        <f>IF($B32="","",IF(AV$4&gt;2,(AU32*(1+'Rent Roll Analysis'!$AK30/12)), IF(AND('Monthly Cash Flow'!AV$4&gt;1,'Monthly Cash Flow'!AV$4&lt;=2),'Monthly Cash Flow'!AU32*(1+'Rent Roll Analysis'!$AE30/12),'Monthly Cash Flow'!AU32*(1+'Rent Roll Analysis'!$AB30/12))))</f>
        <v/>
      </c>
      <c r="AW32" s="1428" t="str">
        <f>IF($B32="","",IF(AW$4&gt;2,(AV32*(1+'Rent Roll Analysis'!$AK30/12)), IF(AND('Monthly Cash Flow'!AW$4&gt;1,'Monthly Cash Flow'!AW$4&lt;=2),'Monthly Cash Flow'!AV32*(1+'Rent Roll Analysis'!$AE30/12),'Monthly Cash Flow'!AV32*(1+'Rent Roll Analysis'!$AB30/12))))</f>
        <v/>
      </c>
      <c r="AX32" s="1428" t="str">
        <f>IF($B32="","",IF(AX$4&gt;2,(AW32*(1+'Rent Roll Analysis'!$AK30/12)), IF(AND('Monthly Cash Flow'!AX$4&gt;1,'Monthly Cash Flow'!AX$4&lt;=2),'Monthly Cash Flow'!AW32*(1+'Rent Roll Analysis'!$AE30/12),'Monthly Cash Flow'!AW32*(1+'Rent Roll Analysis'!$AB30/12))))</f>
        <v/>
      </c>
      <c r="AY32" s="1428" t="str">
        <f>IF($B32="","",IF(AY$4&gt;2,(AX32*(1+'Rent Roll Analysis'!$AK30/12)), IF(AND('Monthly Cash Flow'!AY$4&gt;1,'Monthly Cash Flow'!AY$4&lt;=2),'Monthly Cash Flow'!AX32*(1+'Rent Roll Analysis'!$AE30/12),'Monthly Cash Flow'!AX32*(1+'Rent Roll Analysis'!$AB30/12))))</f>
        <v/>
      </c>
      <c r="AZ32" s="1428" t="str">
        <f>IF($B32="","",IF(AZ$4&gt;2,(AY32*(1+'Rent Roll Analysis'!$AK30/12)), IF(AND('Monthly Cash Flow'!AZ$4&gt;1,'Monthly Cash Flow'!AZ$4&lt;=2),'Monthly Cash Flow'!AY32*(1+'Rent Roll Analysis'!$AE30/12),'Monthly Cash Flow'!AY32*(1+'Rent Roll Analysis'!$AB30/12))))</f>
        <v/>
      </c>
      <c r="BA32" s="1428" t="str">
        <f>IF($B32="","",IF(BA$4&gt;2,(AZ32*(1+'Rent Roll Analysis'!$AK30/12)), IF(AND('Monthly Cash Flow'!BA$4&gt;1,'Monthly Cash Flow'!BA$4&lt;=2),'Monthly Cash Flow'!AZ32*(1+'Rent Roll Analysis'!$AE30/12),'Monthly Cash Flow'!AZ32*(1+'Rent Roll Analysis'!$AB30/12))))</f>
        <v/>
      </c>
      <c r="BB32" s="1428" t="str">
        <f>IF($B32="","",IF(BB$4&gt;2,(BA32*(1+'Rent Roll Analysis'!$AK30/12)), IF(AND('Monthly Cash Flow'!BB$4&gt;1,'Monthly Cash Flow'!BB$4&lt;=2),'Monthly Cash Flow'!BA32*(1+'Rent Roll Analysis'!$AE30/12),'Monthly Cash Flow'!BA32*(1+'Rent Roll Analysis'!$AB30/12))))</f>
        <v/>
      </c>
      <c r="BC32" s="1428" t="str">
        <f>IF($B32="","",IF(BC$4&gt;2,(BB32*(1+'Rent Roll Analysis'!$AK30/12)), IF(AND('Monthly Cash Flow'!BC$4&gt;1,'Monthly Cash Flow'!BC$4&lt;=2),'Monthly Cash Flow'!BB32*(1+'Rent Roll Analysis'!$AE30/12),'Monthly Cash Flow'!BB32*(1+'Rent Roll Analysis'!$AB30/12))))</f>
        <v/>
      </c>
      <c r="BD32" s="1428" t="str">
        <f>IF($B32="","",IF(BD$4&gt;2,(BC32*(1+'Rent Roll Analysis'!$AK30/12)), IF(AND('Monthly Cash Flow'!BD$4&gt;1,'Monthly Cash Flow'!BD$4&lt;=2),'Monthly Cash Flow'!BC32*(1+'Rent Roll Analysis'!$AE30/12),'Monthly Cash Flow'!BC32*(1+'Rent Roll Analysis'!$AB30/12))))</f>
        <v/>
      </c>
      <c r="BE32" s="1428" t="str">
        <f>IF($B32="","",IF(BE$4&gt;2,(BD32*(1+'Rent Roll Analysis'!$AK30/12)), IF(AND('Monthly Cash Flow'!BE$4&gt;1,'Monthly Cash Flow'!BE$4&lt;=2),'Monthly Cash Flow'!BD32*(1+'Rent Roll Analysis'!$AE30/12),'Monthly Cash Flow'!BD32*(1+'Rent Roll Analysis'!$AB30/12))))</f>
        <v/>
      </c>
      <c r="BF32" s="1428" t="str">
        <f>IF($B32="","",IF(BF$4&gt;2,(BE32*(1+'Rent Roll Analysis'!$AK30/12)), IF(AND('Monthly Cash Flow'!BF$4&gt;1,'Monthly Cash Flow'!BF$4&lt;=2),'Monthly Cash Flow'!BE32*(1+'Rent Roll Analysis'!$AE30/12),'Monthly Cash Flow'!BE32*(1+'Rent Roll Analysis'!$AB30/12))))</f>
        <v/>
      </c>
      <c r="BG32" s="1428" t="str">
        <f>IF($B32="","",IF(BG$4&gt;2,(BF32*(1+'Rent Roll Analysis'!$AK30/12)), IF(AND('Monthly Cash Flow'!BG$4&gt;1,'Monthly Cash Flow'!BG$4&lt;=2),'Monthly Cash Flow'!BF32*(1+'Rent Roll Analysis'!$AE30/12),'Monthly Cash Flow'!BF32*(1+'Rent Roll Analysis'!$AB30/12))))</f>
        <v/>
      </c>
      <c r="BH32" s="1428" t="str">
        <f>IF($B32="","",IF(BH$4&gt;2,(BG32*(1+'Rent Roll Analysis'!$AK30/12)), IF(AND('Monthly Cash Flow'!BH$4&gt;1,'Monthly Cash Flow'!BH$4&lt;=2),'Monthly Cash Flow'!BG32*(1+'Rent Roll Analysis'!$AE30/12),'Monthly Cash Flow'!BG32*(1+'Rent Roll Analysis'!$AB30/12))))</f>
        <v/>
      </c>
      <c r="BI32" s="1428" t="str">
        <f>IF($B32="","",IF(BI$4&gt;2,(BH32*(1+'Rent Roll Analysis'!$AK30/12)), IF(AND('Monthly Cash Flow'!BI$4&gt;1,'Monthly Cash Flow'!BI$4&lt;=2),'Monthly Cash Flow'!BH32*(1+'Rent Roll Analysis'!$AE30/12),'Monthly Cash Flow'!BH32*(1+'Rent Roll Analysis'!$AB30/12))))</f>
        <v/>
      </c>
      <c r="BJ32" s="1428" t="str">
        <f>IF($B32="","",IF(BJ$4&gt;2,(BI32*(1+'Rent Roll Analysis'!$AK30/12)), IF(AND('Monthly Cash Flow'!BJ$4&gt;1,'Monthly Cash Flow'!BJ$4&lt;=2),'Monthly Cash Flow'!BI32*(1+'Rent Roll Analysis'!$AE30/12),'Monthly Cash Flow'!BI32*(1+'Rent Roll Analysis'!$AB30/12))))</f>
        <v/>
      </c>
      <c r="BK32" s="1428" t="str">
        <f>IF($B32="","",IF(BK$4&gt;2,(BJ32*(1+'Rent Roll Analysis'!$AK30/12)), IF(AND('Monthly Cash Flow'!BK$4&gt;1,'Monthly Cash Flow'!BK$4&lt;=2),'Monthly Cash Flow'!BJ32*(1+'Rent Roll Analysis'!$AE30/12),'Monthly Cash Flow'!BJ32*(1+'Rent Roll Analysis'!$AB30/12))))</f>
        <v/>
      </c>
      <c r="BL32" s="1428" t="str">
        <f>IF($B32="","",IF(BL$4&gt;2,(BK32*(1+'Rent Roll Analysis'!$AK30/12)), IF(AND('Monthly Cash Flow'!BL$4&gt;1,'Monthly Cash Flow'!BL$4&lt;=2),'Monthly Cash Flow'!BK32*(1+'Rent Roll Analysis'!$AE30/12),'Monthly Cash Flow'!BK32*(1+'Rent Roll Analysis'!$AB30/12))))</f>
        <v/>
      </c>
      <c r="BM32" s="1428" t="str">
        <f>IF($B32="","",IF(BM$4&gt;2,(BL32*(1+'Rent Roll Analysis'!$AK30/12)), IF(AND('Monthly Cash Flow'!BM$4&gt;1,'Monthly Cash Flow'!BM$4&lt;=2),'Monthly Cash Flow'!BL32*(1+'Rent Roll Analysis'!$AE30/12),'Monthly Cash Flow'!BL32*(1+'Rent Roll Analysis'!$AB30/12))))</f>
        <v/>
      </c>
      <c r="BN32" s="1428" t="str">
        <f>IF($B32="","",IF(BN$4&gt;2,(BM32*(1+'Rent Roll Analysis'!$AK30/12)), IF(AND('Monthly Cash Flow'!BN$4&gt;1,'Monthly Cash Flow'!BN$4&lt;=2),'Monthly Cash Flow'!BM32*(1+'Rent Roll Analysis'!$AE30/12),'Monthly Cash Flow'!BM32*(1+'Rent Roll Analysis'!$AB30/12))))</f>
        <v/>
      </c>
      <c r="BO32" s="1428" t="str">
        <f>IF($B32="","",IF(BO$4&gt;2,(BN32*(1+'Rent Roll Analysis'!$AK30/12)), IF(AND('Monthly Cash Flow'!BO$4&gt;1,'Monthly Cash Flow'!BO$4&lt;=2),'Monthly Cash Flow'!BN32*(1+'Rent Roll Analysis'!$AE30/12),'Monthly Cash Flow'!BN32*(1+'Rent Roll Analysis'!$AB30/12))))</f>
        <v/>
      </c>
      <c r="BP32" s="1428" t="str">
        <f>IF($B32="","",IF(BP$4&gt;2,(BO32*(1+'Rent Roll Analysis'!$AK30/12)), IF(AND('Monthly Cash Flow'!BP$4&gt;1,'Monthly Cash Flow'!BP$4&lt;=2),'Monthly Cash Flow'!BO32*(1+'Rent Roll Analysis'!$AE30/12),'Monthly Cash Flow'!BO32*(1+'Rent Roll Analysis'!$AB30/12))))</f>
        <v/>
      </c>
      <c r="BQ32" s="1428" t="str">
        <f>IF($B32="","",IF(BQ$4&gt;2,(BP32*(1+'Rent Roll Analysis'!$AK30/12)), IF(AND('Monthly Cash Flow'!BQ$4&gt;1,'Monthly Cash Flow'!BQ$4&lt;=2),'Monthly Cash Flow'!BP32*(1+'Rent Roll Analysis'!$AE30/12),'Monthly Cash Flow'!BP32*(1+'Rent Roll Analysis'!$AB30/12))))</f>
        <v/>
      </c>
      <c r="BR32" s="1428" t="str">
        <f>IF($B32="","",IF(BR$4&gt;2,(BQ32*(1+'Rent Roll Analysis'!$AK30/12)), IF(AND('Monthly Cash Flow'!BR$4&gt;1,'Monthly Cash Flow'!BR$4&lt;=2),'Monthly Cash Flow'!BQ32*(1+'Rent Roll Analysis'!$AE30/12),'Monthly Cash Flow'!BQ32*(1+'Rent Roll Analysis'!$AB30/12))))</f>
        <v/>
      </c>
      <c r="BS32" s="1428" t="str">
        <f>IF($B32="","",IF(BS$4&gt;2,(BR32*(1+'Rent Roll Analysis'!$AK30/12)), IF(AND('Monthly Cash Flow'!BS$4&gt;1,'Monthly Cash Flow'!BS$4&lt;=2),'Monthly Cash Flow'!BR32*(1+'Rent Roll Analysis'!$AE30/12),'Monthly Cash Flow'!BR32*(1+'Rent Roll Analysis'!$AB30/12))))</f>
        <v/>
      </c>
      <c r="BT32" s="1428" t="str">
        <f>IF($B32="","",IF(BT$4&gt;2,(BS32*(1+'Rent Roll Analysis'!$AK30/12)), IF(AND('Monthly Cash Flow'!BT$4&gt;1,'Monthly Cash Flow'!BT$4&lt;=2),'Monthly Cash Flow'!BS32*(1+'Rent Roll Analysis'!$AE30/12),'Monthly Cash Flow'!BS32*(1+'Rent Roll Analysis'!$AB30/12))))</f>
        <v/>
      </c>
      <c r="BU32" s="1428" t="str">
        <f>IF($B32="","",IF(BU$4&gt;2,(BT32*(1+'Rent Roll Analysis'!$AK30/12)), IF(AND('Monthly Cash Flow'!BU$4&gt;1,'Monthly Cash Flow'!BU$4&lt;=2),'Monthly Cash Flow'!BT32*(1+'Rent Roll Analysis'!$AE30/12),'Monthly Cash Flow'!BT32*(1+'Rent Roll Analysis'!$AB30/12))))</f>
        <v/>
      </c>
      <c r="BV32" s="1428" t="str">
        <f>IF($B32="","",IF(BV$4&gt;2,(BU32*(1+'Rent Roll Analysis'!$AK30/12)), IF(AND('Monthly Cash Flow'!BV$4&gt;1,'Monthly Cash Flow'!BV$4&lt;=2),'Monthly Cash Flow'!BU32*(1+'Rent Roll Analysis'!$AE30/12),'Monthly Cash Flow'!BU32*(1+'Rent Roll Analysis'!$AB30/12))))</f>
        <v/>
      </c>
      <c r="BW32" s="1428" t="str">
        <f>IF($B32="","",IF(BW$4&gt;2,(BV32*(1+'Rent Roll Analysis'!$AK30/12)), IF(AND('Monthly Cash Flow'!BW$4&gt;1,'Monthly Cash Flow'!BW$4&lt;=2),'Monthly Cash Flow'!BV32*(1+'Rent Roll Analysis'!$AE30/12),'Monthly Cash Flow'!BV32*(1+'Rent Roll Analysis'!$AB30/12))))</f>
        <v/>
      </c>
      <c r="BX32" s="1428" t="str">
        <f>IF($B32="","",IF(BX$4&gt;2,(BW32*(1+'Rent Roll Analysis'!$AK30/12)), IF(AND('Monthly Cash Flow'!BX$4&gt;1,'Monthly Cash Flow'!BX$4&lt;=2),'Monthly Cash Flow'!BW32*(1+'Rent Roll Analysis'!$AE30/12),'Monthly Cash Flow'!BW32*(1+'Rent Roll Analysis'!$AB30/12))))</f>
        <v/>
      </c>
      <c r="BY32" s="1428" t="str">
        <f>IF($B32="","",IF(BY$4&gt;2,(BX32*(1+'Rent Roll Analysis'!$AK30/12)), IF(AND('Monthly Cash Flow'!BY$4&gt;1,'Monthly Cash Flow'!BY$4&lt;=2),'Monthly Cash Flow'!BX32*(1+'Rent Roll Analysis'!$AE30/12),'Monthly Cash Flow'!BX32*(1+'Rent Roll Analysis'!$AB30/12))))</f>
        <v/>
      </c>
      <c r="BZ32" s="1428" t="str">
        <f>IF($B32="","",IF(BZ$4&gt;2,(BY32*(1+'Rent Roll Analysis'!$AK30/12)), IF(AND('Monthly Cash Flow'!BZ$4&gt;1,'Monthly Cash Flow'!BZ$4&lt;=2),'Monthly Cash Flow'!BY32*(1+'Rent Roll Analysis'!$AE30/12),'Monthly Cash Flow'!BY32*(1+'Rent Roll Analysis'!$AB30/12))))</f>
        <v/>
      </c>
      <c r="CA32" s="1428" t="str">
        <f>IF($B32="","",IF(CA$4&gt;2,(BZ32*(1+'Rent Roll Analysis'!$AK30/12)), IF(AND('Monthly Cash Flow'!CA$4&gt;1,'Monthly Cash Flow'!CA$4&lt;=2),'Monthly Cash Flow'!BZ32*(1+'Rent Roll Analysis'!$AE30/12),'Monthly Cash Flow'!BZ32*(1+'Rent Roll Analysis'!$AB30/12))))</f>
        <v/>
      </c>
      <c r="CB32" s="1428" t="str">
        <f>IF($B32="","",IF(CB$4&gt;2,(CA32*(1+'Rent Roll Analysis'!$AK30/12)), IF(AND('Monthly Cash Flow'!CB$4&gt;1,'Monthly Cash Flow'!CB$4&lt;=2),'Monthly Cash Flow'!CA32*(1+'Rent Roll Analysis'!$AE30/12),'Monthly Cash Flow'!CA32*(1+'Rent Roll Analysis'!$AB30/12))))</f>
        <v/>
      </c>
      <c r="CC32" s="1428" t="str">
        <f>IF($B32="","",IF(CC$4&gt;2,(CB32*(1+'Rent Roll Analysis'!$AK30/12)), IF(AND('Monthly Cash Flow'!CC$4&gt;1,'Monthly Cash Flow'!CC$4&lt;=2),'Monthly Cash Flow'!CB32*(1+'Rent Roll Analysis'!$AE30/12),'Monthly Cash Flow'!CB32*(1+'Rent Roll Analysis'!$AB30/12))))</f>
        <v/>
      </c>
      <c r="CD32" s="1428" t="str">
        <f>IF($B32="","",IF(CD$4&gt;2,(CC32*(1+'Rent Roll Analysis'!$AK30/12)), IF(AND('Monthly Cash Flow'!CD$4&gt;1,'Monthly Cash Flow'!CD$4&lt;=2),'Monthly Cash Flow'!CC32*(1+'Rent Roll Analysis'!$AE30/12),'Monthly Cash Flow'!CC32*(1+'Rent Roll Analysis'!$AB30/12))))</f>
        <v/>
      </c>
      <c r="CE32" s="1428" t="str">
        <f>IF($B32="","",IF(CE$4&gt;2,(CD32*(1+'Rent Roll Analysis'!$AK30/12)), IF(AND('Monthly Cash Flow'!CE$4&gt;1,'Monthly Cash Flow'!CE$4&lt;=2),'Monthly Cash Flow'!CD32*(1+'Rent Roll Analysis'!$AE30/12),'Monthly Cash Flow'!CD32*(1+'Rent Roll Analysis'!$AB30/12))))</f>
        <v/>
      </c>
      <c r="CF32" s="1428" t="str">
        <f>IF($B32="","",IF(CF$4&gt;2,(CE32*(1+'Rent Roll Analysis'!$AK30/12)), IF(AND('Monthly Cash Flow'!CF$4&gt;1,'Monthly Cash Flow'!CF$4&lt;=2),'Monthly Cash Flow'!CE32*(1+'Rent Roll Analysis'!$AE30/12),'Monthly Cash Flow'!CE32*(1+'Rent Roll Analysis'!$AB30/12))))</f>
        <v/>
      </c>
      <c r="CG32" s="1428" t="str">
        <f>IF($B32="","",IF(CG$4&gt;2,(CF32*(1+'Rent Roll Analysis'!$AK30/12)), IF(AND('Monthly Cash Flow'!CG$4&gt;1,'Monthly Cash Flow'!CG$4&lt;=2),'Monthly Cash Flow'!CF32*(1+'Rent Roll Analysis'!$AE30/12),'Monthly Cash Flow'!CF32*(1+'Rent Roll Analysis'!$AB30/12))))</f>
        <v/>
      </c>
      <c r="CH32" s="1428" t="str">
        <f>IF($B32="","",IF(CH$4&gt;2,(CG32*(1+'Rent Roll Analysis'!$AK30/12)), IF(AND('Monthly Cash Flow'!CH$4&gt;1,'Monthly Cash Flow'!CH$4&lt;=2),'Monthly Cash Flow'!CG32*(1+'Rent Roll Analysis'!$AE30/12),'Monthly Cash Flow'!CG32*(1+'Rent Roll Analysis'!$AB30/12))))</f>
        <v/>
      </c>
      <c r="CI32" s="1428" t="str">
        <f>IF($B32="","",IF(CI$4&gt;2,(CH32*(1+'Rent Roll Analysis'!$AK30/12)), IF(AND('Monthly Cash Flow'!CI$4&gt;1,'Monthly Cash Flow'!CI$4&lt;=2),'Monthly Cash Flow'!CH32*(1+'Rent Roll Analysis'!$AE30/12),'Monthly Cash Flow'!CH32*(1+'Rent Roll Analysis'!$AB30/12))))</f>
        <v/>
      </c>
      <c r="CJ32" s="1428" t="str">
        <f>IF($B32="","",IF(CJ$4&gt;2,(CI32*(1+'Rent Roll Analysis'!$AK30/12)), IF(AND('Monthly Cash Flow'!CJ$4&gt;1,'Monthly Cash Flow'!CJ$4&lt;=2),'Monthly Cash Flow'!CI32*(1+'Rent Roll Analysis'!$AE30/12),'Monthly Cash Flow'!CI32*(1+'Rent Roll Analysis'!$AB30/12))))</f>
        <v/>
      </c>
      <c r="CK32" s="1428" t="str">
        <f>IF($B32="","",IF(CK$4&gt;2,(CJ32*(1+'Rent Roll Analysis'!$AK30/12)), IF(AND('Monthly Cash Flow'!CK$4&gt;1,'Monthly Cash Flow'!CK$4&lt;=2),'Monthly Cash Flow'!CJ32*(1+'Rent Roll Analysis'!$AE30/12),'Monthly Cash Flow'!CJ32*(1+'Rent Roll Analysis'!$AB30/12))))</f>
        <v/>
      </c>
      <c r="CL32" s="1428" t="str">
        <f>IF($B32="","",IF(CL$4&gt;2,(CK32*(1+'Rent Roll Analysis'!$AK30/12)), IF(AND('Monthly Cash Flow'!CL$4&gt;1,'Monthly Cash Flow'!CL$4&lt;=2),'Monthly Cash Flow'!CK32*(1+'Rent Roll Analysis'!$AE30/12),'Monthly Cash Flow'!CK32*(1+'Rent Roll Analysis'!$AB30/12))))</f>
        <v/>
      </c>
      <c r="CM32" s="1428" t="str">
        <f>IF($B32="","",IF(CM$4&gt;2,(CL32*(1+'Rent Roll Analysis'!$AK30/12)), IF(AND('Monthly Cash Flow'!CM$4&gt;1,'Monthly Cash Flow'!CM$4&lt;=2),'Monthly Cash Flow'!CL32*(1+'Rent Roll Analysis'!$AE30/12),'Monthly Cash Flow'!CL32*(1+'Rent Roll Analysis'!$AB30/12))))</f>
        <v/>
      </c>
      <c r="CN32" s="1428" t="str">
        <f>IF($B32="","",IF(CN$4&gt;2,(CM32*(1+'Rent Roll Analysis'!$AK30/12)), IF(AND('Monthly Cash Flow'!CN$4&gt;1,'Monthly Cash Flow'!CN$4&lt;=2),'Monthly Cash Flow'!CM32*(1+'Rent Roll Analysis'!$AE30/12),'Monthly Cash Flow'!CM32*(1+'Rent Roll Analysis'!$AB30/12))))</f>
        <v/>
      </c>
      <c r="CO32" s="1428" t="str">
        <f>IF($B32="","",IF(CO$4&gt;2,(CN32*(1+'Rent Roll Analysis'!$AK30/12)), IF(AND('Monthly Cash Flow'!CO$4&gt;1,'Monthly Cash Flow'!CO$4&lt;=2),'Monthly Cash Flow'!CN32*(1+'Rent Roll Analysis'!$AE30/12),'Monthly Cash Flow'!CN32*(1+'Rent Roll Analysis'!$AB30/12))))</f>
        <v/>
      </c>
      <c r="CP32" s="1428" t="str">
        <f>IF($B32="","",IF(CP$4&gt;2,(CO32*(1+'Rent Roll Analysis'!$AK30/12)), IF(AND('Monthly Cash Flow'!CP$4&gt;1,'Monthly Cash Flow'!CP$4&lt;=2),'Monthly Cash Flow'!CO32*(1+'Rent Roll Analysis'!$AE30/12),'Monthly Cash Flow'!CO32*(1+'Rent Roll Analysis'!$AB30/12))))</f>
        <v/>
      </c>
      <c r="CQ32" s="1428" t="str">
        <f>IF($B32="","",IF(CQ$4&gt;2,(CP32*(1+'Rent Roll Analysis'!$AK30/12)), IF(AND('Monthly Cash Flow'!CQ$4&gt;1,'Monthly Cash Flow'!CQ$4&lt;=2),'Monthly Cash Flow'!CP32*(1+'Rent Roll Analysis'!$AE30/12),'Monthly Cash Flow'!CP32*(1+'Rent Roll Analysis'!$AB30/12))))</f>
        <v/>
      </c>
      <c r="CR32" s="1428" t="str">
        <f>IF($B32="","",IF(CR$4&gt;2,(CQ32*(1+'Rent Roll Analysis'!$AK30/12)), IF(AND('Monthly Cash Flow'!CR$4&gt;1,'Monthly Cash Flow'!CR$4&lt;=2),'Monthly Cash Flow'!CQ32*(1+'Rent Roll Analysis'!$AE30/12),'Monthly Cash Flow'!CQ32*(1+'Rent Roll Analysis'!$AB30/12))))</f>
        <v/>
      </c>
      <c r="CS32" s="1428" t="str">
        <f>IF($B32="","",IF(CS$4&gt;2,(CR32*(1+'Rent Roll Analysis'!$AK30/12)), IF(AND('Monthly Cash Flow'!CS$4&gt;1,'Monthly Cash Flow'!CS$4&lt;=2),'Monthly Cash Flow'!CR32*(1+'Rent Roll Analysis'!$AE30/12),'Monthly Cash Flow'!CR32*(1+'Rent Roll Analysis'!$AB30/12))))</f>
        <v/>
      </c>
      <c r="CT32" s="1428" t="str">
        <f>IF($B32="","",IF(CT$4&gt;2,(CS32*(1+'Rent Roll Analysis'!$AK30/12)), IF(AND('Monthly Cash Flow'!CT$4&gt;1,'Monthly Cash Flow'!CT$4&lt;=2),'Monthly Cash Flow'!CS32*(1+'Rent Roll Analysis'!$AE30/12),'Monthly Cash Flow'!CS32*(1+'Rent Roll Analysis'!$AB30/12))))</f>
        <v/>
      </c>
      <c r="CU32" s="1428" t="str">
        <f>IF($B32="","",IF(CU$4&gt;2,(CT32*(1+'Rent Roll Analysis'!$AK30/12)), IF(AND('Monthly Cash Flow'!CU$4&gt;1,'Monthly Cash Flow'!CU$4&lt;=2),'Monthly Cash Flow'!CT32*(1+'Rent Roll Analysis'!$AE30/12),'Monthly Cash Flow'!CT32*(1+'Rent Roll Analysis'!$AB30/12))))</f>
        <v/>
      </c>
      <c r="CV32" s="1428" t="str">
        <f>IF($B32="","",IF(CV$4&gt;2,(CU32*(1+'Rent Roll Analysis'!$AK30/12)), IF(AND('Monthly Cash Flow'!CV$4&gt;1,'Monthly Cash Flow'!CV$4&lt;=2),'Monthly Cash Flow'!CU32*(1+'Rent Roll Analysis'!$AE30/12),'Monthly Cash Flow'!CU32*(1+'Rent Roll Analysis'!$AB30/12))))</f>
        <v/>
      </c>
      <c r="CW32" s="1428" t="str">
        <f>IF($B32="","",IF(CW$4&gt;2,(CV32*(1+'Rent Roll Analysis'!$AK30/12)), IF(AND('Monthly Cash Flow'!CW$4&gt;1,'Monthly Cash Flow'!CW$4&lt;=2),'Monthly Cash Flow'!CV32*(1+'Rent Roll Analysis'!$AE30/12),'Monthly Cash Flow'!CV32*(1+'Rent Roll Analysis'!$AB30/12))))</f>
        <v/>
      </c>
      <c r="CX32" s="1428" t="str">
        <f>IF($B32="","",IF(CX$4&gt;2,(CW32*(1+'Rent Roll Analysis'!$AK30/12)), IF(AND('Monthly Cash Flow'!CX$4&gt;1,'Monthly Cash Flow'!CX$4&lt;=2),'Monthly Cash Flow'!CW32*(1+'Rent Roll Analysis'!$AE30/12),'Monthly Cash Flow'!CW32*(1+'Rent Roll Analysis'!$AB30/12))))</f>
        <v/>
      </c>
      <c r="CY32" s="1428" t="str">
        <f>IF($B32="","",IF(CY$4&gt;2,(CX32*(1+'Rent Roll Analysis'!$AK30/12)), IF(AND('Monthly Cash Flow'!CY$4&gt;1,'Monthly Cash Flow'!CY$4&lt;=2),'Monthly Cash Flow'!CX32*(1+'Rent Roll Analysis'!$AE30/12),'Monthly Cash Flow'!CX32*(1+'Rent Roll Analysis'!$AB30/12))))</f>
        <v/>
      </c>
      <c r="CZ32" s="1428" t="str">
        <f>IF($B32="","",IF(CZ$4&gt;2,(CY32*(1+'Rent Roll Analysis'!$AK30/12)), IF(AND('Monthly Cash Flow'!CZ$4&gt;1,'Monthly Cash Flow'!CZ$4&lt;=2),'Monthly Cash Flow'!CY32*(1+'Rent Roll Analysis'!$AE30/12),'Monthly Cash Flow'!CY32*(1+'Rent Roll Analysis'!$AB30/12))))</f>
        <v/>
      </c>
      <c r="DA32" s="1428" t="str">
        <f>IF($B32="","",IF(DA$4&gt;2,(CZ32*(1+'Rent Roll Analysis'!$AK30/12)), IF(AND('Monthly Cash Flow'!DA$4&gt;1,'Monthly Cash Flow'!DA$4&lt;=2),'Monthly Cash Flow'!CZ32*(1+'Rent Roll Analysis'!$AE30/12),'Monthly Cash Flow'!CZ32*(1+'Rent Roll Analysis'!$AB30/12))))</f>
        <v/>
      </c>
      <c r="DB32" s="1428" t="str">
        <f>IF($B32="","",IF(DB$4&gt;2,(DA32*(1+'Rent Roll Analysis'!$AK30/12)), IF(AND('Monthly Cash Flow'!DB$4&gt;1,'Monthly Cash Flow'!DB$4&lt;=2),'Monthly Cash Flow'!DA32*(1+'Rent Roll Analysis'!$AE30/12),'Monthly Cash Flow'!DA32*(1+'Rent Roll Analysis'!$AB30/12))))</f>
        <v/>
      </c>
      <c r="DC32" s="1428" t="str">
        <f>IF($B32="","",IF(DC$4&gt;2,(DB32*(1+'Rent Roll Analysis'!$AK30/12)), IF(AND('Monthly Cash Flow'!DC$4&gt;1,'Monthly Cash Flow'!DC$4&lt;=2),'Monthly Cash Flow'!DB32*(1+'Rent Roll Analysis'!$AE30/12),'Monthly Cash Flow'!DB32*(1+'Rent Roll Analysis'!$AB30/12))))</f>
        <v/>
      </c>
      <c r="DD32" s="1428" t="str">
        <f>IF($B32="","",IF(DD$4&gt;2,(DC32*(1+'Rent Roll Analysis'!$AK30/12)), IF(AND('Monthly Cash Flow'!DD$4&gt;1,'Monthly Cash Flow'!DD$4&lt;=2),'Monthly Cash Flow'!DC32*(1+'Rent Roll Analysis'!$AE30/12),'Monthly Cash Flow'!DC32*(1+'Rent Roll Analysis'!$AB30/12))))</f>
        <v/>
      </c>
      <c r="DE32" s="1428" t="str">
        <f>IF($B32="","",IF(DE$4&gt;2,(DD32*(1+'Rent Roll Analysis'!$AK30/12)), IF(AND('Monthly Cash Flow'!DE$4&gt;1,'Monthly Cash Flow'!DE$4&lt;=2),'Monthly Cash Flow'!DD32*(1+'Rent Roll Analysis'!$AE30/12),'Monthly Cash Flow'!DD32*(1+'Rent Roll Analysis'!$AB30/12))))</f>
        <v/>
      </c>
      <c r="DF32" s="1428" t="str">
        <f>IF($B32="","",IF(DF$4&gt;2,(DE32*(1+'Rent Roll Analysis'!$AK30/12)), IF(AND('Monthly Cash Flow'!DF$4&gt;1,'Monthly Cash Flow'!DF$4&lt;=2),'Monthly Cash Flow'!DE32*(1+'Rent Roll Analysis'!$AE30/12),'Monthly Cash Flow'!DE32*(1+'Rent Roll Analysis'!$AB30/12))))</f>
        <v/>
      </c>
      <c r="DG32" s="1428" t="str">
        <f>IF($B32="","",IF(DG$4&gt;2,(DF32*(1+'Rent Roll Analysis'!$AK30/12)), IF(AND('Monthly Cash Flow'!DG$4&gt;1,'Monthly Cash Flow'!DG$4&lt;=2),'Monthly Cash Flow'!DF32*(1+'Rent Roll Analysis'!$AE30/12),'Monthly Cash Flow'!DF32*(1+'Rent Roll Analysis'!$AB30/12))))</f>
        <v/>
      </c>
      <c r="DH32" s="1428" t="str">
        <f>IF($B32="","",IF(DH$4&gt;2,(DG32*(1+'Rent Roll Analysis'!$AK30/12)), IF(AND('Monthly Cash Flow'!DH$4&gt;1,'Monthly Cash Flow'!DH$4&lt;=2),'Monthly Cash Flow'!DG32*(1+'Rent Roll Analysis'!$AE30/12),'Monthly Cash Flow'!DG32*(1+'Rent Roll Analysis'!$AB30/12))))</f>
        <v/>
      </c>
      <c r="DI32" s="1428" t="str">
        <f>IF($B32="","",IF(DI$4&gt;2,(DH32*(1+'Rent Roll Analysis'!$AK30/12)), IF(AND('Monthly Cash Flow'!DI$4&gt;1,'Monthly Cash Flow'!DI$4&lt;=2),'Monthly Cash Flow'!DH32*(1+'Rent Roll Analysis'!$AE30/12),'Monthly Cash Flow'!DH32*(1+'Rent Roll Analysis'!$AB30/12))))</f>
        <v/>
      </c>
      <c r="DJ32" s="1428" t="str">
        <f>IF($B32="","",IF(DJ$4&gt;2,(DI32*(1+'Rent Roll Analysis'!$AK30/12)), IF(AND('Monthly Cash Flow'!DJ$4&gt;1,'Monthly Cash Flow'!DJ$4&lt;=2),'Monthly Cash Flow'!DI32*(1+'Rent Roll Analysis'!$AE30/12),'Monthly Cash Flow'!DI32*(1+'Rent Roll Analysis'!$AB30/12))))</f>
        <v/>
      </c>
      <c r="DK32" s="1428" t="str">
        <f>IF($B32="","",IF(DK$4&gt;2,(DJ32*(1+'Rent Roll Analysis'!$AK30/12)), IF(AND('Monthly Cash Flow'!DK$4&gt;1,'Monthly Cash Flow'!DK$4&lt;=2),'Monthly Cash Flow'!DJ32*(1+'Rent Roll Analysis'!$AE30/12),'Monthly Cash Flow'!DJ32*(1+'Rent Roll Analysis'!$AB30/12))))</f>
        <v/>
      </c>
      <c r="DL32" s="1428" t="str">
        <f>IF($B32="","",IF(DL$4&gt;2,(DK32*(1+'Rent Roll Analysis'!$AK30/12)), IF(AND('Monthly Cash Flow'!DL$4&gt;1,'Monthly Cash Flow'!DL$4&lt;=2),'Monthly Cash Flow'!DK32*(1+'Rent Roll Analysis'!$AE30/12),'Monthly Cash Flow'!DK32*(1+'Rent Roll Analysis'!$AB30/12))))</f>
        <v/>
      </c>
      <c r="DM32" s="1428" t="str">
        <f>IF($B32="","",IF(DM$4&gt;2,(DL32*(1+'Rent Roll Analysis'!$AK30/12)), IF(AND('Monthly Cash Flow'!DM$4&gt;1,'Monthly Cash Flow'!DM$4&lt;=2),'Monthly Cash Flow'!DL32*(1+'Rent Roll Analysis'!$AE30/12),'Monthly Cash Flow'!DL32*(1+'Rent Roll Analysis'!$AB30/12))))</f>
        <v/>
      </c>
      <c r="DN32" s="1428" t="str">
        <f>IF($B32="","",IF(DN$4&gt;2,(DM32*(1+'Rent Roll Analysis'!$AK30/12)), IF(AND('Monthly Cash Flow'!DN$4&gt;1,'Monthly Cash Flow'!DN$4&lt;=2),'Monthly Cash Flow'!DM32*(1+'Rent Roll Analysis'!$AE30/12),'Monthly Cash Flow'!DM32*(1+'Rent Roll Analysis'!$AB30/12))))</f>
        <v/>
      </c>
      <c r="DO32" s="1428" t="str">
        <f>IF($B32="","",IF(DO$4&gt;2,(DN32*(1+'Rent Roll Analysis'!$AK30/12)), IF(AND('Monthly Cash Flow'!DO$4&gt;1,'Monthly Cash Flow'!DO$4&lt;=2),'Monthly Cash Flow'!DN32*(1+'Rent Roll Analysis'!$AE30/12),'Monthly Cash Flow'!DN32*(1+'Rent Roll Analysis'!$AB30/12))))</f>
        <v/>
      </c>
      <c r="DP32" s="1428" t="str">
        <f>IF($B32="","",IF(DP$4&gt;2,(DO32*(1+'Rent Roll Analysis'!$AK30/12)), IF(AND('Monthly Cash Flow'!DP$4&gt;1,'Monthly Cash Flow'!DP$4&lt;=2),'Monthly Cash Flow'!DO32*(1+'Rent Roll Analysis'!$AE30/12),'Monthly Cash Flow'!DO32*(1+'Rent Roll Analysis'!$AB30/12))))</f>
        <v/>
      </c>
      <c r="DQ32" s="1428" t="str">
        <f>IF($B32="","",IF(DQ$4&gt;2,(DP32*(1+'Rent Roll Analysis'!$AK30/12)), IF(AND('Monthly Cash Flow'!DQ$4&gt;1,'Monthly Cash Flow'!DQ$4&lt;=2),'Monthly Cash Flow'!DP32*(1+'Rent Roll Analysis'!$AE30/12),'Monthly Cash Flow'!DP32*(1+'Rent Roll Analysis'!$AB30/12))))</f>
        <v/>
      </c>
      <c r="DR32" s="1428" t="str">
        <f>IF($B32="","",IF(DR$4&gt;2,(DQ32*(1+'Rent Roll Analysis'!$AK30/12)), IF(AND('Monthly Cash Flow'!DR$4&gt;1,'Monthly Cash Flow'!DR$4&lt;=2),'Monthly Cash Flow'!DQ32*(1+'Rent Roll Analysis'!$AE30/12),'Monthly Cash Flow'!DQ32*(1+'Rent Roll Analysis'!$AB30/12))))</f>
        <v/>
      </c>
      <c r="DS32" s="1428" t="str">
        <f>IF($B32="","",IF(DS$4&gt;2,(DR32*(1+'Rent Roll Analysis'!$AK30/12)), IF(AND('Monthly Cash Flow'!DS$4&gt;1,'Monthly Cash Flow'!DS$4&lt;=2),'Monthly Cash Flow'!DR32*(1+'Rent Roll Analysis'!$AE30/12),'Monthly Cash Flow'!DR32*(1+'Rent Roll Analysis'!$AB30/12))))</f>
        <v/>
      </c>
      <c r="DT32" s="1428" t="str">
        <f>IF($B32="","",IF(DT$4&gt;2,(DS32*(1+'Rent Roll Analysis'!$AK30/12)), IF(AND('Monthly Cash Flow'!DT$4&gt;1,'Monthly Cash Flow'!DT$4&lt;=2),'Monthly Cash Flow'!DS32*(1+'Rent Roll Analysis'!$AE30/12),'Monthly Cash Flow'!DS32*(1+'Rent Roll Analysis'!$AB30/12))))</f>
        <v/>
      </c>
      <c r="DU32" s="385" t="s">
        <v>557</v>
      </c>
      <c r="DV32" s="375"/>
    </row>
    <row r="33" spans="1:126" s="92" customFormat="1" ht="20.149999999999999" customHeight="1" outlineLevel="1">
      <c r="A33" s="375"/>
      <c r="B33" s="383" t="str">
        <f>'Rent Roll Analysis'!C31</f>
        <v/>
      </c>
      <c r="C33" s="376"/>
      <c r="D33" s="1426" t="str">
        <f>IF('Rent Roll Analysis'!C31="","",'Rent Roll Analysis'!N31*'Rent Roll Analysis'!E31)</f>
        <v/>
      </c>
      <c r="E33" s="1428" t="str">
        <f t="shared" si="113"/>
        <v/>
      </c>
      <c r="F33" s="1428" t="str">
        <f>IF($B33="","",IF(F$4&gt;2,(E33*(1+'Rent Roll Analysis'!$AK31/12)), IF(AND('Monthly Cash Flow'!F$4&gt;1,'Monthly Cash Flow'!F$4&lt;=2),'Monthly Cash Flow'!E33*(1+'Rent Roll Analysis'!$AE31/12),'Monthly Cash Flow'!E33*(1+'Rent Roll Analysis'!$AB31/12))))</f>
        <v/>
      </c>
      <c r="G33" s="1428" t="str">
        <f>IF($B33="","",IF(G$4&gt;2,(F33*(1+'Rent Roll Analysis'!$AK31/12)), IF(AND('Monthly Cash Flow'!G$4&gt;1,'Monthly Cash Flow'!G$4&lt;=2),'Monthly Cash Flow'!F33*(1+'Rent Roll Analysis'!$AE31/12),'Monthly Cash Flow'!F33*(1+'Rent Roll Analysis'!$AB31/12))))</f>
        <v/>
      </c>
      <c r="H33" s="1428" t="str">
        <f>IF($B33="","",IF(H$4&gt;2,(G33*(1+'Rent Roll Analysis'!$AK31/12)), IF(AND('Monthly Cash Flow'!H$4&gt;1,'Monthly Cash Flow'!H$4&lt;=2),'Monthly Cash Flow'!G33*(1+'Rent Roll Analysis'!$AE31/12),'Monthly Cash Flow'!G33*(1+'Rent Roll Analysis'!$AB31/12))))</f>
        <v/>
      </c>
      <c r="I33" s="1428" t="str">
        <f>IF($B33="","",IF(I$4&gt;2,(H33*(1+'Rent Roll Analysis'!$AK31/12)), IF(AND('Monthly Cash Flow'!I$4&gt;1,'Monthly Cash Flow'!I$4&lt;=2),'Monthly Cash Flow'!H33*(1+'Rent Roll Analysis'!$AE31/12),'Monthly Cash Flow'!H33*(1+'Rent Roll Analysis'!$AB31/12))))</f>
        <v/>
      </c>
      <c r="J33" s="1428" t="str">
        <f>IF($B33="","",IF(J$4&gt;2,(I33*(1+'Rent Roll Analysis'!$AK31/12)), IF(AND('Monthly Cash Flow'!J$4&gt;1,'Monthly Cash Flow'!J$4&lt;=2),'Monthly Cash Flow'!I33*(1+'Rent Roll Analysis'!$AE31/12),'Monthly Cash Flow'!I33*(1+'Rent Roll Analysis'!$AB31/12))))</f>
        <v/>
      </c>
      <c r="K33" s="1428" t="str">
        <f>IF($B33="","",IF(K$4&gt;2,(J33*(1+'Rent Roll Analysis'!$AK31/12)), IF(AND('Monthly Cash Flow'!K$4&gt;1,'Monthly Cash Flow'!K$4&lt;=2),'Monthly Cash Flow'!J33*(1+'Rent Roll Analysis'!$AE31/12),'Monthly Cash Flow'!J33*(1+'Rent Roll Analysis'!$AB31/12))))</f>
        <v/>
      </c>
      <c r="L33" s="1428" t="str">
        <f>IF($B33="","",IF(L$4&gt;2,(K33*(1+'Rent Roll Analysis'!$AK31/12)), IF(AND('Monthly Cash Flow'!L$4&gt;1,'Monthly Cash Flow'!L$4&lt;=2),'Monthly Cash Flow'!K33*(1+'Rent Roll Analysis'!$AE31/12),'Monthly Cash Flow'!K33*(1+'Rent Roll Analysis'!$AB31/12))))</f>
        <v/>
      </c>
      <c r="M33" s="1428" t="str">
        <f>IF($B33="","",IF(M$4&gt;2,(L33*(1+'Rent Roll Analysis'!$AK31/12)), IF(AND('Monthly Cash Flow'!M$4&gt;1,'Monthly Cash Flow'!M$4&lt;=2),'Monthly Cash Flow'!L33*(1+'Rent Roll Analysis'!$AE31/12),'Monthly Cash Flow'!L33*(1+'Rent Roll Analysis'!$AB31/12))))</f>
        <v/>
      </c>
      <c r="N33" s="1428" t="str">
        <f>IF($B33="","",IF(N$4&gt;2,(M33*(1+'Rent Roll Analysis'!$AK31/12)), IF(AND('Monthly Cash Flow'!N$4&gt;1,'Monthly Cash Flow'!N$4&lt;=2),'Monthly Cash Flow'!M33*(1+'Rent Roll Analysis'!$AE31/12),'Monthly Cash Flow'!M33*(1+'Rent Roll Analysis'!$AB31/12))))</f>
        <v/>
      </c>
      <c r="O33" s="1428" t="str">
        <f>IF($B33="","",IF(O$4&gt;2,(N33*(1+'Rent Roll Analysis'!$AK31/12)), IF(AND('Monthly Cash Flow'!O$4&gt;1,'Monthly Cash Flow'!O$4&lt;=2),'Monthly Cash Flow'!N33*(1+'Rent Roll Analysis'!$AE31/12),'Monthly Cash Flow'!N33*(1+'Rent Roll Analysis'!$AB31/12))))</f>
        <v/>
      </c>
      <c r="P33" s="1428" t="str">
        <f>IF($B33="","",IF(P$4&gt;2,(O33*(1+'Rent Roll Analysis'!$AK31/12)), IF(AND('Monthly Cash Flow'!P$4&gt;1,'Monthly Cash Flow'!P$4&lt;=2),'Monthly Cash Flow'!O33*(1+'Rent Roll Analysis'!$AE31/12),'Monthly Cash Flow'!O33*(1+'Rent Roll Analysis'!$AB31/12))))</f>
        <v/>
      </c>
      <c r="Q33" s="1428" t="str">
        <f>IF($B33="","",IF(Q$4&gt;2,(P33*(1+'Rent Roll Analysis'!$AK31/12)), IF(AND('Monthly Cash Flow'!Q$4&gt;1,'Monthly Cash Flow'!Q$4&lt;=2),'Monthly Cash Flow'!P33*(1+'Rent Roll Analysis'!$AE31/12),'Monthly Cash Flow'!P33*(1+'Rent Roll Analysis'!$AB31/12))))</f>
        <v/>
      </c>
      <c r="R33" s="1428" t="str">
        <f>IF($B33="","",IF(R$4&gt;2,(Q33*(1+'Rent Roll Analysis'!$AK31/12)), IF(AND('Monthly Cash Flow'!R$4&gt;1,'Monthly Cash Flow'!R$4&lt;=2),'Monthly Cash Flow'!Q33*(1+'Rent Roll Analysis'!$AE31/12),'Monthly Cash Flow'!Q33*(1+'Rent Roll Analysis'!$AB31/12))))</f>
        <v/>
      </c>
      <c r="S33" s="1428" t="str">
        <f>IF($B33="","",IF(S$4&gt;2,(R33*(1+'Rent Roll Analysis'!$AK31/12)), IF(AND('Monthly Cash Flow'!S$4&gt;1,'Monthly Cash Flow'!S$4&lt;=2),'Monthly Cash Flow'!R33*(1+'Rent Roll Analysis'!$AE31/12),'Monthly Cash Flow'!R33*(1+'Rent Roll Analysis'!$AB31/12))))</f>
        <v/>
      </c>
      <c r="T33" s="1428" t="str">
        <f>IF($B33="","",IF(T$4&gt;2,(S33*(1+'Rent Roll Analysis'!$AK31/12)), IF(AND('Monthly Cash Flow'!T$4&gt;1,'Monthly Cash Flow'!T$4&lt;=2),'Monthly Cash Flow'!S33*(1+'Rent Roll Analysis'!$AE31/12),'Monthly Cash Flow'!S33*(1+'Rent Roll Analysis'!$AB31/12))))</f>
        <v/>
      </c>
      <c r="U33" s="1428" t="str">
        <f>IF($B33="","",IF(U$4&gt;2,(T33*(1+'Rent Roll Analysis'!$AK31/12)), IF(AND('Monthly Cash Flow'!U$4&gt;1,'Monthly Cash Flow'!U$4&lt;=2),'Monthly Cash Flow'!T33*(1+'Rent Roll Analysis'!$AE31/12),'Monthly Cash Flow'!T33*(1+'Rent Roll Analysis'!$AB31/12))))</f>
        <v/>
      </c>
      <c r="V33" s="1428" t="str">
        <f>IF($B33="","",IF(V$4&gt;2,(U33*(1+'Rent Roll Analysis'!$AK31/12)), IF(AND('Monthly Cash Flow'!V$4&gt;1,'Monthly Cash Flow'!V$4&lt;=2),'Monthly Cash Flow'!U33*(1+'Rent Roll Analysis'!$AE31/12),'Monthly Cash Flow'!U33*(1+'Rent Roll Analysis'!$AB31/12))))</f>
        <v/>
      </c>
      <c r="W33" s="1428" t="str">
        <f>IF($B33="","",IF(W$4&gt;2,(V33*(1+'Rent Roll Analysis'!$AK31/12)), IF(AND('Monthly Cash Flow'!W$4&gt;1,'Monthly Cash Flow'!W$4&lt;=2),'Monthly Cash Flow'!V33*(1+'Rent Roll Analysis'!$AE31/12),'Monthly Cash Flow'!V33*(1+'Rent Roll Analysis'!$AB31/12))))</f>
        <v/>
      </c>
      <c r="X33" s="1428" t="str">
        <f>IF($B33="","",IF(X$4&gt;2,(W33*(1+'Rent Roll Analysis'!$AK31/12)), IF(AND('Monthly Cash Flow'!X$4&gt;1,'Monthly Cash Flow'!X$4&lt;=2),'Monthly Cash Flow'!W33*(1+'Rent Roll Analysis'!$AE31/12),'Monthly Cash Flow'!W33*(1+'Rent Roll Analysis'!$AB31/12))))</f>
        <v/>
      </c>
      <c r="Y33" s="1428" t="str">
        <f>IF($B33="","",IF(Y$4&gt;2,(X33*(1+'Rent Roll Analysis'!$AK31/12)), IF(AND('Monthly Cash Flow'!Y$4&gt;1,'Monthly Cash Flow'!Y$4&lt;=2),'Monthly Cash Flow'!X33*(1+'Rent Roll Analysis'!$AE31/12),'Monthly Cash Flow'!X33*(1+'Rent Roll Analysis'!$AB31/12))))</f>
        <v/>
      </c>
      <c r="Z33" s="1428" t="str">
        <f>IF($B33="","",IF(Z$4&gt;2,(Y33*(1+'Rent Roll Analysis'!$AK31/12)), IF(AND('Monthly Cash Flow'!Z$4&gt;1,'Monthly Cash Flow'!Z$4&lt;=2),'Monthly Cash Flow'!Y33*(1+'Rent Roll Analysis'!$AE31/12),'Monthly Cash Flow'!Y33*(1+'Rent Roll Analysis'!$AB31/12))))</f>
        <v/>
      </c>
      <c r="AA33" s="1428" t="str">
        <f>IF($B33="","",IF(AA$4&gt;2,(Z33*(1+'Rent Roll Analysis'!$AK31/12)), IF(AND('Monthly Cash Flow'!AA$4&gt;1,'Monthly Cash Flow'!AA$4&lt;=2),'Monthly Cash Flow'!Z33*(1+'Rent Roll Analysis'!$AE31/12),'Monthly Cash Flow'!Z33*(1+'Rent Roll Analysis'!$AB31/12))))</f>
        <v/>
      </c>
      <c r="AB33" s="1428" t="str">
        <f>IF($B33="","",IF(AB$4&gt;2,(AA33*(1+'Rent Roll Analysis'!$AK31/12)), IF(AND('Monthly Cash Flow'!AB$4&gt;1,'Monthly Cash Flow'!AB$4&lt;=2),'Monthly Cash Flow'!AA33*(1+'Rent Roll Analysis'!$AE31/12),'Monthly Cash Flow'!AA33*(1+'Rent Roll Analysis'!$AB31/12))))</f>
        <v/>
      </c>
      <c r="AC33" s="1428" t="str">
        <f>IF($B33="","",IF(AC$4&gt;2,(AB33*(1+'Rent Roll Analysis'!$AK31/12)), IF(AND('Monthly Cash Flow'!AC$4&gt;1,'Monthly Cash Flow'!AC$4&lt;=2),'Monthly Cash Flow'!AB33*(1+'Rent Roll Analysis'!$AE31/12),'Monthly Cash Flow'!AB33*(1+'Rent Roll Analysis'!$AB31/12))))</f>
        <v/>
      </c>
      <c r="AD33" s="1428" t="str">
        <f>IF($B33="","",IF(AD$4&gt;2,(AC33*(1+'Rent Roll Analysis'!$AK31/12)), IF(AND('Monthly Cash Flow'!AD$4&gt;1,'Monthly Cash Flow'!AD$4&lt;=2),'Monthly Cash Flow'!AC33*(1+'Rent Roll Analysis'!$AE31/12),'Monthly Cash Flow'!AC33*(1+'Rent Roll Analysis'!$AB31/12))))</f>
        <v/>
      </c>
      <c r="AE33" s="1428" t="str">
        <f>IF($B33="","",IF(AE$4&gt;2,(AD33*(1+'Rent Roll Analysis'!$AK31/12)), IF(AND('Monthly Cash Flow'!AE$4&gt;1,'Monthly Cash Flow'!AE$4&lt;=2),'Monthly Cash Flow'!AD33*(1+'Rent Roll Analysis'!$AE31/12),'Monthly Cash Flow'!AD33*(1+'Rent Roll Analysis'!$AB31/12))))</f>
        <v/>
      </c>
      <c r="AF33" s="1428" t="str">
        <f>IF($B33="","",IF(AF$4&gt;2,(AE33*(1+'Rent Roll Analysis'!$AK31/12)), IF(AND('Monthly Cash Flow'!AF$4&gt;1,'Monthly Cash Flow'!AF$4&lt;=2),'Monthly Cash Flow'!AE33*(1+'Rent Roll Analysis'!$AE31/12),'Monthly Cash Flow'!AE33*(1+'Rent Roll Analysis'!$AB31/12))))</f>
        <v/>
      </c>
      <c r="AG33" s="1428" t="str">
        <f>IF($B33="","",IF(AG$4&gt;2,(AF33*(1+'Rent Roll Analysis'!$AK31/12)), IF(AND('Monthly Cash Flow'!AG$4&gt;1,'Monthly Cash Flow'!AG$4&lt;=2),'Monthly Cash Flow'!AF33*(1+'Rent Roll Analysis'!$AE31/12),'Monthly Cash Flow'!AF33*(1+'Rent Roll Analysis'!$AB31/12))))</f>
        <v/>
      </c>
      <c r="AH33" s="1428" t="str">
        <f>IF($B33="","",IF(AH$4&gt;2,(AG33*(1+'Rent Roll Analysis'!$AK31/12)), IF(AND('Monthly Cash Flow'!AH$4&gt;1,'Monthly Cash Flow'!AH$4&lt;=2),'Monthly Cash Flow'!AG33*(1+'Rent Roll Analysis'!$AE31/12),'Monthly Cash Flow'!AG33*(1+'Rent Roll Analysis'!$AB31/12))))</f>
        <v/>
      </c>
      <c r="AI33" s="1428" t="str">
        <f>IF($B33="","",IF(AI$4&gt;2,(AH33*(1+'Rent Roll Analysis'!$AK31/12)), IF(AND('Monthly Cash Flow'!AI$4&gt;1,'Monthly Cash Flow'!AI$4&lt;=2),'Monthly Cash Flow'!AH33*(1+'Rent Roll Analysis'!$AE31/12),'Monthly Cash Flow'!AH33*(1+'Rent Roll Analysis'!$AB31/12))))</f>
        <v/>
      </c>
      <c r="AJ33" s="1428" t="str">
        <f>IF($B33="","",IF(AJ$4&gt;2,(AI33*(1+'Rent Roll Analysis'!$AK31/12)), IF(AND('Monthly Cash Flow'!AJ$4&gt;1,'Monthly Cash Flow'!AJ$4&lt;=2),'Monthly Cash Flow'!AI33*(1+'Rent Roll Analysis'!$AE31/12),'Monthly Cash Flow'!AI33*(1+'Rent Roll Analysis'!$AB31/12))))</f>
        <v/>
      </c>
      <c r="AK33" s="1428" t="str">
        <f>IF($B33="","",IF(AK$4&gt;2,(AJ33*(1+'Rent Roll Analysis'!$AK31/12)), IF(AND('Monthly Cash Flow'!AK$4&gt;1,'Monthly Cash Flow'!AK$4&lt;=2),'Monthly Cash Flow'!AJ33*(1+'Rent Roll Analysis'!$AE31/12),'Monthly Cash Flow'!AJ33*(1+'Rent Roll Analysis'!$AB31/12))))</f>
        <v/>
      </c>
      <c r="AL33" s="1428" t="str">
        <f>IF($B33="","",IF(AL$4&gt;2,(AK33*(1+'Rent Roll Analysis'!$AK31/12)), IF(AND('Monthly Cash Flow'!AL$4&gt;1,'Monthly Cash Flow'!AL$4&lt;=2),'Monthly Cash Flow'!AK33*(1+'Rent Roll Analysis'!$AE31/12),'Monthly Cash Flow'!AK33*(1+'Rent Roll Analysis'!$AB31/12))))</f>
        <v/>
      </c>
      <c r="AM33" s="1428" t="str">
        <f>IF($B33="","",IF(AM$4&gt;2,(AL33*(1+'Rent Roll Analysis'!$AK31/12)), IF(AND('Monthly Cash Flow'!AM$4&gt;1,'Monthly Cash Flow'!AM$4&lt;=2),'Monthly Cash Flow'!AL33*(1+'Rent Roll Analysis'!$AE31/12),'Monthly Cash Flow'!AL33*(1+'Rent Roll Analysis'!$AB31/12))))</f>
        <v/>
      </c>
      <c r="AN33" s="1428" t="str">
        <f>IF($B33="","",IF(AN$4&gt;2,(AM33*(1+'Rent Roll Analysis'!$AK31/12)), IF(AND('Monthly Cash Flow'!AN$4&gt;1,'Monthly Cash Flow'!AN$4&lt;=2),'Monthly Cash Flow'!AM33*(1+'Rent Roll Analysis'!$AE31/12),'Monthly Cash Flow'!AM33*(1+'Rent Roll Analysis'!$AB31/12))))</f>
        <v/>
      </c>
      <c r="AO33" s="1428" t="str">
        <f>IF($B33="","",IF(AO$4&gt;2,(AN33*(1+'Rent Roll Analysis'!$AK31/12)), IF(AND('Monthly Cash Flow'!AO$4&gt;1,'Monthly Cash Flow'!AO$4&lt;=2),'Monthly Cash Flow'!AN33*(1+'Rent Roll Analysis'!$AE31/12),'Monthly Cash Flow'!AN33*(1+'Rent Roll Analysis'!$AB31/12))))</f>
        <v/>
      </c>
      <c r="AP33" s="1428" t="str">
        <f>IF($B33="","",IF(AP$4&gt;2,(AO33*(1+'Rent Roll Analysis'!$AK31/12)), IF(AND('Monthly Cash Flow'!AP$4&gt;1,'Monthly Cash Flow'!AP$4&lt;=2),'Monthly Cash Flow'!AO33*(1+'Rent Roll Analysis'!$AE31/12),'Monthly Cash Flow'!AO33*(1+'Rent Roll Analysis'!$AB31/12))))</f>
        <v/>
      </c>
      <c r="AQ33" s="1428" t="str">
        <f>IF($B33="","",IF(AQ$4&gt;2,(AP33*(1+'Rent Roll Analysis'!$AK31/12)), IF(AND('Monthly Cash Flow'!AQ$4&gt;1,'Monthly Cash Flow'!AQ$4&lt;=2),'Monthly Cash Flow'!AP33*(1+'Rent Roll Analysis'!$AE31/12),'Monthly Cash Flow'!AP33*(1+'Rent Roll Analysis'!$AB31/12))))</f>
        <v/>
      </c>
      <c r="AR33" s="1428" t="str">
        <f>IF($B33="","",IF(AR$4&gt;2,(AQ33*(1+'Rent Roll Analysis'!$AK31/12)), IF(AND('Monthly Cash Flow'!AR$4&gt;1,'Monthly Cash Flow'!AR$4&lt;=2),'Monthly Cash Flow'!AQ33*(1+'Rent Roll Analysis'!$AE31/12),'Monthly Cash Flow'!AQ33*(1+'Rent Roll Analysis'!$AB31/12))))</f>
        <v/>
      </c>
      <c r="AS33" s="1428" t="str">
        <f>IF($B33="","",IF(AS$4&gt;2,(AR33*(1+'Rent Roll Analysis'!$AK31/12)), IF(AND('Monthly Cash Flow'!AS$4&gt;1,'Monthly Cash Flow'!AS$4&lt;=2),'Monthly Cash Flow'!AR33*(1+'Rent Roll Analysis'!$AE31/12),'Monthly Cash Flow'!AR33*(1+'Rent Roll Analysis'!$AB31/12))))</f>
        <v/>
      </c>
      <c r="AT33" s="1428" t="str">
        <f>IF($B33="","",IF(AT$4&gt;2,(AS33*(1+'Rent Roll Analysis'!$AK31/12)), IF(AND('Monthly Cash Flow'!AT$4&gt;1,'Monthly Cash Flow'!AT$4&lt;=2),'Monthly Cash Flow'!AS33*(1+'Rent Roll Analysis'!$AE31/12),'Monthly Cash Flow'!AS33*(1+'Rent Roll Analysis'!$AB31/12))))</f>
        <v/>
      </c>
      <c r="AU33" s="1428" t="str">
        <f>IF($B33="","",IF(AU$4&gt;2,(AT33*(1+'Rent Roll Analysis'!$AK31/12)), IF(AND('Monthly Cash Flow'!AU$4&gt;1,'Monthly Cash Flow'!AU$4&lt;=2),'Monthly Cash Flow'!AT33*(1+'Rent Roll Analysis'!$AE31/12),'Monthly Cash Flow'!AT33*(1+'Rent Roll Analysis'!$AB31/12))))</f>
        <v/>
      </c>
      <c r="AV33" s="1428" t="str">
        <f>IF($B33="","",IF(AV$4&gt;2,(AU33*(1+'Rent Roll Analysis'!$AK31/12)), IF(AND('Monthly Cash Flow'!AV$4&gt;1,'Monthly Cash Flow'!AV$4&lt;=2),'Monthly Cash Flow'!AU33*(1+'Rent Roll Analysis'!$AE31/12),'Monthly Cash Flow'!AU33*(1+'Rent Roll Analysis'!$AB31/12))))</f>
        <v/>
      </c>
      <c r="AW33" s="1428" t="str">
        <f>IF($B33="","",IF(AW$4&gt;2,(AV33*(1+'Rent Roll Analysis'!$AK31/12)), IF(AND('Monthly Cash Flow'!AW$4&gt;1,'Monthly Cash Flow'!AW$4&lt;=2),'Monthly Cash Flow'!AV33*(1+'Rent Roll Analysis'!$AE31/12),'Monthly Cash Flow'!AV33*(1+'Rent Roll Analysis'!$AB31/12))))</f>
        <v/>
      </c>
      <c r="AX33" s="1428" t="str">
        <f>IF($B33="","",IF(AX$4&gt;2,(AW33*(1+'Rent Roll Analysis'!$AK31/12)), IF(AND('Monthly Cash Flow'!AX$4&gt;1,'Monthly Cash Flow'!AX$4&lt;=2),'Monthly Cash Flow'!AW33*(1+'Rent Roll Analysis'!$AE31/12),'Monthly Cash Flow'!AW33*(1+'Rent Roll Analysis'!$AB31/12))))</f>
        <v/>
      </c>
      <c r="AY33" s="1428" t="str">
        <f>IF($B33="","",IF(AY$4&gt;2,(AX33*(1+'Rent Roll Analysis'!$AK31/12)), IF(AND('Monthly Cash Flow'!AY$4&gt;1,'Monthly Cash Flow'!AY$4&lt;=2),'Monthly Cash Flow'!AX33*(1+'Rent Roll Analysis'!$AE31/12),'Monthly Cash Flow'!AX33*(1+'Rent Roll Analysis'!$AB31/12))))</f>
        <v/>
      </c>
      <c r="AZ33" s="1428" t="str">
        <f>IF($B33="","",IF(AZ$4&gt;2,(AY33*(1+'Rent Roll Analysis'!$AK31/12)), IF(AND('Monthly Cash Flow'!AZ$4&gt;1,'Monthly Cash Flow'!AZ$4&lt;=2),'Monthly Cash Flow'!AY33*(1+'Rent Roll Analysis'!$AE31/12),'Monthly Cash Flow'!AY33*(1+'Rent Roll Analysis'!$AB31/12))))</f>
        <v/>
      </c>
      <c r="BA33" s="1428" t="str">
        <f>IF($B33="","",IF(BA$4&gt;2,(AZ33*(1+'Rent Roll Analysis'!$AK31/12)), IF(AND('Monthly Cash Flow'!BA$4&gt;1,'Monthly Cash Flow'!BA$4&lt;=2),'Monthly Cash Flow'!AZ33*(1+'Rent Roll Analysis'!$AE31/12),'Monthly Cash Flow'!AZ33*(1+'Rent Roll Analysis'!$AB31/12))))</f>
        <v/>
      </c>
      <c r="BB33" s="1428" t="str">
        <f>IF($B33="","",IF(BB$4&gt;2,(BA33*(1+'Rent Roll Analysis'!$AK31/12)), IF(AND('Monthly Cash Flow'!BB$4&gt;1,'Monthly Cash Flow'!BB$4&lt;=2),'Monthly Cash Flow'!BA33*(1+'Rent Roll Analysis'!$AE31/12),'Monthly Cash Flow'!BA33*(1+'Rent Roll Analysis'!$AB31/12))))</f>
        <v/>
      </c>
      <c r="BC33" s="1428" t="str">
        <f>IF($B33="","",IF(BC$4&gt;2,(BB33*(1+'Rent Roll Analysis'!$AK31/12)), IF(AND('Monthly Cash Flow'!BC$4&gt;1,'Monthly Cash Flow'!BC$4&lt;=2),'Monthly Cash Flow'!BB33*(1+'Rent Roll Analysis'!$AE31/12),'Monthly Cash Flow'!BB33*(1+'Rent Roll Analysis'!$AB31/12))))</f>
        <v/>
      </c>
      <c r="BD33" s="1428" t="str">
        <f>IF($B33="","",IF(BD$4&gt;2,(BC33*(1+'Rent Roll Analysis'!$AK31/12)), IF(AND('Monthly Cash Flow'!BD$4&gt;1,'Monthly Cash Flow'!BD$4&lt;=2),'Monthly Cash Flow'!BC33*(1+'Rent Roll Analysis'!$AE31/12),'Monthly Cash Flow'!BC33*(1+'Rent Roll Analysis'!$AB31/12))))</f>
        <v/>
      </c>
      <c r="BE33" s="1428" t="str">
        <f>IF($B33="","",IF(BE$4&gt;2,(BD33*(1+'Rent Roll Analysis'!$AK31/12)), IF(AND('Monthly Cash Flow'!BE$4&gt;1,'Monthly Cash Flow'!BE$4&lt;=2),'Monthly Cash Flow'!BD33*(1+'Rent Roll Analysis'!$AE31/12),'Monthly Cash Flow'!BD33*(1+'Rent Roll Analysis'!$AB31/12))))</f>
        <v/>
      </c>
      <c r="BF33" s="1428" t="str">
        <f>IF($B33="","",IF(BF$4&gt;2,(BE33*(1+'Rent Roll Analysis'!$AK31/12)), IF(AND('Monthly Cash Flow'!BF$4&gt;1,'Monthly Cash Flow'!BF$4&lt;=2),'Monthly Cash Flow'!BE33*(1+'Rent Roll Analysis'!$AE31/12),'Monthly Cash Flow'!BE33*(1+'Rent Roll Analysis'!$AB31/12))))</f>
        <v/>
      </c>
      <c r="BG33" s="1428" t="str">
        <f>IF($B33="","",IF(BG$4&gt;2,(BF33*(1+'Rent Roll Analysis'!$AK31/12)), IF(AND('Monthly Cash Flow'!BG$4&gt;1,'Monthly Cash Flow'!BG$4&lt;=2),'Monthly Cash Flow'!BF33*(1+'Rent Roll Analysis'!$AE31/12),'Monthly Cash Flow'!BF33*(1+'Rent Roll Analysis'!$AB31/12))))</f>
        <v/>
      </c>
      <c r="BH33" s="1428" t="str">
        <f>IF($B33="","",IF(BH$4&gt;2,(BG33*(1+'Rent Roll Analysis'!$AK31/12)), IF(AND('Monthly Cash Flow'!BH$4&gt;1,'Monthly Cash Flow'!BH$4&lt;=2),'Monthly Cash Flow'!BG33*(1+'Rent Roll Analysis'!$AE31/12),'Monthly Cash Flow'!BG33*(1+'Rent Roll Analysis'!$AB31/12))))</f>
        <v/>
      </c>
      <c r="BI33" s="1428" t="str">
        <f>IF($B33="","",IF(BI$4&gt;2,(BH33*(1+'Rent Roll Analysis'!$AK31/12)), IF(AND('Monthly Cash Flow'!BI$4&gt;1,'Monthly Cash Flow'!BI$4&lt;=2),'Monthly Cash Flow'!BH33*(1+'Rent Roll Analysis'!$AE31/12),'Monthly Cash Flow'!BH33*(1+'Rent Roll Analysis'!$AB31/12))))</f>
        <v/>
      </c>
      <c r="BJ33" s="1428" t="str">
        <f>IF($B33="","",IF(BJ$4&gt;2,(BI33*(1+'Rent Roll Analysis'!$AK31/12)), IF(AND('Monthly Cash Flow'!BJ$4&gt;1,'Monthly Cash Flow'!BJ$4&lt;=2),'Monthly Cash Flow'!BI33*(1+'Rent Roll Analysis'!$AE31/12),'Monthly Cash Flow'!BI33*(1+'Rent Roll Analysis'!$AB31/12))))</f>
        <v/>
      </c>
      <c r="BK33" s="1428" t="str">
        <f>IF($B33="","",IF(BK$4&gt;2,(BJ33*(1+'Rent Roll Analysis'!$AK31/12)), IF(AND('Monthly Cash Flow'!BK$4&gt;1,'Monthly Cash Flow'!BK$4&lt;=2),'Monthly Cash Flow'!BJ33*(1+'Rent Roll Analysis'!$AE31/12),'Monthly Cash Flow'!BJ33*(1+'Rent Roll Analysis'!$AB31/12))))</f>
        <v/>
      </c>
      <c r="BL33" s="1428" t="str">
        <f>IF($B33="","",IF(BL$4&gt;2,(BK33*(1+'Rent Roll Analysis'!$AK31/12)), IF(AND('Monthly Cash Flow'!BL$4&gt;1,'Monthly Cash Flow'!BL$4&lt;=2),'Monthly Cash Flow'!BK33*(1+'Rent Roll Analysis'!$AE31/12),'Monthly Cash Flow'!BK33*(1+'Rent Roll Analysis'!$AB31/12))))</f>
        <v/>
      </c>
      <c r="BM33" s="1428" t="str">
        <f>IF($B33="","",IF(BM$4&gt;2,(BL33*(1+'Rent Roll Analysis'!$AK31/12)), IF(AND('Monthly Cash Flow'!BM$4&gt;1,'Monthly Cash Flow'!BM$4&lt;=2),'Monthly Cash Flow'!BL33*(1+'Rent Roll Analysis'!$AE31/12),'Monthly Cash Flow'!BL33*(1+'Rent Roll Analysis'!$AB31/12))))</f>
        <v/>
      </c>
      <c r="BN33" s="1428" t="str">
        <f>IF($B33="","",IF(BN$4&gt;2,(BM33*(1+'Rent Roll Analysis'!$AK31/12)), IF(AND('Monthly Cash Flow'!BN$4&gt;1,'Monthly Cash Flow'!BN$4&lt;=2),'Monthly Cash Flow'!BM33*(1+'Rent Roll Analysis'!$AE31/12),'Monthly Cash Flow'!BM33*(1+'Rent Roll Analysis'!$AB31/12))))</f>
        <v/>
      </c>
      <c r="BO33" s="1428" t="str">
        <f>IF($B33="","",IF(BO$4&gt;2,(BN33*(1+'Rent Roll Analysis'!$AK31/12)), IF(AND('Monthly Cash Flow'!BO$4&gt;1,'Monthly Cash Flow'!BO$4&lt;=2),'Monthly Cash Flow'!BN33*(1+'Rent Roll Analysis'!$AE31/12),'Monthly Cash Flow'!BN33*(1+'Rent Roll Analysis'!$AB31/12))))</f>
        <v/>
      </c>
      <c r="BP33" s="1428" t="str">
        <f>IF($B33="","",IF(BP$4&gt;2,(BO33*(1+'Rent Roll Analysis'!$AK31/12)), IF(AND('Monthly Cash Flow'!BP$4&gt;1,'Monthly Cash Flow'!BP$4&lt;=2),'Monthly Cash Flow'!BO33*(1+'Rent Roll Analysis'!$AE31/12),'Monthly Cash Flow'!BO33*(1+'Rent Roll Analysis'!$AB31/12))))</f>
        <v/>
      </c>
      <c r="BQ33" s="1428" t="str">
        <f>IF($B33="","",IF(BQ$4&gt;2,(BP33*(1+'Rent Roll Analysis'!$AK31/12)), IF(AND('Monthly Cash Flow'!BQ$4&gt;1,'Monthly Cash Flow'!BQ$4&lt;=2),'Monthly Cash Flow'!BP33*(1+'Rent Roll Analysis'!$AE31/12),'Monthly Cash Flow'!BP33*(1+'Rent Roll Analysis'!$AB31/12))))</f>
        <v/>
      </c>
      <c r="BR33" s="1428" t="str">
        <f>IF($B33="","",IF(BR$4&gt;2,(BQ33*(1+'Rent Roll Analysis'!$AK31/12)), IF(AND('Monthly Cash Flow'!BR$4&gt;1,'Monthly Cash Flow'!BR$4&lt;=2),'Monthly Cash Flow'!BQ33*(1+'Rent Roll Analysis'!$AE31/12),'Monthly Cash Flow'!BQ33*(1+'Rent Roll Analysis'!$AB31/12))))</f>
        <v/>
      </c>
      <c r="BS33" s="1428" t="str">
        <f>IF($B33="","",IF(BS$4&gt;2,(BR33*(1+'Rent Roll Analysis'!$AK31/12)), IF(AND('Monthly Cash Flow'!BS$4&gt;1,'Monthly Cash Flow'!BS$4&lt;=2),'Monthly Cash Flow'!BR33*(1+'Rent Roll Analysis'!$AE31/12),'Monthly Cash Flow'!BR33*(1+'Rent Roll Analysis'!$AB31/12))))</f>
        <v/>
      </c>
      <c r="BT33" s="1428" t="str">
        <f>IF($B33="","",IF(BT$4&gt;2,(BS33*(1+'Rent Roll Analysis'!$AK31/12)), IF(AND('Monthly Cash Flow'!BT$4&gt;1,'Monthly Cash Flow'!BT$4&lt;=2),'Monthly Cash Flow'!BS33*(1+'Rent Roll Analysis'!$AE31/12),'Monthly Cash Flow'!BS33*(1+'Rent Roll Analysis'!$AB31/12))))</f>
        <v/>
      </c>
      <c r="BU33" s="1428" t="str">
        <f>IF($B33="","",IF(BU$4&gt;2,(BT33*(1+'Rent Roll Analysis'!$AK31/12)), IF(AND('Monthly Cash Flow'!BU$4&gt;1,'Monthly Cash Flow'!BU$4&lt;=2),'Monthly Cash Flow'!BT33*(1+'Rent Roll Analysis'!$AE31/12),'Monthly Cash Flow'!BT33*(1+'Rent Roll Analysis'!$AB31/12))))</f>
        <v/>
      </c>
      <c r="BV33" s="1428" t="str">
        <f>IF($B33="","",IF(BV$4&gt;2,(BU33*(1+'Rent Roll Analysis'!$AK31/12)), IF(AND('Monthly Cash Flow'!BV$4&gt;1,'Monthly Cash Flow'!BV$4&lt;=2),'Monthly Cash Flow'!BU33*(1+'Rent Roll Analysis'!$AE31/12),'Monthly Cash Flow'!BU33*(1+'Rent Roll Analysis'!$AB31/12))))</f>
        <v/>
      </c>
      <c r="BW33" s="1428" t="str">
        <f>IF($B33="","",IF(BW$4&gt;2,(BV33*(1+'Rent Roll Analysis'!$AK31/12)), IF(AND('Monthly Cash Flow'!BW$4&gt;1,'Monthly Cash Flow'!BW$4&lt;=2),'Monthly Cash Flow'!BV33*(1+'Rent Roll Analysis'!$AE31/12),'Monthly Cash Flow'!BV33*(1+'Rent Roll Analysis'!$AB31/12))))</f>
        <v/>
      </c>
      <c r="BX33" s="1428" t="str">
        <f>IF($B33="","",IF(BX$4&gt;2,(BW33*(1+'Rent Roll Analysis'!$AK31/12)), IF(AND('Monthly Cash Flow'!BX$4&gt;1,'Monthly Cash Flow'!BX$4&lt;=2),'Monthly Cash Flow'!BW33*(1+'Rent Roll Analysis'!$AE31/12),'Monthly Cash Flow'!BW33*(1+'Rent Roll Analysis'!$AB31/12))))</f>
        <v/>
      </c>
      <c r="BY33" s="1428" t="str">
        <f>IF($B33="","",IF(BY$4&gt;2,(BX33*(1+'Rent Roll Analysis'!$AK31/12)), IF(AND('Monthly Cash Flow'!BY$4&gt;1,'Monthly Cash Flow'!BY$4&lt;=2),'Monthly Cash Flow'!BX33*(1+'Rent Roll Analysis'!$AE31/12),'Monthly Cash Flow'!BX33*(1+'Rent Roll Analysis'!$AB31/12))))</f>
        <v/>
      </c>
      <c r="BZ33" s="1428" t="str">
        <f>IF($B33="","",IF(BZ$4&gt;2,(BY33*(1+'Rent Roll Analysis'!$AK31/12)), IF(AND('Monthly Cash Flow'!BZ$4&gt;1,'Monthly Cash Flow'!BZ$4&lt;=2),'Monthly Cash Flow'!BY33*(1+'Rent Roll Analysis'!$AE31/12),'Monthly Cash Flow'!BY33*(1+'Rent Roll Analysis'!$AB31/12))))</f>
        <v/>
      </c>
      <c r="CA33" s="1428" t="str">
        <f>IF($B33="","",IF(CA$4&gt;2,(BZ33*(1+'Rent Roll Analysis'!$AK31/12)), IF(AND('Monthly Cash Flow'!CA$4&gt;1,'Monthly Cash Flow'!CA$4&lt;=2),'Monthly Cash Flow'!BZ33*(1+'Rent Roll Analysis'!$AE31/12),'Monthly Cash Flow'!BZ33*(1+'Rent Roll Analysis'!$AB31/12))))</f>
        <v/>
      </c>
      <c r="CB33" s="1428" t="str">
        <f>IF($B33="","",IF(CB$4&gt;2,(CA33*(1+'Rent Roll Analysis'!$AK31/12)), IF(AND('Monthly Cash Flow'!CB$4&gt;1,'Monthly Cash Flow'!CB$4&lt;=2),'Monthly Cash Flow'!CA33*(1+'Rent Roll Analysis'!$AE31/12),'Monthly Cash Flow'!CA33*(1+'Rent Roll Analysis'!$AB31/12))))</f>
        <v/>
      </c>
      <c r="CC33" s="1428" t="str">
        <f>IF($B33="","",IF(CC$4&gt;2,(CB33*(1+'Rent Roll Analysis'!$AK31/12)), IF(AND('Monthly Cash Flow'!CC$4&gt;1,'Monthly Cash Flow'!CC$4&lt;=2),'Monthly Cash Flow'!CB33*(1+'Rent Roll Analysis'!$AE31/12),'Monthly Cash Flow'!CB33*(1+'Rent Roll Analysis'!$AB31/12))))</f>
        <v/>
      </c>
      <c r="CD33" s="1428" t="str">
        <f>IF($B33="","",IF(CD$4&gt;2,(CC33*(1+'Rent Roll Analysis'!$AK31/12)), IF(AND('Monthly Cash Flow'!CD$4&gt;1,'Monthly Cash Flow'!CD$4&lt;=2),'Monthly Cash Flow'!CC33*(1+'Rent Roll Analysis'!$AE31/12),'Monthly Cash Flow'!CC33*(1+'Rent Roll Analysis'!$AB31/12))))</f>
        <v/>
      </c>
      <c r="CE33" s="1428" t="str">
        <f>IF($B33="","",IF(CE$4&gt;2,(CD33*(1+'Rent Roll Analysis'!$AK31/12)), IF(AND('Monthly Cash Flow'!CE$4&gt;1,'Monthly Cash Flow'!CE$4&lt;=2),'Monthly Cash Flow'!CD33*(1+'Rent Roll Analysis'!$AE31/12),'Monthly Cash Flow'!CD33*(1+'Rent Roll Analysis'!$AB31/12))))</f>
        <v/>
      </c>
      <c r="CF33" s="1428" t="str">
        <f>IF($B33="","",IF(CF$4&gt;2,(CE33*(1+'Rent Roll Analysis'!$AK31/12)), IF(AND('Monthly Cash Flow'!CF$4&gt;1,'Monthly Cash Flow'!CF$4&lt;=2),'Monthly Cash Flow'!CE33*(1+'Rent Roll Analysis'!$AE31/12),'Monthly Cash Flow'!CE33*(1+'Rent Roll Analysis'!$AB31/12))))</f>
        <v/>
      </c>
      <c r="CG33" s="1428" t="str">
        <f>IF($B33="","",IF(CG$4&gt;2,(CF33*(1+'Rent Roll Analysis'!$AK31/12)), IF(AND('Monthly Cash Flow'!CG$4&gt;1,'Monthly Cash Flow'!CG$4&lt;=2),'Monthly Cash Flow'!CF33*(1+'Rent Roll Analysis'!$AE31/12),'Monthly Cash Flow'!CF33*(1+'Rent Roll Analysis'!$AB31/12))))</f>
        <v/>
      </c>
      <c r="CH33" s="1428" t="str">
        <f>IF($B33="","",IF(CH$4&gt;2,(CG33*(1+'Rent Roll Analysis'!$AK31/12)), IF(AND('Monthly Cash Flow'!CH$4&gt;1,'Monthly Cash Flow'!CH$4&lt;=2),'Monthly Cash Flow'!CG33*(1+'Rent Roll Analysis'!$AE31/12),'Monthly Cash Flow'!CG33*(1+'Rent Roll Analysis'!$AB31/12))))</f>
        <v/>
      </c>
      <c r="CI33" s="1428" t="str">
        <f>IF($B33="","",IF(CI$4&gt;2,(CH33*(1+'Rent Roll Analysis'!$AK31/12)), IF(AND('Monthly Cash Flow'!CI$4&gt;1,'Monthly Cash Flow'!CI$4&lt;=2),'Monthly Cash Flow'!CH33*(1+'Rent Roll Analysis'!$AE31/12),'Monthly Cash Flow'!CH33*(1+'Rent Roll Analysis'!$AB31/12))))</f>
        <v/>
      </c>
      <c r="CJ33" s="1428" t="str">
        <f>IF($B33="","",IF(CJ$4&gt;2,(CI33*(1+'Rent Roll Analysis'!$AK31/12)), IF(AND('Monthly Cash Flow'!CJ$4&gt;1,'Monthly Cash Flow'!CJ$4&lt;=2),'Monthly Cash Flow'!CI33*(1+'Rent Roll Analysis'!$AE31/12),'Monthly Cash Flow'!CI33*(1+'Rent Roll Analysis'!$AB31/12))))</f>
        <v/>
      </c>
      <c r="CK33" s="1428" t="str">
        <f>IF($B33="","",IF(CK$4&gt;2,(CJ33*(1+'Rent Roll Analysis'!$AK31/12)), IF(AND('Monthly Cash Flow'!CK$4&gt;1,'Monthly Cash Flow'!CK$4&lt;=2),'Monthly Cash Flow'!CJ33*(1+'Rent Roll Analysis'!$AE31/12),'Monthly Cash Flow'!CJ33*(1+'Rent Roll Analysis'!$AB31/12))))</f>
        <v/>
      </c>
      <c r="CL33" s="1428" t="str">
        <f>IF($B33="","",IF(CL$4&gt;2,(CK33*(1+'Rent Roll Analysis'!$AK31/12)), IF(AND('Monthly Cash Flow'!CL$4&gt;1,'Monthly Cash Flow'!CL$4&lt;=2),'Monthly Cash Flow'!CK33*(1+'Rent Roll Analysis'!$AE31/12),'Monthly Cash Flow'!CK33*(1+'Rent Roll Analysis'!$AB31/12))))</f>
        <v/>
      </c>
      <c r="CM33" s="1428" t="str">
        <f>IF($B33="","",IF(CM$4&gt;2,(CL33*(1+'Rent Roll Analysis'!$AK31/12)), IF(AND('Monthly Cash Flow'!CM$4&gt;1,'Monthly Cash Flow'!CM$4&lt;=2),'Monthly Cash Flow'!CL33*(1+'Rent Roll Analysis'!$AE31/12),'Monthly Cash Flow'!CL33*(1+'Rent Roll Analysis'!$AB31/12))))</f>
        <v/>
      </c>
      <c r="CN33" s="1428" t="str">
        <f>IF($B33="","",IF(CN$4&gt;2,(CM33*(1+'Rent Roll Analysis'!$AK31/12)), IF(AND('Monthly Cash Flow'!CN$4&gt;1,'Monthly Cash Flow'!CN$4&lt;=2),'Monthly Cash Flow'!CM33*(1+'Rent Roll Analysis'!$AE31/12),'Monthly Cash Flow'!CM33*(1+'Rent Roll Analysis'!$AB31/12))))</f>
        <v/>
      </c>
      <c r="CO33" s="1428" t="str">
        <f>IF($B33="","",IF(CO$4&gt;2,(CN33*(1+'Rent Roll Analysis'!$AK31/12)), IF(AND('Monthly Cash Flow'!CO$4&gt;1,'Monthly Cash Flow'!CO$4&lt;=2),'Monthly Cash Flow'!CN33*(1+'Rent Roll Analysis'!$AE31/12),'Monthly Cash Flow'!CN33*(1+'Rent Roll Analysis'!$AB31/12))))</f>
        <v/>
      </c>
      <c r="CP33" s="1428" t="str">
        <f>IF($B33="","",IF(CP$4&gt;2,(CO33*(1+'Rent Roll Analysis'!$AK31/12)), IF(AND('Monthly Cash Flow'!CP$4&gt;1,'Monthly Cash Flow'!CP$4&lt;=2),'Monthly Cash Flow'!CO33*(1+'Rent Roll Analysis'!$AE31/12),'Monthly Cash Flow'!CO33*(1+'Rent Roll Analysis'!$AB31/12))))</f>
        <v/>
      </c>
      <c r="CQ33" s="1428" t="str">
        <f>IF($B33="","",IF(CQ$4&gt;2,(CP33*(1+'Rent Roll Analysis'!$AK31/12)), IF(AND('Monthly Cash Flow'!CQ$4&gt;1,'Monthly Cash Flow'!CQ$4&lt;=2),'Monthly Cash Flow'!CP33*(1+'Rent Roll Analysis'!$AE31/12),'Monthly Cash Flow'!CP33*(1+'Rent Roll Analysis'!$AB31/12))))</f>
        <v/>
      </c>
      <c r="CR33" s="1428" t="str">
        <f>IF($B33="","",IF(CR$4&gt;2,(CQ33*(1+'Rent Roll Analysis'!$AK31/12)), IF(AND('Monthly Cash Flow'!CR$4&gt;1,'Monthly Cash Flow'!CR$4&lt;=2),'Monthly Cash Flow'!CQ33*(1+'Rent Roll Analysis'!$AE31/12),'Monthly Cash Flow'!CQ33*(1+'Rent Roll Analysis'!$AB31/12))))</f>
        <v/>
      </c>
      <c r="CS33" s="1428" t="str">
        <f>IF($B33="","",IF(CS$4&gt;2,(CR33*(1+'Rent Roll Analysis'!$AK31/12)), IF(AND('Monthly Cash Flow'!CS$4&gt;1,'Monthly Cash Flow'!CS$4&lt;=2),'Monthly Cash Flow'!CR33*(1+'Rent Roll Analysis'!$AE31/12),'Monthly Cash Flow'!CR33*(1+'Rent Roll Analysis'!$AB31/12))))</f>
        <v/>
      </c>
      <c r="CT33" s="1428" t="str">
        <f>IF($B33="","",IF(CT$4&gt;2,(CS33*(1+'Rent Roll Analysis'!$AK31/12)), IF(AND('Monthly Cash Flow'!CT$4&gt;1,'Monthly Cash Flow'!CT$4&lt;=2),'Monthly Cash Flow'!CS33*(1+'Rent Roll Analysis'!$AE31/12),'Monthly Cash Flow'!CS33*(1+'Rent Roll Analysis'!$AB31/12))))</f>
        <v/>
      </c>
      <c r="CU33" s="1428" t="str">
        <f>IF($B33="","",IF(CU$4&gt;2,(CT33*(1+'Rent Roll Analysis'!$AK31/12)), IF(AND('Monthly Cash Flow'!CU$4&gt;1,'Monthly Cash Flow'!CU$4&lt;=2),'Monthly Cash Flow'!CT33*(1+'Rent Roll Analysis'!$AE31/12),'Monthly Cash Flow'!CT33*(1+'Rent Roll Analysis'!$AB31/12))))</f>
        <v/>
      </c>
      <c r="CV33" s="1428" t="str">
        <f>IF($B33="","",IF(CV$4&gt;2,(CU33*(1+'Rent Roll Analysis'!$AK31/12)), IF(AND('Monthly Cash Flow'!CV$4&gt;1,'Monthly Cash Flow'!CV$4&lt;=2),'Monthly Cash Flow'!CU33*(1+'Rent Roll Analysis'!$AE31/12),'Monthly Cash Flow'!CU33*(1+'Rent Roll Analysis'!$AB31/12))))</f>
        <v/>
      </c>
      <c r="CW33" s="1428" t="str">
        <f>IF($B33="","",IF(CW$4&gt;2,(CV33*(1+'Rent Roll Analysis'!$AK31/12)), IF(AND('Monthly Cash Flow'!CW$4&gt;1,'Monthly Cash Flow'!CW$4&lt;=2),'Monthly Cash Flow'!CV33*(1+'Rent Roll Analysis'!$AE31/12),'Monthly Cash Flow'!CV33*(1+'Rent Roll Analysis'!$AB31/12))))</f>
        <v/>
      </c>
      <c r="CX33" s="1428" t="str">
        <f>IF($B33="","",IF(CX$4&gt;2,(CW33*(1+'Rent Roll Analysis'!$AK31/12)), IF(AND('Monthly Cash Flow'!CX$4&gt;1,'Monthly Cash Flow'!CX$4&lt;=2),'Monthly Cash Flow'!CW33*(1+'Rent Roll Analysis'!$AE31/12),'Monthly Cash Flow'!CW33*(1+'Rent Roll Analysis'!$AB31/12))))</f>
        <v/>
      </c>
      <c r="CY33" s="1428" t="str">
        <f>IF($B33="","",IF(CY$4&gt;2,(CX33*(1+'Rent Roll Analysis'!$AK31/12)), IF(AND('Monthly Cash Flow'!CY$4&gt;1,'Monthly Cash Flow'!CY$4&lt;=2),'Monthly Cash Flow'!CX33*(1+'Rent Roll Analysis'!$AE31/12),'Monthly Cash Flow'!CX33*(1+'Rent Roll Analysis'!$AB31/12))))</f>
        <v/>
      </c>
      <c r="CZ33" s="1428" t="str">
        <f>IF($B33="","",IF(CZ$4&gt;2,(CY33*(1+'Rent Roll Analysis'!$AK31/12)), IF(AND('Monthly Cash Flow'!CZ$4&gt;1,'Monthly Cash Flow'!CZ$4&lt;=2),'Monthly Cash Flow'!CY33*(1+'Rent Roll Analysis'!$AE31/12),'Monthly Cash Flow'!CY33*(1+'Rent Roll Analysis'!$AB31/12))))</f>
        <v/>
      </c>
      <c r="DA33" s="1428" t="str">
        <f>IF($B33="","",IF(DA$4&gt;2,(CZ33*(1+'Rent Roll Analysis'!$AK31/12)), IF(AND('Monthly Cash Flow'!DA$4&gt;1,'Monthly Cash Flow'!DA$4&lt;=2),'Monthly Cash Flow'!CZ33*(1+'Rent Roll Analysis'!$AE31/12),'Monthly Cash Flow'!CZ33*(1+'Rent Roll Analysis'!$AB31/12))))</f>
        <v/>
      </c>
      <c r="DB33" s="1428" t="str">
        <f>IF($B33="","",IF(DB$4&gt;2,(DA33*(1+'Rent Roll Analysis'!$AK31/12)), IF(AND('Monthly Cash Flow'!DB$4&gt;1,'Monthly Cash Flow'!DB$4&lt;=2),'Monthly Cash Flow'!DA33*(1+'Rent Roll Analysis'!$AE31/12),'Monthly Cash Flow'!DA33*(1+'Rent Roll Analysis'!$AB31/12))))</f>
        <v/>
      </c>
      <c r="DC33" s="1428" t="str">
        <f>IF($B33="","",IF(DC$4&gt;2,(DB33*(1+'Rent Roll Analysis'!$AK31/12)), IF(AND('Monthly Cash Flow'!DC$4&gt;1,'Monthly Cash Flow'!DC$4&lt;=2),'Monthly Cash Flow'!DB33*(1+'Rent Roll Analysis'!$AE31/12),'Monthly Cash Flow'!DB33*(1+'Rent Roll Analysis'!$AB31/12))))</f>
        <v/>
      </c>
      <c r="DD33" s="1428" t="str">
        <f>IF($B33="","",IF(DD$4&gt;2,(DC33*(1+'Rent Roll Analysis'!$AK31/12)), IF(AND('Monthly Cash Flow'!DD$4&gt;1,'Monthly Cash Flow'!DD$4&lt;=2),'Monthly Cash Flow'!DC33*(1+'Rent Roll Analysis'!$AE31/12),'Monthly Cash Flow'!DC33*(1+'Rent Roll Analysis'!$AB31/12))))</f>
        <v/>
      </c>
      <c r="DE33" s="1428" t="str">
        <f>IF($B33="","",IF(DE$4&gt;2,(DD33*(1+'Rent Roll Analysis'!$AK31/12)), IF(AND('Monthly Cash Flow'!DE$4&gt;1,'Monthly Cash Flow'!DE$4&lt;=2),'Monthly Cash Flow'!DD33*(1+'Rent Roll Analysis'!$AE31/12),'Monthly Cash Flow'!DD33*(1+'Rent Roll Analysis'!$AB31/12))))</f>
        <v/>
      </c>
      <c r="DF33" s="1428" t="str">
        <f>IF($B33="","",IF(DF$4&gt;2,(DE33*(1+'Rent Roll Analysis'!$AK31/12)), IF(AND('Monthly Cash Flow'!DF$4&gt;1,'Monthly Cash Flow'!DF$4&lt;=2),'Monthly Cash Flow'!DE33*(1+'Rent Roll Analysis'!$AE31/12),'Monthly Cash Flow'!DE33*(1+'Rent Roll Analysis'!$AB31/12))))</f>
        <v/>
      </c>
      <c r="DG33" s="1428" t="str">
        <f>IF($B33="","",IF(DG$4&gt;2,(DF33*(1+'Rent Roll Analysis'!$AK31/12)), IF(AND('Monthly Cash Flow'!DG$4&gt;1,'Monthly Cash Flow'!DG$4&lt;=2),'Monthly Cash Flow'!DF33*(1+'Rent Roll Analysis'!$AE31/12),'Monthly Cash Flow'!DF33*(1+'Rent Roll Analysis'!$AB31/12))))</f>
        <v/>
      </c>
      <c r="DH33" s="1428" t="str">
        <f>IF($B33="","",IF(DH$4&gt;2,(DG33*(1+'Rent Roll Analysis'!$AK31/12)), IF(AND('Monthly Cash Flow'!DH$4&gt;1,'Monthly Cash Flow'!DH$4&lt;=2),'Monthly Cash Flow'!DG33*(1+'Rent Roll Analysis'!$AE31/12),'Monthly Cash Flow'!DG33*(1+'Rent Roll Analysis'!$AB31/12))))</f>
        <v/>
      </c>
      <c r="DI33" s="1428" t="str">
        <f>IF($B33="","",IF(DI$4&gt;2,(DH33*(1+'Rent Roll Analysis'!$AK31/12)), IF(AND('Monthly Cash Flow'!DI$4&gt;1,'Monthly Cash Flow'!DI$4&lt;=2),'Monthly Cash Flow'!DH33*(1+'Rent Roll Analysis'!$AE31/12),'Monthly Cash Flow'!DH33*(1+'Rent Roll Analysis'!$AB31/12))))</f>
        <v/>
      </c>
      <c r="DJ33" s="1428" t="str">
        <f>IF($B33="","",IF(DJ$4&gt;2,(DI33*(1+'Rent Roll Analysis'!$AK31/12)), IF(AND('Monthly Cash Flow'!DJ$4&gt;1,'Monthly Cash Flow'!DJ$4&lt;=2),'Monthly Cash Flow'!DI33*(1+'Rent Roll Analysis'!$AE31/12),'Monthly Cash Flow'!DI33*(1+'Rent Roll Analysis'!$AB31/12))))</f>
        <v/>
      </c>
      <c r="DK33" s="1428" t="str">
        <f>IF($B33="","",IF(DK$4&gt;2,(DJ33*(1+'Rent Roll Analysis'!$AK31/12)), IF(AND('Monthly Cash Flow'!DK$4&gt;1,'Monthly Cash Flow'!DK$4&lt;=2),'Monthly Cash Flow'!DJ33*(1+'Rent Roll Analysis'!$AE31/12),'Monthly Cash Flow'!DJ33*(1+'Rent Roll Analysis'!$AB31/12))))</f>
        <v/>
      </c>
      <c r="DL33" s="1428" t="str">
        <f>IF($B33="","",IF(DL$4&gt;2,(DK33*(1+'Rent Roll Analysis'!$AK31/12)), IF(AND('Monthly Cash Flow'!DL$4&gt;1,'Monthly Cash Flow'!DL$4&lt;=2),'Monthly Cash Flow'!DK33*(1+'Rent Roll Analysis'!$AE31/12),'Monthly Cash Flow'!DK33*(1+'Rent Roll Analysis'!$AB31/12))))</f>
        <v/>
      </c>
      <c r="DM33" s="1428" t="str">
        <f>IF($B33="","",IF(DM$4&gt;2,(DL33*(1+'Rent Roll Analysis'!$AK31/12)), IF(AND('Monthly Cash Flow'!DM$4&gt;1,'Monthly Cash Flow'!DM$4&lt;=2),'Monthly Cash Flow'!DL33*(1+'Rent Roll Analysis'!$AE31/12),'Monthly Cash Flow'!DL33*(1+'Rent Roll Analysis'!$AB31/12))))</f>
        <v/>
      </c>
      <c r="DN33" s="1428" t="str">
        <f>IF($B33="","",IF(DN$4&gt;2,(DM33*(1+'Rent Roll Analysis'!$AK31/12)), IF(AND('Monthly Cash Flow'!DN$4&gt;1,'Monthly Cash Flow'!DN$4&lt;=2),'Monthly Cash Flow'!DM33*(1+'Rent Roll Analysis'!$AE31/12),'Monthly Cash Flow'!DM33*(1+'Rent Roll Analysis'!$AB31/12))))</f>
        <v/>
      </c>
      <c r="DO33" s="1428" t="str">
        <f>IF($B33="","",IF(DO$4&gt;2,(DN33*(1+'Rent Roll Analysis'!$AK31/12)), IF(AND('Monthly Cash Flow'!DO$4&gt;1,'Monthly Cash Flow'!DO$4&lt;=2),'Monthly Cash Flow'!DN33*(1+'Rent Roll Analysis'!$AE31/12),'Monthly Cash Flow'!DN33*(1+'Rent Roll Analysis'!$AB31/12))))</f>
        <v/>
      </c>
      <c r="DP33" s="1428" t="str">
        <f>IF($B33="","",IF(DP$4&gt;2,(DO33*(1+'Rent Roll Analysis'!$AK31/12)), IF(AND('Monthly Cash Flow'!DP$4&gt;1,'Monthly Cash Flow'!DP$4&lt;=2),'Monthly Cash Flow'!DO33*(1+'Rent Roll Analysis'!$AE31/12),'Monthly Cash Flow'!DO33*(1+'Rent Roll Analysis'!$AB31/12))))</f>
        <v/>
      </c>
      <c r="DQ33" s="1428" t="str">
        <f>IF($B33="","",IF(DQ$4&gt;2,(DP33*(1+'Rent Roll Analysis'!$AK31/12)), IF(AND('Monthly Cash Flow'!DQ$4&gt;1,'Monthly Cash Flow'!DQ$4&lt;=2),'Monthly Cash Flow'!DP33*(1+'Rent Roll Analysis'!$AE31/12),'Monthly Cash Flow'!DP33*(1+'Rent Roll Analysis'!$AB31/12))))</f>
        <v/>
      </c>
      <c r="DR33" s="1428" t="str">
        <f>IF($B33="","",IF(DR$4&gt;2,(DQ33*(1+'Rent Roll Analysis'!$AK31/12)), IF(AND('Monthly Cash Flow'!DR$4&gt;1,'Monthly Cash Flow'!DR$4&lt;=2),'Monthly Cash Flow'!DQ33*(1+'Rent Roll Analysis'!$AE31/12),'Monthly Cash Flow'!DQ33*(1+'Rent Roll Analysis'!$AB31/12))))</f>
        <v/>
      </c>
      <c r="DS33" s="1428" t="str">
        <f>IF($B33="","",IF(DS$4&gt;2,(DR33*(1+'Rent Roll Analysis'!$AK31/12)), IF(AND('Monthly Cash Flow'!DS$4&gt;1,'Monthly Cash Flow'!DS$4&lt;=2),'Monthly Cash Flow'!DR33*(1+'Rent Roll Analysis'!$AE31/12),'Monthly Cash Flow'!DR33*(1+'Rent Roll Analysis'!$AB31/12))))</f>
        <v/>
      </c>
      <c r="DT33" s="1428" t="str">
        <f>IF($B33="","",IF(DT$4&gt;2,(DS33*(1+'Rent Roll Analysis'!$AK31/12)), IF(AND('Monthly Cash Flow'!DT$4&gt;1,'Monthly Cash Flow'!DT$4&lt;=2),'Monthly Cash Flow'!DS33*(1+'Rent Roll Analysis'!$AE31/12),'Monthly Cash Flow'!DS33*(1+'Rent Roll Analysis'!$AB31/12))))</f>
        <v/>
      </c>
      <c r="DU33" s="385" t="s">
        <v>557</v>
      </c>
      <c r="DV33" s="375"/>
    </row>
    <row r="34" spans="1:126" s="92" customFormat="1" ht="20.149999999999999" customHeight="1" outlineLevel="1">
      <c r="A34" s="375"/>
      <c r="B34" s="383" t="str">
        <f>'Rent Roll Analysis'!C32</f>
        <v/>
      </c>
      <c r="C34" s="376"/>
      <c r="D34" s="1426" t="str">
        <f>IF('Rent Roll Analysis'!C32="","",'Rent Roll Analysis'!N32*'Rent Roll Analysis'!E32)</f>
        <v/>
      </c>
      <c r="E34" s="1428" t="str">
        <f t="shared" si="113"/>
        <v/>
      </c>
      <c r="F34" s="1428" t="str">
        <f>IF($B34="","",IF(F$4&gt;2,(E34*(1+'Rent Roll Analysis'!$AK32/12)), IF(AND('Monthly Cash Flow'!F$4&gt;1,'Monthly Cash Flow'!F$4&lt;=2),'Monthly Cash Flow'!E34*(1+'Rent Roll Analysis'!$AE32/12),'Monthly Cash Flow'!E34*(1+'Rent Roll Analysis'!$AB32/12))))</f>
        <v/>
      </c>
      <c r="G34" s="1428" t="str">
        <f>IF($B34="","",IF(G$4&gt;2,(F34*(1+'Rent Roll Analysis'!$AK32/12)), IF(AND('Monthly Cash Flow'!G$4&gt;1,'Monthly Cash Flow'!G$4&lt;=2),'Monthly Cash Flow'!F34*(1+'Rent Roll Analysis'!$AE32/12),'Monthly Cash Flow'!F34*(1+'Rent Roll Analysis'!$AB32/12))))</f>
        <v/>
      </c>
      <c r="H34" s="1428" t="str">
        <f>IF($B34="","",IF(H$4&gt;2,(G34*(1+'Rent Roll Analysis'!$AK32/12)), IF(AND('Monthly Cash Flow'!H$4&gt;1,'Monthly Cash Flow'!H$4&lt;=2),'Monthly Cash Flow'!G34*(1+'Rent Roll Analysis'!$AE32/12),'Monthly Cash Flow'!G34*(1+'Rent Roll Analysis'!$AB32/12))))</f>
        <v/>
      </c>
      <c r="I34" s="1428" t="str">
        <f>IF($B34="","",IF(I$4&gt;2,(H34*(1+'Rent Roll Analysis'!$AK32/12)), IF(AND('Monthly Cash Flow'!I$4&gt;1,'Monthly Cash Flow'!I$4&lt;=2),'Monthly Cash Flow'!H34*(1+'Rent Roll Analysis'!$AE32/12),'Monthly Cash Flow'!H34*(1+'Rent Roll Analysis'!$AB32/12))))</f>
        <v/>
      </c>
      <c r="J34" s="1428" t="str">
        <f>IF($B34="","",IF(J$4&gt;2,(I34*(1+'Rent Roll Analysis'!$AK32/12)), IF(AND('Monthly Cash Flow'!J$4&gt;1,'Monthly Cash Flow'!J$4&lt;=2),'Monthly Cash Flow'!I34*(1+'Rent Roll Analysis'!$AE32/12),'Monthly Cash Flow'!I34*(1+'Rent Roll Analysis'!$AB32/12))))</f>
        <v/>
      </c>
      <c r="K34" s="1428" t="str">
        <f>IF($B34="","",IF(K$4&gt;2,(J34*(1+'Rent Roll Analysis'!$AK32/12)), IF(AND('Monthly Cash Flow'!K$4&gt;1,'Monthly Cash Flow'!K$4&lt;=2),'Monthly Cash Flow'!J34*(1+'Rent Roll Analysis'!$AE32/12),'Monthly Cash Flow'!J34*(1+'Rent Roll Analysis'!$AB32/12))))</f>
        <v/>
      </c>
      <c r="L34" s="1428" t="str">
        <f>IF($B34="","",IF(L$4&gt;2,(K34*(1+'Rent Roll Analysis'!$AK32/12)), IF(AND('Monthly Cash Flow'!L$4&gt;1,'Monthly Cash Flow'!L$4&lt;=2),'Monthly Cash Flow'!K34*(1+'Rent Roll Analysis'!$AE32/12),'Monthly Cash Flow'!K34*(1+'Rent Roll Analysis'!$AB32/12))))</f>
        <v/>
      </c>
      <c r="M34" s="1428" t="str">
        <f>IF($B34="","",IF(M$4&gt;2,(L34*(1+'Rent Roll Analysis'!$AK32/12)), IF(AND('Monthly Cash Flow'!M$4&gt;1,'Monthly Cash Flow'!M$4&lt;=2),'Monthly Cash Flow'!L34*(1+'Rent Roll Analysis'!$AE32/12),'Monthly Cash Flow'!L34*(1+'Rent Roll Analysis'!$AB32/12))))</f>
        <v/>
      </c>
      <c r="N34" s="1428" t="str">
        <f>IF($B34="","",IF(N$4&gt;2,(M34*(1+'Rent Roll Analysis'!$AK32/12)), IF(AND('Monthly Cash Flow'!N$4&gt;1,'Monthly Cash Flow'!N$4&lt;=2),'Monthly Cash Flow'!M34*(1+'Rent Roll Analysis'!$AE32/12),'Monthly Cash Flow'!M34*(1+'Rent Roll Analysis'!$AB32/12))))</f>
        <v/>
      </c>
      <c r="O34" s="1428" t="str">
        <f>IF($B34="","",IF(O$4&gt;2,(N34*(1+'Rent Roll Analysis'!$AK32/12)), IF(AND('Monthly Cash Flow'!O$4&gt;1,'Monthly Cash Flow'!O$4&lt;=2),'Monthly Cash Flow'!N34*(1+'Rent Roll Analysis'!$AE32/12),'Monthly Cash Flow'!N34*(1+'Rent Roll Analysis'!$AB32/12))))</f>
        <v/>
      </c>
      <c r="P34" s="1428" t="str">
        <f>IF($B34="","",IF(P$4&gt;2,(O34*(1+'Rent Roll Analysis'!$AK32/12)), IF(AND('Monthly Cash Flow'!P$4&gt;1,'Monthly Cash Flow'!P$4&lt;=2),'Monthly Cash Flow'!O34*(1+'Rent Roll Analysis'!$AE32/12),'Monthly Cash Flow'!O34*(1+'Rent Roll Analysis'!$AB32/12))))</f>
        <v/>
      </c>
      <c r="Q34" s="1428" t="str">
        <f>IF($B34="","",IF(Q$4&gt;2,(P34*(1+'Rent Roll Analysis'!$AK32/12)), IF(AND('Monthly Cash Flow'!Q$4&gt;1,'Monthly Cash Flow'!Q$4&lt;=2),'Monthly Cash Flow'!P34*(1+'Rent Roll Analysis'!$AE32/12),'Monthly Cash Flow'!P34*(1+'Rent Roll Analysis'!$AB32/12))))</f>
        <v/>
      </c>
      <c r="R34" s="1428" t="str">
        <f>IF($B34="","",IF(R$4&gt;2,(Q34*(1+'Rent Roll Analysis'!$AK32/12)), IF(AND('Monthly Cash Flow'!R$4&gt;1,'Monthly Cash Flow'!R$4&lt;=2),'Monthly Cash Flow'!Q34*(1+'Rent Roll Analysis'!$AE32/12),'Monthly Cash Flow'!Q34*(1+'Rent Roll Analysis'!$AB32/12))))</f>
        <v/>
      </c>
      <c r="S34" s="1428" t="str">
        <f>IF($B34="","",IF(S$4&gt;2,(R34*(1+'Rent Roll Analysis'!$AK32/12)), IF(AND('Monthly Cash Flow'!S$4&gt;1,'Monthly Cash Flow'!S$4&lt;=2),'Monthly Cash Flow'!R34*(1+'Rent Roll Analysis'!$AE32/12),'Monthly Cash Flow'!R34*(1+'Rent Roll Analysis'!$AB32/12))))</f>
        <v/>
      </c>
      <c r="T34" s="1428" t="str">
        <f>IF($B34="","",IF(T$4&gt;2,(S34*(1+'Rent Roll Analysis'!$AK32/12)), IF(AND('Monthly Cash Flow'!T$4&gt;1,'Monthly Cash Flow'!T$4&lt;=2),'Monthly Cash Flow'!S34*(1+'Rent Roll Analysis'!$AE32/12),'Monthly Cash Flow'!S34*(1+'Rent Roll Analysis'!$AB32/12))))</f>
        <v/>
      </c>
      <c r="U34" s="1428" t="str">
        <f>IF($B34="","",IF(U$4&gt;2,(T34*(1+'Rent Roll Analysis'!$AK32/12)), IF(AND('Monthly Cash Flow'!U$4&gt;1,'Monthly Cash Flow'!U$4&lt;=2),'Monthly Cash Flow'!T34*(1+'Rent Roll Analysis'!$AE32/12),'Monthly Cash Flow'!T34*(1+'Rent Roll Analysis'!$AB32/12))))</f>
        <v/>
      </c>
      <c r="V34" s="1428" t="str">
        <f>IF($B34="","",IF(V$4&gt;2,(U34*(1+'Rent Roll Analysis'!$AK32/12)), IF(AND('Monthly Cash Flow'!V$4&gt;1,'Monthly Cash Flow'!V$4&lt;=2),'Monthly Cash Flow'!U34*(1+'Rent Roll Analysis'!$AE32/12),'Monthly Cash Flow'!U34*(1+'Rent Roll Analysis'!$AB32/12))))</f>
        <v/>
      </c>
      <c r="W34" s="1428" t="str">
        <f>IF($B34="","",IF(W$4&gt;2,(V34*(1+'Rent Roll Analysis'!$AK32/12)), IF(AND('Monthly Cash Flow'!W$4&gt;1,'Monthly Cash Flow'!W$4&lt;=2),'Monthly Cash Flow'!V34*(1+'Rent Roll Analysis'!$AE32/12),'Monthly Cash Flow'!V34*(1+'Rent Roll Analysis'!$AB32/12))))</f>
        <v/>
      </c>
      <c r="X34" s="1428" t="str">
        <f>IF($B34="","",IF(X$4&gt;2,(W34*(1+'Rent Roll Analysis'!$AK32/12)), IF(AND('Monthly Cash Flow'!X$4&gt;1,'Monthly Cash Flow'!X$4&lt;=2),'Monthly Cash Flow'!W34*(1+'Rent Roll Analysis'!$AE32/12),'Monthly Cash Flow'!W34*(1+'Rent Roll Analysis'!$AB32/12))))</f>
        <v/>
      </c>
      <c r="Y34" s="1428" t="str">
        <f>IF($B34="","",IF(Y$4&gt;2,(X34*(1+'Rent Roll Analysis'!$AK32/12)), IF(AND('Monthly Cash Flow'!Y$4&gt;1,'Monthly Cash Flow'!Y$4&lt;=2),'Monthly Cash Flow'!X34*(1+'Rent Roll Analysis'!$AE32/12),'Monthly Cash Flow'!X34*(1+'Rent Roll Analysis'!$AB32/12))))</f>
        <v/>
      </c>
      <c r="Z34" s="1428" t="str">
        <f>IF($B34="","",IF(Z$4&gt;2,(Y34*(1+'Rent Roll Analysis'!$AK32/12)), IF(AND('Monthly Cash Flow'!Z$4&gt;1,'Monthly Cash Flow'!Z$4&lt;=2),'Monthly Cash Flow'!Y34*(1+'Rent Roll Analysis'!$AE32/12),'Monthly Cash Flow'!Y34*(1+'Rent Roll Analysis'!$AB32/12))))</f>
        <v/>
      </c>
      <c r="AA34" s="1428" t="str">
        <f>IF($B34="","",IF(AA$4&gt;2,(Z34*(1+'Rent Roll Analysis'!$AK32/12)), IF(AND('Monthly Cash Flow'!AA$4&gt;1,'Monthly Cash Flow'!AA$4&lt;=2),'Monthly Cash Flow'!Z34*(1+'Rent Roll Analysis'!$AE32/12),'Monthly Cash Flow'!Z34*(1+'Rent Roll Analysis'!$AB32/12))))</f>
        <v/>
      </c>
      <c r="AB34" s="1428" t="str">
        <f>IF($B34="","",IF(AB$4&gt;2,(AA34*(1+'Rent Roll Analysis'!$AK32/12)), IF(AND('Monthly Cash Flow'!AB$4&gt;1,'Monthly Cash Flow'!AB$4&lt;=2),'Monthly Cash Flow'!AA34*(1+'Rent Roll Analysis'!$AE32/12),'Monthly Cash Flow'!AA34*(1+'Rent Roll Analysis'!$AB32/12))))</f>
        <v/>
      </c>
      <c r="AC34" s="1428" t="str">
        <f>IF($B34="","",IF(AC$4&gt;2,(AB34*(1+'Rent Roll Analysis'!$AK32/12)), IF(AND('Monthly Cash Flow'!AC$4&gt;1,'Monthly Cash Flow'!AC$4&lt;=2),'Monthly Cash Flow'!AB34*(1+'Rent Roll Analysis'!$AE32/12),'Monthly Cash Flow'!AB34*(1+'Rent Roll Analysis'!$AB32/12))))</f>
        <v/>
      </c>
      <c r="AD34" s="1428" t="str">
        <f>IF($B34="","",IF(AD$4&gt;2,(AC34*(1+'Rent Roll Analysis'!$AK32/12)), IF(AND('Monthly Cash Flow'!AD$4&gt;1,'Monthly Cash Flow'!AD$4&lt;=2),'Monthly Cash Flow'!AC34*(1+'Rent Roll Analysis'!$AE32/12),'Monthly Cash Flow'!AC34*(1+'Rent Roll Analysis'!$AB32/12))))</f>
        <v/>
      </c>
      <c r="AE34" s="1428" t="str">
        <f>IF($B34="","",IF(AE$4&gt;2,(AD34*(1+'Rent Roll Analysis'!$AK32/12)), IF(AND('Monthly Cash Flow'!AE$4&gt;1,'Monthly Cash Flow'!AE$4&lt;=2),'Monthly Cash Flow'!AD34*(1+'Rent Roll Analysis'!$AE32/12),'Monthly Cash Flow'!AD34*(1+'Rent Roll Analysis'!$AB32/12))))</f>
        <v/>
      </c>
      <c r="AF34" s="1428" t="str">
        <f>IF($B34="","",IF(AF$4&gt;2,(AE34*(1+'Rent Roll Analysis'!$AK32/12)), IF(AND('Monthly Cash Flow'!AF$4&gt;1,'Monthly Cash Flow'!AF$4&lt;=2),'Monthly Cash Flow'!AE34*(1+'Rent Roll Analysis'!$AE32/12),'Monthly Cash Flow'!AE34*(1+'Rent Roll Analysis'!$AB32/12))))</f>
        <v/>
      </c>
      <c r="AG34" s="1428" t="str">
        <f>IF($B34="","",IF(AG$4&gt;2,(AF34*(1+'Rent Roll Analysis'!$AK32/12)), IF(AND('Monthly Cash Flow'!AG$4&gt;1,'Monthly Cash Flow'!AG$4&lt;=2),'Monthly Cash Flow'!AF34*(1+'Rent Roll Analysis'!$AE32/12),'Monthly Cash Flow'!AF34*(1+'Rent Roll Analysis'!$AB32/12))))</f>
        <v/>
      </c>
      <c r="AH34" s="1428" t="str">
        <f>IF($B34="","",IF(AH$4&gt;2,(AG34*(1+'Rent Roll Analysis'!$AK32/12)), IF(AND('Monthly Cash Flow'!AH$4&gt;1,'Monthly Cash Flow'!AH$4&lt;=2),'Monthly Cash Flow'!AG34*(1+'Rent Roll Analysis'!$AE32/12),'Monthly Cash Flow'!AG34*(1+'Rent Roll Analysis'!$AB32/12))))</f>
        <v/>
      </c>
      <c r="AI34" s="1428" t="str">
        <f>IF($B34="","",IF(AI$4&gt;2,(AH34*(1+'Rent Roll Analysis'!$AK32/12)), IF(AND('Monthly Cash Flow'!AI$4&gt;1,'Monthly Cash Flow'!AI$4&lt;=2),'Monthly Cash Flow'!AH34*(1+'Rent Roll Analysis'!$AE32/12),'Monthly Cash Flow'!AH34*(1+'Rent Roll Analysis'!$AB32/12))))</f>
        <v/>
      </c>
      <c r="AJ34" s="1428" t="str">
        <f>IF($B34="","",IF(AJ$4&gt;2,(AI34*(1+'Rent Roll Analysis'!$AK32/12)), IF(AND('Monthly Cash Flow'!AJ$4&gt;1,'Monthly Cash Flow'!AJ$4&lt;=2),'Monthly Cash Flow'!AI34*(1+'Rent Roll Analysis'!$AE32/12),'Monthly Cash Flow'!AI34*(1+'Rent Roll Analysis'!$AB32/12))))</f>
        <v/>
      </c>
      <c r="AK34" s="1428" t="str">
        <f>IF($B34="","",IF(AK$4&gt;2,(AJ34*(1+'Rent Roll Analysis'!$AK32/12)), IF(AND('Monthly Cash Flow'!AK$4&gt;1,'Monthly Cash Flow'!AK$4&lt;=2),'Monthly Cash Flow'!AJ34*(1+'Rent Roll Analysis'!$AE32/12),'Monthly Cash Flow'!AJ34*(1+'Rent Roll Analysis'!$AB32/12))))</f>
        <v/>
      </c>
      <c r="AL34" s="1428" t="str">
        <f>IF($B34="","",IF(AL$4&gt;2,(AK34*(1+'Rent Roll Analysis'!$AK32/12)), IF(AND('Monthly Cash Flow'!AL$4&gt;1,'Monthly Cash Flow'!AL$4&lt;=2),'Monthly Cash Flow'!AK34*(1+'Rent Roll Analysis'!$AE32/12),'Monthly Cash Flow'!AK34*(1+'Rent Roll Analysis'!$AB32/12))))</f>
        <v/>
      </c>
      <c r="AM34" s="1428" t="str">
        <f>IF($B34="","",IF(AM$4&gt;2,(AL34*(1+'Rent Roll Analysis'!$AK32/12)), IF(AND('Monthly Cash Flow'!AM$4&gt;1,'Monthly Cash Flow'!AM$4&lt;=2),'Monthly Cash Flow'!AL34*(1+'Rent Roll Analysis'!$AE32/12),'Monthly Cash Flow'!AL34*(1+'Rent Roll Analysis'!$AB32/12))))</f>
        <v/>
      </c>
      <c r="AN34" s="1428" t="str">
        <f>IF($B34="","",IF(AN$4&gt;2,(AM34*(1+'Rent Roll Analysis'!$AK32/12)), IF(AND('Monthly Cash Flow'!AN$4&gt;1,'Monthly Cash Flow'!AN$4&lt;=2),'Monthly Cash Flow'!AM34*(1+'Rent Roll Analysis'!$AE32/12),'Monthly Cash Flow'!AM34*(1+'Rent Roll Analysis'!$AB32/12))))</f>
        <v/>
      </c>
      <c r="AO34" s="1428" t="str">
        <f>IF($B34="","",IF(AO$4&gt;2,(AN34*(1+'Rent Roll Analysis'!$AK32/12)), IF(AND('Monthly Cash Flow'!AO$4&gt;1,'Monthly Cash Flow'!AO$4&lt;=2),'Monthly Cash Flow'!AN34*(1+'Rent Roll Analysis'!$AE32/12),'Monthly Cash Flow'!AN34*(1+'Rent Roll Analysis'!$AB32/12))))</f>
        <v/>
      </c>
      <c r="AP34" s="1428" t="str">
        <f>IF($B34="","",IF(AP$4&gt;2,(AO34*(1+'Rent Roll Analysis'!$AK32/12)), IF(AND('Monthly Cash Flow'!AP$4&gt;1,'Monthly Cash Flow'!AP$4&lt;=2),'Monthly Cash Flow'!AO34*(1+'Rent Roll Analysis'!$AE32/12),'Monthly Cash Flow'!AO34*(1+'Rent Roll Analysis'!$AB32/12))))</f>
        <v/>
      </c>
      <c r="AQ34" s="1428" t="str">
        <f>IF($B34="","",IF(AQ$4&gt;2,(AP34*(1+'Rent Roll Analysis'!$AK32/12)), IF(AND('Monthly Cash Flow'!AQ$4&gt;1,'Monthly Cash Flow'!AQ$4&lt;=2),'Monthly Cash Flow'!AP34*(1+'Rent Roll Analysis'!$AE32/12),'Monthly Cash Flow'!AP34*(1+'Rent Roll Analysis'!$AB32/12))))</f>
        <v/>
      </c>
      <c r="AR34" s="1428" t="str">
        <f>IF($B34="","",IF(AR$4&gt;2,(AQ34*(1+'Rent Roll Analysis'!$AK32/12)), IF(AND('Monthly Cash Flow'!AR$4&gt;1,'Monthly Cash Flow'!AR$4&lt;=2),'Monthly Cash Flow'!AQ34*(1+'Rent Roll Analysis'!$AE32/12),'Monthly Cash Flow'!AQ34*(1+'Rent Roll Analysis'!$AB32/12))))</f>
        <v/>
      </c>
      <c r="AS34" s="1428" t="str">
        <f>IF($B34="","",IF(AS$4&gt;2,(AR34*(1+'Rent Roll Analysis'!$AK32/12)), IF(AND('Monthly Cash Flow'!AS$4&gt;1,'Monthly Cash Flow'!AS$4&lt;=2),'Monthly Cash Flow'!AR34*(1+'Rent Roll Analysis'!$AE32/12),'Monthly Cash Flow'!AR34*(1+'Rent Roll Analysis'!$AB32/12))))</f>
        <v/>
      </c>
      <c r="AT34" s="1428" t="str">
        <f>IF($B34="","",IF(AT$4&gt;2,(AS34*(1+'Rent Roll Analysis'!$AK32/12)), IF(AND('Monthly Cash Flow'!AT$4&gt;1,'Monthly Cash Flow'!AT$4&lt;=2),'Monthly Cash Flow'!AS34*(1+'Rent Roll Analysis'!$AE32/12),'Monthly Cash Flow'!AS34*(1+'Rent Roll Analysis'!$AB32/12))))</f>
        <v/>
      </c>
      <c r="AU34" s="1428" t="str">
        <f>IF($B34="","",IF(AU$4&gt;2,(AT34*(1+'Rent Roll Analysis'!$AK32/12)), IF(AND('Monthly Cash Flow'!AU$4&gt;1,'Monthly Cash Flow'!AU$4&lt;=2),'Monthly Cash Flow'!AT34*(1+'Rent Roll Analysis'!$AE32/12),'Monthly Cash Flow'!AT34*(1+'Rent Roll Analysis'!$AB32/12))))</f>
        <v/>
      </c>
      <c r="AV34" s="1428" t="str">
        <f>IF($B34="","",IF(AV$4&gt;2,(AU34*(1+'Rent Roll Analysis'!$AK32/12)), IF(AND('Monthly Cash Flow'!AV$4&gt;1,'Monthly Cash Flow'!AV$4&lt;=2),'Monthly Cash Flow'!AU34*(1+'Rent Roll Analysis'!$AE32/12),'Monthly Cash Flow'!AU34*(1+'Rent Roll Analysis'!$AB32/12))))</f>
        <v/>
      </c>
      <c r="AW34" s="1428" t="str">
        <f>IF($B34="","",IF(AW$4&gt;2,(AV34*(1+'Rent Roll Analysis'!$AK32/12)), IF(AND('Monthly Cash Flow'!AW$4&gt;1,'Monthly Cash Flow'!AW$4&lt;=2),'Monthly Cash Flow'!AV34*(1+'Rent Roll Analysis'!$AE32/12),'Monthly Cash Flow'!AV34*(1+'Rent Roll Analysis'!$AB32/12))))</f>
        <v/>
      </c>
      <c r="AX34" s="1428" t="str">
        <f>IF($B34="","",IF(AX$4&gt;2,(AW34*(1+'Rent Roll Analysis'!$AK32/12)), IF(AND('Monthly Cash Flow'!AX$4&gt;1,'Monthly Cash Flow'!AX$4&lt;=2),'Monthly Cash Flow'!AW34*(1+'Rent Roll Analysis'!$AE32/12),'Monthly Cash Flow'!AW34*(1+'Rent Roll Analysis'!$AB32/12))))</f>
        <v/>
      </c>
      <c r="AY34" s="1428" t="str">
        <f>IF($B34="","",IF(AY$4&gt;2,(AX34*(1+'Rent Roll Analysis'!$AK32/12)), IF(AND('Monthly Cash Flow'!AY$4&gt;1,'Monthly Cash Flow'!AY$4&lt;=2),'Monthly Cash Flow'!AX34*(1+'Rent Roll Analysis'!$AE32/12),'Monthly Cash Flow'!AX34*(1+'Rent Roll Analysis'!$AB32/12))))</f>
        <v/>
      </c>
      <c r="AZ34" s="1428" t="str">
        <f>IF($B34="","",IF(AZ$4&gt;2,(AY34*(1+'Rent Roll Analysis'!$AK32/12)), IF(AND('Monthly Cash Flow'!AZ$4&gt;1,'Monthly Cash Flow'!AZ$4&lt;=2),'Monthly Cash Flow'!AY34*(1+'Rent Roll Analysis'!$AE32/12),'Monthly Cash Flow'!AY34*(1+'Rent Roll Analysis'!$AB32/12))))</f>
        <v/>
      </c>
      <c r="BA34" s="1428" t="str">
        <f>IF($B34="","",IF(BA$4&gt;2,(AZ34*(1+'Rent Roll Analysis'!$AK32/12)), IF(AND('Monthly Cash Flow'!BA$4&gt;1,'Monthly Cash Flow'!BA$4&lt;=2),'Monthly Cash Flow'!AZ34*(1+'Rent Roll Analysis'!$AE32/12),'Monthly Cash Flow'!AZ34*(1+'Rent Roll Analysis'!$AB32/12))))</f>
        <v/>
      </c>
      <c r="BB34" s="1428" t="str">
        <f>IF($B34="","",IF(BB$4&gt;2,(BA34*(1+'Rent Roll Analysis'!$AK32/12)), IF(AND('Monthly Cash Flow'!BB$4&gt;1,'Monthly Cash Flow'!BB$4&lt;=2),'Monthly Cash Flow'!BA34*(1+'Rent Roll Analysis'!$AE32/12),'Monthly Cash Flow'!BA34*(1+'Rent Roll Analysis'!$AB32/12))))</f>
        <v/>
      </c>
      <c r="BC34" s="1428" t="str">
        <f>IF($B34="","",IF(BC$4&gt;2,(BB34*(1+'Rent Roll Analysis'!$AK32/12)), IF(AND('Monthly Cash Flow'!BC$4&gt;1,'Monthly Cash Flow'!BC$4&lt;=2),'Monthly Cash Flow'!BB34*(1+'Rent Roll Analysis'!$AE32/12),'Monthly Cash Flow'!BB34*(1+'Rent Roll Analysis'!$AB32/12))))</f>
        <v/>
      </c>
      <c r="BD34" s="1428" t="str">
        <f>IF($B34="","",IF(BD$4&gt;2,(BC34*(1+'Rent Roll Analysis'!$AK32/12)), IF(AND('Monthly Cash Flow'!BD$4&gt;1,'Monthly Cash Flow'!BD$4&lt;=2),'Monthly Cash Flow'!BC34*(1+'Rent Roll Analysis'!$AE32/12),'Monthly Cash Flow'!BC34*(1+'Rent Roll Analysis'!$AB32/12))))</f>
        <v/>
      </c>
      <c r="BE34" s="1428" t="str">
        <f>IF($B34="","",IF(BE$4&gt;2,(BD34*(1+'Rent Roll Analysis'!$AK32/12)), IF(AND('Monthly Cash Flow'!BE$4&gt;1,'Monthly Cash Flow'!BE$4&lt;=2),'Monthly Cash Flow'!BD34*(1+'Rent Roll Analysis'!$AE32/12),'Monthly Cash Flow'!BD34*(1+'Rent Roll Analysis'!$AB32/12))))</f>
        <v/>
      </c>
      <c r="BF34" s="1428" t="str">
        <f>IF($B34="","",IF(BF$4&gt;2,(BE34*(1+'Rent Roll Analysis'!$AK32/12)), IF(AND('Monthly Cash Flow'!BF$4&gt;1,'Monthly Cash Flow'!BF$4&lt;=2),'Monthly Cash Flow'!BE34*(1+'Rent Roll Analysis'!$AE32/12),'Monthly Cash Flow'!BE34*(1+'Rent Roll Analysis'!$AB32/12))))</f>
        <v/>
      </c>
      <c r="BG34" s="1428" t="str">
        <f>IF($B34="","",IF(BG$4&gt;2,(BF34*(1+'Rent Roll Analysis'!$AK32/12)), IF(AND('Monthly Cash Flow'!BG$4&gt;1,'Monthly Cash Flow'!BG$4&lt;=2),'Monthly Cash Flow'!BF34*(1+'Rent Roll Analysis'!$AE32/12),'Monthly Cash Flow'!BF34*(1+'Rent Roll Analysis'!$AB32/12))))</f>
        <v/>
      </c>
      <c r="BH34" s="1428" t="str">
        <f>IF($B34="","",IF(BH$4&gt;2,(BG34*(1+'Rent Roll Analysis'!$AK32/12)), IF(AND('Monthly Cash Flow'!BH$4&gt;1,'Monthly Cash Flow'!BH$4&lt;=2),'Monthly Cash Flow'!BG34*(1+'Rent Roll Analysis'!$AE32/12),'Monthly Cash Flow'!BG34*(1+'Rent Roll Analysis'!$AB32/12))))</f>
        <v/>
      </c>
      <c r="BI34" s="1428" t="str">
        <f>IF($B34="","",IF(BI$4&gt;2,(BH34*(1+'Rent Roll Analysis'!$AK32/12)), IF(AND('Monthly Cash Flow'!BI$4&gt;1,'Monthly Cash Flow'!BI$4&lt;=2),'Monthly Cash Flow'!BH34*(1+'Rent Roll Analysis'!$AE32/12),'Monthly Cash Flow'!BH34*(1+'Rent Roll Analysis'!$AB32/12))))</f>
        <v/>
      </c>
      <c r="BJ34" s="1428" t="str">
        <f>IF($B34="","",IF(BJ$4&gt;2,(BI34*(1+'Rent Roll Analysis'!$AK32/12)), IF(AND('Monthly Cash Flow'!BJ$4&gt;1,'Monthly Cash Flow'!BJ$4&lt;=2),'Monthly Cash Flow'!BI34*(1+'Rent Roll Analysis'!$AE32/12),'Monthly Cash Flow'!BI34*(1+'Rent Roll Analysis'!$AB32/12))))</f>
        <v/>
      </c>
      <c r="BK34" s="1428" t="str">
        <f>IF($B34="","",IF(BK$4&gt;2,(BJ34*(1+'Rent Roll Analysis'!$AK32/12)), IF(AND('Monthly Cash Flow'!BK$4&gt;1,'Monthly Cash Flow'!BK$4&lt;=2),'Monthly Cash Flow'!BJ34*(1+'Rent Roll Analysis'!$AE32/12),'Monthly Cash Flow'!BJ34*(1+'Rent Roll Analysis'!$AB32/12))))</f>
        <v/>
      </c>
      <c r="BL34" s="1428" t="str">
        <f>IF($B34="","",IF(BL$4&gt;2,(BK34*(1+'Rent Roll Analysis'!$AK32/12)), IF(AND('Monthly Cash Flow'!BL$4&gt;1,'Monthly Cash Flow'!BL$4&lt;=2),'Monthly Cash Flow'!BK34*(1+'Rent Roll Analysis'!$AE32/12),'Monthly Cash Flow'!BK34*(1+'Rent Roll Analysis'!$AB32/12))))</f>
        <v/>
      </c>
      <c r="BM34" s="1428" t="str">
        <f>IF($B34="","",IF(BM$4&gt;2,(BL34*(1+'Rent Roll Analysis'!$AK32/12)), IF(AND('Monthly Cash Flow'!BM$4&gt;1,'Monthly Cash Flow'!BM$4&lt;=2),'Monthly Cash Flow'!BL34*(1+'Rent Roll Analysis'!$AE32/12),'Monthly Cash Flow'!BL34*(1+'Rent Roll Analysis'!$AB32/12))))</f>
        <v/>
      </c>
      <c r="BN34" s="1428" t="str">
        <f>IF($B34="","",IF(BN$4&gt;2,(BM34*(1+'Rent Roll Analysis'!$AK32/12)), IF(AND('Monthly Cash Flow'!BN$4&gt;1,'Monthly Cash Flow'!BN$4&lt;=2),'Monthly Cash Flow'!BM34*(1+'Rent Roll Analysis'!$AE32/12),'Monthly Cash Flow'!BM34*(1+'Rent Roll Analysis'!$AB32/12))))</f>
        <v/>
      </c>
      <c r="BO34" s="1428" t="str">
        <f>IF($B34="","",IF(BO$4&gt;2,(BN34*(1+'Rent Roll Analysis'!$AK32/12)), IF(AND('Monthly Cash Flow'!BO$4&gt;1,'Monthly Cash Flow'!BO$4&lt;=2),'Monthly Cash Flow'!BN34*(1+'Rent Roll Analysis'!$AE32/12),'Monthly Cash Flow'!BN34*(1+'Rent Roll Analysis'!$AB32/12))))</f>
        <v/>
      </c>
      <c r="BP34" s="1428" t="str">
        <f>IF($B34="","",IF(BP$4&gt;2,(BO34*(1+'Rent Roll Analysis'!$AK32/12)), IF(AND('Monthly Cash Flow'!BP$4&gt;1,'Monthly Cash Flow'!BP$4&lt;=2),'Monthly Cash Flow'!BO34*(1+'Rent Roll Analysis'!$AE32/12),'Monthly Cash Flow'!BO34*(1+'Rent Roll Analysis'!$AB32/12))))</f>
        <v/>
      </c>
      <c r="BQ34" s="1428" t="str">
        <f>IF($B34="","",IF(BQ$4&gt;2,(BP34*(1+'Rent Roll Analysis'!$AK32/12)), IF(AND('Monthly Cash Flow'!BQ$4&gt;1,'Monthly Cash Flow'!BQ$4&lt;=2),'Monthly Cash Flow'!BP34*(1+'Rent Roll Analysis'!$AE32/12),'Monthly Cash Flow'!BP34*(1+'Rent Roll Analysis'!$AB32/12))))</f>
        <v/>
      </c>
      <c r="BR34" s="1428" t="str">
        <f>IF($B34="","",IF(BR$4&gt;2,(BQ34*(1+'Rent Roll Analysis'!$AK32/12)), IF(AND('Monthly Cash Flow'!BR$4&gt;1,'Monthly Cash Flow'!BR$4&lt;=2),'Monthly Cash Flow'!BQ34*(1+'Rent Roll Analysis'!$AE32/12),'Monthly Cash Flow'!BQ34*(1+'Rent Roll Analysis'!$AB32/12))))</f>
        <v/>
      </c>
      <c r="BS34" s="1428" t="str">
        <f>IF($B34="","",IF(BS$4&gt;2,(BR34*(1+'Rent Roll Analysis'!$AK32/12)), IF(AND('Monthly Cash Flow'!BS$4&gt;1,'Monthly Cash Flow'!BS$4&lt;=2),'Monthly Cash Flow'!BR34*(1+'Rent Roll Analysis'!$AE32/12),'Monthly Cash Flow'!BR34*(1+'Rent Roll Analysis'!$AB32/12))))</f>
        <v/>
      </c>
      <c r="BT34" s="1428" t="str">
        <f>IF($B34="","",IF(BT$4&gt;2,(BS34*(1+'Rent Roll Analysis'!$AK32/12)), IF(AND('Monthly Cash Flow'!BT$4&gt;1,'Monthly Cash Flow'!BT$4&lt;=2),'Monthly Cash Flow'!BS34*(1+'Rent Roll Analysis'!$AE32/12),'Monthly Cash Flow'!BS34*(1+'Rent Roll Analysis'!$AB32/12))))</f>
        <v/>
      </c>
      <c r="BU34" s="1428" t="str">
        <f>IF($B34="","",IF(BU$4&gt;2,(BT34*(1+'Rent Roll Analysis'!$AK32/12)), IF(AND('Monthly Cash Flow'!BU$4&gt;1,'Monthly Cash Flow'!BU$4&lt;=2),'Monthly Cash Flow'!BT34*(1+'Rent Roll Analysis'!$AE32/12),'Monthly Cash Flow'!BT34*(1+'Rent Roll Analysis'!$AB32/12))))</f>
        <v/>
      </c>
      <c r="BV34" s="1428" t="str">
        <f>IF($B34="","",IF(BV$4&gt;2,(BU34*(1+'Rent Roll Analysis'!$AK32/12)), IF(AND('Monthly Cash Flow'!BV$4&gt;1,'Monthly Cash Flow'!BV$4&lt;=2),'Monthly Cash Flow'!BU34*(1+'Rent Roll Analysis'!$AE32/12),'Monthly Cash Flow'!BU34*(1+'Rent Roll Analysis'!$AB32/12))))</f>
        <v/>
      </c>
      <c r="BW34" s="1428" t="str">
        <f>IF($B34="","",IF(BW$4&gt;2,(BV34*(1+'Rent Roll Analysis'!$AK32/12)), IF(AND('Monthly Cash Flow'!BW$4&gt;1,'Monthly Cash Flow'!BW$4&lt;=2),'Monthly Cash Flow'!BV34*(1+'Rent Roll Analysis'!$AE32/12),'Monthly Cash Flow'!BV34*(1+'Rent Roll Analysis'!$AB32/12))))</f>
        <v/>
      </c>
      <c r="BX34" s="1428" t="str">
        <f>IF($B34="","",IF(BX$4&gt;2,(BW34*(1+'Rent Roll Analysis'!$AK32/12)), IF(AND('Monthly Cash Flow'!BX$4&gt;1,'Monthly Cash Flow'!BX$4&lt;=2),'Monthly Cash Flow'!BW34*(1+'Rent Roll Analysis'!$AE32/12),'Monthly Cash Flow'!BW34*(1+'Rent Roll Analysis'!$AB32/12))))</f>
        <v/>
      </c>
      <c r="BY34" s="1428" t="str">
        <f>IF($B34="","",IF(BY$4&gt;2,(BX34*(1+'Rent Roll Analysis'!$AK32/12)), IF(AND('Monthly Cash Flow'!BY$4&gt;1,'Monthly Cash Flow'!BY$4&lt;=2),'Monthly Cash Flow'!BX34*(1+'Rent Roll Analysis'!$AE32/12),'Monthly Cash Flow'!BX34*(1+'Rent Roll Analysis'!$AB32/12))))</f>
        <v/>
      </c>
      <c r="BZ34" s="1428" t="str">
        <f>IF($B34="","",IF(BZ$4&gt;2,(BY34*(1+'Rent Roll Analysis'!$AK32/12)), IF(AND('Monthly Cash Flow'!BZ$4&gt;1,'Monthly Cash Flow'!BZ$4&lt;=2),'Monthly Cash Flow'!BY34*(1+'Rent Roll Analysis'!$AE32/12),'Monthly Cash Flow'!BY34*(1+'Rent Roll Analysis'!$AB32/12))))</f>
        <v/>
      </c>
      <c r="CA34" s="1428" t="str">
        <f>IF($B34="","",IF(CA$4&gt;2,(BZ34*(1+'Rent Roll Analysis'!$AK32/12)), IF(AND('Monthly Cash Flow'!CA$4&gt;1,'Monthly Cash Flow'!CA$4&lt;=2),'Monthly Cash Flow'!BZ34*(1+'Rent Roll Analysis'!$AE32/12),'Monthly Cash Flow'!BZ34*(1+'Rent Roll Analysis'!$AB32/12))))</f>
        <v/>
      </c>
      <c r="CB34" s="1428" t="str">
        <f>IF($B34="","",IF(CB$4&gt;2,(CA34*(1+'Rent Roll Analysis'!$AK32/12)), IF(AND('Monthly Cash Flow'!CB$4&gt;1,'Monthly Cash Flow'!CB$4&lt;=2),'Monthly Cash Flow'!CA34*(1+'Rent Roll Analysis'!$AE32/12),'Monthly Cash Flow'!CA34*(1+'Rent Roll Analysis'!$AB32/12))))</f>
        <v/>
      </c>
      <c r="CC34" s="1428" t="str">
        <f>IF($B34="","",IF(CC$4&gt;2,(CB34*(1+'Rent Roll Analysis'!$AK32/12)), IF(AND('Monthly Cash Flow'!CC$4&gt;1,'Monthly Cash Flow'!CC$4&lt;=2),'Monthly Cash Flow'!CB34*(1+'Rent Roll Analysis'!$AE32/12),'Monthly Cash Flow'!CB34*(1+'Rent Roll Analysis'!$AB32/12))))</f>
        <v/>
      </c>
      <c r="CD34" s="1428" t="str">
        <f>IF($B34="","",IF(CD$4&gt;2,(CC34*(1+'Rent Roll Analysis'!$AK32/12)), IF(AND('Monthly Cash Flow'!CD$4&gt;1,'Monthly Cash Flow'!CD$4&lt;=2),'Monthly Cash Flow'!CC34*(1+'Rent Roll Analysis'!$AE32/12),'Monthly Cash Flow'!CC34*(1+'Rent Roll Analysis'!$AB32/12))))</f>
        <v/>
      </c>
      <c r="CE34" s="1428" t="str">
        <f>IF($B34="","",IF(CE$4&gt;2,(CD34*(1+'Rent Roll Analysis'!$AK32/12)), IF(AND('Monthly Cash Flow'!CE$4&gt;1,'Monthly Cash Flow'!CE$4&lt;=2),'Monthly Cash Flow'!CD34*(1+'Rent Roll Analysis'!$AE32/12),'Monthly Cash Flow'!CD34*(1+'Rent Roll Analysis'!$AB32/12))))</f>
        <v/>
      </c>
      <c r="CF34" s="1428" t="str">
        <f>IF($B34="","",IF(CF$4&gt;2,(CE34*(1+'Rent Roll Analysis'!$AK32/12)), IF(AND('Monthly Cash Flow'!CF$4&gt;1,'Monthly Cash Flow'!CF$4&lt;=2),'Monthly Cash Flow'!CE34*(1+'Rent Roll Analysis'!$AE32/12),'Monthly Cash Flow'!CE34*(1+'Rent Roll Analysis'!$AB32/12))))</f>
        <v/>
      </c>
      <c r="CG34" s="1428" t="str">
        <f>IF($B34="","",IF(CG$4&gt;2,(CF34*(1+'Rent Roll Analysis'!$AK32/12)), IF(AND('Monthly Cash Flow'!CG$4&gt;1,'Monthly Cash Flow'!CG$4&lt;=2),'Monthly Cash Flow'!CF34*(1+'Rent Roll Analysis'!$AE32/12),'Monthly Cash Flow'!CF34*(1+'Rent Roll Analysis'!$AB32/12))))</f>
        <v/>
      </c>
      <c r="CH34" s="1428" t="str">
        <f>IF($B34="","",IF(CH$4&gt;2,(CG34*(1+'Rent Roll Analysis'!$AK32/12)), IF(AND('Monthly Cash Flow'!CH$4&gt;1,'Monthly Cash Flow'!CH$4&lt;=2),'Monthly Cash Flow'!CG34*(1+'Rent Roll Analysis'!$AE32/12),'Monthly Cash Flow'!CG34*(1+'Rent Roll Analysis'!$AB32/12))))</f>
        <v/>
      </c>
      <c r="CI34" s="1428" t="str">
        <f>IF($B34="","",IF(CI$4&gt;2,(CH34*(1+'Rent Roll Analysis'!$AK32/12)), IF(AND('Monthly Cash Flow'!CI$4&gt;1,'Monthly Cash Flow'!CI$4&lt;=2),'Monthly Cash Flow'!CH34*(1+'Rent Roll Analysis'!$AE32/12),'Monthly Cash Flow'!CH34*(1+'Rent Roll Analysis'!$AB32/12))))</f>
        <v/>
      </c>
      <c r="CJ34" s="1428" t="str">
        <f>IF($B34="","",IF(CJ$4&gt;2,(CI34*(1+'Rent Roll Analysis'!$AK32/12)), IF(AND('Monthly Cash Flow'!CJ$4&gt;1,'Monthly Cash Flow'!CJ$4&lt;=2),'Monthly Cash Flow'!CI34*(1+'Rent Roll Analysis'!$AE32/12),'Monthly Cash Flow'!CI34*(1+'Rent Roll Analysis'!$AB32/12))))</f>
        <v/>
      </c>
      <c r="CK34" s="1428" t="str">
        <f>IF($B34="","",IF(CK$4&gt;2,(CJ34*(1+'Rent Roll Analysis'!$AK32/12)), IF(AND('Monthly Cash Flow'!CK$4&gt;1,'Monthly Cash Flow'!CK$4&lt;=2),'Monthly Cash Flow'!CJ34*(1+'Rent Roll Analysis'!$AE32/12),'Monthly Cash Flow'!CJ34*(1+'Rent Roll Analysis'!$AB32/12))))</f>
        <v/>
      </c>
      <c r="CL34" s="1428" t="str">
        <f>IF($B34="","",IF(CL$4&gt;2,(CK34*(1+'Rent Roll Analysis'!$AK32/12)), IF(AND('Monthly Cash Flow'!CL$4&gt;1,'Monthly Cash Flow'!CL$4&lt;=2),'Monthly Cash Flow'!CK34*(1+'Rent Roll Analysis'!$AE32/12),'Monthly Cash Flow'!CK34*(1+'Rent Roll Analysis'!$AB32/12))))</f>
        <v/>
      </c>
      <c r="CM34" s="1428" t="str">
        <f>IF($B34="","",IF(CM$4&gt;2,(CL34*(1+'Rent Roll Analysis'!$AK32/12)), IF(AND('Monthly Cash Flow'!CM$4&gt;1,'Monthly Cash Flow'!CM$4&lt;=2),'Monthly Cash Flow'!CL34*(1+'Rent Roll Analysis'!$AE32/12),'Monthly Cash Flow'!CL34*(1+'Rent Roll Analysis'!$AB32/12))))</f>
        <v/>
      </c>
      <c r="CN34" s="1428" t="str">
        <f>IF($B34="","",IF(CN$4&gt;2,(CM34*(1+'Rent Roll Analysis'!$AK32/12)), IF(AND('Monthly Cash Flow'!CN$4&gt;1,'Monthly Cash Flow'!CN$4&lt;=2),'Monthly Cash Flow'!CM34*(1+'Rent Roll Analysis'!$AE32/12),'Monthly Cash Flow'!CM34*(1+'Rent Roll Analysis'!$AB32/12))))</f>
        <v/>
      </c>
      <c r="CO34" s="1428" t="str">
        <f>IF($B34="","",IF(CO$4&gt;2,(CN34*(1+'Rent Roll Analysis'!$AK32/12)), IF(AND('Monthly Cash Flow'!CO$4&gt;1,'Monthly Cash Flow'!CO$4&lt;=2),'Monthly Cash Flow'!CN34*(1+'Rent Roll Analysis'!$AE32/12),'Monthly Cash Flow'!CN34*(1+'Rent Roll Analysis'!$AB32/12))))</f>
        <v/>
      </c>
      <c r="CP34" s="1428" t="str">
        <f>IF($B34="","",IF(CP$4&gt;2,(CO34*(1+'Rent Roll Analysis'!$AK32/12)), IF(AND('Monthly Cash Flow'!CP$4&gt;1,'Monthly Cash Flow'!CP$4&lt;=2),'Monthly Cash Flow'!CO34*(1+'Rent Roll Analysis'!$AE32/12),'Monthly Cash Flow'!CO34*(1+'Rent Roll Analysis'!$AB32/12))))</f>
        <v/>
      </c>
      <c r="CQ34" s="1428" t="str">
        <f>IF($B34="","",IF(CQ$4&gt;2,(CP34*(1+'Rent Roll Analysis'!$AK32/12)), IF(AND('Monthly Cash Flow'!CQ$4&gt;1,'Monthly Cash Flow'!CQ$4&lt;=2),'Monthly Cash Flow'!CP34*(1+'Rent Roll Analysis'!$AE32/12),'Monthly Cash Flow'!CP34*(1+'Rent Roll Analysis'!$AB32/12))))</f>
        <v/>
      </c>
      <c r="CR34" s="1428" t="str">
        <f>IF($B34="","",IF(CR$4&gt;2,(CQ34*(1+'Rent Roll Analysis'!$AK32/12)), IF(AND('Monthly Cash Flow'!CR$4&gt;1,'Monthly Cash Flow'!CR$4&lt;=2),'Monthly Cash Flow'!CQ34*(1+'Rent Roll Analysis'!$AE32/12),'Monthly Cash Flow'!CQ34*(1+'Rent Roll Analysis'!$AB32/12))))</f>
        <v/>
      </c>
      <c r="CS34" s="1428" t="str">
        <f>IF($B34="","",IF(CS$4&gt;2,(CR34*(1+'Rent Roll Analysis'!$AK32/12)), IF(AND('Monthly Cash Flow'!CS$4&gt;1,'Monthly Cash Flow'!CS$4&lt;=2),'Monthly Cash Flow'!CR34*(1+'Rent Roll Analysis'!$AE32/12),'Monthly Cash Flow'!CR34*(1+'Rent Roll Analysis'!$AB32/12))))</f>
        <v/>
      </c>
      <c r="CT34" s="1428" t="str">
        <f>IF($B34="","",IF(CT$4&gt;2,(CS34*(1+'Rent Roll Analysis'!$AK32/12)), IF(AND('Monthly Cash Flow'!CT$4&gt;1,'Monthly Cash Flow'!CT$4&lt;=2),'Monthly Cash Flow'!CS34*(1+'Rent Roll Analysis'!$AE32/12),'Monthly Cash Flow'!CS34*(1+'Rent Roll Analysis'!$AB32/12))))</f>
        <v/>
      </c>
      <c r="CU34" s="1428" t="str">
        <f>IF($B34="","",IF(CU$4&gt;2,(CT34*(1+'Rent Roll Analysis'!$AK32/12)), IF(AND('Monthly Cash Flow'!CU$4&gt;1,'Monthly Cash Flow'!CU$4&lt;=2),'Monthly Cash Flow'!CT34*(1+'Rent Roll Analysis'!$AE32/12),'Monthly Cash Flow'!CT34*(1+'Rent Roll Analysis'!$AB32/12))))</f>
        <v/>
      </c>
      <c r="CV34" s="1428" t="str">
        <f>IF($B34="","",IF(CV$4&gt;2,(CU34*(1+'Rent Roll Analysis'!$AK32/12)), IF(AND('Monthly Cash Flow'!CV$4&gt;1,'Monthly Cash Flow'!CV$4&lt;=2),'Monthly Cash Flow'!CU34*(1+'Rent Roll Analysis'!$AE32/12),'Monthly Cash Flow'!CU34*(1+'Rent Roll Analysis'!$AB32/12))))</f>
        <v/>
      </c>
      <c r="CW34" s="1428" t="str">
        <f>IF($B34="","",IF(CW$4&gt;2,(CV34*(1+'Rent Roll Analysis'!$AK32/12)), IF(AND('Monthly Cash Flow'!CW$4&gt;1,'Monthly Cash Flow'!CW$4&lt;=2),'Monthly Cash Flow'!CV34*(1+'Rent Roll Analysis'!$AE32/12),'Monthly Cash Flow'!CV34*(1+'Rent Roll Analysis'!$AB32/12))))</f>
        <v/>
      </c>
      <c r="CX34" s="1428" t="str">
        <f>IF($B34="","",IF(CX$4&gt;2,(CW34*(1+'Rent Roll Analysis'!$AK32/12)), IF(AND('Monthly Cash Flow'!CX$4&gt;1,'Monthly Cash Flow'!CX$4&lt;=2),'Monthly Cash Flow'!CW34*(1+'Rent Roll Analysis'!$AE32/12),'Monthly Cash Flow'!CW34*(1+'Rent Roll Analysis'!$AB32/12))))</f>
        <v/>
      </c>
      <c r="CY34" s="1428" t="str">
        <f>IF($B34="","",IF(CY$4&gt;2,(CX34*(1+'Rent Roll Analysis'!$AK32/12)), IF(AND('Monthly Cash Flow'!CY$4&gt;1,'Monthly Cash Flow'!CY$4&lt;=2),'Monthly Cash Flow'!CX34*(1+'Rent Roll Analysis'!$AE32/12),'Monthly Cash Flow'!CX34*(1+'Rent Roll Analysis'!$AB32/12))))</f>
        <v/>
      </c>
      <c r="CZ34" s="1428" t="str">
        <f>IF($B34="","",IF(CZ$4&gt;2,(CY34*(1+'Rent Roll Analysis'!$AK32/12)), IF(AND('Monthly Cash Flow'!CZ$4&gt;1,'Monthly Cash Flow'!CZ$4&lt;=2),'Monthly Cash Flow'!CY34*(1+'Rent Roll Analysis'!$AE32/12),'Monthly Cash Flow'!CY34*(1+'Rent Roll Analysis'!$AB32/12))))</f>
        <v/>
      </c>
      <c r="DA34" s="1428" t="str">
        <f>IF($B34="","",IF(DA$4&gt;2,(CZ34*(1+'Rent Roll Analysis'!$AK32/12)), IF(AND('Monthly Cash Flow'!DA$4&gt;1,'Monthly Cash Flow'!DA$4&lt;=2),'Monthly Cash Flow'!CZ34*(1+'Rent Roll Analysis'!$AE32/12),'Monthly Cash Flow'!CZ34*(1+'Rent Roll Analysis'!$AB32/12))))</f>
        <v/>
      </c>
      <c r="DB34" s="1428" t="str">
        <f>IF($B34="","",IF(DB$4&gt;2,(DA34*(1+'Rent Roll Analysis'!$AK32/12)), IF(AND('Monthly Cash Flow'!DB$4&gt;1,'Monthly Cash Flow'!DB$4&lt;=2),'Monthly Cash Flow'!DA34*(1+'Rent Roll Analysis'!$AE32/12),'Monthly Cash Flow'!DA34*(1+'Rent Roll Analysis'!$AB32/12))))</f>
        <v/>
      </c>
      <c r="DC34" s="1428" t="str">
        <f>IF($B34="","",IF(DC$4&gt;2,(DB34*(1+'Rent Roll Analysis'!$AK32/12)), IF(AND('Monthly Cash Flow'!DC$4&gt;1,'Monthly Cash Flow'!DC$4&lt;=2),'Monthly Cash Flow'!DB34*(1+'Rent Roll Analysis'!$AE32/12),'Monthly Cash Flow'!DB34*(1+'Rent Roll Analysis'!$AB32/12))))</f>
        <v/>
      </c>
      <c r="DD34" s="1428" t="str">
        <f>IF($B34="","",IF(DD$4&gt;2,(DC34*(1+'Rent Roll Analysis'!$AK32/12)), IF(AND('Monthly Cash Flow'!DD$4&gt;1,'Monthly Cash Flow'!DD$4&lt;=2),'Monthly Cash Flow'!DC34*(1+'Rent Roll Analysis'!$AE32/12),'Monthly Cash Flow'!DC34*(1+'Rent Roll Analysis'!$AB32/12))))</f>
        <v/>
      </c>
      <c r="DE34" s="1428" t="str">
        <f>IF($B34="","",IF(DE$4&gt;2,(DD34*(1+'Rent Roll Analysis'!$AK32/12)), IF(AND('Monthly Cash Flow'!DE$4&gt;1,'Monthly Cash Flow'!DE$4&lt;=2),'Monthly Cash Flow'!DD34*(1+'Rent Roll Analysis'!$AE32/12),'Monthly Cash Flow'!DD34*(1+'Rent Roll Analysis'!$AB32/12))))</f>
        <v/>
      </c>
      <c r="DF34" s="1428" t="str">
        <f>IF($B34="","",IF(DF$4&gt;2,(DE34*(1+'Rent Roll Analysis'!$AK32/12)), IF(AND('Monthly Cash Flow'!DF$4&gt;1,'Monthly Cash Flow'!DF$4&lt;=2),'Monthly Cash Flow'!DE34*(1+'Rent Roll Analysis'!$AE32/12),'Monthly Cash Flow'!DE34*(1+'Rent Roll Analysis'!$AB32/12))))</f>
        <v/>
      </c>
      <c r="DG34" s="1428" t="str">
        <f>IF($B34="","",IF(DG$4&gt;2,(DF34*(1+'Rent Roll Analysis'!$AK32/12)), IF(AND('Monthly Cash Flow'!DG$4&gt;1,'Monthly Cash Flow'!DG$4&lt;=2),'Monthly Cash Flow'!DF34*(1+'Rent Roll Analysis'!$AE32/12),'Monthly Cash Flow'!DF34*(1+'Rent Roll Analysis'!$AB32/12))))</f>
        <v/>
      </c>
      <c r="DH34" s="1428" t="str">
        <f>IF($B34="","",IF(DH$4&gt;2,(DG34*(1+'Rent Roll Analysis'!$AK32/12)), IF(AND('Monthly Cash Flow'!DH$4&gt;1,'Monthly Cash Flow'!DH$4&lt;=2),'Monthly Cash Flow'!DG34*(1+'Rent Roll Analysis'!$AE32/12),'Monthly Cash Flow'!DG34*(1+'Rent Roll Analysis'!$AB32/12))))</f>
        <v/>
      </c>
      <c r="DI34" s="1428" t="str">
        <f>IF($B34="","",IF(DI$4&gt;2,(DH34*(1+'Rent Roll Analysis'!$AK32/12)), IF(AND('Monthly Cash Flow'!DI$4&gt;1,'Monthly Cash Flow'!DI$4&lt;=2),'Monthly Cash Flow'!DH34*(1+'Rent Roll Analysis'!$AE32/12),'Monthly Cash Flow'!DH34*(1+'Rent Roll Analysis'!$AB32/12))))</f>
        <v/>
      </c>
      <c r="DJ34" s="1428" t="str">
        <f>IF($B34="","",IF(DJ$4&gt;2,(DI34*(1+'Rent Roll Analysis'!$AK32/12)), IF(AND('Monthly Cash Flow'!DJ$4&gt;1,'Monthly Cash Flow'!DJ$4&lt;=2),'Monthly Cash Flow'!DI34*(1+'Rent Roll Analysis'!$AE32/12),'Monthly Cash Flow'!DI34*(1+'Rent Roll Analysis'!$AB32/12))))</f>
        <v/>
      </c>
      <c r="DK34" s="1428" t="str">
        <f>IF($B34="","",IF(DK$4&gt;2,(DJ34*(1+'Rent Roll Analysis'!$AK32/12)), IF(AND('Monthly Cash Flow'!DK$4&gt;1,'Monthly Cash Flow'!DK$4&lt;=2),'Monthly Cash Flow'!DJ34*(1+'Rent Roll Analysis'!$AE32/12),'Monthly Cash Flow'!DJ34*(1+'Rent Roll Analysis'!$AB32/12))))</f>
        <v/>
      </c>
      <c r="DL34" s="1428" t="str">
        <f>IF($B34="","",IF(DL$4&gt;2,(DK34*(1+'Rent Roll Analysis'!$AK32/12)), IF(AND('Monthly Cash Flow'!DL$4&gt;1,'Monthly Cash Flow'!DL$4&lt;=2),'Monthly Cash Flow'!DK34*(1+'Rent Roll Analysis'!$AE32/12),'Monthly Cash Flow'!DK34*(1+'Rent Roll Analysis'!$AB32/12))))</f>
        <v/>
      </c>
      <c r="DM34" s="1428" t="str">
        <f>IF($B34="","",IF(DM$4&gt;2,(DL34*(1+'Rent Roll Analysis'!$AK32/12)), IF(AND('Monthly Cash Flow'!DM$4&gt;1,'Monthly Cash Flow'!DM$4&lt;=2),'Monthly Cash Flow'!DL34*(1+'Rent Roll Analysis'!$AE32/12),'Monthly Cash Flow'!DL34*(1+'Rent Roll Analysis'!$AB32/12))))</f>
        <v/>
      </c>
      <c r="DN34" s="1428" t="str">
        <f>IF($B34="","",IF(DN$4&gt;2,(DM34*(1+'Rent Roll Analysis'!$AK32/12)), IF(AND('Monthly Cash Flow'!DN$4&gt;1,'Monthly Cash Flow'!DN$4&lt;=2),'Monthly Cash Flow'!DM34*(1+'Rent Roll Analysis'!$AE32/12),'Monthly Cash Flow'!DM34*(1+'Rent Roll Analysis'!$AB32/12))))</f>
        <v/>
      </c>
      <c r="DO34" s="1428" t="str">
        <f>IF($B34="","",IF(DO$4&gt;2,(DN34*(1+'Rent Roll Analysis'!$AK32/12)), IF(AND('Monthly Cash Flow'!DO$4&gt;1,'Monthly Cash Flow'!DO$4&lt;=2),'Monthly Cash Flow'!DN34*(1+'Rent Roll Analysis'!$AE32/12),'Monthly Cash Flow'!DN34*(1+'Rent Roll Analysis'!$AB32/12))))</f>
        <v/>
      </c>
      <c r="DP34" s="1428" t="str">
        <f>IF($B34="","",IF(DP$4&gt;2,(DO34*(1+'Rent Roll Analysis'!$AK32/12)), IF(AND('Monthly Cash Flow'!DP$4&gt;1,'Monthly Cash Flow'!DP$4&lt;=2),'Monthly Cash Flow'!DO34*(1+'Rent Roll Analysis'!$AE32/12),'Monthly Cash Flow'!DO34*(1+'Rent Roll Analysis'!$AB32/12))))</f>
        <v/>
      </c>
      <c r="DQ34" s="1428" t="str">
        <f>IF($B34="","",IF(DQ$4&gt;2,(DP34*(1+'Rent Roll Analysis'!$AK32/12)), IF(AND('Monthly Cash Flow'!DQ$4&gt;1,'Monthly Cash Flow'!DQ$4&lt;=2),'Monthly Cash Flow'!DP34*(1+'Rent Roll Analysis'!$AE32/12),'Monthly Cash Flow'!DP34*(1+'Rent Roll Analysis'!$AB32/12))))</f>
        <v/>
      </c>
      <c r="DR34" s="1428" t="str">
        <f>IF($B34="","",IF(DR$4&gt;2,(DQ34*(1+'Rent Roll Analysis'!$AK32/12)), IF(AND('Monthly Cash Flow'!DR$4&gt;1,'Monthly Cash Flow'!DR$4&lt;=2),'Monthly Cash Flow'!DQ34*(1+'Rent Roll Analysis'!$AE32/12),'Monthly Cash Flow'!DQ34*(1+'Rent Roll Analysis'!$AB32/12))))</f>
        <v/>
      </c>
      <c r="DS34" s="1428" t="str">
        <f>IF($B34="","",IF(DS$4&gt;2,(DR34*(1+'Rent Roll Analysis'!$AK32/12)), IF(AND('Monthly Cash Flow'!DS$4&gt;1,'Monthly Cash Flow'!DS$4&lt;=2),'Monthly Cash Flow'!DR34*(1+'Rent Roll Analysis'!$AE32/12),'Monthly Cash Flow'!DR34*(1+'Rent Roll Analysis'!$AB32/12))))</f>
        <v/>
      </c>
      <c r="DT34" s="1428" t="str">
        <f>IF($B34="","",IF(DT$4&gt;2,(DS34*(1+'Rent Roll Analysis'!$AK32/12)), IF(AND('Monthly Cash Flow'!DT$4&gt;1,'Monthly Cash Flow'!DT$4&lt;=2),'Monthly Cash Flow'!DS34*(1+'Rent Roll Analysis'!$AE32/12),'Monthly Cash Flow'!DS34*(1+'Rent Roll Analysis'!$AB32/12))))</f>
        <v/>
      </c>
      <c r="DU34" s="385" t="s">
        <v>557</v>
      </c>
      <c r="DV34" s="375"/>
    </row>
    <row r="35" spans="1:126" s="92" customFormat="1" ht="20.149999999999999" customHeight="1" outlineLevel="1">
      <c r="A35" s="375"/>
      <c r="B35" s="383" t="str">
        <f>'Rent Roll Analysis'!C33</f>
        <v/>
      </c>
      <c r="C35" s="376"/>
      <c r="D35" s="1426" t="str">
        <f>IF('Rent Roll Analysis'!C33="","",'Rent Roll Analysis'!N33*'Rent Roll Analysis'!E33)</f>
        <v/>
      </c>
      <c r="E35" s="1428" t="str">
        <f t="shared" si="113"/>
        <v/>
      </c>
      <c r="F35" s="1428" t="str">
        <f>IF($B35="","",IF(F$4&gt;2,(E35*(1+'Rent Roll Analysis'!$AK33/12)), IF(AND('Monthly Cash Flow'!F$4&gt;1,'Monthly Cash Flow'!F$4&lt;=2),'Monthly Cash Flow'!E35*(1+'Rent Roll Analysis'!$AE33/12),'Monthly Cash Flow'!E35*(1+'Rent Roll Analysis'!$AB33/12))))</f>
        <v/>
      </c>
      <c r="G35" s="1428" t="str">
        <f>IF($B35="","",IF(G$4&gt;2,(F35*(1+'Rent Roll Analysis'!$AK33/12)), IF(AND('Monthly Cash Flow'!G$4&gt;1,'Monthly Cash Flow'!G$4&lt;=2),'Monthly Cash Flow'!F35*(1+'Rent Roll Analysis'!$AE33/12),'Monthly Cash Flow'!F35*(1+'Rent Roll Analysis'!$AB33/12))))</f>
        <v/>
      </c>
      <c r="H35" s="1428" t="str">
        <f>IF($B35="","",IF(H$4&gt;2,(G35*(1+'Rent Roll Analysis'!$AK33/12)), IF(AND('Monthly Cash Flow'!H$4&gt;1,'Monthly Cash Flow'!H$4&lt;=2),'Monthly Cash Flow'!G35*(1+'Rent Roll Analysis'!$AE33/12),'Monthly Cash Flow'!G35*(1+'Rent Roll Analysis'!$AB33/12))))</f>
        <v/>
      </c>
      <c r="I35" s="1428" t="str">
        <f>IF($B35="","",IF(I$4&gt;2,(H35*(1+'Rent Roll Analysis'!$AK33/12)), IF(AND('Monthly Cash Flow'!I$4&gt;1,'Monthly Cash Flow'!I$4&lt;=2),'Monthly Cash Flow'!H35*(1+'Rent Roll Analysis'!$AE33/12),'Monthly Cash Flow'!H35*(1+'Rent Roll Analysis'!$AB33/12))))</f>
        <v/>
      </c>
      <c r="J35" s="1428" t="str">
        <f>IF($B35="","",IF(J$4&gt;2,(I35*(1+'Rent Roll Analysis'!$AK33/12)), IF(AND('Monthly Cash Flow'!J$4&gt;1,'Monthly Cash Flow'!J$4&lt;=2),'Monthly Cash Flow'!I35*(1+'Rent Roll Analysis'!$AE33/12),'Monthly Cash Flow'!I35*(1+'Rent Roll Analysis'!$AB33/12))))</f>
        <v/>
      </c>
      <c r="K35" s="1428" t="str">
        <f>IF($B35="","",IF(K$4&gt;2,(J35*(1+'Rent Roll Analysis'!$AK33/12)), IF(AND('Monthly Cash Flow'!K$4&gt;1,'Monthly Cash Flow'!K$4&lt;=2),'Monthly Cash Flow'!J35*(1+'Rent Roll Analysis'!$AE33/12),'Monthly Cash Flow'!J35*(1+'Rent Roll Analysis'!$AB33/12))))</f>
        <v/>
      </c>
      <c r="L35" s="1428" t="str">
        <f>IF($B35="","",IF(L$4&gt;2,(K35*(1+'Rent Roll Analysis'!$AK33/12)), IF(AND('Monthly Cash Flow'!L$4&gt;1,'Monthly Cash Flow'!L$4&lt;=2),'Monthly Cash Flow'!K35*(1+'Rent Roll Analysis'!$AE33/12),'Monthly Cash Flow'!K35*(1+'Rent Roll Analysis'!$AB33/12))))</f>
        <v/>
      </c>
      <c r="M35" s="1428" t="str">
        <f>IF($B35="","",IF(M$4&gt;2,(L35*(1+'Rent Roll Analysis'!$AK33/12)), IF(AND('Monthly Cash Flow'!M$4&gt;1,'Monthly Cash Flow'!M$4&lt;=2),'Monthly Cash Flow'!L35*(1+'Rent Roll Analysis'!$AE33/12),'Monthly Cash Flow'!L35*(1+'Rent Roll Analysis'!$AB33/12))))</f>
        <v/>
      </c>
      <c r="N35" s="1428" t="str">
        <f>IF($B35="","",IF(N$4&gt;2,(M35*(1+'Rent Roll Analysis'!$AK33/12)), IF(AND('Monthly Cash Flow'!N$4&gt;1,'Monthly Cash Flow'!N$4&lt;=2),'Monthly Cash Flow'!M35*(1+'Rent Roll Analysis'!$AE33/12),'Monthly Cash Flow'!M35*(1+'Rent Roll Analysis'!$AB33/12))))</f>
        <v/>
      </c>
      <c r="O35" s="1428" t="str">
        <f>IF($B35="","",IF(O$4&gt;2,(N35*(1+'Rent Roll Analysis'!$AK33/12)), IF(AND('Monthly Cash Flow'!O$4&gt;1,'Monthly Cash Flow'!O$4&lt;=2),'Monthly Cash Flow'!N35*(1+'Rent Roll Analysis'!$AE33/12),'Monthly Cash Flow'!N35*(1+'Rent Roll Analysis'!$AB33/12))))</f>
        <v/>
      </c>
      <c r="P35" s="1428" t="str">
        <f>IF($B35="","",IF(P$4&gt;2,(O35*(1+'Rent Roll Analysis'!$AK33/12)), IF(AND('Monthly Cash Flow'!P$4&gt;1,'Monthly Cash Flow'!P$4&lt;=2),'Monthly Cash Flow'!O35*(1+'Rent Roll Analysis'!$AE33/12),'Monthly Cash Flow'!O35*(1+'Rent Roll Analysis'!$AB33/12))))</f>
        <v/>
      </c>
      <c r="Q35" s="1428" t="str">
        <f>IF($B35="","",IF(Q$4&gt;2,(P35*(1+'Rent Roll Analysis'!$AK33/12)), IF(AND('Monthly Cash Flow'!Q$4&gt;1,'Monthly Cash Flow'!Q$4&lt;=2),'Monthly Cash Flow'!P35*(1+'Rent Roll Analysis'!$AE33/12),'Monthly Cash Flow'!P35*(1+'Rent Roll Analysis'!$AB33/12))))</f>
        <v/>
      </c>
      <c r="R35" s="1428" t="str">
        <f>IF($B35="","",IF(R$4&gt;2,(Q35*(1+'Rent Roll Analysis'!$AK33/12)), IF(AND('Monthly Cash Flow'!R$4&gt;1,'Monthly Cash Flow'!R$4&lt;=2),'Monthly Cash Flow'!Q35*(1+'Rent Roll Analysis'!$AE33/12),'Monthly Cash Flow'!Q35*(1+'Rent Roll Analysis'!$AB33/12))))</f>
        <v/>
      </c>
      <c r="S35" s="1428" t="str">
        <f>IF($B35="","",IF(S$4&gt;2,(R35*(1+'Rent Roll Analysis'!$AK33/12)), IF(AND('Monthly Cash Flow'!S$4&gt;1,'Monthly Cash Flow'!S$4&lt;=2),'Monthly Cash Flow'!R35*(1+'Rent Roll Analysis'!$AE33/12),'Monthly Cash Flow'!R35*(1+'Rent Roll Analysis'!$AB33/12))))</f>
        <v/>
      </c>
      <c r="T35" s="1428" t="str">
        <f>IF($B35="","",IF(T$4&gt;2,(S35*(1+'Rent Roll Analysis'!$AK33/12)), IF(AND('Monthly Cash Flow'!T$4&gt;1,'Monthly Cash Flow'!T$4&lt;=2),'Monthly Cash Flow'!S35*(1+'Rent Roll Analysis'!$AE33/12),'Monthly Cash Flow'!S35*(1+'Rent Roll Analysis'!$AB33/12))))</f>
        <v/>
      </c>
      <c r="U35" s="1428" t="str">
        <f>IF($B35="","",IF(U$4&gt;2,(T35*(1+'Rent Roll Analysis'!$AK33/12)), IF(AND('Monthly Cash Flow'!U$4&gt;1,'Monthly Cash Flow'!U$4&lt;=2),'Monthly Cash Flow'!T35*(1+'Rent Roll Analysis'!$AE33/12),'Monthly Cash Flow'!T35*(1+'Rent Roll Analysis'!$AB33/12))))</f>
        <v/>
      </c>
      <c r="V35" s="1428" t="str">
        <f>IF($B35="","",IF(V$4&gt;2,(U35*(1+'Rent Roll Analysis'!$AK33/12)), IF(AND('Monthly Cash Flow'!V$4&gt;1,'Monthly Cash Flow'!V$4&lt;=2),'Monthly Cash Flow'!U35*(1+'Rent Roll Analysis'!$AE33/12),'Monthly Cash Flow'!U35*(1+'Rent Roll Analysis'!$AB33/12))))</f>
        <v/>
      </c>
      <c r="W35" s="1428" t="str">
        <f>IF($B35="","",IF(W$4&gt;2,(V35*(1+'Rent Roll Analysis'!$AK33/12)), IF(AND('Monthly Cash Flow'!W$4&gt;1,'Monthly Cash Flow'!W$4&lt;=2),'Monthly Cash Flow'!V35*(1+'Rent Roll Analysis'!$AE33/12),'Monthly Cash Flow'!V35*(1+'Rent Roll Analysis'!$AB33/12))))</f>
        <v/>
      </c>
      <c r="X35" s="1428" t="str">
        <f>IF($B35="","",IF(X$4&gt;2,(W35*(1+'Rent Roll Analysis'!$AK33/12)), IF(AND('Monthly Cash Flow'!X$4&gt;1,'Monthly Cash Flow'!X$4&lt;=2),'Monthly Cash Flow'!W35*(1+'Rent Roll Analysis'!$AE33/12),'Monthly Cash Flow'!W35*(1+'Rent Roll Analysis'!$AB33/12))))</f>
        <v/>
      </c>
      <c r="Y35" s="1428" t="str">
        <f>IF($B35="","",IF(Y$4&gt;2,(X35*(1+'Rent Roll Analysis'!$AK33/12)), IF(AND('Monthly Cash Flow'!Y$4&gt;1,'Monthly Cash Flow'!Y$4&lt;=2),'Monthly Cash Flow'!X35*(1+'Rent Roll Analysis'!$AE33/12),'Monthly Cash Flow'!X35*(1+'Rent Roll Analysis'!$AB33/12))))</f>
        <v/>
      </c>
      <c r="Z35" s="1428" t="str">
        <f>IF($B35="","",IF(Z$4&gt;2,(Y35*(1+'Rent Roll Analysis'!$AK33/12)), IF(AND('Monthly Cash Flow'!Z$4&gt;1,'Monthly Cash Flow'!Z$4&lt;=2),'Monthly Cash Flow'!Y35*(1+'Rent Roll Analysis'!$AE33/12),'Monthly Cash Flow'!Y35*(1+'Rent Roll Analysis'!$AB33/12))))</f>
        <v/>
      </c>
      <c r="AA35" s="1428" t="str">
        <f>IF($B35="","",IF(AA$4&gt;2,(Z35*(1+'Rent Roll Analysis'!$AK33/12)), IF(AND('Monthly Cash Flow'!AA$4&gt;1,'Monthly Cash Flow'!AA$4&lt;=2),'Monthly Cash Flow'!Z35*(1+'Rent Roll Analysis'!$AE33/12),'Monthly Cash Flow'!Z35*(1+'Rent Roll Analysis'!$AB33/12))))</f>
        <v/>
      </c>
      <c r="AB35" s="1428" t="str">
        <f>IF($B35="","",IF(AB$4&gt;2,(AA35*(1+'Rent Roll Analysis'!$AK33/12)), IF(AND('Monthly Cash Flow'!AB$4&gt;1,'Monthly Cash Flow'!AB$4&lt;=2),'Monthly Cash Flow'!AA35*(1+'Rent Roll Analysis'!$AE33/12),'Monthly Cash Flow'!AA35*(1+'Rent Roll Analysis'!$AB33/12))))</f>
        <v/>
      </c>
      <c r="AC35" s="1428" t="str">
        <f>IF($B35="","",IF(AC$4&gt;2,(AB35*(1+'Rent Roll Analysis'!$AK33/12)), IF(AND('Monthly Cash Flow'!AC$4&gt;1,'Monthly Cash Flow'!AC$4&lt;=2),'Monthly Cash Flow'!AB35*(1+'Rent Roll Analysis'!$AE33/12),'Monthly Cash Flow'!AB35*(1+'Rent Roll Analysis'!$AB33/12))))</f>
        <v/>
      </c>
      <c r="AD35" s="1428" t="str">
        <f>IF($B35="","",IF(AD$4&gt;2,(AC35*(1+'Rent Roll Analysis'!$AK33/12)), IF(AND('Monthly Cash Flow'!AD$4&gt;1,'Monthly Cash Flow'!AD$4&lt;=2),'Monthly Cash Flow'!AC35*(1+'Rent Roll Analysis'!$AE33/12),'Monthly Cash Flow'!AC35*(1+'Rent Roll Analysis'!$AB33/12))))</f>
        <v/>
      </c>
      <c r="AE35" s="1428" t="str">
        <f>IF($B35="","",IF(AE$4&gt;2,(AD35*(1+'Rent Roll Analysis'!$AK33/12)), IF(AND('Monthly Cash Flow'!AE$4&gt;1,'Monthly Cash Flow'!AE$4&lt;=2),'Monthly Cash Flow'!AD35*(1+'Rent Roll Analysis'!$AE33/12),'Monthly Cash Flow'!AD35*(1+'Rent Roll Analysis'!$AB33/12))))</f>
        <v/>
      </c>
      <c r="AF35" s="1428" t="str">
        <f>IF($B35="","",IF(AF$4&gt;2,(AE35*(1+'Rent Roll Analysis'!$AK33/12)), IF(AND('Monthly Cash Flow'!AF$4&gt;1,'Monthly Cash Flow'!AF$4&lt;=2),'Monthly Cash Flow'!AE35*(1+'Rent Roll Analysis'!$AE33/12),'Monthly Cash Flow'!AE35*(1+'Rent Roll Analysis'!$AB33/12))))</f>
        <v/>
      </c>
      <c r="AG35" s="1428" t="str">
        <f>IF($B35="","",IF(AG$4&gt;2,(AF35*(1+'Rent Roll Analysis'!$AK33/12)), IF(AND('Monthly Cash Flow'!AG$4&gt;1,'Monthly Cash Flow'!AG$4&lt;=2),'Monthly Cash Flow'!AF35*(1+'Rent Roll Analysis'!$AE33/12),'Monthly Cash Flow'!AF35*(1+'Rent Roll Analysis'!$AB33/12))))</f>
        <v/>
      </c>
      <c r="AH35" s="1428" t="str">
        <f>IF($B35="","",IF(AH$4&gt;2,(AG35*(1+'Rent Roll Analysis'!$AK33/12)), IF(AND('Monthly Cash Flow'!AH$4&gt;1,'Monthly Cash Flow'!AH$4&lt;=2),'Monthly Cash Flow'!AG35*(1+'Rent Roll Analysis'!$AE33/12),'Monthly Cash Flow'!AG35*(1+'Rent Roll Analysis'!$AB33/12))))</f>
        <v/>
      </c>
      <c r="AI35" s="1428" t="str">
        <f>IF($B35="","",IF(AI$4&gt;2,(AH35*(1+'Rent Roll Analysis'!$AK33/12)), IF(AND('Monthly Cash Flow'!AI$4&gt;1,'Monthly Cash Flow'!AI$4&lt;=2),'Monthly Cash Flow'!AH35*(1+'Rent Roll Analysis'!$AE33/12),'Monthly Cash Flow'!AH35*(1+'Rent Roll Analysis'!$AB33/12))))</f>
        <v/>
      </c>
      <c r="AJ35" s="1428" t="str">
        <f>IF($B35="","",IF(AJ$4&gt;2,(AI35*(1+'Rent Roll Analysis'!$AK33/12)), IF(AND('Monthly Cash Flow'!AJ$4&gt;1,'Monthly Cash Flow'!AJ$4&lt;=2),'Monthly Cash Flow'!AI35*(1+'Rent Roll Analysis'!$AE33/12),'Monthly Cash Flow'!AI35*(1+'Rent Roll Analysis'!$AB33/12))))</f>
        <v/>
      </c>
      <c r="AK35" s="1428" t="str">
        <f>IF($B35="","",IF(AK$4&gt;2,(AJ35*(1+'Rent Roll Analysis'!$AK33/12)), IF(AND('Monthly Cash Flow'!AK$4&gt;1,'Monthly Cash Flow'!AK$4&lt;=2),'Monthly Cash Flow'!AJ35*(1+'Rent Roll Analysis'!$AE33/12),'Monthly Cash Flow'!AJ35*(1+'Rent Roll Analysis'!$AB33/12))))</f>
        <v/>
      </c>
      <c r="AL35" s="1428" t="str">
        <f>IF($B35="","",IF(AL$4&gt;2,(AK35*(1+'Rent Roll Analysis'!$AK33/12)), IF(AND('Monthly Cash Flow'!AL$4&gt;1,'Monthly Cash Flow'!AL$4&lt;=2),'Monthly Cash Flow'!AK35*(1+'Rent Roll Analysis'!$AE33/12),'Monthly Cash Flow'!AK35*(1+'Rent Roll Analysis'!$AB33/12))))</f>
        <v/>
      </c>
      <c r="AM35" s="1428" t="str">
        <f>IF($B35="","",IF(AM$4&gt;2,(AL35*(1+'Rent Roll Analysis'!$AK33/12)), IF(AND('Monthly Cash Flow'!AM$4&gt;1,'Monthly Cash Flow'!AM$4&lt;=2),'Monthly Cash Flow'!AL35*(1+'Rent Roll Analysis'!$AE33/12),'Monthly Cash Flow'!AL35*(1+'Rent Roll Analysis'!$AB33/12))))</f>
        <v/>
      </c>
      <c r="AN35" s="1428" t="str">
        <f>IF($B35="","",IF(AN$4&gt;2,(AM35*(1+'Rent Roll Analysis'!$AK33/12)), IF(AND('Monthly Cash Flow'!AN$4&gt;1,'Monthly Cash Flow'!AN$4&lt;=2),'Monthly Cash Flow'!AM35*(1+'Rent Roll Analysis'!$AE33/12),'Monthly Cash Flow'!AM35*(1+'Rent Roll Analysis'!$AB33/12))))</f>
        <v/>
      </c>
      <c r="AO35" s="1428" t="str">
        <f>IF($B35="","",IF(AO$4&gt;2,(AN35*(1+'Rent Roll Analysis'!$AK33/12)), IF(AND('Monthly Cash Flow'!AO$4&gt;1,'Monthly Cash Flow'!AO$4&lt;=2),'Monthly Cash Flow'!AN35*(1+'Rent Roll Analysis'!$AE33/12),'Monthly Cash Flow'!AN35*(1+'Rent Roll Analysis'!$AB33/12))))</f>
        <v/>
      </c>
      <c r="AP35" s="1428" t="str">
        <f>IF($B35="","",IF(AP$4&gt;2,(AO35*(1+'Rent Roll Analysis'!$AK33/12)), IF(AND('Monthly Cash Flow'!AP$4&gt;1,'Monthly Cash Flow'!AP$4&lt;=2),'Monthly Cash Flow'!AO35*(1+'Rent Roll Analysis'!$AE33/12),'Monthly Cash Flow'!AO35*(1+'Rent Roll Analysis'!$AB33/12))))</f>
        <v/>
      </c>
      <c r="AQ35" s="1428" t="str">
        <f>IF($B35="","",IF(AQ$4&gt;2,(AP35*(1+'Rent Roll Analysis'!$AK33/12)), IF(AND('Monthly Cash Flow'!AQ$4&gt;1,'Monthly Cash Flow'!AQ$4&lt;=2),'Monthly Cash Flow'!AP35*(1+'Rent Roll Analysis'!$AE33/12),'Monthly Cash Flow'!AP35*(1+'Rent Roll Analysis'!$AB33/12))))</f>
        <v/>
      </c>
      <c r="AR35" s="1428" t="str">
        <f>IF($B35="","",IF(AR$4&gt;2,(AQ35*(1+'Rent Roll Analysis'!$AK33/12)), IF(AND('Monthly Cash Flow'!AR$4&gt;1,'Monthly Cash Flow'!AR$4&lt;=2),'Monthly Cash Flow'!AQ35*(1+'Rent Roll Analysis'!$AE33/12),'Monthly Cash Flow'!AQ35*(1+'Rent Roll Analysis'!$AB33/12))))</f>
        <v/>
      </c>
      <c r="AS35" s="1428" t="str">
        <f>IF($B35="","",IF(AS$4&gt;2,(AR35*(1+'Rent Roll Analysis'!$AK33/12)), IF(AND('Monthly Cash Flow'!AS$4&gt;1,'Monthly Cash Flow'!AS$4&lt;=2),'Monthly Cash Flow'!AR35*(1+'Rent Roll Analysis'!$AE33/12),'Monthly Cash Flow'!AR35*(1+'Rent Roll Analysis'!$AB33/12))))</f>
        <v/>
      </c>
      <c r="AT35" s="1428" t="str">
        <f>IF($B35="","",IF(AT$4&gt;2,(AS35*(1+'Rent Roll Analysis'!$AK33/12)), IF(AND('Monthly Cash Flow'!AT$4&gt;1,'Monthly Cash Flow'!AT$4&lt;=2),'Monthly Cash Flow'!AS35*(1+'Rent Roll Analysis'!$AE33/12),'Monthly Cash Flow'!AS35*(1+'Rent Roll Analysis'!$AB33/12))))</f>
        <v/>
      </c>
      <c r="AU35" s="1428" t="str">
        <f>IF($B35="","",IF(AU$4&gt;2,(AT35*(1+'Rent Roll Analysis'!$AK33/12)), IF(AND('Monthly Cash Flow'!AU$4&gt;1,'Monthly Cash Flow'!AU$4&lt;=2),'Monthly Cash Flow'!AT35*(1+'Rent Roll Analysis'!$AE33/12),'Monthly Cash Flow'!AT35*(1+'Rent Roll Analysis'!$AB33/12))))</f>
        <v/>
      </c>
      <c r="AV35" s="1428" t="str">
        <f>IF($B35="","",IF(AV$4&gt;2,(AU35*(1+'Rent Roll Analysis'!$AK33/12)), IF(AND('Monthly Cash Flow'!AV$4&gt;1,'Monthly Cash Flow'!AV$4&lt;=2),'Monthly Cash Flow'!AU35*(1+'Rent Roll Analysis'!$AE33/12),'Monthly Cash Flow'!AU35*(1+'Rent Roll Analysis'!$AB33/12))))</f>
        <v/>
      </c>
      <c r="AW35" s="1428" t="str">
        <f>IF($B35="","",IF(AW$4&gt;2,(AV35*(1+'Rent Roll Analysis'!$AK33/12)), IF(AND('Monthly Cash Flow'!AW$4&gt;1,'Monthly Cash Flow'!AW$4&lt;=2),'Monthly Cash Flow'!AV35*(1+'Rent Roll Analysis'!$AE33/12),'Monthly Cash Flow'!AV35*(1+'Rent Roll Analysis'!$AB33/12))))</f>
        <v/>
      </c>
      <c r="AX35" s="1428" t="str">
        <f>IF($B35="","",IF(AX$4&gt;2,(AW35*(1+'Rent Roll Analysis'!$AK33/12)), IF(AND('Monthly Cash Flow'!AX$4&gt;1,'Monthly Cash Flow'!AX$4&lt;=2),'Monthly Cash Flow'!AW35*(1+'Rent Roll Analysis'!$AE33/12),'Monthly Cash Flow'!AW35*(1+'Rent Roll Analysis'!$AB33/12))))</f>
        <v/>
      </c>
      <c r="AY35" s="1428" t="str">
        <f>IF($B35="","",IF(AY$4&gt;2,(AX35*(1+'Rent Roll Analysis'!$AK33/12)), IF(AND('Monthly Cash Flow'!AY$4&gt;1,'Monthly Cash Flow'!AY$4&lt;=2),'Monthly Cash Flow'!AX35*(1+'Rent Roll Analysis'!$AE33/12),'Monthly Cash Flow'!AX35*(1+'Rent Roll Analysis'!$AB33/12))))</f>
        <v/>
      </c>
      <c r="AZ35" s="1428" t="str">
        <f>IF($B35="","",IF(AZ$4&gt;2,(AY35*(1+'Rent Roll Analysis'!$AK33/12)), IF(AND('Monthly Cash Flow'!AZ$4&gt;1,'Monthly Cash Flow'!AZ$4&lt;=2),'Monthly Cash Flow'!AY35*(1+'Rent Roll Analysis'!$AE33/12),'Monthly Cash Flow'!AY35*(1+'Rent Roll Analysis'!$AB33/12))))</f>
        <v/>
      </c>
      <c r="BA35" s="1428" t="str">
        <f>IF($B35="","",IF(BA$4&gt;2,(AZ35*(1+'Rent Roll Analysis'!$AK33/12)), IF(AND('Monthly Cash Flow'!BA$4&gt;1,'Monthly Cash Flow'!BA$4&lt;=2),'Monthly Cash Flow'!AZ35*(1+'Rent Roll Analysis'!$AE33/12),'Monthly Cash Flow'!AZ35*(1+'Rent Roll Analysis'!$AB33/12))))</f>
        <v/>
      </c>
      <c r="BB35" s="1428" t="str">
        <f>IF($B35="","",IF(BB$4&gt;2,(BA35*(1+'Rent Roll Analysis'!$AK33/12)), IF(AND('Monthly Cash Flow'!BB$4&gt;1,'Monthly Cash Flow'!BB$4&lt;=2),'Monthly Cash Flow'!BA35*(1+'Rent Roll Analysis'!$AE33/12),'Monthly Cash Flow'!BA35*(1+'Rent Roll Analysis'!$AB33/12))))</f>
        <v/>
      </c>
      <c r="BC35" s="1428" t="str">
        <f>IF($B35="","",IF(BC$4&gt;2,(BB35*(1+'Rent Roll Analysis'!$AK33/12)), IF(AND('Monthly Cash Flow'!BC$4&gt;1,'Monthly Cash Flow'!BC$4&lt;=2),'Monthly Cash Flow'!BB35*(1+'Rent Roll Analysis'!$AE33/12),'Monthly Cash Flow'!BB35*(1+'Rent Roll Analysis'!$AB33/12))))</f>
        <v/>
      </c>
      <c r="BD35" s="1428" t="str">
        <f>IF($B35="","",IF(BD$4&gt;2,(BC35*(1+'Rent Roll Analysis'!$AK33/12)), IF(AND('Monthly Cash Flow'!BD$4&gt;1,'Monthly Cash Flow'!BD$4&lt;=2),'Monthly Cash Flow'!BC35*(1+'Rent Roll Analysis'!$AE33/12),'Monthly Cash Flow'!BC35*(1+'Rent Roll Analysis'!$AB33/12))))</f>
        <v/>
      </c>
      <c r="BE35" s="1428" t="str">
        <f>IF($B35="","",IF(BE$4&gt;2,(BD35*(1+'Rent Roll Analysis'!$AK33/12)), IF(AND('Monthly Cash Flow'!BE$4&gt;1,'Monthly Cash Flow'!BE$4&lt;=2),'Monthly Cash Flow'!BD35*(1+'Rent Roll Analysis'!$AE33/12),'Monthly Cash Flow'!BD35*(1+'Rent Roll Analysis'!$AB33/12))))</f>
        <v/>
      </c>
      <c r="BF35" s="1428" t="str">
        <f>IF($B35="","",IF(BF$4&gt;2,(BE35*(1+'Rent Roll Analysis'!$AK33/12)), IF(AND('Monthly Cash Flow'!BF$4&gt;1,'Monthly Cash Flow'!BF$4&lt;=2),'Monthly Cash Flow'!BE35*(1+'Rent Roll Analysis'!$AE33/12),'Monthly Cash Flow'!BE35*(1+'Rent Roll Analysis'!$AB33/12))))</f>
        <v/>
      </c>
      <c r="BG35" s="1428" t="str">
        <f>IF($B35="","",IF(BG$4&gt;2,(BF35*(1+'Rent Roll Analysis'!$AK33/12)), IF(AND('Monthly Cash Flow'!BG$4&gt;1,'Monthly Cash Flow'!BG$4&lt;=2),'Monthly Cash Flow'!BF35*(1+'Rent Roll Analysis'!$AE33/12),'Monthly Cash Flow'!BF35*(1+'Rent Roll Analysis'!$AB33/12))))</f>
        <v/>
      </c>
      <c r="BH35" s="1428" t="str">
        <f>IF($B35="","",IF(BH$4&gt;2,(BG35*(1+'Rent Roll Analysis'!$AK33/12)), IF(AND('Monthly Cash Flow'!BH$4&gt;1,'Monthly Cash Flow'!BH$4&lt;=2),'Monthly Cash Flow'!BG35*(1+'Rent Roll Analysis'!$AE33/12),'Monthly Cash Flow'!BG35*(1+'Rent Roll Analysis'!$AB33/12))))</f>
        <v/>
      </c>
      <c r="BI35" s="1428" t="str">
        <f>IF($B35="","",IF(BI$4&gt;2,(BH35*(1+'Rent Roll Analysis'!$AK33/12)), IF(AND('Monthly Cash Flow'!BI$4&gt;1,'Monthly Cash Flow'!BI$4&lt;=2),'Monthly Cash Flow'!BH35*(1+'Rent Roll Analysis'!$AE33/12),'Monthly Cash Flow'!BH35*(1+'Rent Roll Analysis'!$AB33/12))))</f>
        <v/>
      </c>
      <c r="BJ35" s="1428" t="str">
        <f>IF($B35="","",IF(BJ$4&gt;2,(BI35*(1+'Rent Roll Analysis'!$AK33/12)), IF(AND('Monthly Cash Flow'!BJ$4&gt;1,'Monthly Cash Flow'!BJ$4&lt;=2),'Monthly Cash Flow'!BI35*(1+'Rent Roll Analysis'!$AE33/12),'Monthly Cash Flow'!BI35*(1+'Rent Roll Analysis'!$AB33/12))))</f>
        <v/>
      </c>
      <c r="BK35" s="1428" t="str">
        <f>IF($B35="","",IF(BK$4&gt;2,(BJ35*(1+'Rent Roll Analysis'!$AK33/12)), IF(AND('Monthly Cash Flow'!BK$4&gt;1,'Monthly Cash Flow'!BK$4&lt;=2),'Monthly Cash Flow'!BJ35*(1+'Rent Roll Analysis'!$AE33/12),'Monthly Cash Flow'!BJ35*(1+'Rent Roll Analysis'!$AB33/12))))</f>
        <v/>
      </c>
      <c r="BL35" s="1428" t="str">
        <f>IF($B35="","",IF(BL$4&gt;2,(BK35*(1+'Rent Roll Analysis'!$AK33/12)), IF(AND('Monthly Cash Flow'!BL$4&gt;1,'Monthly Cash Flow'!BL$4&lt;=2),'Monthly Cash Flow'!BK35*(1+'Rent Roll Analysis'!$AE33/12),'Monthly Cash Flow'!BK35*(1+'Rent Roll Analysis'!$AB33/12))))</f>
        <v/>
      </c>
      <c r="BM35" s="1428" t="str">
        <f>IF($B35="","",IF(BM$4&gt;2,(BL35*(1+'Rent Roll Analysis'!$AK33/12)), IF(AND('Monthly Cash Flow'!BM$4&gt;1,'Monthly Cash Flow'!BM$4&lt;=2),'Monthly Cash Flow'!BL35*(1+'Rent Roll Analysis'!$AE33/12),'Monthly Cash Flow'!BL35*(1+'Rent Roll Analysis'!$AB33/12))))</f>
        <v/>
      </c>
      <c r="BN35" s="1428" t="str">
        <f>IF($B35="","",IF(BN$4&gt;2,(BM35*(1+'Rent Roll Analysis'!$AK33/12)), IF(AND('Monthly Cash Flow'!BN$4&gt;1,'Monthly Cash Flow'!BN$4&lt;=2),'Monthly Cash Flow'!BM35*(1+'Rent Roll Analysis'!$AE33/12),'Monthly Cash Flow'!BM35*(1+'Rent Roll Analysis'!$AB33/12))))</f>
        <v/>
      </c>
      <c r="BO35" s="1428" t="str">
        <f>IF($B35="","",IF(BO$4&gt;2,(BN35*(1+'Rent Roll Analysis'!$AK33/12)), IF(AND('Monthly Cash Flow'!BO$4&gt;1,'Monthly Cash Flow'!BO$4&lt;=2),'Monthly Cash Flow'!BN35*(1+'Rent Roll Analysis'!$AE33/12),'Monthly Cash Flow'!BN35*(1+'Rent Roll Analysis'!$AB33/12))))</f>
        <v/>
      </c>
      <c r="BP35" s="1428" t="str">
        <f>IF($B35="","",IF(BP$4&gt;2,(BO35*(1+'Rent Roll Analysis'!$AK33/12)), IF(AND('Monthly Cash Flow'!BP$4&gt;1,'Monthly Cash Flow'!BP$4&lt;=2),'Monthly Cash Flow'!BO35*(1+'Rent Roll Analysis'!$AE33/12),'Monthly Cash Flow'!BO35*(1+'Rent Roll Analysis'!$AB33/12))))</f>
        <v/>
      </c>
      <c r="BQ35" s="1428" t="str">
        <f>IF($B35="","",IF(BQ$4&gt;2,(BP35*(1+'Rent Roll Analysis'!$AK33/12)), IF(AND('Monthly Cash Flow'!BQ$4&gt;1,'Monthly Cash Flow'!BQ$4&lt;=2),'Monthly Cash Flow'!BP35*(1+'Rent Roll Analysis'!$AE33/12),'Monthly Cash Flow'!BP35*(1+'Rent Roll Analysis'!$AB33/12))))</f>
        <v/>
      </c>
      <c r="BR35" s="1428" t="str">
        <f>IF($B35="","",IF(BR$4&gt;2,(BQ35*(1+'Rent Roll Analysis'!$AK33/12)), IF(AND('Monthly Cash Flow'!BR$4&gt;1,'Monthly Cash Flow'!BR$4&lt;=2),'Monthly Cash Flow'!BQ35*(1+'Rent Roll Analysis'!$AE33/12),'Monthly Cash Flow'!BQ35*(1+'Rent Roll Analysis'!$AB33/12))))</f>
        <v/>
      </c>
      <c r="BS35" s="1428" t="str">
        <f>IF($B35="","",IF(BS$4&gt;2,(BR35*(1+'Rent Roll Analysis'!$AK33/12)), IF(AND('Monthly Cash Flow'!BS$4&gt;1,'Monthly Cash Flow'!BS$4&lt;=2),'Monthly Cash Flow'!BR35*(1+'Rent Roll Analysis'!$AE33/12),'Monthly Cash Flow'!BR35*(1+'Rent Roll Analysis'!$AB33/12))))</f>
        <v/>
      </c>
      <c r="BT35" s="1428" t="str">
        <f>IF($B35="","",IF(BT$4&gt;2,(BS35*(1+'Rent Roll Analysis'!$AK33/12)), IF(AND('Monthly Cash Flow'!BT$4&gt;1,'Monthly Cash Flow'!BT$4&lt;=2),'Monthly Cash Flow'!BS35*(1+'Rent Roll Analysis'!$AE33/12),'Monthly Cash Flow'!BS35*(1+'Rent Roll Analysis'!$AB33/12))))</f>
        <v/>
      </c>
      <c r="BU35" s="1428" t="str">
        <f>IF($B35="","",IF(BU$4&gt;2,(BT35*(1+'Rent Roll Analysis'!$AK33/12)), IF(AND('Monthly Cash Flow'!BU$4&gt;1,'Monthly Cash Flow'!BU$4&lt;=2),'Monthly Cash Flow'!BT35*(1+'Rent Roll Analysis'!$AE33/12),'Monthly Cash Flow'!BT35*(1+'Rent Roll Analysis'!$AB33/12))))</f>
        <v/>
      </c>
      <c r="BV35" s="1428" t="str">
        <f>IF($B35="","",IF(BV$4&gt;2,(BU35*(1+'Rent Roll Analysis'!$AK33/12)), IF(AND('Monthly Cash Flow'!BV$4&gt;1,'Monthly Cash Flow'!BV$4&lt;=2),'Monthly Cash Flow'!BU35*(1+'Rent Roll Analysis'!$AE33/12),'Monthly Cash Flow'!BU35*(1+'Rent Roll Analysis'!$AB33/12))))</f>
        <v/>
      </c>
      <c r="BW35" s="1428" t="str">
        <f>IF($B35="","",IF(BW$4&gt;2,(BV35*(1+'Rent Roll Analysis'!$AK33/12)), IF(AND('Monthly Cash Flow'!BW$4&gt;1,'Monthly Cash Flow'!BW$4&lt;=2),'Monthly Cash Flow'!BV35*(1+'Rent Roll Analysis'!$AE33/12),'Monthly Cash Flow'!BV35*(1+'Rent Roll Analysis'!$AB33/12))))</f>
        <v/>
      </c>
      <c r="BX35" s="1428" t="str">
        <f>IF($B35="","",IF(BX$4&gt;2,(BW35*(1+'Rent Roll Analysis'!$AK33/12)), IF(AND('Monthly Cash Flow'!BX$4&gt;1,'Monthly Cash Flow'!BX$4&lt;=2),'Monthly Cash Flow'!BW35*(1+'Rent Roll Analysis'!$AE33/12),'Monthly Cash Flow'!BW35*(1+'Rent Roll Analysis'!$AB33/12))))</f>
        <v/>
      </c>
      <c r="BY35" s="1428" t="str">
        <f>IF($B35="","",IF(BY$4&gt;2,(BX35*(1+'Rent Roll Analysis'!$AK33/12)), IF(AND('Monthly Cash Flow'!BY$4&gt;1,'Monthly Cash Flow'!BY$4&lt;=2),'Monthly Cash Flow'!BX35*(1+'Rent Roll Analysis'!$AE33/12),'Monthly Cash Flow'!BX35*(1+'Rent Roll Analysis'!$AB33/12))))</f>
        <v/>
      </c>
      <c r="BZ35" s="1428" t="str">
        <f>IF($B35="","",IF(BZ$4&gt;2,(BY35*(1+'Rent Roll Analysis'!$AK33/12)), IF(AND('Monthly Cash Flow'!BZ$4&gt;1,'Monthly Cash Flow'!BZ$4&lt;=2),'Monthly Cash Flow'!BY35*(1+'Rent Roll Analysis'!$AE33/12),'Monthly Cash Flow'!BY35*(1+'Rent Roll Analysis'!$AB33/12))))</f>
        <v/>
      </c>
      <c r="CA35" s="1428" t="str">
        <f>IF($B35="","",IF(CA$4&gt;2,(BZ35*(1+'Rent Roll Analysis'!$AK33/12)), IF(AND('Monthly Cash Flow'!CA$4&gt;1,'Monthly Cash Flow'!CA$4&lt;=2),'Monthly Cash Flow'!BZ35*(1+'Rent Roll Analysis'!$AE33/12),'Monthly Cash Flow'!BZ35*(1+'Rent Roll Analysis'!$AB33/12))))</f>
        <v/>
      </c>
      <c r="CB35" s="1428" t="str">
        <f>IF($B35="","",IF(CB$4&gt;2,(CA35*(1+'Rent Roll Analysis'!$AK33/12)), IF(AND('Monthly Cash Flow'!CB$4&gt;1,'Monthly Cash Flow'!CB$4&lt;=2),'Monthly Cash Flow'!CA35*(1+'Rent Roll Analysis'!$AE33/12),'Monthly Cash Flow'!CA35*(1+'Rent Roll Analysis'!$AB33/12))))</f>
        <v/>
      </c>
      <c r="CC35" s="1428" t="str">
        <f>IF($B35="","",IF(CC$4&gt;2,(CB35*(1+'Rent Roll Analysis'!$AK33/12)), IF(AND('Monthly Cash Flow'!CC$4&gt;1,'Monthly Cash Flow'!CC$4&lt;=2),'Monthly Cash Flow'!CB35*(1+'Rent Roll Analysis'!$AE33/12),'Monthly Cash Flow'!CB35*(1+'Rent Roll Analysis'!$AB33/12))))</f>
        <v/>
      </c>
      <c r="CD35" s="1428" t="str">
        <f>IF($B35="","",IF(CD$4&gt;2,(CC35*(1+'Rent Roll Analysis'!$AK33/12)), IF(AND('Monthly Cash Flow'!CD$4&gt;1,'Monthly Cash Flow'!CD$4&lt;=2),'Monthly Cash Flow'!CC35*(1+'Rent Roll Analysis'!$AE33/12),'Monthly Cash Flow'!CC35*(1+'Rent Roll Analysis'!$AB33/12))))</f>
        <v/>
      </c>
      <c r="CE35" s="1428" t="str">
        <f>IF($B35="","",IF(CE$4&gt;2,(CD35*(1+'Rent Roll Analysis'!$AK33/12)), IF(AND('Monthly Cash Flow'!CE$4&gt;1,'Monthly Cash Flow'!CE$4&lt;=2),'Monthly Cash Flow'!CD35*(1+'Rent Roll Analysis'!$AE33/12),'Monthly Cash Flow'!CD35*(1+'Rent Roll Analysis'!$AB33/12))))</f>
        <v/>
      </c>
      <c r="CF35" s="1428" t="str">
        <f>IF($B35="","",IF(CF$4&gt;2,(CE35*(1+'Rent Roll Analysis'!$AK33/12)), IF(AND('Monthly Cash Flow'!CF$4&gt;1,'Monthly Cash Flow'!CF$4&lt;=2),'Monthly Cash Flow'!CE35*(1+'Rent Roll Analysis'!$AE33/12),'Monthly Cash Flow'!CE35*(1+'Rent Roll Analysis'!$AB33/12))))</f>
        <v/>
      </c>
      <c r="CG35" s="1428" t="str">
        <f>IF($B35="","",IF(CG$4&gt;2,(CF35*(1+'Rent Roll Analysis'!$AK33/12)), IF(AND('Monthly Cash Flow'!CG$4&gt;1,'Monthly Cash Flow'!CG$4&lt;=2),'Monthly Cash Flow'!CF35*(1+'Rent Roll Analysis'!$AE33/12),'Monthly Cash Flow'!CF35*(1+'Rent Roll Analysis'!$AB33/12))))</f>
        <v/>
      </c>
      <c r="CH35" s="1428" t="str">
        <f>IF($B35="","",IF(CH$4&gt;2,(CG35*(1+'Rent Roll Analysis'!$AK33/12)), IF(AND('Monthly Cash Flow'!CH$4&gt;1,'Monthly Cash Flow'!CH$4&lt;=2),'Monthly Cash Flow'!CG35*(1+'Rent Roll Analysis'!$AE33/12),'Monthly Cash Flow'!CG35*(1+'Rent Roll Analysis'!$AB33/12))))</f>
        <v/>
      </c>
      <c r="CI35" s="1428" t="str">
        <f>IF($B35="","",IF(CI$4&gt;2,(CH35*(1+'Rent Roll Analysis'!$AK33/12)), IF(AND('Monthly Cash Flow'!CI$4&gt;1,'Monthly Cash Flow'!CI$4&lt;=2),'Monthly Cash Flow'!CH35*(1+'Rent Roll Analysis'!$AE33/12),'Monthly Cash Flow'!CH35*(1+'Rent Roll Analysis'!$AB33/12))))</f>
        <v/>
      </c>
      <c r="CJ35" s="1428" t="str">
        <f>IF($B35="","",IF(CJ$4&gt;2,(CI35*(1+'Rent Roll Analysis'!$AK33/12)), IF(AND('Monthly Cash Flow'!CJ$4&gt;1,'Monthly Cash Flow'!CJ$4&lt;=2),'Monthly Cash Flow'!CI35*(1+'Rent Roll Analysis'!$AE33/12),'Monthly Cash Flow'!CI35*(1+'Rent Roll Analysis'!$AB33/12))))</f>
        <v/>
      </c>
      <c r="CK35" s="1428" t="str">
        <f>IF($B35="","",IF(CK$4&gt;2,(CJ35*(1+'Rent Roll Analysis'!$AK33/12)), IF(AND('Monthly Cash Flow'!CK$4&gt;1,'Monthly Cash Flow'!CK$4&lt;=2),'Monthly Cash Flow'!CJ35*(1+'Rent Roll Analysis'!$AE33/12),'Monthly Cash Flow'!CJ35*(1+'Rent Roll Analysis'!$AB33/12))))</f>
        <v/>
      </c>
      <c r="CL35" s="1428" t="str">
        <f>IF($B35="","",IF(CL$4&gt;2,(CK35*(1+'Rent Roll Analysis'!$AK33/12)), IF(AND('Monthly Cash Flow'!CL$4&gt;1,'Monthly Cash Flow'!CL$4&lt;=2),'Monthly Cash Flow'!CK35*(1+'Rent Roll Analysis'!$AE33/12),'Monthly Cash Flow'!CK35*(1+'Rent Roll Analysis'!$AB33/12))))</f>
        <v/>
      </c>
      <c r="CM35" s="1428" t="str">
        <f>IF($B35="","",IF(CM$4&gt;2,(CL35*(1+'Rent Roll Analysis'!$AK33/12)), IF(AND('Monthly Cash Flow'!CM$4&gt;1,'Monthly Cash Flow'!CM$4&lt;=2),'Monthly Cash Flow'!CL35*(1+'Rent Roll Analysis'!$AE33/12),'Monthly Cash Flow'!CL35*(1+'Rent Roll Analysis'!$AB33/12))))</f>
        <v/>
      </c>
      <c r="CN35" s="1428" t="str">
        <f>IF($B35="","",IF(CN$4&gt;2,(CM35*(1+'Rent Roll Analysis'!$AK33/12)), IF(AND('Monthly Cash Flow'!CN$4&gt;1,'Monthly Cash Flow'!CN$4&lt;=2),'Monthly Cash Flow'!CM35*(1+'Rent Roll Analysis'!$AE33/12),'Monthly Cash Flow'!CM35*(1+'Rent Roll Analysis'!$AB33/12))))</f>
        <v/>
      </c>
      <c r="CO35" s="1428" t="str">
        <f>IF($B35="","",IF(CO$4&gt;2,(CN35*(1+'Rent Roll Analysis'!$AK33/12)), IF(AND('Monthly Cash Flow'!CO$4&gt;1,'Monthly Cash Flow'!CO$4&lt;=2),'Monthly Cash Flow'!CN35*(1+'Rent Roll Analysis'!$AE33/12),'Monthly Cash Flow'!CN35*(1+'Rent Roll Analysis'!$AB33/12))))</f>
        <v/>
      </c>
      <c r="CP35" s="1428" t="str">
        <f>IF($B35="","",IF(CP$4&gt;2,(CO35*(1+'Rent Roll Analysis'!$AK33/12)), IF(AND('Monthly Cash Flow'!CP$4&gt;1,'Monthly Cash Flow'!CP$4&lt;=2),'Monthly Cash Flow'!CO35*(1+'Rent Roll Analysis'!$AE33/12),'Monthly Cash Flow'!CO35*(1+'Rent Roll Analysis'!$AB33/12))))</f>
        <v/>
      </c>
      <c r="CQ35" s="1428" t="str">
        <f>IF($B35="","",IF(CQ$4&gt;2,(CP35*(1+'Rent Roll Analysis'!$AK33/12)), IF(AND('Monthly Cash Flow'!CQ$4&gt;1,'Monthly Cash Flow'!CQ$4&lt;=2),'Monthly Cash Flow'!CP35*(1+'Rent Roll Analysis'!$AE33/12),'Monthly Cash Flow'!CP35*(1+'Rent Roll Analysis'!$AB33/12))))</f>
        <v/>
      </c>
      <c r="CR35" s="1428" t="str">
        <f>IF($B35="","",IF(CR$4&gt;2,(CQ35*(1+'Rent Roll Analysis'!$AK33/12)), IF(AND('Monthly Cash Flow'!CR$4&gt;1,'Monthly Cash Flow'!CR$4&lt;=2),'Monthly Cash Flow'!CQ35*(1+'Rent Roll Analysis'!$AE33/12),'Monthly Cash Flow'!CQ35*(1+'Rent Roll Analysis'!$AB33/12))))</f>
        <v/>
      </c>
      <c r="CS35" s="1428" t="str">
        <f>IF($B35="","",IF(CS$4&gt;2,(CR35*(1+'Rent Roll Analysis'!$AK33/12)), IF(AND('Monthly Cash Flow'!CS$4&gt;1,'Monthly Cash Flow'!CS$4&lt;=2),'Monthly Cash Flow'!CR35*(1+'Rent Roll Analysis'!$AE33/12),'Monthly Cash Flow'!CR35*(1+'Rent Roll Analysis'!$AB33/12))))</f>
        <v/>
      </c>
      <c r="CT35" s="1428" t="str">
        <f>IF($B35="","",IF(CT$4&gt;2,(CS35*(1+'Rent Roll Analysis'!$AK33/12)), IF(AND('Monthly Cash Flow'!CT$4&gt;1,'Monthly Cash Flow'!CT$4&lt;=2),'Monthly Cash Flow'!CS35*(1+'Rent Roll Analysis'!$AE33/12),'Monthly Cash Flow'!CS35*(1+'Rent Roll Analysis'!$AB33/12))))</f>
        <v/>
      </c>
      <c r="CU35" s="1428" t="str">
        <f>IF($B35="","",IF(CU$4&gt;2,(CT35*(1+'Rent Roll Analysis'!$AK33/12)), IF(AND('Monthly Cash Flow'!CU$4&gt;1,'Monthly Cash Flow'!CU$4&lt;=2),'Monthly Cash Flow'!CT35*(1+'Rent Roll Analysis'!$AE33/12),'Monthly Cash Flow'!CT35*(1+'Rent Roll Analysis'!$AB33/12))))</f>
        <v/>
      </c>
      <c r="CV35" s="1428" t="str">
        <f>IF($B35="","",IF(CV$4&gt;2,(CU35*(1+'Rent Roll Analysis'!$AK33/12)), IF(AND('Monthly Cash Flow'!CV$4&gt;1,'Monthly Cash Flow'!CV$4&lt;=2),'Monthly Cash Flow'!CU35*(1+'Rent Roll Analysis'!$AE33/12),'Monthly Cash Flow'!CU35*(1+'Rent Roll Analysis'!$AB33/12))))</f>
        <v/>
      </c>
      <c r="CW35" s="1428" t="str">
        <f>IF($B35="","",IF(CW$4&gt;2,(CV35*(1+'Rent Roll Analysis'!$AK33/12)), IF(AND('Monthly Cash Flow'!CW$4&gt;1,'Monthly Cash Flow'!CW$4&lt;=2),'Monthly Cash Flow'!CV35*(1+'Rent Roll Analysis'!$AE33/12),'Monthly Cash Flow'!CV35*(1+'Rent Roll Analysis'!$AB33/12))))</f>
        <v/>
      </c>
      <c r="CX35" s="1428" t="str">
        <f>IF($B35="","",IF(CX$4&gt;2,(CW35*(1+'Rent Roll Analysis'!$AK33/12)), IF(AND('Monthly Cash Flow'!CX$4&gt;1,'Monthly Cash Flow'!CX$4&lt;=2),'Monthly Cash Flow'!CW35*(1+'Rent Roll Analysis'!$AE33/12),'Monthly Cash Flow'!CW35*(1+'Rent Roll Analysis'!$AB33/12))))</f>
        <v/>
      </c>
      <c r="CY35" s="1428" t="str">
        <f>IF($B35="","",IF(CY$4&gt;2,(CX35*(1+'Rent Roll Analysis'!$AK33/12)), IF(AND('Monthly Cash Flow'!CY$4&gt;1,'Monthly Cash Flow'!CY$4&lt;=2),'Monthly Cash Flow'!CX35*(1+'Rent Roll Analysis'!$AE33/12),'Monthly Cash Flow'!CX35*(1+'Rent Roll Analysis'!$AB33/12))))</f>
        <v/>
      </c>
      <c r="CZ35" s="1428" t="str">
        <f>IF($B35="","",IF(CZ$4&gt;2,(CY35*(1+'Rent Roll Analysis'!$AK33/12)), IF(AND('Monthly Cash Flow'!CZ$4&gt;1,'Monthly Cash Flow'!CZ$4&lt;=2),'Monthly Cash Flow'!CY35*(1+'Rent Roll Analysis'!$AE33/12),'Monthly Cash Flow'!CY35*(1+'Rent Roll Analysis'!$AB33/12))))</f>
        <v/>
      </c>
      <c r="DA35" s="1428" t="str">
        <f>IF($B35="","",IF(DA$4&gt;2,(CZ35*(1+'Rent Roll Analysis'!$AK33/12)), IF(AND('Monthly Cash Flow'!DA$4&gt;1,'Monthly Cash Flow'!DA$4&lt;=2),'Monthly Cash Flow'!CZ35*(1+'Rent Roll Analysis'!$AE33/12),'Monthly Cash Flow'!CZ35*(1+'Rent Roll Analysis'!$AB33/12))))</f>
        <v/>
      </c>
      <c r="DB35" s="1428" t="str">
        <f>IF($B35="","",IF(DB$4&gt;2,(DA35*(1+'Rent Roll Analysis'!$AK33/12)), IF(AND('Monthly Cash Flow'!DB$4&gt;1,'Monthly Cash Flow'!DB$4&lt;=2),'Monthly Cash Flow'!DA35*(1+'Rent Roll Analysis'!$AE33/12),'Monthly Cash Flow'!DA35*(1+'Rent Roll Analysis'!$AB33/12))))</f>
        <v/>
      </c>
      <c r="DC35" s="1428" t="str">
        <f>IF($B35="","",IF(DC$4&gt;2,(DB35*(1+'Rent Roll Analysis'!$AK33/12)), IF(AND('Monthly Cash Flow'!DC$4&gt;1,'Monthly Cash Flow'!DC$4&lt;=2),'Monthly Cash Flow'!DB35*(1+'Rent Roll Analysis'!$AE33/12),'Monthly Cash Flow'!DB35*(1+'Rent Roll Analysis'!$AB33/12))))</f>
        <v/>
      </c>
      <c r="DD35" s="1428" t="str">
        <f>IF($B35="","",IF(DD$4&gt;2,(DC35*(1+'Rent Roll Analysis'!$AK33/12)), IF(AND('Monthly Cash Flow'!DD$4&gt;1,'Monthly Cash Flow'!DD$4&lt;=2),'Monthly Cash Flow'!DC35*(1+'Rent Roll Analysis'!$AE33/12),'Monthly Cash Flow'!DC35*(1+'Rent Roll Analysis'!$AB33/12))))</f>
        <v/>
      </c>
      <c r="DE35" s="1428" t="str">
        <f>IF($B35="","",IF(DE$4&gt;2,(DD35*(1+'Rent Roll Analysis'!$AK33/12)), IF(AND('Monthly Cash Flow'!DE$4&gt;1,'Monthly Cash Flow'!DE$4&lt;=2),'Monthly Cash Flow'!DD35*(1+'Rent Roll Analysis'!$AE33/12),'Monthly Cash Flow'!DD35*(1+'Rent Roll Analysis'!$AB33/12))))</f>
        <v/>
      </c>
      <c r="DF35" s="1428" t="str">
        <f>IF($B35="","",IF(DF$4&gt;2,(DE35*(1+'Rent Roll Analysis'!$AK33/12)), IF(AND('Monthly Cash Flow'!DF$4&gt;1,'Monthly Cash Flow'!DF$4&lt;=2),'Monthly Cash Flow'!DE35*(1+'Rent Roll Analysis'!$AE33/12),'Monthly Cash Flow'!DE35*(1+'Rent Roll Analysis'!$AB33/12))))</f>
        <v/>
      </c>
      <c r="DG35" s="1428" t="str">
        <f>IF($B35="","",IF(DG$4&gt;2,(DF35*(1+'Rent Roll Analysis'!$AK33/12)), IF(AND('Monthly Cash Flow'!DG$4&gt;1,'Monthly Cash Flow'!DG$4&lt;=2),'Monthly Cash Flow'!DF35*(1+'Rent Roll Analysis'!$AE33/12),'Monthly Cash Flow'!DF35*(1+'Rent Roll Analysis'!$AB33/12))))</f>
        <v/>
      </c>
      <c r="DH35" s="1428" t="str">
        <f>IF($B35="","",IF(DH$4&gt;2,(DG35*(1+'Rent Roll Analysis'!$AK33/12)), IF(AND('Monthly Cash Flow'!DH$4&gt;1,'Monthly Cash Flow'!DH$4&lt;=2),'Monthly Cash Flow'!DG35*(1+'Rent Roll Analysis'!$AE33/12),'Monthly Cash Flow'!DG35*(1+'Rent Roll Analysis'!$AB33/12))))</f>
        <v/>
      </c>
      <c r="DI35" s="1428" t="str">
        <f>IF($B35="","",IF(DI$4&gt;2,(DH35*(1+'Rent Roll Analysis'!$AK33/12)), IF(AND('Monthly Cash Flow'!DI$4&gt;1,'Monthly Cash Flow'!DI$4&lt;=2),'Monthly Cash Flow'!DH35*(1+'Rent Roll Analysis'!$AE33/12),'Monthly Cash Flow'!DH35*(1+'Rent Roll Analysis'!$AB33/12))))</f>
        <v/>
      </c>
      <c r="DJ35" s="1428" t="str">
        <f>IF($B35="","",IF(DJ$4&gt;2,(DI35*(1+'Rent Roll Analysis'!$AK33/12)), IF(AND('Monthly Cash Flow'!DJ$4&gt;1,'Monthly Cash Flow'!DJ$4&lt;=2),'Monthly Cash Flow'!DI35*(1+'Rent Roll Analysis'!$AE33/12),'Monthly Cash Flow'!DI35*(1+'Rent Roll Analysis'!$AB33/12))))</f>
        <v/>
      </c>
      <c r="DK35" s="1428" t="str">
        <f>IF($B35="","",IF(DK$4&gt;2,(DJ35*(1+'Rent Roll Analysis'!$AK33/12)), IF(AND('Monthly Cash Flow'!DK$4&gt;1,'Monthly Cash Flow'!DK$4&lt;=2),'Monthly Cash Flow'!DJ35*(1+'Rent Roll Analysis'!$AE33/12),'Monthly Cash Flow'!DJ35*(1+'Rent Roll Analysis'!$AB33/12))))</f>
        <v/>
      </c>
      <c r="DL35" s="1428" t="str">
        <f>IF($B35="","",IF(DL$4&gt;2,(DK35*(1+'Rent Roll Analysis'!$AK33/12)), IF(AND('Monthly Cash Flow'!DL$4&gt;1,'Monthly Cash Flow'!DL$4&lt;=2),'Monthly Cash Flow'!DK35*(1+'Rent Roll Analysis'!$AE33/12),'Monthly Cash Flow'!DK35*(1+'Rent Roll Analysis'!$AB33/12))))</f>
        <v/>
      </c>
      <c r="DM35" s="1428" t="str">
        <f>IF($B35="","",IF(DM$4&gt;2,(DL35*(1+'Rent Roll Analysis'!$AK33/12)), IF(AND('Monthly Cash Flow'!DM$4&gt;1,'Monthly Cash Flow'!DM$4&lt;=2),'Monthly Cash Flow'!DL35*(1+'Rent Roll Analysis'!$AE33/12),'Monthly Cash Flow'!DL35*(1+'Rent Roll Analysis'!$AB33/12))))</f>
        <v/>
      </c>
      <c r="DN35" s="1428" t="str">
        <f>IF($B35="","",IF(DN$4&gt;2,(DM35*(1+'Rent Roll Analysis'!$AK33/12)), IF(AND('Monthly Cash Flow'!DN$4&gt;1,'Monthly Cash Flow'!DN$4&lt;=2),'Monthly Cash Flow'!DM35*(1+'Rent Roll Analysis'!$AE33/12),'Monthly Cash Flow'!DM35*(1+'Rent Roll Analysis'!$AB33/12))))</f>
        <v/>
      </c>
      <c r="DO35" s="1428" t="str">
        <f>IF($B35="","",IF(DO$4&gt;2,(DN35*(1+'Rent Roll Analysis'!$AK33/12)), IF(AND('Monthly Cash Flow'!DO$4&gt;1,'Monthly Cash Flow'!DO$4&lt;=2),'Monthly Cash Flow'!DN35*(1+'Rent Roll Analysis'!$AE33/12),'Monthly Cash Flow'!DN35*(1+'Rent Roll Analysis'!$AB33/12))))</f>
        <v/>
      </c>
      <c r="DP35" s="1428" t="str">
        <f>IF($B35="","",IF(DP$4&gt;2,(DO35*(1+'Rent Roll Analysis'!$AK33/12)), IF(AND('Monthly Cash Flow'!DP$4&gt;1,'Monthly Cash Flow'!DP$4&lt;=2),'Monthly Cash Flow'!DO35*(1+'Rent Roll Analysis'!$AE33/12),'Monthly Cash Flow'!DO35*(1+'Rent Roll Analysis'!$AB33/12))))</f>
        <v/>
      </c>
      <c r="DQ35" s="1428" t="str">
        <f>IF($B35="","",IF(DQ$4&gt;2,(DP35*(1+'Rent Roll Analysis'!$AK33/12)), IF(AND('Monthly Cash Flow'!DQ$4&gt;1,'Monthly Cash Flow'!DQ$4&lt;=2),'Monthly Cash Flow'!DP35*(1+'Rent Roll Analysis'!$AE33/12),'Monthly Cash Flow'!DP35*(1+'Rent Roll Analysis'!$AB33/12))))</f>
        <v/>
      </c>
      <c r="DR35" s="1428" t="str">
        <f>IF($B35="","",IF(DR$4&gt;2,(DQ35*(1+'Rent Roll Analysis'!$AK33/12)), IF(AND('Monthly Cash Flow'!DR$4&gt;1,'Monthly Cash Flow'!DR$4&lt;=2),'Monthly Cash Flow'!DQ35*(1+'Rent Roll Analysis'!$AE33/12),'Monthly Cash Flow'!DQ35*(1+'Rent Roll Analysis'!$AB33/12))))</f>
        <v/>
      </c>
      <c r="DS35" s="1428" t="str">
        <f>IF($B35="","",IF(DS$4&gt;2,(DR35*(1+'Rent Roll Analysis'!$AK33/12)), IF(AND('Monthly Cash Flow'!DS$4&gt;1,'Monthly Cash Flow'!DS$4&lt;=2),'Monthly Cash Flow'!DR35*(1+'Rent Roll Analysis'!$AE33/12),'Monthly Cash Flow'!DR35*(1+'Rent Roll Analysis'!$AB33/12))))</f>
        <v/>
      </c>
      <c r="DT35" s="1428" t="str">
        <f>IF($B35="","",IF(DT$4&gt;2,(DS35*(1+'Rent Roll Analysis'!$AK33/12)), IF(AND('Monthly Cash Flow'!DT$4&gt;1,'Monthly Cash Flow'!DT$4&lt;=2),'Monthly Cash Flow'!DS35*(1+'Rent Roll Analysis'!$AE33/12),'Monthly Cash Flow'!DS35*(1+'Rent Roll Analysis'!$AB33/12))))</f>
        <v/>
      </c>
      <c r="DU35" s="385" t="s">
        <v>557</v>
      </c>
      <c r="DV35" s="375"/>
    </row>
    <row r="36" spans="1:126" s="92" customFormat="1" ht="20.149999999999999" customHeight="1" outlineLevel="1">
      <c r="A36" s="375"/>
      <c r="B36" s="383" t="str">
        <f>'Rent Roll Analysis'!C34</f>
        <v/>
      </c>
      <c r="C36" s="376"/>
      <c r="D36" s="1426" t="str">
        <f>IF('Rent Roll Analysis'!C34="","",'Rent Roll Analysis'!N34*'Rent Roll Analysis'!E34)</f>
        <v/>
      </c>
      <c r="E36" s="1428" t="str">
        <f t="shared" si="113"/>
        <v/>
      </c>
      <c r="F36" s="1428" t="str">
        <f>IF($B36="","",IF(F$4&gt;2,(E36*(1+'Rent Roll Analysis'!$AK34/12)), IF(AND('Monthly Cash Flow'!F$4&gt;1,'Monthly Cash Flow'!F$4&lt;=2),'Monthly Cash Flow'!E36*(1+'Rent Roll Analysis'!$AE34/12),'Monthly Cash Flow'!E36*(1+'Rent Roll Analysis'!$AB34/12))))</f>
        <v/>
      </c>
      <c r="G36" s="1428" t="str">
        <f>IF($B36="","",IF(G$4&gt;2,(F36*(1+'Rent Roll Analysis'!$AK34/12)), IF(AND('Monthly Cash Flow'!G$4&gt;1,'Monthly Cash Flow'!G$4&lt;=2),'Monthly Cash Flow'!F36*(1+'Rent Roll Analysis'!$AE34/12),'Monthly Cash Flow'!F36*(1+'Rent Roll Analysis'!$AB34/12))))</f>
        <v/>
      </c>
      <c r="H36" s="1428" t="str">
        <f>IF($B36="","",IF(H$4&gt;2,(G36*(1+'Rent Roll Analysis'!$AK34/12)), IF(AND('Monthly Cash Flow'!H$4&gt;1,'Monthly Cash Flow'!H$4&lt;=2),'Monthly Cash Flow'!G36*(1+'Rent Roll Analysis'!$AE34/12),'Monthly Cash Flow'!G36*(1+'Rent Roll Analysis'!$AB34/12))))</f>
        <v/>
      </c>
      <c r="I36" s="1428" t="str">
        <f>IF($B36="","",IF(I$4&gt;2,(H36*(1+'Rent Roll Analysis'!$AK34/12)), IF(AND('Monthly Cash Flow'!I$4&gt;1,'Monthly Cash Flow'!I$4&lt;=2),'Monthly Cash Flow'!H36*(1+'Rent Roll Analysis'!$AE34/12),'Monthly Cash Flow'!H36*(1+'Rent Roll Analysis'!$AB34/12))))</f>
        <v/>
      </c>
      <c r="J36" s="1428" t="str">
        <f>IF($B36="","",IF(J$4&gt;2,(I36*(1+'Rent Roll Analysis'!$AK34/12)), IF(AND('Monthly Cash Flow'!J$4&gt;1,'Monthly Cash Flow'!J$4&lt;=2),'Monthly Cash Flow'!I36*(1+'Rent Roll Analysis'!$AE34/12),'Monthly Cash Flow'!I36*(1+'Rent Roll Analysis'!$AB34/12))))</f>
        <v/>
      </c>
      <c r="K36" s="1428" t="str">
        <f>IF($B36="","",IF(K$4&gt;2,(J36*(1+'Rent Roll Analysis'!$AK34/12)), IF(AND('Monthly Cash Flow'!K$4&gt;1,'Monthly Cash Flow'!K$4&lt;=2),'Monthly Cash Flow'!J36*(1+'Rent Roll Analysis'!$AE34/12),'Monthly Cash Flow'!J36*(1+'Rent Roll Analysis'!$AB34/12))))</f>
        <v/>
      </c>
      <c r="L36" s="1428" t="str">
        <f>IF($B36="","",IF(L$4&gt;2,(K36*(1+'Rent Roll Analysis'!$AK34/12)), IF(AND('Monthly Cash Flow'!L$4&gt;1,'Monthly Cash Flow'!L$4&lt;=2),'Monthly Cash Flow'!K36*(1+'Rent Roll Analysis'!$AE34/12),'Monthly Cash Flow'!K36*(1+'Rent Roll Analysis'!$AB34/12))))</f>
        <v/>
      </c>
      <c r="M36" s="1428" t="str">
        <f>IF($B36="","",IF(M$4&gt;2,(L36*(1+'Rent Roll Analysis'!$AK34/12)), IF(AND('Monthly Cash Flow'!M$4&gt;1,'Monthly Cash Flow'!M$4&lt;=2),'Monthly Cash Flow'!L36*(1+'Rent Roll Analysis'!$AE34/12),'Monthly Cash Flow'!L36*(1+'Rent Roll Analysis'!$AB34/12))))</f>
        <v/>
      </c>
      <c r="N36" s="1428" t="str">
        <f>IF($B36="","",IF(N$4&gt;2,(M36*(1+'Rent Roll Analysis'!$AK34/12)), IF(AND('Monthly Cash Flow'!N$4&gt;1,'Monthly Cash Flow'!N$4&lt;=2),'Monthly Cash Flow'!M36*(1+'Rent Roll Analysis'!$AE34/12),'Monthly Cash Flow'!M36*(1+'Rent Roll Analysis'!$AB34/12))))</f>
        <v/>
      </c>
      <c r="O36" s="1428" t="str">
        <f>IF($B36="","",IF(O$4&gt;2,(N36*(1+'Rent Roll Analysis'!$AK34/12)), IF(AND('Monthly Cash Flow'!O$4&gt;1,'Monthly Cash Flow'!O$4&lt;=2),'Monthly Cash Flow'!N36*(1+'Rent Roll Analysis'!$AE34/12),'Monthly Cash Flow'!N36*(1+'Rent Roll Analysis'!$AB34/12))))</f>
        <v/>
      </c>
      <c r="P36" s="1428" t="str">
        <f>IF($B36="","",IF(P$4&gt;2,(O36*(1+'Rent Roll Analysis'!$AK34/12)), IF(AND('Monthly Cash Flow'!P$4&gt;1,'Monthly Cash Flow'!P$4&lt;=2),'Monthly Cash Flow'!O36*(1+'Rent Roll Analysis'!$AE34/12),'Monthly Cash Flow'!O36*(1+'Rent Roll Analysis'!$AB34/12))))</f>
        <v/>
      </c>
      <c r="Q36" s="1428" t="str">
        <f>IF($B36="","",IF(Q$4&gt;2,(P36*(1+'Rent Roll Analysis'!$AK34/12)), IF(AND('Monthly Cash Flow'!Q$4&gt;1,'Monthly Cash Flow'!Q$4&lt;=2),'Monthly Cash Flow'!P36*(1+'Rent Roll Analysis'!$AE34/12),'Monthly Cash Flow'!P36*(1+'Rent Roll Analysis'!$AB34/12))))</f>
        <v/>
      </c>
      <c r="R36" s="1428" t="str">
        <f>IF($B36="","",IF(R$4&gt;2,(Q36*(1+'Rent Roll Analysis'!$AK34/12)), IF(AND('Monthly Cash Flow'!R$4&gt;1,'Monthly Cash Flow'!R$4&lt;=2),'Monthly Cash Flow'!Q36*(1+'Rent Roll Analysis'!$AE34/12),'Monthly Cash Flow'!Q36*(1+'Rent Roll Analysis'!$AB34/12))))</f>
        <v/>
      </c>
      <c r="S36" s="1428" t="str">
        <f>IF($B36="","",IF(S$4&gt;2,(R36*(1+'Rent Roll Analysis'!$AK34/12)), IF(AND('Monthly Cash Flow'!S$4&gt;1,'Monthly Cash Flow'!S$4&lt;=2),'Monthly Cash Flow'!R36*(1+'Rent Roll Analysis'!$AE34/12),'Monthly Cash Flow'!R36*(1+'Rent Roll Analysis'!$AB34/12))))</f>
        <v/>
      </c>
      <c r="T36" s="1428" t="str">
        <f>IF($B36="","",IF(T$4&gt;2,(S36*(1+'Rent Roll Analysis'!$AK34/12)), IF(AND('Monthly Cash Flow'!T$4&gt;1,'Monthly Cash Flow'!T$4&lt;=2),'Monthly Cash Flow'!S36*(1+'Rent Roll Analysis'!$AE34/12),'Monthly Cash Flow'!S36*(1+'Rent Roll Analysis'!$AB34/12))))</f>
        <v/>
      </c>
      <c r="U36" s="1428" t="str">
        <f>IF($B36="","",IF(U$4&gt;2,(T36*(1+'Rent Roll Analysis'!$AK34/12)), IF(AND('Monthly Cash Flow'!U$4&gt;1,'Monthly Cash Flow'!U$4&lt;=2),'Monthly Cash Flow'!T36*(1+'Rent Roll Analysis'!$AE34/12),'Monthly Cash Flow'!T36*(1+'Rent Roll Analysis'!$AB34/12))))</f>
        <v/>
      </c>
      <c r="V36" s="1428" t="str">
        <f>IF($B36="","",IF(V$4&gt;2,(U36*(1+'Rent Roll Analysis'!$AK34/12)), IF(AND('Monthly Cash Flow'!V$4&gt;1,'Monthly Cash Flow'!V$4&lt;=2),'Monthly Cash Flow'!U36*(1+'Rent Roll Analysis'!$AE34/12),'Monthly Cash Flow'!U36*(1+'Rent Roll Analysis'!$AB34/12))))</f>
        <v/>
      </c>
      <c r="W36" s="1428" t="str">
        <f>IF($B36="","",IF(W$4&gt;2,(V36*(1+'Rent Roll Analysis'!$AK34/12)), IF(AND('Monthly Cash Flow'!W$4&gt;1,'Monthly Cash Flow'!W$4&lt;=2),'Monthly Cash Flow'!V36*(1+'Rent Roll Analysis'!$AE34/12),'Monthly Cash Flow'!V36*(1+'Rent Roll Analysis'!$AB34/12))))</f>
        <v/>
      </c>
      <c r="X36" s="1428" t="str">
        <f>IF($B36="","",IF(X$4&gt;2,(W36*(1+'Rent Roll Analysis'!$AK34/12)), IF(AND('Monthly Cash Flow'!X$4&gt;1,'Monthly Cash Flow'!X$4&lt;=2),'Monthly Cash Flow'!W36*(1+'Rent Roll Analysis'!$AE34/12),'Monthly Cash Flow'!W36*(1+'Rent Roll Analysis'!$AB34/12))))</f>
        <v/>
      </c>
      <c r="Y36" s="1428" t="str">
        <f>IF($B36="","",IF(Y$4&gt;2,(X36*(1+'Rent Roll Analysis'!$AK34/12)), IF(AND('Monthly Cash Flow'!Y$4&gt;1,'Monthly Cash Flow'!Y$4&lt;=2),'Monthly Cash Flow'!X36*(1+'Rent Roll Analysis'!$AE34/12),'Monthly Cash Flow'!X36*(1+'Rent Roll Analysis'!$AB34/12))))</f>
        <v/>
      </c>
      <c r="Z36" s="1428" t="str">
        <f>IF($B36="","",IF(Z$4&gt;2,(Y36*(1+'Rent Roll Analysis'!$AK34/12)), IF(AND('Monthly Cash Flow'!Z$4&gt;1,'Monthly Cash Flow'!Z$4&lt;=2),'Monthly Cash Flow'!Y36*(1+'Rent Roll Analysis'!$AE34/12),'Monthly Cash Flow'!Y36*(1+'Rent Roll Analysis'!$AB34/12))))</f>
        <v/>
      </c>
      <c r="AA36" s="1428" t="str">
        <f>IF($B36="","",IF(AA$4&gt;2,(Z36*(1+'Rent Roll Analysis'!$AK34/12)), IF(AND('Monthly Cash Flow'!AA$4&gt;1,'Monthly Cash Flow'!AA$4&lt;=2),'Monthly Cash Flow'!Z36*(1+'Rent Roll Analysis'!$AE34/12),'Monthly Cash Flow'!Z36*(1+'Rent Roll Analysis'!$AB34/12))))</f>
        <v/>
      </c>
      <c r="AB36" s="1428" t="str">
        <f>IF($B36="","",IF(AB$4&gt;2,(AA36*(1+'Rent Roll Analysis'!$AK34/12)), IF(AND('Monthly Cash Flow'!AB$4&gt;1,'Monthly Cash Flow'!AB$4&lt;=2),'Monthly Cash Flow'!AA36*(1+'Rent Roll Analysis'!$AE34/12),'Monthly Cash Flow'!AA36*(1+'Rent Roll Analysis'!$AB34/12))))</f>
        <v/>
      </c>
      <c r="AC36" s="1428" t="str">
        <f>IF($B36="","",IF(AC$4&gt;2,(AB36*(1+'Rent Roll Analysis'!$AK34/12)), IF(AND('Monthly Cash Flow'!AC$4&gt;1,'Monthly Cash Flow'!AC$4&lt;=2),'Monthly Cash Flow'!AB36*(1+'Rent Roll Analysis'!$AE34/12),'Monthly Cash Flow'!AB36*(1+'Rent Roll Analysis'!$AB34/12))))</f>
        <v/>
      </c>
      <c r="AD36" s="1428" t="str">
        <f>IF($B36="","",IF(AD$4&gt;2,(AC36*(1+'Rent Roll Analysis'!$AK34/12)), IF(AND('Monthly Cash Flow'!AD$4&gt;1,'Monthly Cash Flow'!AD$4&lt;=2),'Monthly Cash Flow'!AC36*(1+'Rent Roll Analysis'!$AE34/12),'Monthly Cash Flow'!AC36*(1+'Rent Roll Analysis'!$AB34/12))))</f>
        <v/>
      </c>
      <c r="AE36" s="1428" t="str">
        <f>IF($B36="","",IF(AE$4&gt;2,(AD36*(1+'Rent Roll Analysis'!$AK34/12)), IF(AND('Monthly Cash Flow'!AE$4&gt;1,'Monthly Cash Flow'!AE$4&lt;=2),'Monthly Cash Flow'!AD36*(1+'Rent Roll Analysis'!$AE34/12),'Monthly Cash Flow'!AD36*(1+'Rent Roll Analysis'!$AB34/12))))</f>
        <v/>
      </c>
      <c r="AF36" s="1428" t="str">
        <f>IF($B36="","",IF(AF$4&gt;2,(AE36*(1+'Rent Roll Analysis'!$AK34/12)), IF(AND('Monthly Cash Flow'!AF$4&gt;1,'Monthly Cash Flow'!AF$4&lt;=2),'Monthly Cash Flow'!AE36*(1+'Rent Roll Analysis'!$AE34/12),'Monthly Cash Flow'!AE36*(1+'Rent Roll Analysis'!$AB34/12))))</f>
        <v/>
      </c>
      <c r="AG36" s="1428" t="str">
        <f>IF($B36="","",IF(AG$4&gt;2,(AF36*(1+'Rent Roll Analysis'!$AK34/12)), IF(AND('Monthly Cash Flow'!AG$4&gt;1,'Monthly Cash Flow'!AG$4&lt;=2),'Monthly Cash Flow'!AF36*(1+'Rent Roll Analysis'!$AE34/12),'Monthly Cash Flow'!AF36*(1+'Rent Roll Analysis'!$AB34/12))))</f>
        <v/>
      </c>
      <c r="AH36" s="1428" t="str">
        <f>IF($B36="","",IF(AH$4&gt;2,(AG36*(1+'Rent Roll Analysis'!$AK34/12)), IF(AND('Monthly Cash Flow'!AH$4&gt;1,'Monthly Cash Flow'!AH$4&lt;=2),'Monthly Cash Flow'!AG36*(1+'Rent Roll Analysis'!$AE34/12),'Monthly Cash Flow'!AG36*(1+'Rent Roll Analysis'!$AB34/12))))</f>
        <v/>
      </c>
      <c r="AI36" s="1428" t="str">
        <f>IF($B36="","",IF(AI$4&gt;2,(AH36*(1+'Rent Roll Analysis'!$AK34/12)), IF(AND('Monthly Cash Flow'!AI$4&gt;1,'Monthly Cash Flow'!AI$4&lt;=2),'Monthly Cash Flow'!AH36*(1+'Rent Roll Analysis'!$AE34/12),'Monthly Cash Flow'!AH36*(1+'Rent Roll Analysis'!$AB34/12))))</f>
        <v/>
      </c>
      <c r="AJ36" s="1428" t="str">
        <f>IF($B36="","",IF(AJ$4&gt;2,(AI36*(1+'Rent Roll Analysis'!$AK34/12)), IF(AND('Monthly Cash Flow'!AJ$4&gt;1,'Monthly Cash Flow'!AJ$4&lt;=2),'Monthly Cash Flow'!AI36*(1+'Rent Roll Analysis'!$AE34/12),'Monthly Cash Flow'!AI36*(1+'Rent Roll Analysis'!$AB34/12))))</f>
        <v/>
      </c>
      <c r="AK36" s="1428" t="str">
        <f>IF($B36="","",IF(AK$4&gt;2,(AJ36*(1+'Rent Roll Analysis'!$AK34/12)), IF(AND('Monthly Cash Flow'!AK$4&gt;1,'Monthly Cash Flow'!AK$4&lt;=2),'Monthly Cash Flow'!AJ36*(1+'Rent Roll Analysis'!$AE34/12),'Monthly Cash Flow'!AJ36*(1+'Rent Roll Analysis'!$AB34/12))))</f>
        <v/>
      </c>
      <c r="AL36" s="1428" t="str">
        <f>IF($B36="","",IF(AL$4&gt;2,(AK36*(1+'Rent Roll Analysis'!$AK34/12)), IF(AND('Monthly Cash Flow'!AL$4&gt;1,'Monthly Cash Flow'!AL$4&lt;=2),'Monthly Cash Flow'!AK36*(1+'Rent Roll Analysis'!$AE34/12),'Monthly Cash Flow'!AK36*(1+'Rent Roll Analysis'!$AB34/12))))</f>
        <v/>
      </c>
      <c r="AM36" s="1428" t="str">
        <f>IF($B36="","",IF(AM$4&gt;2,(AL36*(1+'Rent Roll Analysis'!$AK34/12)), IF(AND('Monthly Cash Flow'!AM$4&gt;1,'Monthly Cash Flow'!AM$4&lt;=2),'Monthly Cash Flow'!AL36*(1+'Rent Roll Analysis'!$AE34/12),'Monthly Cash Flow'!AL36*(1+'Rent Roll Analysis'!$AB34/12))))</f>
        <v/>
      </c>
      <c r="AN36" s="1428" t="str">
        <f>IF($B36="","",IF(AN$4&gt;2,(AM36*(1+'Rent Roll Analysis'!$AK34/12)), IF(AND('Monthly Cash Flow'!AN$4&gt;1,'Monthly Cash Flow'!AN$4&lt;=2),'Monthly Cash Flow'!AM36*(1+'Rent Roll Analysis'!$AE34/12),'Monthly Cash Flow'!AM36*(1+'Rent Roll Analysis'!$AB34/12))))</f>
        <v/>
      </c>
      <c r="AO36" s="1428" t="str">
        <f>IF($B36="","",IF(AO$4&gt;2,(AN36*(1+'Rent Roll Analysis'!$AK34/12)), IF(AND('Monthly Cash Flow'!AO$4&gt;1,'Monthly Cash Flow'!AO$4&lt;=2),'Monthly Cash Flow'!AN36*(1+'Rent Roll Analysis'!$AE34/12),'Monthly Cash Flow'!AN36*(1+'Rent Roll Analysis'!$AB34/12))))</f>
        <v/>
      </c>
      <c r="AP36" s="1428" t="str">
        <f>IF($B36="","",IF(AP$4&gt;2,(AO36*(1+'Rent Roll Analysis'!$AK34/12)), IF(AND('Monthly Cash Flow'!AP$4&gt;1,'Monthly Cash Flow'!AP$4&lt;=2),'Monthly Cash Flow'!AO36*(1+'Rent Roll Analysis'!$AE34/12),'Monthly Cash Flow'!AO36*(1+'Rent Roll Analysis'!$AB34/12))))</f>
        <v/>
      </c>
      <c r="AQ36" s="1428" t="str">
        <f>IF($B36="","",IF(AQ$4&gt;2,(AP36*(1+'Rent Roll Analysis'!$AK34/12)), IF(AND('Monthly Cash Flow'!AQ$4&gt;1,'Monthly Cash Flow'!AQ$4&lt;=2),'Monthly Cash Flow'!AP36*(1+'Rent Roll Analysis'!$AE34/12),'Monthly Cash Flow'!AP36*(1+'Rent Roll Analysis'!$AB34/12))))</f>
        <v/>
      </c>
      <c r="AR36" s="1428" t="str">
        <f>IF($B36="","",IF(AR$4&gt;2,(AQ36*(1+'Rent Roll Analysis'!$AK34/12)), IF(AND('Monthly Cash Flow'!AR$4&gt;1,'Monthly Cash Flow'!AR$4&lt;=2),'Monthly Cash Flow'!AQ36*(1+'Rent Roll Analysis'!$AE34/12),'Monthly Cash Flow'!AQ36*(1+'Rent Roll Analysis'!$AB34/12))))</f>
        <v/>
      </c>
      <c r="AS36" s="1428" t="str">
        <f>IF($B36="","",IF(AS$4&gt;2,(AR36*(1+'Rent Roll Analysis'!$AK34/12)), IF(AND('Monthly Cash Flow'!AS$4&gt;1,'Monthly Cash Flow'!AS$4&lt;=2),'Monthly Cash Flow'!AR36*(1+'Rent Roll Analysis'!$AE34/12),'Monthly Cash Flow'!AR36*(1+'Rent Roll Analysis'!$AB34/12))))</f>
        <v/>
      </c>
      <c r="AT36" s="1428" t="str">
        <f>IF($B36="","",IF(AT$4&gt;2,(AS36*(1+'Rent Roll Analysis'!$AK34/12)), IF(AND('Monthly Cash Flow'!AT$4&gt;1,'Monthly Cash Flow'!AT$4&lt;=2),'Monthly Cash Flow'!AS36*(1+'Rent Roll Analysis'!$AE34/12),'Monthly Cash Flow'!AS36*(1+'Rent Roll Analysis'!$AB34/12))))</f>
        <v/>
      </c>
      <c r="AU36" s="1428" t="str">
        <f>IF($B36="","",IF(AU$4&gt;2,(AT36*(1+'Rent Roll Analysis'!$AK34/12)), IF(AND('Monthly Cash Flow'!AU$4&gt;1,'Monthly Cash Flow'!AU$4&lt;=2),'Monthly Cash Flow'!AT36*(1+'Rent Roll Analysis'!$AE34/12),'Monthly Cash Flow'!AT36*(1+'Rent Roll Analysis'!$AB34/12))))</f>
        <v/>
      </c>
      <c r="AV36" s="1428" t="str">
        <f>IF($B36="","",IF(AV$4&gt;2,(AU36*(1+'Rent Roll Analysis'!$AK34/12)), IF(AND('Monthly Cash Flow'!AV$4&gt;1,'Monthly Cash Flow'!AV$4&lt;=2),'Monthly Cash Flow'!AU36*(1+'Rent Roll Analysis'!$AE34/12),'Monthly Cash Flow'!AU36*(1+'Rent Roll Analysis'!$AB34/12))))</f>
        <v/>
      </c>
      <c r="AW36" s="1428" t="str">
        <f>IF($B36="","",IF(AW$4&gt;2,(AV36*(1+'Rent Roll Analysis'!$AK34/12)), IF(AND('Monthly Cash Flow'!AW$4&gt;1,'Monthly Cash Flow'!AW$4&lt;=2),'Monthly Cash Flow'!AV36*(1+'Rent Roll Analysis'!$AE34/12),'Monthly Cash Flow'!AV36*(1+'Rent Roll Analysis'!$AB34/12))))</f>
        <v/>
      </c>
      <c r="AX36" s="1428" t="str">
        <f>IF($B36="","",IF(AX$4&gt;2,(AW36*(1+'Rent Roll Analysis'!$AK34/12)), IF(AND('Monthly Cash Flow'!AX$4&gt;1,'Monthly Cash Flow'!AX$4&lt;=2),'Monthly Cash Flow'!AW36*(1+'Rent Roll Analysis'!$AE34/12),'Monthly Cash Flow'!AW36*(1+'Rent Roll Analysis'!$AB34/12))))</f>
        <v/>
      </c>
      <c r="AY36" s="1428" t="str">
        <f>IF($B36="","",IF(AY$4&gt;2,(AX36*(1+'Rent Roll Analysis'!$AK34/12)), IF(AND('Monthly Cash Flow'!AY$4&gt;1,'Monthly Cash Flow'!AY$4&lt;=2),'Monthly Cash Flow'!AX36*(1+'Rent Roll Analysis'!$AE34/12),'Monthly Cash Flow'!AX36*(1+'Rent Roll Analysis'!$AB34/12))))</f>
        <v/>
      </c>
      <c r="AZ36" s="1428" t="str">
        <f>IF($B36="","",IF(AZ$4&gt;2,(AY36*(1+'Rent Roll Analysis'!$AK34/12)), IF(AND('Monthly Cash Flow'!AZ$4&gt;1,'Monthly Cash Flow'!AZ$4&lt;=2),'Monthly Cash Flow'!AY36*(1+'Rent Roll Analysis'!$AE34/12),'Monthly Cash Flow'!AY36*(1+'Rent Roll Analysis'!$AB34/12))))</f>
        <v/>
      </c>
      <c r="BA36" s="1428" t="str">
        <f>IF($B36="","",IF(BA$4&gt;2,(AZ36*(1+'Rent Roll Analysis'!$AK34/12)), IF(AND('Monthly Cash Flow'!BA$4&gt;1,'Monthly Cash Flow'!BA$4&lt;=2),'Monthly Cash Flow'!AZ36*(1+'Rent Roll Analysis'!$AE34/12),'Monthly Cash Flow'!AZ36*(1+'Rent Roll Analysis'!$AB34/12))))</f>
        <v/>
      </c>
      <c r="BB36" s="1428" t="str">
        <f>IF($B36="","",IF(BB$4&gt;2,(BA36*(1+'Rent Roll Analysis'!$AK34/12)), IF(AND('Monthly Cash Flow'!BB$4&gt;1,'Monthly Cash Flow'!BB$4&lt;=2),'Monthly Cash Flow'!BA36*(1+'Rent Roll Analysis'!$AE34/12),'Monthly Cash Flow'!BA36*(1+'Rent Roll Analysis'!$AB34/12))))</f>
        <v/>
      </c>
      <c r="BC36" s="1428" t="str">
        <f>IF($B36="","",IF(BC$4&gt;2,(BB36*(1+'Rent Roll Analysis'!$AK34/12)), IF(AND('Monthly Cash Flow'!BC$4&gt;1,'Monthly Cash Flow'!BC$4&lt;=2),'Monthly Cash Flow'!BB36*(1+'Rent Roll Analysis'!$AE34/12),'Monthly Cash Flow'!BB36*(1+'Rent Roll Analysis'!$AB34/12))))</f>
        <v/>
      </c>
      <c r="BD36" s="1428" t="str">
        <f>IF($B36="","",IF(BD$4&gt;2,(BC36*(1+'Rent Roll Analysis'!$AK34/12)), IF(AND('Monthly Cash Flow'!BD$4&gt;1,'Monthly Cash Flow'!BD$4&lt;=2),'Monthly Cash Flow'!BC36*(1+'Rent Roll Analysis'!$AE34/12),'Monthly Cash Flow'!BC36*(1+'Rent Roll Analysis'!$AB34/12))))</f>
        <v/>
      </c>
      <c r="BE36" s="1428" t="str">
        <f>IF($B36="","",IF(BE$4&gt;2,(BD36*(1+'Rent Roll Analysis'!$AK34/12)), IF(AND('Monthly Cash Flow'!BE$4&gt;1,'Monthly Cash Flow'!BE$4&lt;=2),'Monthly Cash Flow'!BD36*(1+'Rent Roll Analysis'!$AE34/12),'Monthly Cash Flow'!BD36*(1+'Rent Roll Analysis'!$AB34/12))))</f>
        <v/>
      </c>
      <c r="BF36" s="1428" t="str">
        <f>IF($B36="","",IF(BF$4&gt;2,(BE36*(1+'Rent Roll Analysis'!$AK34/12)), IF(AND('Monthly Cash Flow'!BF$4&gt;1,'Monthly Cash Flow'!BF$4&lt;=2),'Monthly Cash Flow'!BE36*(1+'Rent Roll Analysis'!$AE34/12),'Monthly Cash Flow'!BE36*(1+'Rent Roll Analysis'!$AB34/12))))</f>
        <v/>
      </c>
      <c r="BG36" s="1428" t="str">
        <f>IF($B36="","",IF(BG$4&gt;2,(BF36*(1+'Rent Roll Analysis'!$AK34/12)), IF(AND('Monthly Cash Flow'!BG$4&gt;1,'Monthly Cash Flow'!BG$4&lt;=2),'Monthly Cash Flow'!BF36*(1+'Rent Roll Analysis'!$AE34/12),'Monthly Cash Flow'!BF36*(1+'Rent Roll Analysis'!$AB34/12))))</f>
        <v/>
      </c>
      <c r="BH36" s="1428" t="str">
        <f>IF($B36="","",IF(BH$4&gt;2,(BG36*(1+'Rent Roll Analysis'!$AK34/12)), IF(AND('Monthly Cash Flow'!BH$4&gt;1,'Monthly Cash Flow'!BH$4&lt;=2),'Monthly Cash Flow'!BG36*(1+'Rent Roll Analysis'!$AE34/12),'Monthly Cash Flow'!BG36*(1+'Rent Roll Analysis'!$AB34/12))))</f>
        <v/>
      </c>
      <c r="BI36" s="1428" t="str">
        <f>IF($B36="","",IF(BI$4&gt;2,(BH36*(1+'Rent Roll Analysis'!$AK34/12)), IF(AND('Monthly Cash Flow'!BI$4&gt;1,'Monthly Cash Flow'!BI$4&lt;=2),'Monthly Cash Flow'!BH36*(1+'Rent Roll Analysis'!$AE34/12),'Monthly Cash Flow'!BH36*(1+'Rent Roll Analysis'!$AB34/12))))</f>
        <v/>
      </c>
      <c r="BJ36" s="1428" t="str">
        <f>IF($B36="","",IF(BJ$4&gt;2,(BI36*(1+'Rent Roll Analysis'!$AK34/12)), IF(AND('Monthly Cash Flow'!BJ$4&gt;1,'Monthly Cash Flow'!BJ$4&lt;=2),'Monthly Cash Flow'!BI36*(1+'Rent Roll Analysis'!$AE34/12),'Monthly Cash Flow'!BI36*(1+'Rent Roll Analysis'!$AB34/12))))</f>
        <v/>
      </c>
      <c r="BK36" s="1428" t="str">
        <f>IF($B36="","",IF(BK$4&gt;2,(BJ36*(1+'Rent Roll Analysis'!$AK34/12)), IF(AND('Monthly Cash Flow'!BK$4&gt;1,'Monthly Cash Flow'!BK$4&lt;=2),'Monthly Cash Flow'!BJ36*(1+'Rent Roll Analysis'!$AE34/12),'Monthly Cash Flow'!BJ36*(1+'Rent Roll Analysis'!$AB34/12))))</f>
        <v/>
      </c>
      <c r="BL36" s="1428" t="str">
        <f>IF($B36="","",IF(BL$4&gt;2,(BK36*(1+'Rent Roll Analysis'!$AK34/12)), IF(AND('Monthly Cash Flow'!BL$4&gt;1,'Monthly Cash Flow'!BL$4&lt;=2),'Monthly Cash Flow'!BK36*(1+'Rent Roll Analysis'!$AE34/12),'Monthly Cash Flow'!BK36*(1+'Rent Roll Analysis'!$AB34/12))))</f>
        <v/>
      </c>
      <c r="BM36" s="1428" t="str">
        <f>IF($B36="","",IF(BM$4&gt;2,(BL36*(1+'Rent Roll Analysis'!$AK34/12)), IF(AND('Monthly Cash Flow'!BM$4&gt;1,'Monthly Cash Flow'!BM$4&lt;=2),'Monthly Cash Flow'!BL36*(1+'Rent Roll Analysis'!$AE34/12),'Monthly Cash Flow'!BL36*(1+'Rent Roll Analysis'!$AB34/12))))</f>
        <v/>
      </c>
      <c r="BN36" s="1428" t="str">
        <f>IF($B36="","",IF(BN$4&gt;2,(BM36*(1+'Rent Roll Analysis'!$AK34/12)), IF(AND('Monthly Cash Flow'!BN$4&gt;1,'Monthly Cash Flow'!BN$4&lt;=2),'Monthly Cash Flow'!BM36*(1+'Rent Roll Analysis'!$AE34/12),'Monthly Cash Flow'!BM36*(1+'Rent Roll Analysis'!$AB34/12))))</f>
        <v/>
      </c>
      <c r="BO36" s="1428" t="str">
        <f>IF($B36="","",IF(BO$4&gt;2,(BN36*(1+'Rent Roll Analysis'!$AK34/12)), IF(AND('Monthly Cash Flow'!BO$4&gt;1,'Monthly Cash Flow'!BO$4&lt;=2),'Monthly Cash Flow'!BN36*(1+'Rent Roll Analysis'!$AE34/12),'Monthly Cash Flow'!BN36*(1+'Rent Roll Analysis'!$AB34/12))))</f>
        <v/>
      </c>
      <c r="BP36" s="1428" t="str">
        <f>IF($B36="","",IF(BP$4&gt;2,(BO36*(1+'Rent Roll Analysis'!$AK34/12)), IF(AND('Monthly Cash Flow'!BP$4&gt;1,'Monthly Cash Flow'!BP$4&lt;=2),'Monthly Cash Flow'!BO36*(1+'Rent Roll Analysis'!$AE34/12),'Monthly Cash Flow'!BO36*(1+'Rent Roll Analysis'!$AB34/12))))</f>
        <v/>
      </c>
      <c r="BQ36" s="1428" t="str">
        <f>IF($B36="","",IF(BQ$4&gt;2,(BP36*(1+'Rent Roll Analysis'!$AK34/12)), IF(AND('Monthly Cash Flow'!BQ$4&gt;1,'Monthly Cash Flow'!BQ$4&lt;=2),'Monthly Cash Flow'!BP36*(1+'Rent Roll Analysis'!$AE34/12),'Monthly Cash Flow'!BP36*(1+'Rent Roll Analysis'!$AB34/12))))</f>
        <v/>
      </c>
      <c r="BR36" s="1428" t="str">
        <f>IF($B36="","",IF(BR$4&gt;2,(BQ36*(1+'Rent Roll Analysis'!$AK34/12)), IF(AND('Monthly Cash Flow'!BR$4&gt;1,'Monthly Cash Flow'!BR$4&lt;=2),'Monthly Cash Flow'!BQ36*(1+'Rent Roll Analysis'!$AE34/12),'Monthly Cash Flow'!BQ36*(1+'Rent Roll Analysis'!$AB34/12))))</f>
        <v/>
      </c>
      <c r="BS36" s="1428" t="str">
        <f>IF($B36="","",IF(BS$4&gt;2,(BR36*(1+'Rent Roll Analysis'!$AK34/12)), IF(AND('Monthly Cash Flow'!BS$4&gt;1,'Monthly Cash Flow'!BS$4&lt;=2),'Monthly Cash Flow'!BR36*(1+'Rent Roll Analysis'!$AE34/12),'Monthly Cash Flow'!BR36*(1+'Rent Roll Analysis'!$AB34/12))))</f>
        <v/>
      </c>
      <c r="BT36" s="1428" t="str">
        <f>IF($B36="","",IF(BT$4&gt;2,(BS36*(1+'Rent Roll Analysis'!$AK34/12)), IF(AND('Monthly Cash Flow'!BT$4&gt;1,'Monthly Cash Flow'!BT$4&lt;=2),'Monthly Cash Flow'!BS36*(1+'Rent Roll Analysis'!$AE34/12),'Monthly Cash Flow'!BS36*(1+'Rent Roll Analysis'!$AB34/12))))</f>
        <v/>
      </c>
      <c r="BU36" s="1428" t="str">
        <f>IF($B36="","",IF(BU$4&gt;2,(BT36*(1+'Rent Roll Analysis'!$AK34/12)), IF(AND('Monthly Cash Flow'!BU$4&gt;1,'Monthly Cash Flow'!BU$4&lt;=2),'Monthly Cash Flow'!BT36*(1+'Rent Roll Analysis'!$AE34/12),'Monthly Cash Flow'!BT36*(1+'Rent Roll Analysis'!$AB34/12))))</f>
        <v/>
      </c>
      <c r="BV36" s="1428" t="str">
        <f>IF($B36="","",IF(BV$4&gt;2,(BU36*(1+'Rent Roll Analysis'!$AK34/12)), IF(AND('Monthly Cash Flow'!BV$4&gt;1,'Monthly Cash Flow'!BV$4&lt;=2),'Monthly Cash Flow'!BU36*(1+'Rent Roll Analysis'!$AE34/12),'Monthly Cash Flow'!BU36*(1+'Rent Roll Analysis'!$AB34/12))))</f>
        <v/>
      </c>
      <c r="BW36" s="1428" t="str">
        <f>IF($B36="","",IF(BW$4&gt;2,(BV36*(1+'Rent Roll Analysis'!$AK34/12)), IF(AND('Monthly Cash Flow'!BW$4&gt;1,'Monthly Cash Flow'!BW$4&lt;=2),'Monthly Cash Flow'!BV36*(1+'Rent Roll Analysis'!$AE34/12),'Monthly Cash Flow'!BV36*(1+'Rent Roll Analysis'!$AB34/12))))</f>
        <v/>
      </c>
      <c r="BX36" s="1428" t="str">
        <f>IF($B36="","",IF(BX$4&gt;2,(BW36*(1+'Rent Roll Analysis'!$AK34/12)), IF(AND('Monthly Cash Flow'!BX$4&gt;1,'Monthly Cash Flow'!BX$4&lt;=2),'Monthly Cash Flow'!BW36*(1+'Rent Roll Analysis'!$AE34/12),'Monthly Cash Flow'!BW36*(1+'Rent Roll Analysis'!$AB34/12))))</f>
        <v/>
      </c>
      <c r="BY36" s="1428" t="str">
        <f>IF($B36="","",IF(BY$4&gt;2,(BX36*(1+'Rent Roll Analysis'!$AK34/12)), IF(AND('Monthly Cash Flow'!BY$4&gt;1,'Monthly Cash Flow'!BY$4&lt;=2),'Monthly Cash Flow'!BX36*(1+'Rent Roll Analysis'!$AE34/12),'Monthly Cash Flow'!BX36*(1+'Rent Roll Analysis'!$AB34/12))))</f>
        <v/>
      </c>
      <c r="BZ36" s="1428" t="str">
        <f>IF($B36="","",IF(BZ$4&gt;2,(BY36*(1+'Rent Roll Analysis'!$AK34/12)), IF(AND('Monthly Cash Flow'!BZ$4&gt;1,'Monthly Cash Flow'!BZ$4&lt;=2),'Monthly Cash Flow'!BY36*(1+'Rent Roll Analysis'!$AE34/12),'Monthly Cash Flow'!BY36*(1+'Rent Roll Analysis'!$AB34/12))))</f>
        <v/>
      </c>
      <c r="CA36" s="1428" t="str">
        <f>IF($B36="","",IF(CA$4&gt;2,(BZ36*(1+'Rent Roll Analysis'!$AK34/12)), IF(AND('Monthly Cash Flow'!CA$4&gt;1,'Monthly Cash Flow'!CA$4&lt;=2),'Monthly Cash Flow'!BZ36*(1+'Rent Roll Analysis'!$AE34/12),'Monthly Cash Flow'!BZ36*(1+'Rent Roll Analysis'!$AB34/12))))</f>
        <v/>
      </c>
      <c r="CB36" s="1428" t="str">
        <f>IF($B36="","",IF(CB$4&gt;2,(CA36*(1+'Rent Roll Analysis'!$AK34/12)), IF(AND('Monthly Cash Flow'!CB$4&gt;1,'Monthly Cash Flow'!CB$4&lt;=2),'Monthly Cash Flow'!CA36*(1+'Rent Roll Analysis'!$AE34/12),'Monthly Cash Flow'!CA36*(1+'Rent Roll Analysis'!$AB34/12))))</f>
        <v/>
      </c>
      <c r="CC36" s="1428" t="str">
        <f>IF($B36="","",IF(CC$4&gt;2,(CB36*(1+'Rent Roll Analysis'!$AK34/12)), IF(AND('Monthly Cash Flow'!CC$4&gt;1,'Monthly Cash Flow'!CC$4&lt;=2),'Monthly Cash Flow'!CB36*(1+'Rent Roll Analysis'!$AE34/12),'Monthly Cash Flow'!CB36*(1+'Rent Roll Analysis'!$AB34/12))))</f>
        <v/>
      </c>
      <c r="CD36" s="1428" t="str">
        <f>IF($B36="","",IF(CD$4&gt;2,(CC36*(1+'Rent Roll Analysis'!$AK34/12)), IF(AND('Monthly Cash Flow'!CD$4&gt;1,'Monthly Cash Flow'!CD$4&lt;=2),'Monthly Cash Flow'!CC36*(1+'Rent Roll Analysis'!$AE34/12),'Monthly Cash Flow'!CC36*(1+'Rent Roll Analysis'!$AB34/12))))</f>
        <v/>
      </c>
      <c r="CE36" s="1428" t="str">
        <f>IF($B36="","",IF(CE$4&gt;2,(CD36*(1+'Rent Roll Analysis'!$AK34/12)), IF(AND('Monthly Cash Flow'!CE$4&gt;1,'Monthly Cash Flow'!CE$4&lt;=2),'Monthly Cash Flow'!CD36*(1+'Rent Roll Analysis'!$AE34/12),'Monthly Cash Flow'!CD36*(1+'Rent Roll Analysis'!$AB34/12))))</f>
        <v/>
      </c>
      <c r="CF36" s="1428" t="str">
        <f>IF($B36="","",IF(CF$4&gt;2,(CE36*(1+'Rent Roll Analysis'!$AK34/12)), IF(AND('Monthly Cash Flow'!CF$4&gt;1,'Monthly Cash Flow'!CF$4&lt;=2),'Monthly Cash Flow'!CE36*(1+'Rent Roll Analysis'!$AE34/12),'Monthly Cash Flow'!CE36*(1+'Rent Roll Analysis'!$AB34/12))))</f>
        <v/>
      </c>
      <c r="CG36" s="1428" t="str">
        <f>IF($B36="","",IF(CG$4&gt;2,(CF36*(1+'Rent Roll Analysis'!$AK34/12)), IF(AND('Monthly Cash Flow'!CG$4&gt;1,'Monthly Cash Flow'!CG$4&lt;=2),'Monthly Cash Flow'!CF36*(1+'Rent Roll Analysis'!$AE34/12),'Monthly Cash Flow'!CF36*(1+'Rent Roll Analysis'!$AB34/12))))</f>
        <v/>
      </c>
      <c r="CH36" s="1428" t="str">
        <f>IF($B36="","",IF(CH$4&gt;2,(CG36*(1+'Rent Roll Analysis'!$AK34/12)), IF(AND('Monthly Cash Flow'!CH$4&gt;1,'Monthly Cash Flow'!CH$4&lt;=2),'Monthly Cash Flow'!CG36*(1+'Rent Roll Analysis'!$AE34/12),'Monthly Cash Flow'!CG36*(1+'Rent Roll Analysis'!$AB34/12))))</f>
        <v/>
      </c>
      <c r="CI36" s="1428" t="str">
        <f>IF($B36="","",IF(CI$4&gt;2,(CH36*(1+'Rent Roll Analysis'!$AK34/12)), IF(AND('Monthly Cash Flow'!CI$4&gt;1,'Monthly Cash Flow'!CI$4&lt;=2),'Monthly Cash Flow'!CH36*(1+'Rent Roll Analysis'!$AE34/12),'Monthly Cash Flow'!CH36*(1+'Rent Roll Analysis'!$AB34/12))))</f>
        <v/>
      </c>
      <c r="CJ36" s="1428" t="str">
        <f>IF($B36="","",IF(CJ$4&gt;2,(CI36*(1+'Rent Roll Analysis'!$AK34/12)), IF(AND('Monthly Cash Flow'!CJ$4&gt;1,'Monthly Cash Flow'!CJ$4&lt;=2),'Monthly Cash Flow'!CI36*(1+'Rent Roll Analysis'!$AE34/12),'Monthly Cash Flow'!CI36*(1+'Rent Roll Analysis'!$AB34/12))))</f>
        <v/>
      </c>
      <c r="CK36" s="1428" t="str">
        <f>IF($B36="","",IF(CK$4&gt;2,(CJ36*(1+'Rent Roll Analysis'!$AK34/12)), IF(AND('Monthly Cash Flow'!CK$4&gt;1,'Monthly Cash Flow'!CK$4&lt;=2),'Monthly Cash Flow'!CJ36*(1+'Rent Roll Analysis'!$AE34/12),'Monthly Cash Flow'!CJ36*(1+'Rent Roll Analysis'!$AB34/12))))</f>
        <v/>
      </c>
      <c r="CL36" s="1428" t="str">
        <f>IF($B36="","",IF(CL$4&gt;2,(CK36*(1+'Rent Roll Analysis'!$AK34/12)), IF(AND('Monthly Cash Flow'!CL$4&gt;1,'Monthly Cash Flow'!CL$4&lt;=2),'Monthly Cash Flow'!CK36*(1+'Rent Roll Analysis'!$AE34/12),'Monthly Cash Flow'!CK36*(1+'Rent Roll Analysis'!$AB34/12))))</f>
        <v/>
      </c>
      <c r="CM36" s="1428" t="str">
        <f>IF($B36="","",IF(CM$4&gt;2,(CL36*(1+'Rent Roll Analysis'!$AK34/12)), IF(AND('Monthly Cash Flow'!CM$4&gt;1,'Monthly Cash Flow'!CM$4&lt;=2),'Monthly Cash Flow'!CL36*(1+'Rent Roll Analysis'!$AE34/12),'Monthly Cash Flow'!CL36*(1+'Rent Roll Analysis'!$AB34/12))))</f>
        <v/>
      </c>
      <c r="CN36" s="1428" t="str">
        <f>IF($B36="","",IF(CN$4&gt;2,(CM36*(1+'Rent Roll Analysis'!$AK34/12)), IF(AND('Monthly Cash Flow'!CN$4&gt;1,'Monthly Cash Flow'!CN$4&lt;=2),'Monthly Cash Flow'!CM36*(1+'Rent Roll Analysis'!$AE34/12),'Monthly Cash Flow'!CM36*(1+'Rent Roll Analysis'!$AB34/12))))</f>
        <v/>
      </c>
      <c r="CO36" s="1428" t="str">
        <f>IF($B36="","",IF(CO$4&gt;2,(CN36*(1+'Rent Roll Analysis'!$AK34/12)), IF(AND('Monthly Cash Flow'!CO$4&gt;1,'Monthly Cash Flow'!CO$4&lt;=2),'Monthly Cash Flow'!CN36*(1+'Rent Roll Analysis'!$AE34/12),'Monthly Cash Flow'!CN36*(1+'Rent Roll Analysis'!$AB34/12))))</f>
        <v/>
      </c>
      <c r="CP36" s="1428" t="str">
        <f>IF($B36="","",IF(CP$4&gt;2,(CO36*(1+'Rent Roll Analysis'!$AK34/12)), IF(AND('Monthly Cash Flow'!CP$4&gt;1,'Monthly Cash Flow'!CP$4&lt;=2),'Monthly Cash Flow'!CO36*(1+'Rent Roll Analysis'!$AE34/12),'Monthly Cash Flow'!CO36*(1+'Rent Roll Analysis'!$AB34/12))))</f>
        <v/>
      </c>
      <c r="CQ36" s="1428" t="str">
        <f>IF($B36="","",IF(CQ$4&gt;2,(CP36*(1+'Rent Roll Analysis'!$AK34/12)), IF(AND('Monthly Cash Flow'!CQ$4&gt;1,'Monthly Cash Flow'!CQ$4&lt;=2),'Monthly Cash Flow'!CP36*(1+'Rent Roll Analysis'!$AE34/12),'Monthly Cash Flow'!CP36*(1+'Rent Roll Analysis'!$AB34/12))))</f>
        <v/>
      </c>
      <c r="CR36" s="1428" t="str">
        <f>IF($B36="","",IF(CR$4&gt;2,(CQ36*(1+'Rent Roll Analysis'!$AK34/12)), IF(AND('Monthly Cash Flow'!CR$4&gt;1,'Monthly Cash Flow'!CR$4&lt;=2),'Monthly Cash Flow'!CQ36*(1+'Rent Roll Analysis'!$AE34/12),'Monthly Cash Flow'!CQ36*(1+'Rent Roll Analysis'!$AB34/12))))</f>
        <v/>
      </c>
      <c r="CS36" s="1428" t="str">
        <f>IF($B36="","",IF(CS$4&gt;2,(CR36*(1+'Rent Roll Analysis'!$AK34/12)), IF(AND('Monthly Cash Flow'!CS$4&gt;1,'Monthly Cash Flow'!CS$4&lt;=2),'Monthly Cash Flow'!CR36*(1+'Rent Roll Analysis'!$AE34/12),'Monthly Cash Flow'!CR36*(1+'Rent Roll Analysis'!$AB34/12))))</f>
        <v/>
      </c>
      <c r="CT36" s="1428" t="str">
        <f>IF($B36="","",IF(CT$4&gt;2,(CS36*(1+'Rent Roll Analysis'!$AK34/12)), IF(AND('Monthly Cash Flow'!CT$4&gt;1,'Monthly Cash Flow'!CT$4&lt;=2),'Monthly Cash Flow'!CS36*(1+'Rent Roll Analysis'!$AE34/12),'Monthly Cash Flow'!CS36*(1+'Rent Roll Analysis'!$AB34/12))))</f>
        <v/>
      </c>
      <c r="CU36" s="1428" t="str">
        <f>IF($B36="","",IF(CU$4&gt;2,(CT36*(1+'Rent Roll Analysis'!$AK34/12)), IF(AND('Monthly Cash Flow'!CU$4&gt;1,'Monthly Cash Flow'!CU$4&lt;=2),'Monthly Cash Flow'!CT36*(1+'Rent Roll Analysis'!$AE34/12),'Monthly Cash Flow'!CT36*(1+'Rent Roll Analysis'!$AB34/12))))</f>
        <v/>
      </c>
      <c r="CV36" s="1428" t="str">
        <f>IF($B36="","",IF(CV$4&gt;2,(CU36*(1+'Rent Roll Analysis'!$AK34/12)), IF(AND('Monthly Cash Flow'!CV$4&gt;1,'Monthly Cash Flow'!CV$4&lt;=2),'Monthly Cash Flow'!CU36*(1+'Rent Roll Analysis'!$AE34/12),'Monthly Cash Flow'!CU36*(1+'Rent Roll Analysis'!$AB34/12))))</f>
        <v/>
      </c>
      <c r="CW36" s="1428" t="str">
        <f>IF($B36="","",IF(CW$4&gt;2,(CV36*(1+'Rent Roll Analysis'!$AK34/12)), IF(AND('Monthly Cash Flow'!CW$4&gt;1,'Monthly Cash Flow'!CW$4&lt;=2),'Monthly Cash Flow'!CV36*(1+'Rent Roll Analysis'!$AE34/12),'Monthly Cash Flow'!CV36*(1+'Rent Roll Analysis'!$AB34/12))))</f>
        <v/>
      </c>
      <c r="CX36" s="1428" t="str">
        <f>IF($B36="","",IF(CX$4&gt;2,(CW36*(1+'Rent Roll Analysis'!$AK34/12)), IF(AND('Monthly Cash Flow'!CX$4&gt;1,'Monthly Cash Flow'!CX$4&lt;=2),'Monthly Cash Flow'!CW36*(1+'Rent Roll Analysis'!$AE34/12),'Monthly Cash Flow'!CW36*(1+'Rent Roll Analysis'!$AB34/12))))</f>
        <v/>
      </c>
      <c r="CY36" s="1428" t="str">
        <f>IF($B36="","",IF(CY$4&gt;2,(CX36*(1+'Rent Roll Analysis'!$AK34/12)), IF(AND('Monthly Cash Flow'!CY$4&gt;1,'Monthly Cash Flow'!CY$4&lt;=2),'Monthly Cash Flow'!CX36*(1+'Rent Roll Analysis'!$AE34/12),'Monthly Cash Flow'!CX36*(1+'Rent Roll Analysis'!$AB34/12))))</f>
        <v/>
      </c>
      <c r="CZ36" s="1428" t="str">
        <f>IF($B36="","",IF(CZ$4&gt;2,(CY36*(1+'Rent Roll Analysis'!$AK34/12)), IF(AND('Monthly Cash Flow'!CZ$4&gt;1,'Monthly Cash Flow'!CZ$4&lt;=2),'Monthly Cash Flow'!CY36*(1+'Rent Roll Analysis'!$AE34/12),'Monthly Cash Flow'!CY36*(1+'Rent Roll Analysis'!$AB34/12))))</f>
        <v/>
      </c>
      <c r="DA36" s="1428" t="str">
        <f>IF($B36="","",IF(DA$4&gt;2,(CZ36*(1+'Rent Roll Analysis'!$AK34/12)), IF(AND('Monthly Cash Flow'!DA$4&gt;1,'Monthly Cash Flow'!DA$4&lt;=2),'Monthly Cash Flow'!CZ36*(1+'Rent Roll Analysis'!$AE34/12),'Monthly Cash Flow'!CZ36*(1+'Rent Roll Analysis'!$AB34/12))))</f>
        <v/>
      </c>
      <c r="DB36" s="1428" t="str">
        <f>IF($B36="","",IF(DB$4&gt;2,(DA36*(1+'Rent Roll Analysis'!$AK34/12)), IF(AND('Monthly Cash Flow'!DB$4&gt;1,'Monthly Cash Flow'!DB$4&lt;=2),'Monthly Cash Flow'!DA36*(1+'Rent Roll Analysis'!$AE34/12),'Monthly Cash Flow'!DA36*(1+'Rent Roll Analysis'!$AB34/12))))</f>
        <v/>
      </c>
      <c r="DC36" s="1428" t="str">
        <f>IF($B36="","",IF(DC$4&gt;2,(DB36*(1+'Rent Roll Analysis'!$AK34/12)), IF(AND('Monthly Cash Flow'!DC$4&gt;1,'Monthly Cash Flow'!DC$4&lt;=2),'Monthly Cash Flow'!DB36*(1+'Rent Roll Analysis'!$AE34/12),'Monthly Cash Flow'!DB36*(1+'Rent Roll Analysis'!$AB34/12))))</f>
        <v/>
      </c>
      <c r="DD36" s="1428" t="str">
        <f>IF($B36="","",IF(DD$4&gt;2,(DC36*(1+'Rent Roll Analysis'!$AK34/12)), IF(AND('Monthly Cash Flow'!DD$4&gt;1,'Monthly Cash Flow'!DD$4&lt;=2),'Monthly Cash Flow'!DC36*(1+'Rent Roll Analysis'!$AE34/12),'Monthly Cash Flow'!DC36*(1+'Rent Roll Analysis'!$AB34/12))))</f>
        <v/>
      </c>
      <c r="DE36" s="1428" t="str">
        <f>IF($B36="","",IF(DE$4&gt;2,(DD36*(1+'Rent Roll Analysis'!$AK34/12)), IF(AND('Monthly Cash Flow'!DE$4&gt;1,'Monthly Cash Flow'!DE$4&lt;=2),'Monthly Cash Flow'!DD36*(1+'Rent Roll Analysis'!$AE34/12),'Monthly Cash Flow'!DD36*(1+'Rent Roll Analysis'!$AB34/12))))</f>
        <v/>
      </c>
      <c r="DF36" s="1428" t="str">
        <f>IF($B36="","",IF(DF$4&gt;2,(DE36*(1+'Rent Roll Analysis'!$AK34/12)), IF(AND('Monthly Cash Flow'!DF$4&gt;1,'Monthly Cash Flow'!DF$4&lt;=2),'Monthly Cash Flow'!DE36*(1+'Rent Roll Analysis'!$AE34/12),'Monthly Cash Flow'!DE36*(1+'Rent Roll Analysis'!$AB34/12))))</f>
        <v/>
      </c>
      <c r="DG36" s="1428" t="str">
        <f>IF($B36="","",IF(DG$4&gt;2,(DF36*(1+'Rent Roll Analysis'!$AK34/12)), IF(AND('Monthly Cash Flow'!DG$4&gt;1,'Monthly Cash Flow'!DG$4&lt;=2),'Monthly Cash Flow'!DF36*(1+'Rent Roll Analysis'!$AE34/12),'Monthly Cash Flow'!DF36*(1+'Rent Roll Analysis'!$AB34/12))))</f>
        <v/>
      </c>
      <c r="DH36" s="1428" t="str">
        <f>IF($B36="","",IF(DH$4&gt;2,(DG36*(1+'Rent Roll Analysis'!$AK34/12)), IF(AND('Monthly Cash Flow'!DH$4&gt;1,'Monthly Cash Flow'!DH$4&lt;=2),'Monthly Cash Flow'!DG36*(1+'Rent Roll Analysis'!$AE34/12),'Monthly Cash Flow'!DG36*(1+'Rent Roll Analysis'!$AB34/12))))</f>
        <v/>
      </c>
      <c r="DI36" s="1428" t="str">
        <f>IF($B36="","",IF(DI$4&gt;2,(DH36*(1+'Rent Roll Analysis'!$AK34/12)), IF(AND('Monthly Cash Flow'!DI$4&gt;1,'Monthly Cash Flow'!DI$4&lt;=2),'Monthly Cash Flow'!DH36*(1+'Rent Roll Analysis'!$AE34/12),'Monthly Cash Flow'!DH36*(1+'Rent Roll Analysis'!$AB34/12))))</f>
        <v/>
      </c>
      <c r="DJ36" s="1428" t="str">
        <f>IF($B36="","",IF(DJ$4&gt;2,(DI36*(1+'Rent Roll Analysis'!$AK34/12)), IF(AND('Monthly Cash Flow'!DJ$4&gt;1,'Monthly Cash Flow'!DJ$4&lt;=2),'Monthly Cash Flow'!DI36*(1+'Rent Roll Analysis'!$AE34/12),'Monthly Cash Flow'!DI36*(1+'Rent Roll Analysis'!$AB34/12))))</f>
        <v/>
      </c>
      <c r="DK36" s="1428" t="str">
        <f>IF($B36="","",IF(DK$4&gt;2,(DJ36*(1+'Rent Roll Analysis'!$AK34/12)), IF(AND('Monthly Cash Flow'!DK$4&gt;1,'Monthly Cash Flow'!DK$4&lt;=2),'Monthly Cash Flow'!DJ36*(1+'Rent Roll Analysis'!$AE34/12),'Monthly Cash Flow'!DJ36*(1+'Rent Roll Analysis'!$AB34/12))))</f>
        <v/>
      </c>
      <c r="DL36" s="1428" t="str">
        <f>IF($B36="","",IF(DL$4&gt;2,(DK36*(1+'Rent Roll Analysis'!$AK34/12)), IF(AND('Monthly Cash Flow'!DL$4&gt;1,'Monthly Cash Flow'!DL$4&lt;=2),'Monthly Cash Flow'!DK36*(1+'Rent Roll Analysis'!$AE34/12),'Monthly Cash Flow'!DK36*(1+'Rent Roll Analysis'!$AB34/12))))</f>
        <v/>
      </c>
      <c r="DM36" s="1428" t="str">
        <f>IF($B36="","",IF(DM$4&gt;2,(DL36*(1+'Rent Roll Analysis'!$AK34/12)), IF(AND('Monthly Cash Flow'!DM$4&gt;1,'Monthly Cash Flow'!DM$4&lt;=2),'Monthly Cash Flow'!DL36*(1+'Rent Roll Analysis'!$AE34/12),'Monthly Cash Flow'!DL36*(1+'Rent Roll Analysis'!$AB34/12))))</f>
        <v/>
      </c>
      <c r="DN36" s="1428" t="str">
        <f>IF($B36="","",IF(DN$4&gt;2,(DM36*(1+'Rent Roll Analysis'!$AK34/12)), IF(AND('Monthly Cash Flow'!DN$4&gt;1,'Monthly Cash Flow'!DN$4&lt;=2),'Monthly Cash Flow'!DM36*(1+'Rent Roll Analysis'!$AE34/12),'Monthly Cash Flow'!DM36*(1+'Rent Roll Analysis'!$AB34/12))))</f>
        <v/>
      </c>
      <c r="DO36" s="1428" t="str">
        <f>IF($B36="","",IF(DO$4&gt;2,(DN36*(1+'Rent Roll Analysis'!$AK34/12)), IF(AND('Monthly Cash Flow'!DO$4&gt;1,'Monthly Cash Flow'!DO$4&lt;=2),'Monthly Cash Flow'!DN36*(1+'Rent Roll Analysis'!$AE34/12),'Monthly Cash Flow'!DN36*(1+'Rent Roll Analysis'!$AB34/12))))</f>
        <v/>
      </c>
      <c r="DP36" s="1428" t="str">
        <f>IF($B36="","",IF(DP$4&gt;2,(DO36*(1+'Rent Roll Analysis'!$AK34/12)), IF(AND('Monthly Cash Flow'!DP$4&gt;1,'Monthly Cash Flow'!DP$4&lt;=2),'Monthly Cash Flow'!DO36*(1+'Rent Roll Analysis'!$AE34/12),'Monthly Cash Flow'!DO36*(1+'Rent Roll Analysis'!$AB34/12))))</f>
        <v/>
      </c>
      <c r="DQ36" s="1428" t="str">
        <f>IF($B36="","",IF(DQ$4&gt;2,(DP36*(1+'Rent Roll Analysis'!$AK34/12)), IF(AND('Monthly Cash Flow'!DQ$4&gt;1,'Monthly Cash Flow'!DQ$4&lt;=2),'Monthly Cash Flow'!DP36*(1+'Rent Roll Analysis'!$AE34/12),'Monthly Cash Flow'!DP36*(1+'Rent Roll Analysis'!$AB34/12))))</f>
        <v/>
      </c>
      <c r="DR36" s="1428" t="str">
        <f>IF($B36="","",IF(DR$4&gt;2,(DQ36*(1+'Rent Roll Analysis'!$AK34/12)), IF(AND('Monthly Cash Flow'!DR$4&gt;1,'Monthly Cash Flow'!DR$4&lt;=2),'Monthly Cash Flow'!DQ36*(1+'Rent Roll Analysis'!$AE34/12),'Monthly Cash Flow'!DQ36*(1+'Rent Roll Analysis'!$AB34/12))))</f>
        <v/>
      </c>
      <c r="DS36" s="1428" t="str">
        <f>IF($B36="","",IF(DS$4&gt;2,(DR36*(1+'Rent Roll Analysis'!$AK34/12)), IF(AND('Monthly Cash Flow'!DS$4&gt;1,'Monthly Cash Flow'!DS$4&lt;=2),'Monthly Cash Flow'!DR36*(1+'Rent Roll Analysis'!$AE34/12),'Monthly Cash Flow'!DR36*(1+'Rent Roll Analysis'!$AB34/12))))</f>
        <v/>
      </c>
      <c r="DT36" s="1428" t="str">
        <f>IF($B36="","",IF(DT$4&gt;2,(DS36*(1+'Rent Roll Analysis'!$AK34/12)), IF(AND('Monthly Cash Flow'!DT$4&gt;1,'Monthly Cash Flow'!DT$4&lt;=2),'Monthly Cash Flow'!DS36*(1+'Rent Roll Analysis'!$AE34/12),'Monthly Cash Flow'!DS36*(1+'Rent Roll Analysis'!$AB34/12))))</f>
        <v/>
      </c>
      <c r="DU36" s="385" t="s">
        <v>557</v>
      </c>
      <c r="DV36" s="375"/>
    </row>
    <row r="37" spans="1:126" s="92" customFormat="1" ht="20.149999999999999" customHeight="1" outlineLevel="1">
      <c r="A37" s="375"/>
      <c r="B37" s="383" t="str">
        <f>'Rent Roll Analysis'!C35</f>
        <v/>
      </c>
      <c r="C37" s="376"/>
      <c r="D37" s="1426" t="str">
        <f>IF('Rent Roll Analysis'!C35="","",'Rent Roll Analysis'!N35*'Rent Roll Analysis'!E35)</f>
        <v/>
      </c>
      <c r="E37" s="1428" t="str">
        <f t="shared" si="113"/>
        <v/>
      </c>
      <c r="F37" s="1428" t="str">
        <f>IF($B37="","",IF(F$4&gt;2,(E37*(1+'Rent Roll Analysis'!$AK35/12)), IF(AND('Monthly Cash Flow'!F$4&gt;1,'Monthly Cash Flow'!F$4&lt;=2),'Monthly Cash Flow'!E37*(1+'Rent Roll Analysis'!$AE35/12),'Monthly Cash Flow'!E37*(1+'Rent Roll Analysis'!$AB35/12))))</f>
        <v/>
      </c>
      <c r="G37" s="1428" t="str">
        <f>IF($B37="","",IF(G$4&gt;2,(F37*(1+'Rent Roll Analysis'!$AK35/12)), IF(AND('Monthly Cash Flow'!G$4&gt;1,'Monthly Cash Flow'!G$4&lt;=2),'Monthly Cash Flow'!F37*(1+'Rent Roll Analysis'!$AE35/12),'Monthly Cash Flow'!F37*(1+'Rent Roll Analysis'!$AB35/12))))</f>
        <v/>
      </c>
      <c r="H37" s="1428" t="str">
        <f>IF($B37="","",IF(H$4&gt;2,(G37*(1+'Rent Roll Analysis'!$AK35/12)), IF(AND('Monthly Cash Flow'!H$4&gt;1,'Monthly Cash Flow'!H$4&lt;=2),'Monthly Cash Flow'!G37*(1+'Rent Roll Analysis'!$AE35/12),'Monthly Cash Flow'!G37*(1+'Rent Roll Analysis'!$AB35/12))))</f>
        <v/>
      </c>
      <c r="I37" s="1428" t="str">
        <f>IF($B37="","",IF(I$4&gt;2,(H37*(1+'Rent Roll Analysis'!$AK35/12)), IF(AND('Monthly Cash Flow'!I$4&gt;1,'Monthly Cash Flow'!I$4&lt;=2),'Monthly Cash Flow'!H37*(1+'Rent Roll Analysis'!$AE35/12),'Monthly Cash Flow'!H37*(1+'Rent Roll Analysis'!$AB35/12))))</f>
        <v/>
      </c>
      <c r="J37" s="1428" t="str">
        <f>IF($B37="","",IF(J$4&gt;2,(I37*(1+'Rent Roll Analysis'!$AK35/12)), IF(AND('Monthly Cash Flow'!J$4&gt;1,'Monthly Cash Flow'!J$4&lt;=2),'Monthly Cash Flow'!I37*(1+'Rent Roll Analysis'!$AE35/12),'Monthly Cash Flow'!I37*(1+'Rent Roll Analysis'!$AB35/12))))</f>
        <v/>
      </c>
      <c r="K37" s="1428" t="str">
        <f>IF($B37="","",IF(K$4&gt;2,(J37*(1+'Rent Roll Analysis'!$AK35/12)), IF(AND('Monthly Cash Flow'!K$4&gt;1,'Monthly Cash Flow'!K$4&lt;=2),'Monthly Cash Flow'!J37*(1+'Rent Roll Analysis'!$AE35/12),'Monthly Cash Flow'!J37*(1+'Rent Roll Analysis'!$AB35/12))))</f>
        <v/>
      </c>
      <c r="L37" s="1428" t="str">
        <f>IF($B37="","",IF(L$4&gt;2,(K37*(1+'Rent Roll Analysis'!$AK35/12)), IF(AND('Monthly Cash Flow'!L$4&gt;1,'Monthly Cash Flow'!L$4&lt;=2),'Monthly Cash Flow'!K37*(1+'Rent Roll Analysis'!$AE35/12),'Monthly Cash Flow'!K37*(1+'Rent Roll Analysis'!$AB35/12))))</f>
        <v/>
      </c>
      <c r="M37" s="1428" t="str">
        <f>IF($B37="","",IF(M$4&gt;2,(L37*(1+'Rent Roll Analysis'!$AK35/12)), IF(AND('Monthly Cash Flow'!M$4&gt;1,'Monthly Cash Flow'!M$4&lt;=2),'Monthly Cash Flow'!L37*(1+'Rent Roll Analysis'!$AE35/12),'Monthly Cash Flow'!L37*(1+'Rent Roll Analysis'!$AB35/12))))</f>
        <v/>
      </c>
      <c r="N37" s="1428" t="str">
        <f>IF($B37="","",IF(N$4&gt;2,(M37*(1+'Rent Roll Analysis'!$AK35/12)), IF(AND('Monthly Cash Flow'!N$4&gt;1,'Monthly Cash Flow'!N$4&lt;=2),'Monthly Cash Flow'!M37*(1+'Rent Roll Analysis'!$AE35/12),'Monthly Cash Flow'!M37*(1+'Rent Roll Analysis'!$AB35/12))))</f>
        <v/>
      </c>
      <c r="O37" s="1428" t="str">
        <f>IF($B37="","",IF(O$4&gt;2,(N37*(1+'Rent Roll Analysis'!$AK35/12)), IF(AND('Monthly Cash Flow'!O$4&gt;1,'Monthly Cash Flow'!O$4&lt;=2),'Monthly Cash Flow'!N37*(1+'Rent Roll Analysis'!$AE35/12),'Monthly Cash Flow'!N37*(1+'Rent Roll Analysis'!$AB35/12))))</f>
        <v/>
      </c>
      <c r="P37" s="1428" t="str">
        <f>IF($B37="","",IF(P$4&gt;2,(O37*(1+'Rent Roll Analysis'!$AK35/12)), IF(AND('Monthly Cash Flow'!P$4&gt;1,'Monthly Cash Flow'!P$4&lt;=2),'Monthly Cash Flow'!O37*(1+'Rent Roll Analysis'!$AE35/12),'Monthly Cash Flow'!O37*(1+'Rent Roll Analysis'!$AB35/12))))</f>
        <v/>
      </c>
      <c r="Q37" s="1428" t="str">
        <f>IF($B37="","",IF(Q$4&gt;2,(P37*(1+'Rent Roll Analysis'!$AK35/12)), IF(AND('Monthly Cash Flow'!Q$4&gt;1,'Monthly Cash Flow'!Q$4&lt;=2),'Monthly Cash Flow'!P37*(1+'Rent Roll Analysis'!$AE35/12),'Monthly Cash Flow'!P37*(1+'Rent Roll Analysis'!$AB35/12))))</f>
        <v/>
      </c>
      <c r="R37" s="1428" t="str">
        <f>IF($B37="","",IF(R$4&gt;2,(Q37*(1+'Rent Roll Analysis'!$AK35/12)), IF(AND('Monthly Cash Flow'!R$4&gt;1,'Monthly Cash Flow'!R$4&lt;=2),'Monthly Cash Flow'!Q37*(1+'Rent Roll Analysis'!$AE35/12),'Monthly Cash Flow'!Q37*(1+'Rent Roll Analysis'!$AB35/12))))</f>
        <v/>
      </c>
      <c r="S37" s="1428" t="str">
        <f>IF($B37="","",IF(S$4&gt;2,(R37*(1+'Rent Roll Analysis'!$AK35/12)), IF(AND('Monthly Cash Flow'!S$4&gt;1,'Monthly Cash Flow'!S$4&lt;=2),'Monthly Cash Flow'!R37*(1+'Rent Roll Analysis'!$AE35/12),'Monthly Cash Flow'!R37*(1+'Rent Roll Analysis'!$AB35/12))))</f>
        <v/>
      </c>
      <c r="T37" s="1428" t="str">
        <f>IF($B37="","",IF(T$4&gt;2,(S37*(1+'Rent Roll Analysis'!$AK35/12)), IF(AND('Monthly Cash Flow'!T$4&gt;1,'Monthly Cash Flow'!T$4&lt;=2),'Monthly Cash Flow'!S37*(1+'Rent Roll Analysis'!$AE35/12),'Monthly Cash Flow'!S37*(1+'Rent Roll Analysis'!$AB35/12))))</f>
        <v/>
      </c>
      <c r="U37" s="1428" t="str">
        <f>IF($B37="","",IF(U$4&gt;2,(T37*(1+'Rent Roll Analysis'!$AK35/12)), IF(AND('Monthly Cash Flow'!U$4&gt;1,'Monthly Cash Flow'!U$4&lt;=2),'Monthly Cash Flow'!T37*(1+'Rent Roll Analysis'!$AE35/12),'Monthly Cash Flow'!T37*(1+'Rent Roll Analysis'!$AB35/12))))</f>
        <v/>
      </c>
      <c r="V37" s="1428" t="str">
        <f>IF($B37="","",IF(V$4&gt;2,(U37*(1+'Rent Roll Analysis'!$AK35/12)), IF(AND('Monthly Cash Flow'!V$4&gt;1,'Monthly Cash Flow'!V$4&lt;=2),'Monthly Cash Flow'!U37*(1+'Rent Roll Analysis'!$AE35/12),'Monthly Cash Flow'!U37*(1+'Rent Roll Analysis'!$AB35/12))))</f>
        <v/>
      </c>
      <c r="W37" s="1428" t="str">
        <f>IF($B37="","",IF(W$4&gt;2,(V37*(1+'Rent Roll Analysis'!$AK35/12)), IF(AND('Monthly Cash Flow'!W$4&gt;1,'Monthly Cash Flow'!W$4&lt;=2),'Monthly Cash Flow'!V37*(1+'Rent Roll Analysis'!$AE35/12),'Monthly Cash Flow'!V37*(1+'Rent Roll Analysis'!$AB35/12))))</f>
        <v/>
      </c>
      <c r="X37" s="1428" t="str">
        <f>IF($B37="","",IF(X$4&gt;2,(W37*(1+'Rent Roll Analysis'!$AK35/12)), IF(AND('Monthly Cash Flow'!X$4&gt;1,'Monthly Cash Flow'!X$4&lt;=2),'Monthly Cash Flow'!W37*(1+'Rent Roll Analysis'!$AE35/12),'Monthly Cash Flow'!W37*(1+'Rent Roll Analysis'!$AB35/12))))</f>
        <v/>
      </c>
      <c r="Y37" s="1428" t="str">
        <f>IF($B37="","",IF(Y$4&gt;2,(X37*(1+'Rent Roll Analysis'!$AK35/12)), IF(AND('Monthly Cash Flow'!Y$4&gt;1,'Monthly Cash Flow'!Y$4&lt;=2),'Monthly Cash Flow'!X37*(1+'Rent Roll Analysis'!$AE35/12),'Monthly Cash Flow'!X37*(1+'Rent Roll Analysis'!$AB35/12))))</f>
        <v/>
      </c>
      <c r="Z37" s="1428" t="str">
        <f>IF($B37="","",IF(Z$4&gt;2,(Y37*(1+'Rent Roll Analysis'!$AK35/12)), IF(AND('Monthly Cash Flow'!Z$4&gt;1,'Monthly Cash Flow'!Z$4&lt;=2),'Monthly Cash Flow'!Y37*(1+'Rent Roll Analysis'!$AE35/12),'Monthly Cash Flow'!Y37*(1+'Rent Roll Analysis'!$AB35/12))))</f>
        <v/>
      </c>
      <c r="AA37" s="1428" t="str">
        <f>IF($B37="","",IF(AA$4&gt;2,(Z37*(1+'Rent Roll Analysis'!$AK35/12)), IF(AND('Monthly Cash Flow'!AA$4&gt;1,'Monthly Cash Flow'!AA$4&lt;=2),'Monthly Cash Flow'!Z37*(1+'Rent Roll Analysis'!$AE35/12),'Monthly Cash Flow'!Z37*(1+'Rent Roll Analysis'!$AB35/12))))</f>
        <v/>
      </c>
      <c r="AB37" s="1428" t="str">
        <f>IF($B37="","",IF(AB$4&gt;2,(AA37*(1+'Rent Roll Analysis'!$AK35/12)), IF(AND('Monthly Cash Flow'!AB$4&gt;1,'Monthly Cash Flow'!AB$4&lt;=2),'Monthly Cash Flow'!AA37*(1+'Rent Roll Analysis'!$AE35/12),'Monthly Cash Flow'!AA37*(1+'Rent Roll Analysis'!$AB35/12))))</f>
        <v/>
      </c>
      <c r="AC37" s="1428" t="str">
        <f>IF($B37="","",IF(AC$4&gt;2,(AB37*(1+'Rent Roll Analysis'!$AK35/12)), IF(AND('Monthly Cash Flow'!AC$4&gt;1,'Monthly Cash Flow'!AC$4&lt;=2),'Monthly Cash Flow'!AB37*(1+'Rent Roll Analysis'!$AE35/12),'Monthly Cash Flow'!AB37*(1+'Rent Roll Analysis'!$AB35/12))))</f>
        <v/>
      </c>
      <c r="AD37" s="1428" t="str">
        <f>IF($B37="","",IF(AD$4&gt;2,(AC37*(1+'Rent Roll Analysis'!$AK35/12)), IF(AND('Monthly Cash Flow'!AD$4&gt;1,'Monthly Cash Flow'!AD$4&lt;=2),'Monthly Cash Flow'!AC37*(1+'Rent Roll Analysis'!$AE35/12),'Monthly Cash Flow'!AC37*(1+'Rent Roll Analysis'!$AB35/12))))</f>
        <v/>
      </c>
      <c r="AE37" s="1428" t="str">
        <f>IF($B37="","",IF(AE$4&gt;2,(AD37*(1+'Rent Roll Analysis'!$AK35/12)), IF(AND('Monthly Cash Flow'!AE$4&gt;1,'Monthly Cash Flow'!AE$4&lt;=2),'Monthly Cash Flow'!AD37*(1+'Rent Roll Analysis'!$AE35/12),'Monthly Cash Flow'!AD37*(1+'Rent Roll Analysis'!$AB35/12))))</f>
        <v/>
      </c>
      <c r="AF37" s="1428" t="str">
        <f>IF($B37="","",IF(AF$4&gt;2,(AE37*(1+'Rent Roll Analysis'!$AK35/12)), IF(AND('Monthly Cash Flow'!AF$4&gt;1,'Monthly Cash Flow'!AF$4&lt;=2),'Monthly Cash Flow'!AE37*(1+'Rent Roll Analysis'!$AE35/12),'Monthly Cash Flow'!AE37*(1+'Rent Roll Analysis'!$AB35/12))))</f>
        <v/>
      </c>
      <c r="AG37" s="1428" t="str">
        <f>IF($B37="","",IF(AG$4&gt;2,(AF37*(1+'Rent Roll Analysis'!$AK35/12)), IF(AND('Monthly Cash Flow'!AG$4&gt;1,'Monthly Cash Flow'!AG$4&lt;=2),'Monthly Cash Flow'!AF37*(1+'Rent Roll Analysis'!$AE35/12),'Monthly Cash Flow'!AF37*(1+'Rent Roll Analysis'!$AB35/12))))</f>
        <v/>
      </c>
      <c r="AH37" s="1428" t="str">
        <f>IF($B37="","",IF(AH$4&gt;2,(AG37*(1+'Rent Roll Analysis'!$AK35/12)), IF(AND('Monthly Cash Flow'!AH$4&gt;1,'Monthly Cash Flow'!AH$4&lt;=2),'Monthly Cash Flow'!AG37*(1+'Rent Roll Analysis'!$AE35/12),'Monthly Cash Flow'!AG37*(1+'Rent Roll Analysis'!$AB35/12))))</f>
        <v/>
      </c>
      <c r="AI37" s="1428" t="str">
        <f>IF($B37="","",IF(AI$4&gt;2,(AH37*(1+'Rent Roll Analysis'!$AK35/12)), IF(AND('Monthly Cash Flow'!AI$4&gt;1,'Monthly Cash Flow'!AI$4&lt;=2),'Monthly Cash Flow'!AH37*(1+'Rent Roll Analysis'!$AE35/12),'Monthly Cash Flow'!AH37*(1+'Rent Roll Analysis'!$AB35/12))))</f>
        <v/>
      </c>
      <c r="AJ37" s="1428" t="str">
        <f>IF($B37="","",IF(AJ$4&gt;2,(AI37*(1+'Rent Roll Analysis'!$AK35/12)), IF(AND('Monthly Cash Flow'!AJ$4&gt;1,'Monthly Cash Flow'!AJ$4&lt;=2),'Monthly Cash Flow'!AI37*(1+'Rent Roll Analysis'!$AE35/12),'Monthly Cash Flow'!AI37*(1+'Rent Roll Analysis'!$AB35/12))))</f>
        <v/>
      </c>
      <c r="AK37" s="1428" t="str">
        <f>IF($B37="","",IF(AK$4&gt;2,(AJ37*(1+'Rent Roll Analysis'!$AK35/12)), IF(AND('Monthly Cash Flow'!AK$4&gt;1,'Monthly Cash Flow'!AK$4&lt;=2),'Monthly Cash Flow'!AJ37*(1+'Rent Roll Analysis'!$AE35/12),'Monthly Cash Flow'!AJ37*(1+'Rent Roll Analysis'!$AB35/12))))</f>
        <v/>
      </c>
      <c r="AL37" s="1428" t="str">
        <f>IF($B37="","",IF(AL$4&gt;2,(AK37*(1+'Rent Roll Analysis'!$AK35/12)), IF(AND('Monthly Cash Flow'!AL$4&gt;1,'Monthly Cash Flow'!AL$4&lt;=2),'Monthly Cash Flow'!AK37*(1+'Rent Roll Analysis'!$AE35/12),'Monthly Cash Flow'!AK37*(1+'Rent Roll Analysis'!$AB35/12))))</f>
        <v/>
      </c>
      <c r="AM37" s="1428" t="str">
        <f>IF($B37="","",IF(AM$4&gt;2,(AL37*(1+'Rent Roll Analysis'!$AK35/12)), IF(AND('Monthly Cash Flow'!AM$4&gt;1,'Monthly Cash Flow'!AM$4&lt;=2),'Monthly Cash Flow'!AL37*(1+'Rent Roll Analysis'!$AE35/12),'Monthly Cash Flow'!AL37*(1+'Rent Roll Analysis'!$AB35/12))))</f>
        <v/>
      </c>
      <c r="AN37" s="1428" t="str">
        <f>IF($B37="","",IF(AN$4&gt;2,(AM37*(1+'Rent Roll Analysis'!$AK35/12)), IF(AND('Monthly Cash Flow'!AN$4&gt;1,'Monthly Cash Flow'!AN$4&lt;=2),'Monthly Cash Flow'!AM37*(1+'Rent Roll Analysis'!$AE35/12),'Monthly Cash Flow'!AM37*(1+'Rent Roll Analysis'!$AB35/12))))</f>
        <v/>
      </c>
      <c r="AO37" s="1428" t="str">
        <f>IF($B37="","",IF(AO$4&gt;2,(AN37*(1+'Rent Roll Analysis'!$AK35/12)), IF(AND('Monthly Cash Flow'!AO$4&gt;1,'Monthly Cash Flow'!AO$4&lt;=2),'Monthly Cash Flow'!AN37*(1+'Rent Roll Analysis'!$AE35/12),'Monthly Cash Flow'!AN37*(1+'Rent Roll Analysis'!$AB35/12))))</f>
        <v/>
      </c>
      <c r="AP37" s="1428" t="str">
        <f>IF($B37="","",IF(AP$4&gt;2,(AO37*(1+'Rent Roll Analysis'!$AK35/12)), IF(AND('Monthly Cash Flow'!AP$4&gt;1,'Monthly Cash Flow'!AP$4&lt;=2),'Monthly Cash Flow'!AO37*(1+'Rent Roll Analysis'!$AE35/12),'Monthly Cash Flow'!AO37*(1+'Rent Roll Analysis'!$AB35/12))))</f>
        <v/>
      </c>
      <c r="AQ37" s="1428" t="str">
        <f>IF($B37="","",IF(AQ$4&gt;2,(AP37*(1+'Rent Roll Analysis'!$AK35/12)), IF(AND('Monthly Cash Flow'!AQ$4&gt;1,'Monthly Cash Flow'!AQ$4&lt;=2),'Monthly Cash Flow'!AP37*(1+'Rent Roll Analysis'!$AE35/12),'Monthly Cash Flow'!AP37*(1+'Rent Roll Analysis'!$AB35/12))))</f>
        <v/>
      </c>
      <c r="AR37" s="1428" t="str">
        <f>IF($B37="","",IF(AR$4&gt;2,(AQ37*(1+'Rent Roll Analysis'!$AK35/12)), IF(AND('Monthly Cash Flow'!AR$4&gt;1,'Monthly Cash Flow'!AR$4&lt;=2),'Monthly Cash Flow'!AQ37*(1+'Rent Roll Analysis'!$AE35/12),'Monthly Cash Flow'!AQ37*(1+'Rent Roll Analysis'!$AB35/12))))</f>
        <v/>
      </c>
      <c r="AS37" s="1428" t="str">
        <f>IF($B37="","",IF(AS$4&gt;2,(AR37*(1+'Rent Roll Analysis'!$AK35/12)), IF(AND('Monthly Cash Flow'!AS$4&gt;1,'Monthly Cash Flow'!AS$4&lt;=2),'Monthly Cash Flow'!AR37*(1+'Rent Roll Analysis'!$AE35/12),'Monthly Cash Flow'!AR37*(1+'Rent Roll Analysis'!$AB35/12))))</f>
        <v/>
      </c>
      <c r="AT37" s="1428" t="str">
        <f>IF($B37="","",IF(AT$4&gt;2,(AS37*(1+'Rent Roll Analysis'!$AK35/12)), IF(AND('Monthly Cash Flow'!AT$4&gt;1,'Monthly Cash Flow'!AT$4&lt;=2),'Monthly Cash Flow'!AS37*(1+'Rent Roll Analysis'!$AE35/12),'Monthly Cash Flow'!AS37*(1+'Rent Roll Analysis'!$AB35/12))))</f>
        <v/>
      </c>
      <c r="AU37" s="1428" t="str">
        <f>IF($B37="","",IF(AU$4&gt;2,(AT37*(1+'Rent Roll Analysis'!$AK35/12)), IF(AND('Monthly Cash Flow'!AU$4&gt;1,'Monthly Cash Flow'!AU$4&lt;=2),'Monthly Cash Flow'!AT37*(1+'Rent Roll Analysis'!$AE35/12),'Monthly Cash Flow'!AT37*(1+'Rent Roll Analysis'!$AB35/12))))</f>
        <v/>
      </c>
      <c r="AV37" s="1428" t="str">
        <f>IF($B37="","",IF(AV$4&gt;2,(AU37*(1+'Rent Roll Analysis'!$AK35/12)), IF(AND('Monthly Cash Flow'!AV$4&gt;1,'Monthly Cash Flow'!AV$4&lt;=2),'Monthly Cash Flow'!AU37*(1+'Rent Roll Analysis'!$AE35/12),'Monthly Cash Flow'!AU37*(1+'Rent Roll Analysis'!$AB35/12))))</f>
        <v/>
      </c>
      <c r="AW37" s="1428" t="str">
        <f>IF($B37="","",IF(AW$4&gt;2,(AV37*(1+'Rent Roll Analysis'!$AK35/12)), IF(AND('Monthly Cash Flow'!AW$4&gt;1,'Monthly Cash Flow'!AW$4&lt;=2),'Monthly Cash Flow'!AV37*(1+'Rent Roll Analysis'!$AE35/12),'Monthly Cash Flow'!AV37*(1+'Rent Roll Analysis'!$AB35/12))))</f>
        <v/>
      </c>
      <c r="AX37" s="1428" t="str">
        <f>IF($B37="","",IF(AX$4&gt;2,(AW37*(1+'Rent Roll Analysis'!$AK35/12)), IF(AND('Monthly Cash Flow'!AX$4&gt;1,'Monthly Cash Flow'!AX$4&lt;=2),'Monthly Cash Flow'!AW37*(1+'Rent Roll Analysis'!$AE35/12),'Monthly Cash Flow'!AW37*(1+'Rent Roll Analysis'!$AB35/12))))</f>
        <v/>
      </c>
      <c r="AY37" s="1428" t="str">
        <f>IF($B37="","",IF(AY$4&gt;2,(AX37*(1+'Rent Roll Analysis'!$AK35/12)), IF(AND('Monthly Cash Flow'!AY$4&gt;1,'Monthly Cash Flow'!AY$4&lt;=2),'Monthly Cash Flow'!AX37*(1+'Rent Roll Analysis'!$AE35/12),'Monthly Cash Flow'!AX37*(1+'Rent Roll Analysis'!$AB35/12))))</f>
        <v/>
      </c>
      <c r="AZ37" s="1428" t="str">
        <f>IF($B37="","",IF(AZ$4&gt;2,(AY37*(1+'Rent Roll Analysis'!$AK35/12)), IF(AND('Monthly Cash Flow'!AZ$4&gt;1,'Monthly Cash Flow'!AZ$4&lt;=2),'Monthly Cash Flow'!AY37*(1+'Rent Roll Analysis'!$AE35/12),'Monthly Cash Flow'!AY37*(1+'Rent Roll Analysis'!$AB35/12))))</f>
        <v/>
      </c>
      <c r="BA37" s="1428" t="str">
        <f>IF($B37="","",IF(BA$4&gt;2,(AZ37*(1+'Rent Roll Analysis'!$AK35/12)), IF(AND('Monthly Cash Flow'!BA$4&gt;1,'Monthly Cash Flow'!BA$4&lt;=2),'Monthly Cash Flow'!AZ37*(1+'Rent Roll Analysis'!$AE35/12),'Monthly Cash Flow'!AZ37*(1+'Rent Roll Analysis'!$AB35/12))))</f>
        <v/>
      </c>
      <c r="BB37" s="1428" t="str">
        <f>IF($B37="","",IF(BB$4&gt;2,(BA37*(1+'Rent Roll Analysis'!$AK35/12)), IF(AND('Monthly Cash Flow'!BB$4&gt;1,'Monthly Cash Flow'!BB$4&lt;=2),'Monthly Cash Flow'!BA37*(1+'Rent Roll Analysis'!$AE35/12),'Monthly Cash Flow'!BA37*(1+'Rent Roll Analysis'!$AB35/12))))</f>
        <v/>
      </c>
      <c r="BC37" s="1428" t="str">
        <f>IF($B37="","",IF(BC$4&gt;2,(BB37*(1+'Rent Roll Analysis'!$AK35/12)), IF(AND('Monthly Cash Flow'!BC$4&gt;1,'Monthly Cash Flow'!BC$4&lt;=2),'Monthly Cash Flow'!BB37*(1+'Rent Roll Analysis'!$AE35/12),'Monthly Cash Flow'!BB37*(1+'Rent Roll Analysis'!$AB35/12))))</f>
        <v/>
      </c>
      <c r="BD37" s="1428" t="str">
        <f>IF($B37="","",IF(BD$4&gt;2,(BC37*(1+'Rent Roll Analysis'!$AK35/12)), IF(AND('Monthly Cash Flow'!BD$4&gt;1,'Monthly Cash Flow'!BD$4&lt;=2),'Monthly Cash Flow'!BC37*(1+'Rent Roll Analysis'!$AE35/12),'Monthly Cash Flow'!BC37*(1+'Rent Roll Analysis'!$AB35/12))))</f>
        <v/>
      </c>
      <c r="BE37" s="1428" t="str">
        <f>IF($B37="","",IF(BE$4&gt;2,(BD37*(1+'Rent Roll Analysis'!$AK35/12)), IF(AND('Monthly Cash Flow'!BE$4&gt;1,'Monthly Cash Flow'!BE$4&lt;=2),'Monthly Cash Flow'!BD37*(1+'Rent Roll Analysis'!$AE35/12),'Monthly Cash Flow'!BD37*(1+'Rent Roll Analysis'!$AB35/12))))</f>
        <v/>
      </c>
      <c r="BF37" s="1428" t="str">
        <f>IF($B37="","",IF(BF$4&gt;2,(BE37*(1+'Rent Roll Analysis'!$AK35/12)), IF(AND('Monthly Cash Flow'!BF$4&gt;1,'Monthly Cash Flow'!BF$4&lt;=2),'Monthly Cash Flow'!BE37*(1+'Rent Roll Analysis'!$AE35/12),'Monthly Cash Flow'!BE37*(1+'Rent Roll Analysis'!$AB35/12))))</f>
        <v/>
      </c>
      <c r="BG37" s="1428" t="str">
        <f>IF($B37="","",IF(BG$4&gt;2,(BF37*(1+'Rent Roll Analysis'!$AK35/12)), IF(AND('Monthly Cash Flow'!BG$4&gt;1,'Monthly Cash Flow'!BG$4&lt;=2),'Monthly Cash Flow'!BF37*(1+'Rent Roll Analysis'!$AE35/12),'Monthly Cash Flow'!BF37*(1+'Rent Roll Analysis'!$AB35/12))))</f>
        <v/>
      </c>
      <c r="BH37" s="1428" t="str">
        <f>IF($B37="","",IF(BH$4&gt;2,(BG37*(1+'Rent Roll Analysis'!$AK35/12)), IF(AND('Monthly Cash Flow'!BH$4&gt;1,'Monthly Cash Flow'!BH$4&lt;=2),'Monthly Cash Flow'!BG37*(1+'Rent Roll Analysis'!$AE35/12),'Monthly Cash Flow'!BG37*(1+'Rent Roll Analysis'!$AB35/12))))</f>
        <v/>
      </c>
      <c r="BI37" s="1428" t="str">
        <f>IF($B37="","",IF(BI$4&gt;2,(BH37*(1+'Rent Roll Analysis'!$AK35/12)), IF(AND('Monthly Cash Flow'!BI$4&gt;1,'Monthly Cash Flow'!BI$4&lt;=2),'Monthly Cash Flow'!BH37*(1+'Rent Roll Analysis'!$AE35/12),'Monthly Cash Flow'!BH37*(1+'Rent Roll Analysis'!$AB35/12))))</f>
        <v/>
      </c>
      <c r="BJ37" s="1428" t="str">
        <f>IF($B37="","",IF(BJ$4&gt;2,(BI37*(1+'Rent Roll Analysis'!$AK35/12)), IF(AND('Monthly Cash Flow'!BJ$4&gt;1,'Monthly Cash Flow'!BJ$4&lt;=2),'Monthly Cash Flow'!BI37*(1+'Rent Roll Analysis'!$AE35/12),'Monthly Cash Flow'!BI37*(1+'Rent Roll Analysis'!$AB35/12))))</f>
        <v/>
      </c>
      <c r="BK37" s="1428" t="str">
        <f>IF($B37="","",IF(BK$4&gt;2,(BJ37*(1+'Rent Roll Analysis'!$AK35/12)), IF(AND('Monthly Cash Flow'!BK$4&gt;1,'Monthly Cash Flow'!BK$4&lt;=2),'Monthly Cash Flow'!BJ37*(1+'Rent Roll Analysis'!$AE35/12),'Monthly Cash Flow'!BJ37*(1+'Rent Roll Analysis'!$AB35/12))))</f>
        <v/>
      </c>
      <c r="BL37" s="1428" t="str">
        <f>IF($B37="","",IF(BL$4&gt;2,(BK37*(1+'Rent Roll Analysis'!$AK35/12)), IF(AND('Monthly Cash Flow'!BL$4&gt;1,'Monthly Cash Flow'!BL$4&lt;=2),'Monthly Cash Flow'!BK37*(1+'Rent Roll Analysis'!$AE35/12),'Monthly Cash Flow'!BK37*(1+'Rent Roll Analysis'!$AB35/12))))</f>
        <v/>
      </c>
      <c r="BM37" s="1428" t="str">
        <f>IF($B37="","",IF(BM$4&gt;2,(BL37*(1+'Rent Roll Analysis'!$AK35/12)), IF(AND('Monthly Cash Flow'!BM$4&gt;1,'Monthly Cash Flow'!BM$4&lt;=2),'Monthly Cash Flow'!BL37*(1+'Rent Roll Analysis'!$AE35/12),'Monthly Cash Flow'!BL37*(1+'Rent Roll Analysis'!$AB35/12))))</f>
        <v/>
      </c>
      <c r="BN37" s="1428" t="str">
        <f>IF($B37="","",IF(BN$4&gt;2,(BM37*(1+'Rent Roll Analysis'!$AK35/12)), IF(AND('Monthly Cash Flow'!BN$4&gt;1,'Monthly Cash Flow'!BN$4&lt;=2),'Monthly Cash Flow'!BM37*(1+'Rent Roll Analysis'!$AE35/12),'Monthly Cash Flow'!BM37*(1+'Rent Roll Analysis'!$AB35/12))))</f>
        <v/>
      </c>
      <c r="BO37" s="1428" t="str">
        <f>IF($B37="","",IF(BO$4&gt;2,(BN37*(1+'Rent Roll Analysis'!$AK35/12)), IF(AND('Monthly Cash Flow'!BO$4&gt;1,'Monthly Cash Flow'!BO$4&lt;=2),'Monthly Cash Flow'!BN37*(1+'Rent Roll Analysis'!$AE35/12),'Monthly Cash Flow'!BN37*(1+'Rent Roll Analysis'!$AB35/12))))</f>
        <v/>
      </c>
      <c r="BP37" s="1428" t="str">
        <f>IF($B37="","",IF(BP$4&gt;2,(BO37*(1+'Rent Roll Analysis'!$AK35/12)), IF(AND('Monthly Cash Flow'!BP$4&gt;1,'Monthly Cash Flow'!BP$4&lt;=2),'Monthly Cash Flow'!BO37*(1+'Rent Roll Analysis'!$AE35/12),'Monthly Cash Flow'!BO37*(1+'Rent Roll Analysis'!$AB35/12))))</f>
        <v/>
      </c>
      <c r="BQ37" s="1428" t="str">
        <f>IF($B37="","",IF(BQ$4&gt;2,(BP37*(1+'Rent Roll Analysis'!$AK35/12)), IF(AND('Monthly Cash Flow'!BQ$4&gt;1,'Monthly Cash Flow'!BQ$4&lt;=2),'Monthly Cash Flow'!BP37*(1+'Rent Roll Analysis'!$AE35/12),'Monthly Cash Flow'!BP37*(1+'Rent Roll Analysis'!$AB35/12))))</f>
        <v/>
      </c>
      <c r="BR37" s="1428" t="str">
        <f>IF($B37="","",IF(BR$4&gt;2,(BQ37*(1+'Rent Roll Analysis'!$AK35/12)), IF(AND('Monthly Cash Flow'!BR$4&gt;1,'Monthly Cash Flow'!BR$4&lt;=2),'Monthly Cash Flow'!BQ37*(1+'Rent Roll Analysis'!$AE35/12),'Monthly Cash Flow'!BQ37*(1+'Rent Roll Analysis'!$AB35/12))))</f>
        <v/>
      </c>
      <c r="BS37" s="1428" t="str">
        <f>IF($B37="","",IF(BS$4&gt;2,(BR37*(1+'Rent Roll Analysis'!$AK35/12)), IF(AND('Monthly Cash Flow'!BS$4&gt;1,'Monthly Cash Flow'!BS$4&lt;=2),'Monthly Cash Flow'!BR37*(1+'Rent Roll Analysis'!$AE35/12),'Monthly Cash Flow'!BR37*(1+'Rent Roll Analysis'!$AB35/12))))</f>
        <v/>
      </c>
      <c r="BT37" s="1428" t="str">
        <f>IF($B37="","",IF(BT$4&gt;2,(BS37*(1+'Rent Roll Analysis'!$AK35/12)), IF(AND('Monthly Cash Flow'!BT$4&gt;1,'Monthly Cash Flow'!BT$4&lt;=2),'Monthly Cash Flow'!BS37*(1+'Rent Roll Analysis'!$AE35/12),'Monthly Cash Flow'!BS37*(1+'Rent Roll Analysis'!$AB35/12))))</f>
        <v/>
      </c>
      <c r="BU37" s="1428" t="str">
        <f>IF($B37="","",IF(BU$4&gt;2,(BT37*(1+'Rent Roll Analysis'!$AK35/12)), IF(AND('Monthly Cash Flow'!BU$4&gt;1,'Monthly Cash Flow'!BU$4&lt;=2),'Monthly Cash Flow'!BT37*(1+'Rent Roll Analysis'!$AE35/12),'Monthly Cash Flow'!BT37*(1+'Rent Roll Analysis'!$AB35/12))))</f>
        <v/>
      </c>
      <c r="BV37" s="1428" t="str">
        <f>IF($B37="","",IF(BV$4&gt;2,(BU37*(1+'Rent Roll Analysis'!$AK35/12)), IF(AND('Monthly Cash Flow'!BV$4&gt;1,'Monthly Cash Flow'!BV$4&lt;=2),'Monthly Cash Flow'!BU37*(1+'Rent Roll Analysis'!$AE35/12),'Monthly Cash Flow'!BU37*(1+'Rent Roll Analysis'!$AB35/12))))</f>
        <v/>
      </c>
      <c r="BW37" s="1428" t="str">
        <f>IF($B37="","",IF(BW$4&gt;2,(BV37*(1+'Rent Roll Analysis'!$AK35/12)), IF(AND('Monthly Cash Flow'!BW$4&gt;1,'Monthly Cash Flow'!BW$4&lt;=2),'Monthly Cash Flow'!BV37*(1+'Rent Roll Analysis'!$AE35/12),'Monthly Cash Flow'!BV37*(1+'Rent Roll Analysis'!$AB35/12))))</f>
        <v/>
      </c>
      <c r="BX37" s="1428" t="str">
        <f>IF($B37="","",IF(BX$4&gt;2,(BW37*(1+'Rent Roll Analysis'!$AK35/12)), IF(AND('Monthly Cash Flow'!BX$4&gt;1,'Monthly Cash Flow'!BX$4&lt;=2),'Monthly Cash Flow'!BW37*(1+'Rent Roll Analysis'!$AE35/12),'Monthly Cash Flow'!BW37*(1+'Rent Roll Analysis'!$AB35/12))))</f>
        <v/>
      </c>
      <c r="BY37" s="1428" t="str">
        <f>IF($B37="","",IF(BY$4&gt;2,(BX37*(1+'Rent Roll Analysis'!$AK35/12)), IF(AND('Monthly Cash Flow'!BY$4&gt;1,'Monthly Cash Flow'!BY$4&lt;=2),'Monthly Cash Flow'!BX37*(1+'Rent Roll Analysis'!$AE35/12),'Monthly Cash Flow'!BX37*(1+'Rent Roll Analysis'!$AB35/12))))</f>
        <v/>
      </c>
      <c r="BZ37" s="1428" t="str">
        <f>IF($B37="","",IF(BZ$4&gt;2,(BY37*(1+'Rent Roll Analysis'!$AK35/12)), IF(AND('Monthly Cash Flow'!BZ$4&gt;1,'Monthly Cash Flow'!BZ$4&lt;=2),'Monthly Cash Flow'!BY37*(1+'Rent Roll Analysis'!$AE35/12),'Monthly Cash Flow'!BY37*(1+'Rent Roll Analysis'!$AB35/12))))</f>
        <v/>
      </c>
      <c r="CA37" s="1428" t="str">
        <f>IF($B37="","",IF(CA$4&gt;2,(BZ37*(1+'Rent Roll Analysis'!$AK35/12)), IF(AND('Monthly Cash Flow'!CA$4&gt;1,'Monthly Cash Flow'!CA$4&lt;=2),'Monthly Cash Flow'!BZ37*(1+'Rent Roll Analysis'!$AE35/12),'Monthly Cash Flow'!BZ37*(1+'Rent Roll Analysis'!$AB35/12))))</f>
        <v/>
      </c>
      <c r="CB37" s="1428" t="str">
        <f>IF($B37="","",IF(CB$4&gt;2,(CA37*(1+'Rent Roll Analysis'!$AK35/12)), IF(AND('Monthly Cash Flow'!CB$4&gt;1,'Monthly Cash Flow'!CB$4&lt;=2),'Monthly Cash Flow'!CA37*(1+'Rent Roll Analysis'!$AE35/12),'Monthly Cash Flow'!CA37*(1+'Rent Roll Analysis'!$AB35/12))))</f>
        <v/>
      </c>
      <c r="CC37" s="1428" t="str">
        <f>IF($B37="","",IF(CC$4&gt;2,(CB37*(1+'Rent Roll Analysis'!$AK35/12)), IF(AND('Monthly Cash Flow'!CC$4&gt;1,'Monthly Cash Flow'!CC$4&lt;=2),'Monthly Cash Flow'!CB37*(1+'Rent Roll Analysis'!$AE35/12),'Monthly Cash Flow'!CB37*(1+'Rent Roll Analysis'!$AB35/12))))</f>
        <v/>
      </c>
      <c r="CD37" s="1428" t="str">
        <f>IF($B37="","",IF(CD$4&gt;2,(CC37*(1+'Rent Roll Analysis'!$AK35/12)), IF(AND('Monthly Cash Flow'!CD$4&gt;1,'Monthly Cash Flow'!CD$4&lt;=2),'Monthly Cash Flow'!CC37*(1+'Rent Roll Analysis'!$AE35/12),'Monthly Cash Flow'!CC37*(1+'Rent Roll Analysis'!$AB35/12))))</f>
        <v/>
      </c>
      <c r="CE37" s="1428" t="str">
        <f>IF($B37="","",IF(CE$4&gt;2,(CD37*(1+'Rent Roll Analysis'!$AK35/12)), IF(AND('Monthly Cash Flow'!CE$4&gt;1,'Monthly Cash Flow'!CE$4&lt;=2),'Monthly Cash Flow'!CD37*(1+'Rent Roll Analysis'!$AE35/12),'Monthly Cash Flow'!CD37*(1+'Rent Roll Analysis'!$AB35/12))))</f>
        <v/>
      </c>
      <c r="CF37" s="1428" t="str">
        <f>IF($B37="","",IF(CF$4&gt;2,(CE37*(1+'Rent Roll Analysis'!$AK35/12)), IF(AND('Monthly Cash Flow'!CF$4&gt;1,'Monthly Cash Flow'!CF$4&lt;=2),'Monthly Cash Flow'!CE37*(1+'Rent Roll Analysis'!$AE35/12),'Monthly Cash Flow'!CE37*(1+'Rent Roll Analysis'!$AB35/12))))</f>
        <v/>
      </c>
      <c r="CG37" s="1428" t="str">
        <f>IF($B37="","",IF(CG$4&gt;2,(CF37*(1+'Rent Roll Analysis'!$AK35/12)), IF(AND('Monthly Cash Flow'!CG$4&gt;1,'Monthly Cash Flow'!CG$4&lt;=2),'Monthly Cash Flow'!CF37*(1+'Rent Roll Analysis'!$AE35/12),'Monthly Cash Flow'!CF37*(1+'Rent Roll Analysis'!$AB35/12))))</f>
        <v/>
      </c>
      <c r="CH37" s="1428" t="str">
        <f>IF($B37="","",IF(CH$4&gt;2,(CG37*(1+'Rent Roll Analysis'!$AK35/12)), IF(AND('Monthly Cash Flow'!CH$4&gt;1,'Monthly Cash Flow'!CH$4&lt;=2),'Monthly Cash Flow'!CG37*(1+'Rent Roll Analysis'!$AE35/12),'Monthly Cash Flow'!CG37*(1+'Rent Roll Analysis'!$AB35/12))))</f>
        <v/>
      </c>
      <c r="CI37" s="1428" t="str">
        <f>IF($B37="","",IF(CI$4&gt;2,(CH37*(1+'Rent Roll Analysis'!$AK35/12)), IF(AND('Monthly Cash Flow'!CI$4&gt;1,'Monthly Cash Flow'!CI$4&lt;=2),'Monthly Cash Flow'!CH37*(1+'Rent Roll Analysis'!$AE35/12),'Monthly Cash Flow'!CH37*(1+'Rent Roll Analysis'!$AB35/12))))</f>
        <v/>
      </c>
      <c r="CJ37" s="1428" t="str">
        <f>IF($B37="","",IF(CJ$4&gt;2,(CI37*(1+'Rent Roll Analysis'!$AK35/12)), IF(AND('Monthly Cash Flow'!CJ$4&gt;1,'Monthly Cash Flow'!CJ$4&lt;=2),'Monthly Cash Flow'!CI37*(1+'Rent Roll Analysis'!$AE35/12),'Monthly Cash Flow'!CI37*(1+'Rent Roll Analysis'!$AB35/12))))</f>
        <v/>
      </c>
      <c r="CK37" s="1428" t="str">
        <f>IF($B37="","",IF(CK$4&gt;2,(CJ37*(1+'Rent Roll Analysis'!$AK35/12)), IF(AND('Monthly Cash Flow'!CK$4&gt;1,'Monthly Cash Flow'!CK$4&lt;=2),'Monthly Cash Flow'!CJ37*(1+'Rent Roll Analysis'!$AE35/12),'Monthly Cash Flow'!CJ37*(1+'Rent Roll Analysis'!$AB35/12))))</f>
        <v/>
      </c>
      <c r="CL37" s="1428" t="str">
        <f>IF($B37="","",IF(CL$4&gt;2,(CK37*(1+'Rent Roll Analysis'!$AK35/12)), IF(AND('Monthly Cash Flow'!CL$4&gt;1,'Monthly Cash Flow'!CL$4&lt;=2),'Monthly Cash Flow'!CK37*(1+'Rent Roll Analysis'!$AE35/12),'Monthly Cash Flow'!CK37*(1+'Rent Roll Analysis'!$AB35/12))))</f>
        <v/>
      </c>
      <c r="CM37" s="1428" t="str">
        <f>IF($B37="","",IF(CM$4&gt;2,(CL37*(1+'Rent Roll Analysis'!$AK35/12)), IF(AND('Monthly Cash Flow'!CM$4&gt;1,'Monthly Cash Flow'!CM$4&lt;=2),'Monthly Cash Flow'!CL37*(1+'Rent Roll Analysis'!$AE35/12),'Monthly Cash Flow'!CL37*(1+'Rent Roll Analysis'!$AB35/12))))</f>
        <v/>
      </c>
      <c r="CN37" s="1428" t="str">
        <f>IF($B37="","",IF(CN$4&gt;2,(CM37*(1+'Rent Roll Analysis'!$AK35/12)), IF(AND('Monthly Cash Flow'!CN$4&gt;1,'Monthly Cash Flow'!CN$4&lt;=2),'Monthly Cash Flow'!CM37*(1+'Rent Roll Analysis'!$AE35/12),'Monthly Cash Flow'!CM37*(1+'Rent Roll Analysis'!$AB35/12))))</f>
        <v/>
      </c>
      <c r="CO37" s="1428" t="str">
        <f>IF($B37="","",IF(CO$4&gt;2,(CN37*(1+'Rent Roll Analysis'!$AK35/12)), IF(AND('Monthly Cash Flow'!CO$4&gt;1,'Monthly Cash Flow'!CO$4&lt;=2),'Monthly Cash Flow'!CN37*(1+'Rent Roll Analysis'!$AE35/12),'Monthly Cash Flow'!CN37*(1+'Rent Roll Analysis'!$AB35/12))))</f>
        <v/>
      </c>
      <c r="CP37" s="1428" t="str">
        <f>IF($B37="","",IF(CP$4&gt;2,(CO37*(1+'Rent Roll Analysis'!$AK35/12)), IF(AND('Monthly Cash Flow'!CP$4&gt;1,'Monthly Cash Flow'!CP$4&lt;=2),'Monthly Cash Flow'!CO37*(1+'Rent Roll Analysis'!$AE35/12),'Monthly Cash Flow'!CO37*(1+'Rent Roll Analysis'!$AB35/12))))</f>
        <v/>
      </c>
      <c r="CQ37" s="1428" t="str">
        <f>IF($B37="","",IF(CQ$4&gt;2,(CP37*(1+'Rent Roll Analysis'!$AK35/12)), IF(AND('Monthly Cash Flow'!CQ$4&gt;1,'Monthly Cash Flow'!CQ$4&lt;=2),'Monthly Cash Flow'!CP37*(1+'Rent Roll Analysis'!$AE35/12),'Monthly Cash Flow'!CP37*(1+'Rent Roll Analysis'!$AB35/12))))</f>
        <v/>
      </c>
      <c r="CR37" s="1428" t="str">
        <f>IF($B37="","",IF(CR$4&gt;2,(CQ37*(1+'Rent Roll Analysis'!$AK35/12)), IF(AND('Monthly Cash Flow'!CR$4&gt;1,'Monthly Cash Flow'!CR$4&lt;=2),'Monthly Cash Flow'!CQ37*(1+'Rent Roll Analysis'!$AE35/12),'Monthly Cash Flow'!CQ37*(1+'Rent Roll Analysis'!$AB35/12))))</f>
        <v/>
      </c>
      <c r="CS37" s="1428" t="str">
        <f>IF($B37="","",IF(CS$4&gt;2,(CR37*(1+'Rent Roll Analysis'!$AK35/12)), IF(AND('Monthly Cash Flow'!CS$4&gt;1,'Monthly Cash Flow'!CS$4&lt;=2),'Monthly Cash Flow'!CR37*(1+'Rent Roll Analysis'!$AE35/12),'Monthly Cash Flow'!CR37*(1+'Rent Roll Analysis'!$AB35/12))))</f>
        <v/>
      </c>
      <c r="CT37" s="1428" t="str">
        <f>IF($B37="","",IF(CT$4&gt;2,(CS37*(1+'Rent Roll Analysis'!$AK35/12)), IF(AND('Monthly Cash Flow'!CT$4&gt;1,'Monthly Cash Flow'!CT$4&lt;=2),'Monthly Cash Flow'!CS37*(1+'Rent Roll Analysis'!$AE35/12),'Monthly Cash Flow'!CS37*(1+'Rent Roll Analysis'!$AB35/12))))</f>
        <v/>
      </c>
      <c r="CU37" s="1428" t="str">
        <f>IF($B37="","",IF(CU$4&gt;2,(CT37*(1+'Rent Roll Analysis'!$AK35/12)), IF(AND('Monthly Cash Flow'!CU$4&gt;1,'Monthly Cash Flow'!CU$4&lt;=2),'Monthly Cash Flow'!CT37*(1+'Rent Roll Analysis'!$AE35/12),'Monthly Cash Flow'!CT37*(1+'Rent Roll Analysis'!$AB35/12))))</f>
        <v/>
      </c>
      <c r="CV37" s="1428" t="str">
        <f>IF($B37="","",IF(CV$4&gt;2,(CU37*(1+'Rent Roll Analysis'!$AK35/12)), IF(AND('Monthly Cash Flow'!CV$4&gt;1,'Monthly Cash Flow'!CV$4&lt;=2),'Monthly Cash Flow'!CU37*(1+'Rent Roll Analysis'!$AE35/12),'Monthly Cash Flow'!CU37*(1+'Rent Roll Analysis'!$AB35/12))))</f>
        <v/>
      </c>
      <c r="CW37" s="1428" t="str">
        <f>IF($B37="","",IF(CW$4&gt;2,(CV37*(1+'Rent Roll Analysis'!$AK35/12)), IF(AND('Monthly Cash Flow'!CW$4&gt;1,'Monthly Cash Flow'!CW$4&lt;=2),'Monthly Cash Flow'!CV37*(1+'Rent Roll Analysis'!$AE35/12),'Monthly Cash Flow'!CV37*(1+'Rent Roll Analysis'!$AB35/12))))</f>
        <v/>
      </c>
      <c r="CX37" s="1428" t="str">
        <f>IF($B37="","",IF(CX$4&gt;2,(CW37*(1+'Rent Roll Analysis'!$AK35/12)), IF(AND('Monthly Cash Flow'!CX$4&gt;1,'Monthly Cash Flow'!CX$4&lt;=2),'Monthly Cash Flow'!CW37*(1+'Rent Roll Analysis'!$AE35/12),'Monthly Cash Flow'!CW37*(1+'Rent Roll Analysis'!$AB35/12))))</f>
        <v/>
      </c>
      <c r="CY37" s="1428" t="str">
        <f>IF($B37="","",IF(CY$4&gt;2,(CX37*(1+'Rent Roll Analysis'!$AK35/12)), IF(AND('Monthly Cash Flow'!CY$4&gt;1,'Monthly Cash Flow'!CY$4&lt;=2),'Monthly Cash Flow'!CX37*(1+'Rent Roll Analysis'!$AE35/12),'Monthly Cash Flow'!CX37*(1+'Rent Roll Analysis'!$AB35/12))))</f>
        <v/>
      </c>
      <c r="CZ37" s="1428" t="str">
        <f>IF($B37="","",IF(CZ$4&gt;2,(CY37*(1+'Rent Roll Analysis'!$AK35/12)), IF(AND('Monthly Cash Flow'!CZ$4&gt;1,'Monthly Cash Flow'!CZ$4&lt;=2),'Monthly Cash Flow'!CY37*(1+'Rent Roll Analysis'!$AE35/12),'Monthly Cash Flow'!CY37*(1+'Rent Roll Analysis'!$AB35/12))))</f>
        <v/>
      </c>
      <c r="DA37" s="1428" t="str">
        <f>IF($B37="","",IF(DA$4&gt;2,(CZ37*(1+'Rent Roll Analysis'!$AK35/12)), IF(AND('Monthly Cash Flow'!DA$4&gt;1,'Monthly Cash Flow'!DA$4&lt;=2),'Monthly Cash Flow'!CZ37*(1+'Rent Roll Analysis'!$AE35/12),'Monthly Cash Flow'!CZ37*(1+'Rent Roll Analysis'!$AB35/12))))</f>
        <v/>
      </c>
      <c r="DB37" s="1428" t="str">
        <f>IF($B37="","",IF(DB$4&gt;2,(DA37*(1+'Rent Roll Analysis'!$AK35/12)), IF(AND('Monthly Cash Flow'!DB$4&gt;1,'Monthly Cash Flow'!DB$4&lt;=2),'Monthly Cash Flow'!DA37*(1+'Rent Roll Analysis'!$AE35/12),'Monthly Cash Flow'!DA37*(1+'Rent Roll Analysis'!$AB35/12))))</f>
        <v/>
      </c>
      <c r="DC37" s="1428" t="str">
        <f>IF($B37="","",IF(DC$4&gt;2,(DB37*(1+'Rent Roll Analysis'!$AK35/12)), IF(AND('Monthly Cash Flow'!DC$4&gt;1,'Monthly Cash Flow'!DC$4&lt;=2),'Monthly Cash Flow'!DB37*(1+'Rent Roll Analysis'!$AE35/12),'Monthly Cash Flow'!DB37*(1+'Rent Roll Analysis'!$AB35/12))))</f>
        <v/>
      </c>
      <c r="DD37" s="1428" t="str">
        <f>IF($B37="","",IF(DD$4&gt;2,(DC37*(1+'Rent Roll Analysis'!$AK35/12)), IF(AND('Monthly Cash Flow'!DD$4&gt;1,'Monthly Cash Flow'!DD$4&lt;=2),'Monthly Cash Flow'!DC37*(1+'Rent Roll Analysis'!$AE35/12),'Monthly Cash Flow'!DC37*(1+'Rent Roll Analysis'!$AB35/12))))</f>
        <v/>
      </c>
      <c r="DE37" s="1428" t="str">
        <f>IF($B37="","",IF(DE$4&gt;2,(DD37*(1+'Rent Roll Analysis'!$AK35/12)), IF(AND('Monthly Cash Flow'!DE$4&gt;1,'Monthly Cash Flow'!DE$4&lt;=2),'Monthly Cash Flow'!DD37*(1+'Rent Roll Analysis'!$AE35/12),'Monthly Cash Flow'!DD37*(1+'Rent Roll Analysis'!$AB35/12))))</f>
        <v/>
      </c>
      <c r="DF37" s="1428" t="str">
        <f>IF($B37="","",IF(DF$4&gt;2,(DE37*(1+'Rent Roll Analysis'!$AK35/12)), IF(AND('Monthly Cash Flow'!DF$4&gt;1,'Monthly Cash Flow'!DF$4&lt;=2),'Monthly Cash Flow'!DE37*(1+'Rent Roll Analysis'!$AE35/12),'Monthly Cash Flow'!DE37*(1+'Rent Roll Analysis'!$AB35/12))))</f>
        <v/>
      </c>
      <c r="DG37" s="1428" t="str">
        <f>IF($B37="","",IF(DG$4&gt;2,(DF37*(1+'Rent Roll Analysis'!$AK35/12)), IF(AND('Monthly Cash Flow'!DG$4&gt;1,'Monthly Cash Flow'!DG$4&lt;=2),'Monthly Cash Flow'!DF37*(1+'Rent Roll Analysis'!$AE35/12),'Monthly Cash Flow'!DF37*(1+'Rent Roll Analysis'!$AB35/12))))</f>
        <v/>
      </c>
      <c r="DH37" s="1428" t="str">
        <f>IF($B37="","",IF(DH$4&gt;2,(DG37*(1+'Rent Roll Analysis'!$AK35/12)), IF(AND('Monthly Cash Flow'!DH$4&gt;1,'Monthly Cash Flow'!DH$4&lt;=2),'Monthly Cash Flow'!DG37*(1+'Rent Roll Analysis'!$AE35/12),'Monthly Cash Flow'!DG37*(1+'Rent Roll Analysis'!$AB35/12))))</f>
        <v/>
      </c>
      <c r="DI37" s="1428" t="str">
        <f>IF($B37="","",IF(DI$4&gt;2,(DH37*(1+'Rent Roll Analysis'!$AK35/12)), IF(AND('Monthly Cash Flow'!DI$4&gt;1,'Monthly Cash Flow'!DI$4&lt;=2),'Monthly Cash Flow'!DH37*(1+'Rent Roll Analysis'!$AE35/12),'Monthly Cash Flow'!DH37*(1+'Rent Roll Analysis'!$AB35/12))))</f>
        <v/>
      </c>
      <c r="DJ37" s="1428" t="str">
        <f>IF($B37="","",IF(DJ$4&gt;2,(DI37*(1+'Rent Roll Analysis'!$AK35/12)), IF(AND('Monthly Cash Flow'!DJ$4&gt;1,'Monthly Cash Flow'!DJ$4&lt;=2),'Monthly Cash Flow'!DI37*(1+'Rent Roll Analysis'!$AE35/12),'Monthly Cash Flow'!DI37*(1+'Rent Roll Analysis'!$AB35/12))))</f>
        <v/>
      </c>
      <c r="DK37" s="1428" t="str">
        <f>IF($B37="","",IF(DK$4&gt;2,(DJ37*(1+'Rent Roll Analysis'!$AK35/12)), IF(AND('Monthly Cash Flow'!DK$4&gt;1,'Monthly Cash Flow'!DK$4&lt;=2),'Monthly Cash Flow'!DJ37*(1+'Rent Roll Analysis'!$AE35/12),'Monthly Cash Flow'!DJ37*(1+'Rent Roll Analysis'!$AB35/12))))</f>
        <v/>
      </c>
      <c r="DL37" s="1428" t="str">
        <f>IF($B37="","",IF(DL$4&gt;2,(DK37*(1+'Rent Roll Analysis'!$AK35/12)), IF(AND('Monthly Cash Flow'!DL$4&gt;1,'Monthly Cash Flow'!DL$4&lt;=2),'Monthly Cash Flow'!DK37*(1+'Rent Roll Analysis'!$AE35/12),'Monthly Cash Flow'!DK37*(1+'Rent Roll Analysis'!$AB35/12))))</f>
        <v/>
      </c>
      <c r="DM37" s="1428" t="str">
        <f>IF($B37="","",IF(DM$4&gt;2,(DL37*(1+'Rent Roll Analysis'!$AK35/12)), IF(AND('Monthly Cash Flow'!DM$4&gt;1,'Monthly Cash Flow'!DM$4&lt;=2),'Monthly Cash Flow'!DL37*(1+'Rent Roll Analysis'!$AE35/12),'Monthly Cash Flow'!DL37*(1+'Rent Roll Analysis'!$AB35/12))))</f>
        <v/>
      </c>
      <c r="DN37" s="1428" t="str">
        <f>IF($B37="","",IF(DN$4&gt;2,(DM37*(1+'Rent Roll Analysis'!$AK35/12)), IF(AND('Monthly Cash Flow'!DN$4&gt;1,'Monthly Cash Flow'!DN$4&lt;=2),'Monthly Cash Flow'!DM37*(1+'Rent Roll Analysis'!$AE35/12),'Monthly Cash Flow'!DM37*(1+'Rent Roll Analysis'!$AB35/12))))</f>
        <v/>
      </c>
      <c r="DO37" s="1428" t="str">
        <f>IF($B37="","",IF(DO$4&gt;2,(DN37*(1+'Rent Roll Analysis'!$AK35/12)), IF(AND('Monthly Cash Flow'!DO$4&gt;1,'Monthly Cash Flow'!DO$4&lt;=2),'Monthly Cash Flow'!DN37*(1+'Rent Roll Analysis'!$AE35/12),'Monthly Cash Flow'!DN37*(1+'Rent Roll Analysis'!$AB35/12))))</f>
        <v/>
      </c>
      <c r="DP37" s="1428" t="str">
        <f>IF($B37="","",IF(DP$4&gt;2,(DO37*(1+'Rent Roll Analysis'!$AK35/12)), IF(AND('Monthly Cash Flow'!DP$4&gt;1,'Monthly Cash Flow'!DP$4&lt;=2),'Monthly Cash Flow'!DO37*(1+'Rent Roll Analysis'!$AE35/12),'Monthly Cash Flow'!DO37*(1+'Rent Roll Analysis'!$AB35/12))))</f>
        <v/>
      </c>
      <c r="DQ37" s="1428" t="str">
        <f>IF($B37="","",IF(DQ$4&gt;2,(DP37*(1+'Rent Roll Analysis'!$AK35/12)), IF(AND('Monthly Cash Flow'!DQ$4&gt;1,'Monthly Cash Flow'!DQ$4&lt;=2),'Monthly Cash Flow'!DP37*(1+'Rent Roll Analysis'!$AE35/12),'Monthly Cash Flow'!DP37*(1+'Rent Roll Analysis'!$AB35/12))))</f>
        <v/>
      </c>
      <c r="DR37" s="1428" t="str">
        <f>IF($B37="","",IF(DR$4&gt;2,(DQ37*(1+'Rent Roll Analysis'!$AK35/12)), IF(AND('Monthly Cash Flow'!DR$4&gt;1,'Monthly Cash Flow'!DR$4&lt;=2),'Monthly Cash Flow'!DQ37*(1+'Rent Roll Analysis'!$AE35/12),'Monthly Cash Flow'!DQ37*(1+'Rent Roll Analysis'!$AB35/12))))</f>
        <v/>
      </c>
      <c r="DS37" s="1428" t="str">
        <f>IF($B37="","",IF(DS$4&gt;2,(DR37*(1+'Rent Roll Analysis'!$AK35/12)), IF(AND('Monthly Cash Flow'!DS$4&gt;1,'Monthly Cash Flow'!DS$4&lt;=2),'Monthly Cash Flow'!DR37*(1+'Rent Roll Analysis'!$AE35/12),'Monthly Cash Flow'!DR37*(1+'Rent Roll Analysis'!$AB35/12))))</f>
        <v/>
      </c>
      <c r="DT37" s="1428" t="str">
        <f>IF($B37="","",IF(DT$4&gt;2,(DS37*(1+'Rent Roll Analysis'!$AK35/12)), IF(AND('Monthly Cash Flow'!DT$4&gt;1,'Monthly Cash Flow'!DT$4&lt;=2),'Monthly Cash Flow'!DS37*(1+'Rent Roll Analysis'!$AE35/12),'Monthly Cash Flow'!DS37*(1+'Rent Roll Analysis'!$AB35/12))))</f>
        <v/>
      </c>
      <c r="DU37" s="385" t="s">
        <v>557</v>
      </c>
      <c r="DV37" s="375"/>
    </row>
    <row r="38" spans="1:126" s="92" customFormat="1" ht="20.149999999999999" customHeight="1" outlineLevel="1">
      <c r="A38" s="375"/>
      <c r="B38" s="383" t="str">
        <f>'Rent Roll Analysis'!C36</f>
        <v/>
      </c>
      <c r="C38" s="376"/>
      <c r="D38" s="1426" t="str">
        <f>IF('Rent Roll Analysis'!C36="","",'Rent Roll Analysis'!N36*'Rent Roll Analysis'!E36)</f>
        <v/>
      </c>
      <c r="E38" s="1428" t="str">
        <f t="shared" si="113"/>
        <v/>
      </c>
      <c r="F38" s="1428" t="str">
        <f>IF($B38="","",IF(F$4&gt;2,(E38*(1+'Rent Roll Analysis'!$AK36/12)), IF(AND('Monthly Cash Flow'!F$4&gt;1,'Monthly Cash Flow'!F$4&lt;=2),'Monthly Cash Flow'!E38*(1+'Rent Roll Analysis'!$AE36/12),'Monthly Cash Flow'!E38*(1+'Rent Roll Analysis'!$AB36/12))))</f>
        <v/>
      </c>
      <c r="G38" s="1428" t="str">
        <f>IF($B38="","",IF(G$4&gt;2,(F38*(1+'Rent Roll Analysis'!$AK36/12)), IF(AND('Monthly Cash Flow'!G$4&gt;1,'Monthly Cash Flow'!G$4&lt;=2),'Monthly Cash Flow'!F38*(1+'Rent Roll Analysis'!$AE36/12),'Monthly Cash Flow'!F38*(1+'Rent Roll Analysis'!$AB36/12))))</f>
        <v/>
      </c>
      <c r="H38" s="1428" t="str">
        <f>IF($B38="","",IF(H$4&gt;2,(G38*(1+'Rent Roll Analysis'!$AK36/12)), IF(AND('Monthly Cash Flow'!H$4&gt;1,'Monthly Cash Flow'!H$4&lt;=2),'Monthly Cash Flow'!G38*(1+'Rent Roll Analysis'!$AE36/12),'Monthly Cash Flow'!G38*(1+'Rent Roll Analysis'!$AB36/12))))</f>
        <v/>
      </c>
      <c r="I38" s="1428" t="str">
        <f>IF($B38="","",IF(I$4&gt;2,(H38*(1+'Rent Roll Analysis'!$AK36/12)), IF(AND('Monthly Cash Flow'!I$4&gt;1,'Monthly Cash Flow'!I$4&lt;=2),'Monthly Cash Flow'!H38*(1+'Rent Roll Analysis'!$AE36/12),'Monthly Cash Flow'!H38*(1+'Rent Roll Analysis'!$AB36/12))))</f>
        <v/>
      </c>
      <c r="J38" s="1428" t="str">
        <f>IF($B38="","",IF(J$4&gt;2,(I38*(1+'Rent Roll Analysis'!$AK36/12)), IF(AND('Monthly Cash Flow'!J$4&gt;1,'Monthly Cash Flow'!J$4&lt;=2),'Monthly Cash Flow'!I38*(1+'Rent Roll Analysis'!$AE36/12),'Monthly Cash Flow'!I38*(1+'Rent Roll Analysis'!$AB36/12))))</f>
        <v/>
      </c>
      <c r="K38" s="1428" t="str">
        <f>IF($B38="","",IF(K$4&gt;2,(J38*(1+'Rent Roll Analysis'!$AK36/12)), IF(AND('Monthly Cash Flow'!K$4&gt;1,'Monthly Cash Flow'!K$4&lt;=2),'Monthly Cash Flow'!J38*(1+'Rent Roll Analysis'!$AE36/12),'Monthly Cash Flow'!J38*(1+'Rent Roll Analysis'!$AB36/12))))</f>
        <v/>
      </c>
      <c r="L38" s="1428" t="str">
        <f>IF($B38="","",IF(L$4&gt;2,(K38*(1+'Rent Roll Analysis'!$AK36/12)), IF(AND('Monthly Cash Flow'!L$4&gt;1,'Monthly Cash Flow'!L$4&lt;=2),'Monthly Cash Flow'!K38*(1+'Rent Roll Analysis'!$AE36/12),'Monthly Cash Flow'!K38*(1+'Rent Roll Analysis'!$AB36/12))))</f>
        <v/>
      </c>
      <c r="M38" s="1428" t="str">
        <f>IF($B38="","",IF(M$4&gt;2,(L38*(1+'Rent Roll Analysis'!$AK36/12)), IF(AND('Monthly Cash Flow'!M$4&gt;1,'Monthly Cash Flow'!M$4&lt;=2),'Monthly Cash Flow'!L38*(1+'Rent Roll Analysis'!$AE36/12),'Monthly Cash Flow'!L38*(1+'Rent Roll Analysis'!$AB36/12))))</f>
        <v/>
      </c>
      <c r="N38" s="1428" t="str">
        <f>IF($B38="","",IF(N$4&gt;2,(M38*(1+'Rent Roll Analysis'!$AK36/12)), IF(AND('Monthly Cash Flow'!N$4&gt;1,'Monthly Cash Flow'!N$4&lt;=2),'Monthly Cash Flow'!M38*(1+'Rent Roll Analysis'!$AE36/12),'Monthly Cash Flow'!M38*(1+'Rent Roll Analysis'!$AB36/12))))</f>
        <v/>
      </c>
      <c r="O38" s="1428" t="str">
        <f>IF($B38="","",IF(O$4&gt;2,(N38*(1+'Rent Roll Analysis'!$AK36/12)), IF(AND('Monthly Cash Flow'!O$4&gt;1,'Monthly Cash Flow'!O$4&lt;=2),'Monthly Cash Flow'!N38*(1+'Rent Roll Analysis'!$AE36/12),'Monthly Cash Flow'!N38*(1+'Rent Roll Analysis'!$AB36/12))))</f>
        <v/>
      </c>
      <c r="P38" s="1428" t="str">
        <f>IF($B38="","",IF(P$4&gt;2,(O38*(1+'Rent Roll Analysis'!$AK36/12)), IF(AND('Monthly Cash Flow'!P$4&gt;1,'Monthly Cash Flow'!P$4&lt;=2),'Monthly Cash Flow'!O38*(1+'Rent Roll Analysis'!$AE36/12),'Monthly Cash Flow'!O38*(1+'Rent Roll Analysis'!$AB36/12))))</f>
        <v/>
      </c>
      <c r="Q38" s="1428" t="str">
        <f>IF($B38="","",IF(Q$4&gt;2,(P38*(1+'Rent Roll Analysis'!$AK36/12)), IF(AND('Monthly Cash Flow'!Q$4&gt;1,'Monthly Cash Flow'!Q$4&lt;=2),'Monthly Cash Flow'!P38*(1+'Rent Roll Analysis'!$AE36/12),'Monthly Cash Flow'!P38*(1+'Rent Roll Analysis'!$AB36/12))))</f>
        <v/>
      </c>
      <c r="R38" s="1428" t="str">
        <f>IF($B38="","",IF(R$4&gt;2,(Q38*(1+'Rent Roll Analysis'!$AK36/12)), IF(AND('Monthly Cash Flow'!R$4&gt;1,'Monthly Cash Flow'!R$4&lt;=2),'Monthly Cash Flow'!Q38*(1+'Rent Roll Analysis'!$AE36/12),'Monthly Cash Flow'!Q38*(1+'Rent Roll Analysis'!$AB36/12))))</f>
        <v/>
      </c>
      <c r="S38" s="1428" t="str">
        <f>IF($B38="","",IF(S$4&gt;2,(R38*(1+'Rent Roll Analysis'!$AK36/12)), IF(AND('Monthly Cash Flow'!S$4&gt;1,'Monthly Cash Flow'!S$4&lt;=2),'Monthly Cash Flow'!R38*(1+'Rent Roll Analysis'!$AE36/12),'Monthly Cash Flow'!R38*(1+'Rent Roll Analysis'!$AB36/12))))</f>
        <v/>
      </c>
      <c r="T38" s="1428" t="str">
        <f>IF($B38="","",IF(T$4&gt;2,(S38*(1+'Rent Roll Analysis'!$AK36/12)), IF(AND('Monthly Cash Flow'!T$4&gt;1,'Monthly Cash Flow'!T$4&lt;=2),'Monthly Cash Flow'!S38*(1+'Rent Roll Analysis'!$AE36/12),'Monthly Cash Flow'!S38*(1+'Rent Roll Analysis'!$AB36/12))))</f>
        <v/>
      </c>
      <c r="U38" s="1428" t="str">
        <f>IF($B38="","",IF(U$4&gt;2,(T38*(1+'Rent Roll Analysis'!$AK36/12)), IF(AND('Monthly Cash Flow'!U$4&gt;1,'Monthly Cash Flow'!U$4&lt;=2),'Monthly Cash Flow'!T38*(1+'Rent Roll Analysis'!$AE36/12),'Monthly Cash Flow'!T38*(1+'Rent Roll Analysis'!$AB36/12))))</f>
        <v/>
      </c>
      <c r="V38" s="1428" t="str">
        <f>IF($B38="","",IF(V$4&gt;2,(U38*(1+'Rent Roll Analysis'!$AK36/12)), IF(AND('Monthly Cash Flow'!V$4&gt;1,'Monthly Cash Flow'!V$4&lt;=2),'Monthly Cash Flow'!U38*(1+'Rent Roll Analysis'!$AE36/12),'Monthly Cash Flow'!U38*(1+'Rent Roll Analysis'!$AB36/12))))</f>
        <v/>
      </c>
      <c r="W38" s="1428" t="str">
        <f>IF($B38="","",IF(W$4&gt;2,(V38*(1+'Rent Roll Analysis'!$AK36/12)), IF(AND('Monthly Cash Flow'!W$4&gt;1,'Monthly Cash Flow'!W$4&lt;=2),'Monthly Cash Flow'!V38*(1+'Rent Roll Analysis'!$AE36/12),'Monthly Cash Flow'!V38*(1+'Rent Roll Analysis'!$AB36/12))))</f>
        <v/>
      </c>
      <c r="X38" s="1428" t="str">
        <f>IF($B38="","",IF(X$4&gt;2,(W38*(1+'Rent Roll Analysis'!$AK36/12)), IF(AND('Monthly Cash Flow'!X$4&gt;1,'Monthly Cash Flow'!X$4&lt;=2),'Monthly Cash Flow'!W38*(1+'Rent Roll Analysis'!$AE36/12),'Monthly Cash Flow'!W38*(1+'Rent Roll Analysis'!$AB36/12))))</f>
        <v/>
      </c>
      <c r="Y38" s="1428" t="str">
        <f>IF($B38="","",IF(Y$4&gt;2,(X38*(1+'Rent Roll Analysis'!$AK36/12)), IF(AND('Monthly Cash Flow'!Y$4&gt;1,'Monthly Cash Flow'!Y$4&lt;=2),'Monthly Cash Flow'!X38*(1+'Rent Roll Analysis'!$AE36/12),'Monthly Cash Flow'!X38*(1+'Rent Roll Analysis'!$AB36/12))))</f>
        <v/>
      </c>
      <c r="Z38" s="1428" t="str">
        <f>IF($B38="","",IF(Z$4&gt;2,(Y38*(1+'Rent Roll Analysis'!$AK36/12)), IF(AND('Monthly Cash Flow'!Z$4&gt;1,'Monthly Cash Flow'!Z$4&lt;=2),'Monthly Cash Flow'!Y38*(1+'Rent Roll Analysis'!$AE36/12),'Monthly Cash Flow'!Y38*(1+'Rent Roll Analysis'!$AB36/12))))</f>
        <v/>
      </c>
      <c r="AA38" s="1428" t="str">
        <f>IF($B38="","",IF(AA$4&gt;2,(Z38*(1+'Rent Roll Analysis'!$AK36/12)), IF(AND('Monthly Cash Flow'!AA$4&gt;1,'Monthly Cash Flow'!AA$4&lt;=2),'Monthly Cash Flow'!Z38*(1+'Rent Roll Analysis'!$AE36/12),'Monthly Cash Flow'!Z38*(1+'Rent Roll Analysis'!$AB36/12))))</f>
        <v/>
      </c>
      <c r="AB38" s="1428" t="str">
        <f>IF($B38="","",IF(AB$4&gt;2,(AA38*(1+'Rent Roll Analysis'!$AK36/12)), IF(AND('Monthly Cash Flow'!AB$4&gt;1,'Monthly Cash Flow'!AB$4&lt;=2),'Monthly Cash Flow'!AA38*(1+'Rent Roll Analysis'!$AE36/12),'Monthly Cash Flow'!AA38*(1+'Rent Roll Analysis'!$AB36/12))))</f>
        <v/>
      </c>
      <c r="AC38" s="1428" t="str">
        <f>IF($B38="","",IF(AC$4&gt;2,(AB38*(1+'Rent Roll Analysis'!$AK36/12)), IF(AND('Monthly Cash Flow'!AC$4&gt;1,'Monthly Cash Flow'!AC$4&lt;=2),'Monthly Cash Flow'!AB38*(1+'Rent Roll Analysis'!$AE36/12),'Monthly Cash Flow'!AB38*(1+'Rent Roll Analysis'!$AB36/12))))</f>
        <v/>
      </c>
      <c r="AD38" s="1428" t="str">
        <f>IF($B38="","",IF(AD$4&gt;2,(AC38*(1+'Rent Roll Analysis'!$AK36/12)), IF(AND('Monthly Cash Flow'!AD$4&gt;1,'Monthly Cash Flow'!AD$4&lt;=2),'Monthly Cash Flow'!AC38*(1+'Rent Roll Analysis'!$AE36/12),'Monthly Cash Flow'!AC38*(1+'Rent Roll Analysis'!$AB36/12))))</f>
        <v/>
      </c>
      <c r="AE38" s="1428" t="str">
        <f>IF($B38="","",IF(AE$4&gt;2,(AD38*(1+'Rent Roll Analysis'!$AK36/12)), IF(AND('Monthly Cash Flow'!AE$4&gt;1,'Monthly Cash Flow'!AE$4&lt;=2),'Monthly Cash Flow'!AD38*(1+'Rent Roll Analysis'!$AE36/12),'Monthly Cash Flow'!AD38*(1+'Rent Roll Analysis'!$AB36/12))))</f>
        <v/>
      </c>
      <c r="AF38" s="1428" t="str">
        <f>IF($B38="","",IF(AF$4&gt;2,(AE38*(1+'Rent Roll Analysis'!$AK36/12)), IF(AND('Monthly Cash Flow'!AF$4&gt;1,'Monthly Cash Flow'!AF$4&lt;=2),'Monthly Cash Flow'!AE38*(1+'Rent Roll Analysis'!$AE36/12),'Monthly Cash Flow'!AE38*(1+'Rent Roll Analysis'!$AB36/12))))</f>
        <v/>
      </c>
      <c r="AG38" s="1428" t="str">
        <f>IF($B38="","",IF(AG$4&gt;2,(AF38*(1+'Rent Roll Analysis'!$AK36/12)), IF(AND('Monthly Cash Flow'!AG$4&gt;1,'Monthly Cash Flow'!AG$4&lt;=2),'Monthly Cash Flow'!AF38*(1+'Rent Roll Analysis'!$AE36/12),'Monthly Cash Flow'!AF38*(1+'Rent Roll Analysis'!$AB36/12))))</f>
        <v/>
      </c>
      <c r="AH38" s="1428" t="str">
        <f>IF($B38="","",IF(AH$4&gt;2,(AG38*(1+'Rent Roll Analysis'!$AK36/12)), IF(AND('Monthly Cash Flow'!AH$4&gt;1,'Monthly Cash Flow'!AH$4&lt;=2),'Monthly Cash Flow'!AG38*(1+'Rent Roll Analysis'!$AE36/12),'Monthly Cash Flow'!AG38*(1+'Rent Roll Analysis'!$AB36/12))))</f>
        <v/>
      </c>
      <c r="AI38" s="1428" t="str">
        <f>IF($B38="","",IF(AI$4&gt;2,(AH38*(1+'Rent Roll Analysis'!$AK36/12)), IF(AND('Monthly Cash Flow'!AI$4&gt;1,'Monthly Cash Flow'!AI$4&lt;=2),'Monthly Cash Flow'!AH38*(1+'Rent Roll Analysis'!$AE36/12),'Monthly Cash Flow'!AH38*(1+'Rent Roll Analysis'!$AB36/12))))</f>
        <v/>
      </c>
      <c r="AJ38" s="1428" t="str">
        <f>IF($B38="","",IF(AJ$4&gt;2,(AI38*(1+'Rent Roll Analysis'!$AK36/12)), IF(AND('Monthly Cash Flow'!AJ$4&gt;1,'Monthly Cash Flow'!AJ$4&lt;=2),'Monthly Cash Flow'!AI38*(1+'Rent Roll Analysis'!$AE36/12),'Monthly Cash Flow'!AI38*(1+'Rent Roll Analysis'!$AB36/12))))</f>
        <v/>
      </c>
      <c r="AK38" s="1428" t="str">
        <f>IF($B38="","",IF(AK$4&gt;2,(AJ38*(1+'Rent Roll Analysis'!$AK36/12)), IF(AND('Monthly Cash Flow'!AK$4&gt;1,'Monthly Cash Flow'!AK$4&lt;=2),'Monthly Cash Flow'!AJ38*(1+'Rent Roll Analysis'!$AE36/12),'Monthly Cash Flow'!AJ38*(1+'Rent Roll Analysis'!$AB36/12))))</f>
        <v/>
      </c>
      <c r="AL38" s="1428" t="str">
        <f>IF($B38="","",IF(AL$4&gt;2,(AK38*(1+'Rent Roll Analysis'!$AK36/12)), IF(AND('Monthly Cash Flow'!AL$4&gt;1,'Monthly Cash Flow'!AL$4&lt;=2),'Monthly Cash Flow'!AK38*(1+'Rent Roll Analysis'!$AE36/12),'Monthly Cash Flow'!AK38*(1+'Rent Roll Analysis'!$AB36/12))))</f>
        <v/>
      </c>
      <c r="AM38" s="1428" t="str">
        <f>IF($B38="","",IF(AM$4&gt;2,(AL38*(1+'Rent Roll Analysis'!$AK36/12)), IF(AND('Monthly Cash Flow'!AM$4&gt;1,'Monthly Cash Flow'!AM$4&lt;=2),'Monthly Cash Flow'!AL38*(1+'Rent Roll Analysis'!$AE36/12),'Monthly Cash Flow'!AL38*(1+'Rent Roll Analysis'!$AB36/12))))</f>
        <v/>
      </c>
      <c r="AN38" s="1428" t="str">
        <f>IF($B38="","",IF(AN$4&gt;2,(AM38*(1+'Rent Roll Analysis'!$AK36/12)), IF(AND('Monthly Cash Flow'!AN$4&gt;1,'Monthly Cash Flow'!AN$4&lt;=2),'Monthly Cash Flow'!AM38*(1+'Rent Roll Analysis'!$AE36/12),'Monthly Cash Flow'!AM38*(1+'Rent Roll Analysis'!$AB36/12))))</f>
        <v/>
      </c>
      <c r="AO38" s="1428" t="str">
        <f>IF($B38="","",IF(AO$4&gt;2,(AN38*(1+'Rent Roll Analysis'!$AK36/12)), IF(AND('Monthly Cash Flow'!AO$4&gt;1,'Monthly Cash Flow'!AO$4&lt;=2),'Monthly Cash Flow'!AN38*(1+'Rent Roll Analysis'!$AE36/12),'Monthly Cash Flow'!AN38*(1+'Rent Roll Analysis'!$AB36/12))))</f>
        <v/>
      </c>
      <c r="AP38" s="1428" t="str">
        <f>IF($B38="","",IF(AP$4&gt;2,(AO38*(1+'Rent Roll Analysis'!$AK36/12)), IF(AND('Monthly Cash Flow'!AP$4&gt;1,'Monthly Cash Flow'!AP$4&lt;=2),'Monthly Cash Flow'!AO38*(1+'Rent Roll Analysis'!$AE36/12),'Monthly Cash Flow'!AO38*(1+'Rent Roll Analysis'!$AB36/12))))</f>
        <v/>
      </c>
      <c r="AQ38" s="1428" t="str">
        <f>IF($B38="","",IF(AQ$4&gt;2,(AP38*(1+'Rent Roll Analysis'!$AK36/12)), IF(AND('Monthly Cash Flow'!AQ$4&gt;1,'Monthly Cash Flow'!AQ$4&lt;=2),'Monthly Cash Flow'!AP38*(1+'Rent Roll Analysis'!$AE36/12),'Monthly Cash Flow'!AP38*(1+'Rent Roll Analysis'!$AB36/12))))</f>
        <v/>
      </c>
      <c r="AR38" s="1428" t="str">
        <f>IF($B38="","",IF(AR$4&gt;2,(AQ38*(1+'Rent Roll Analysis'!$AK36/12)), IF(AND('Monthly Cash Flow'!AR$4&gt;1,'Monthly Cash Flow'!AR$4&lt;=2),'Monthly Cash Flow'!AQ38*(1+'Rent Roll Analysis'!$AE36/12),'Monthly Cash Flow'!AQ38*(1+'Rent Roll Analysis'!$AB36/12))))</f>
        <v/>
      </c>
      <c r="AS38" s="1428" t="str">
        <f>IF($B38="","",IF(AS$4&gt;2,(AR38*(1+'Rent Roll Analysis'!$AK36/12)), IF(AND('Monthly Cash Flow'!AS$4&gt;1,'Monthly Cash Flow'!AS$4&lt;=2),'Monthly Cash Flow'!AR38*(1+'Rent Roll Analysis'!$AE36/12),'Monthly Cash Flow'!AR38*(1+'Rent Roll Analysis'!$AB36/12))))</f>
        <v/>
      </c>
      <c r="AT38" s="1428" t="str">
        <f>IF($B38="","",IF(AT$4&gt;2,(AS38*(1+'Rent Roll Analysis'!$AK36/12)), IF(AND('Monthly Cash Flow'!AT$4&gt;1,'Monthly Cash Flow'!AT$4&lt;=2),'Monthly Cash Flow'!AS38*(1+'Rent Roll Analysis'!$AE36/12),'Monthly Cash Flow'!AS38*(1+'Rent Roll Analysis'!$AB36/12))))</f>
        <v/>
      </c>
      <c r="AU38" s="1428" t="str">
        <f>IF($B38="","",IF(AU$4&gt;2,(AT38*(1+'Rent Roll Analysis'!$AK36/12)), IF(AND('Monthly Cash Flow'!AU$4&gt;1,'Monthly Cash Flow'!AU$4&lt;=2),'Monthly Cash Flow'!AT38*(1+'Rent Roll Analysis'!$AE36/12),'Monthly Cash Flow'!AT38*(1+'Rent Roll Analysis'!$AB36/12))))</f>
        <v/>
      </c>
      <c r="AV38" s="1428" t="str">
        <f>IF($B38="","",IF(AV$4&gt;2,(AU38*(1+'Rent Roll Analysis'!$AK36/12)), IF(AND('Monthly Cash Flow'!AV$4&gt;1,'Monthly Cash Flow'!AV$4&lt;=2),'Monthly Cash Flow'!AU38*(1+'Rent Roll Analysis'!$AE36/12),'Monthly Cash Flow'!AU38*(1+'Rent Roll Analysis'!$AB36/12))))</f>
        <v/>
      </c>
      <c r="AW38" s="1428" t="str">
        <f>IF($B38="","",IF(AW$4&gt;2,(AV38*(1+'Rent Roll Analysis'!$AK36/12)), IF(AND('Monthly Cash Flow'!AW$4&gt;1,'Monthly Cash Flow'!AW$4&lt;=2),'Monthly Cash Flow'!AV38*(1+'Rent Roll Analysis'!$AE36/12),'Monthly Cash Flow'!AV38*(1+'Rent Roll Analysis'!$AB36/12))))</f>
        <v/>
      </c>
      <c r="AX38" s="1428" t="str">
        <f>IF($B38="","",IF(AX$4&gt;2,(AW38*(1+'Rent Roll Analysis'!$AK36/12)), IF(AND('Monthly Cash Flow'!AX$4&gt;1,'Monthly Cash Flow'!AX$4&lt;=2),'Monthly Cash Flow'!AW38*(1+'Rent Roll Analysis'!$AE36/12),'Monthly Cash Flow'!AW38*(1+'Rent Roll Analysis'!$AB36/12))))</f>
        <v/>
      </c>
      <c r="AY38" s="1428" t="str">
        <f>IF($B38="","",IF(AY$4&gt;2,(AX38*(1+'Rent Roll Analysis'!$AK36/12)), IF(AND('Monthly Cash Flow'!AY$4&gt;1,'Monthly Cash Flow'!AY$4&lt;=2),'Monthly Cash Flow'!AX38*(1+'Rent Roll Analysis'!$AE36/12),'Monthly Cash Flow'!AX38*(1+'Rent Roll Analysis'!$AB36/12))))</f>
        <v/>
      </c>
      <c r="AZ38" s="1428" t="str">
        <f>IF($B38="","",IF(AZ$4&gt;2,(AY38*(1+'Rent Roll Analysis'!$AK36/12)), IF(AND('Monthly Cash Flow'!AZ$4&gt;1,'Monthly Cash Flow'!AZ$4&lt;=2),'Monthly Cash Flow'!AY38*(1+'Rent Roll Analysis'!$AE36/12),'Monthly Cash Flow'!AY38*(1+'Rent Roll Analysis'!$AB36/12))))</f>
        <v/>
      </c>
      <c r="BA38" s="1428" t="str">
        <f>IF($B38="","",IF(BA$4&gt;2,(AZ38*(1+'Rent Roll Analysis'!$AK36/12)), IF(AND('Monthly Cash Flow'!BA$4&gt;1,'Monthly Cash Flow'!BA$4&lt;=2),'Monthly Cash Flow'!AZ38*(1+'Rent Roll Analysis'!$AE36/12),'Monthly Cash Flow'!AZ38*(1+'Rent Roll Analysis'!$AB36/12))))</f>
        <v/>
      </c>
      <c r="BB38" s="1428" t="str">
        <f>IF($B38="","",IF(BB$4&gt;2,(BA38*(1+'Rent Roll Analysis'!$AK36/12)), IF(AND('Monthly Cash Flow'!BB$4&gt;1,'Monthly Cash Flow'!BB$4&lt;=2),'Monthly Cash Flow'!BA38*(1+'Rent Roll Analysis'!$AE36/12),'Monthly Cash Flow'!BA38*(1+'Rent Roll Analysis'!$AB36/12))))</f>
        <v/>
      </c>
      <c r="BC38" s="1428" t="str">
        <f>IF($B38="","",IF(BC$4&gt;2,(BB38*(1+'Rent Roll Analysis'!$AK36/12)), IF(AND('Monthly Cash Flow'!BC$4&gt;1,'Monthly Cash Flow'!BC$4&lt;=2),'Monthly Cash Flow'!BB38*(1+'Rent Roll Analysis'!$AE36/12),'Monthly Cash Flow'!BB38*(1+'Rent Roll Analysis'!$AB36/12))))</f>
        <v/>
      </c>
      <c r="BD38" s="1428" t="str">
        <f>IF($B38="","",IF(BD$4&gt;2,(BC38*(1+'Rent Roll Analysis'!$AK36/12)), IF(AND('Monthly Cash Flow'!BD$4&gt;1,'Monthly Cash Flow'!BD$4&lt;=2),'Monthly Cash Flow'!BC38*(1+'Rent Roll Analysis'!$AE36/12),'Monthly Cash Flow'!BC38*(1+'Rent Roll Analysis'!$AB36/12))))</f>
        <v/>
      </c>
      <c r="BE38" s="1428" t="str">
        <f>IF($B38="","",IF(BE$4&gt;2,(BD38*(1+'Rent Roll Analysis'!$AK36/12)), IF(AND('Monthly Cash Flow'!BE$4&gt;1,'Monthly Cash Flow'!BE$4&lt;=2),'Monthly Cash Flow'!BD38*(1+'Rent Roll Analysis'!$AE36/12),'Monthly Cash Flow'!BD38*(1+'Rent Roll Analysis'!$AB36/12))))</f>
        <v/>
      </c>
      <c r="BF38" s="1428" t="str">
        <f>IF($B38="","",IF(BF$4&gt;2,(BE38*(1+'Rent Roll Analysis'!$AK36/12)), IF(AND('Monthly Cash Flow'!BF$4&gt;1,'Monthly Cash Flow'!BF$4&lt;=2),'Monthly Cash Flow'!BE38*(1+'Rent Roll Analysis'!$AE36/12),'Monthly Cash Flow'!BE38*(1+'Rent Roll Analysis'!$AB36/12))))</f>
        <v/>
      </c>
      <c r="BG38" s="1428" t="str">
        <f>IF($B38="","",IF(BG$4&gt;2,(BF38*(1+'Rent Roll Analysis'!$AK36/12)), IF(AND('Monthly Cash Flow'!BG$4&gt;1,'Monthly Cash Flow'!BG$4&lt;=2),'Monthly Cash Flow'!BF38*(1+'Rent Roll Analysis'!$AE36/12),'Monthly Cash Flow'!BF38*(1+'Rent Roll Analysis'!$AB36/12))))</f>
        <v/>
      </c>
      <c r="BH38" s="1428" t="str">
        <f>IF($B38="","",IF(BH$4&gt;2,(BG38*(1+'Rent Roll Analysis'!$AK36/12)), IF(AND('Monthly Cash Flow'!BH$4&gt;1,'Monthly Cash Flow'!BH$4&lt;=2),'Monthly Cash Flow'!BG38*(1+'Rent Roll Analysis'!$AE36/12),'Monthly Cash Flow'!BG38*(1+'Rent Roll Analysis'!$AB36/12))))</f>
        <v/>
      </c>
      <c r="BI38" s="1428" t="str">
        <f>IF($B38="","",IF(BI$4&gt;2,(BH38*(1+'Rent Roll Analysis'!$AK36/12)), IF(AND('Monthly Cash Flow'!BI$4&gt;1,'Monthly Cash Flow'!BI$4&lt;=2),'Monthly Cash Flow'!BH38*(1+'Rent Roll Analysis'!$AE36/12),'Monthly Cash Flow'!BH38*(1+'Rent Roll Analysis'!$AB36/12))))</f>
        <v/>
      </c>
      <c r="BJ38" s="1428" t="str">
        <f>IF($B38="","",IF(BJ$4&gt;2,(BI38*(1+'Rent Roll Analysis'!$AK36/12)), IF(AND('Monthly Cash Flow'!BJ$4&gt;1,'Monthly Cash Flow'!BJ$4&lt;=2),'Monthly Cash Flow'!BI38*(1+'Rent Roll Analysis'!$AE36/12),'Monthly Cash Flow'!BI38*(1+'Rent Roll Analysis'!$AB36/12))))</f>
        <v/>
      </c>
      <c r="BK38" s="1428" t="str">
        <f>IF($B38="","",IF(BK$4&gt;2,(BJ38*(1+'Rent Roll Analysis'!$AK36/12)), IF(AND('Monthly Cash Flow'!BK$4&gt;1,'Monthly Cash Flow'!BK$4&lt;=2),'Monthly Cash Flow'!BJ38*(1+'Rent Roll Analysis'!$AE36/12),'Monthly Cash Flow'!BJ38*(1+'Rent Roll Analysis'!$AB36/12))))</f>
        <v/>
      </c>
      <c r="BL38" s="1428" t="str">
        <f>IF($B38="","",IF(BL$4&gt;2,(BK38*(1+'Rent Roll Analysis'!$AK36/12)), IF(AND('Monthly Cash Flow'!BL$4&gt;1,'Monthly Cash Flow'!BL$4&lt;=2),'Monthly Cash Flow'!BK38*(1+'Rent Roll Analysis'!$AE36/12),'Monthly Cash Flow'!BK38*(1+'Rent Roll Analysis'!$AB36/12))))</f>
        <v/>
      </c>
      <c r="BM38" s="1428" t="str">
        <f>IF($B38="","",IF(BM$4&gt;2,(BL38*(1+'Rent Roll Analysis'!$AK36/12)), IF(AND('Monthly Cash Flow'!BM$4&gt;1,'Monthly Cash Flow'!BM$4&lt;=2),'Monthly Cash Flow'!BL38*(1+'Rent Roll Analysis'!$AE36/12),'Monthly Cash Flow'!BL38*(1+'Rent Roll Analysis'!$AB36/12))))</f>
        <v/>
      </c>
      <c r="BN38" s="1428" t="str">
        <f>IF($B38="","",IF(BN$4&gt;2,(BM38*(1+'Rent Roll Analysis'!$AK36/12)), IF(AND('Monthly Cash Flow'!BN$4&gt;1,'Monthly Cash Flow'!BN$4&lt;=2),'Monthly Cash Flow'!BM38*(1+'Rent Roll Analysis'!$AE36/12),'Monthly Cash Flow'!BM38*(1+'Rent Roll Analysis'!$AB36/12))))</f>
        <v/>
      </c>
      <c r="BO38" s="1428" t="str">
        <f>IF($B38="","",IF(BO$4&gt;2,(BN38*(1+'Rent Roll Analysis'!$AK36/12)), IF(AND('Monthly Cash Flow'!BO$4&gt;1,'Monthly Cash Flow'!BO$4&lt;=2),'Monthly Cash Flow'!BN38*(1+'Rent Roll Analysis'!$AE36/12),'Monthly Cash Flow'!BN38*(1+'Rent Roll Analysis'!$AB36/12))))</f>
        <v/>
      </c>
      <c r="BP38" s="1428" t="str">
        <f>IF($B38="","",IF(BP$4&gt;2,(BO38*(1+'Rent Roll Analysis'!$AK36/12)), IF(AND('Monthly Cash Flow'!BP$4&gt;1,'Monthly Cash Flow'!BP$4&lt;=2),'Monthly Cash Flow'!BO38*(1+'Rent Roll Analysis'!$AE36/12),'Monthly Cash Flow'!BO38*(1+'Rent Roll Analysis'!$AB36/12))))</f>
        <v/>
      </c>
      <c r="BQ38" s="1428" t="str">
        <f>IF($B38="","",IF(BQ$4&gt;2,(BP38*(1+'Rent Roll Analysis'!$AK36/12)), IF(AND('Monthly Cash Flow'!BQ$4&gt;1,'Monthly Cash Flow'!BQ$4&lt;=2),'Monthly Cash Flow'!BP38*(1+'Rent Roll Analysis'!$AE36/12),'Monthly Cash Flow'!BP38*(1+'Rent Roll Analysis'!$AB36/12))))</f>
        <v/>
      </c>
      <c r="BR38" s="1428" t="str">
        <f>IF($B38="","",IF(BR$4&gt;2,(BQ38*(1+'Rent Roll Analysis'!$AK36/12)), IF(AND('Monthly Cash Flow'!BR$4&gt;1,'Monthly Cash Flow'!BR$4&lt;=2),'Monthly Cash Flow'!BQ38*(1+'Rent Roll Analysis'!$AE36/12),'Monthly Cash Flow'!BQ38*(1+'Rent Roll Analysis'!$AB36/12))))</f>
        <v/>
      </c>
      <c r="BS38" s="1428" t="str">
        <f>IF($B38="","",IF(BS$4&gt;2,(BR38*(1+'Rent Roll Analysis'!$AK36/12)), IF(AND('Monthly Cash Flow'!BS$4&gt;1,'Monthly Cash Flow'!BS$4&lt;=2),'Monthly Cash Flow'!BR38*(1+'Rent Roll Analysis'!$AE36/12),'Monthly Cash Flow'!BR38*(1+'Rent Roll Analysis'!$AB36/12))))</f>
        <v/>
      </c>
      <c r="BT38" s="1428" t="str">
        <f>IF($B38="","",IF(BT$4&gt;2,(BS38*(1+'Rent Roll Analysis'!$AK36/12)), IF(AND('Monthly Cash Flow'!BT$4&gt;1,'Monthly Cash Flow'!BT$4&lt;=2),'Monthly Cash Flow'!BS38*(1+'Rent Roll Analysis'!$AE36/12),'Monthly Cash Flow'!BS38*(1+'Rent Roll Analysis'!$AB36/12))))</f>
        <v/>
      </c>
      <c r="BU38" s="1428" t="str">
        <f>IF($B38="","",IF(BU$4&gt;2,(BT38*(1+'Rent Roll Analysis'!$AK36/12)), IF(AND('Monthly Cash Flow'!BU$4&gt;1,'Monthly Cash Flow'!BU$4&lt;=2),'Monthly Cash Flow'!BT38*(1+'Rent Roll Analysis'!$AE36/12),'Monthly Cash Flow'!BT38*(1+'Rent Roll Analysis'!$AB36/12))))</f>
        <v/>
      </c>
      <c r="BV38" s="1428" t="str">
        <f>IF($B38="","",IF(BV$4&gt;2,(BU38*(1+'Rent Roll Analysis'!$AK36/12)), IF(AND('Monthly Cash Flow'!BV$4&gt;1,'Monthly Cash Flow'!BV$4&lt;=2),'Monthly Cash Flow'!BU38*(1+'Rent Roll Analysis'!$AE36/12),'Monthly Cash Flow'!BU38*(1+'Rent Roll Analysis'!$AB36/12))))</f>
        <v/>
      </c>
      <c r="BW38" s="1428" t="str">
        <f>IF($B38="","",IF(BW$4&gt;2,(BV38*(1+'Rent Roll Analysis'!$AK36/12)), IF(AND('Monthly Cash Flow'!BW$4&gt;1,'Monthly Cash Flow'!BW$4&lt;=2),'Monthly Cash Flow'!BV38*(1+'Rent Roll Analysis'!$AE36/12),'Monthly Cash Flow'!BV38*(1+'Rent Roll Analysis'!$AB36/12))))</f>
        <v/>
      </c>
      <c r="BX38" s="1428" t="str">
        <f>IF($B38="","",IF(BX$4&gt;2,(BW38*(1+'Rent Roll Analysis'!$AK36/12)), IF(AND('Monthly Cash Flow'!BX$4&gt;1,'Monthly Cash Flow'!BX$4&lt;=2),'Monthly Cash Flow'!BW38*(1+'Rent Roll Analysis'!$AE36/12),'Monthly Cash Flow'!BW38*(1+'Rent Roll Analysis'!$AB36/12))))</f>
        <v/>
      </c>
      <c r="BY38" s="1428" t="str">
        <f>IF($B38="","",IF(BY$4&gt;2,(BX38*(1+'Rent Roll Analysis'!$AK36/12)), IF(AND('Monthly Cash Flow'!BY$4&gt;1,'Monthly Cash Flow'!BY$4&lt;=2),'Monthly Cash Flow'!BX38*(1+'Rent Roll Analysis'!$AE36/12),'Monthly Cash Flow'!BX38*(1+'Rent Roll Analysis'!$AB36/12))))</f>
        <v/>
      </c>
      <c r="BZ38" s="1428" t="str">
        <f>IF($B38="","",IF(BZ$4&gt;2,(BY38*(1+'Rent Roll Analysis'!$AK36/12)), IF(AND('Monthly Cash Flow'!BZ$4&gt;1,'Monthly Cash Flow'!BZ$4&lt;=2),'Monthly Cash Flow'!BY38*(1+'Rent Roll Analysis'!$AE36/12),'Monthly Cash Flow'!BY38*(1+'Rent Roll Analysis'!$AB36/12))))</f>
        <v/>
      </c>
      <c r="CA38" s="1428" t="str">
        <f>IF($B38="","",IF(CA$4&gt;2,(BZ38*(1+'Rent Roll Analysis'!$AK36/12)), IF(AND('Monthly Cash Flow'!CA$4&gt;1,'Monthly Cash Flow'!CA$4&lt;=2),'Monthly Cash Flow'!BZ38*(1+'Rent Roll Analysis'!$AE36/12),'Monthly Cash Flow'!BZ38*(1+'Rent Roll Analysis'!$AB36/12))))</f>
        <v/>
      </c>
      <c r="CB38" s="1428" t="str">
        <f>IF($B38="","",IF(CB$4&gt;2,(CA38*(1+'Rent Roll Analysis'!$AK36/12)), IF(AND('Monthly Cash Flow'!CB$4&gt;1,'Monthly Cash Flow'!CB$4&lt;=2),'Monthly Cash Flow'!CA38*(1+'Rent Roll Analysis'!$AE36/12),'Monthly Cash Flow'!CA38*(1+'Rent Roll Analysis'!$AB36/12))))</f>
        <v/>
      </c>
      <c r="CC38" s="1428" t="str">
        <f>IF($B38="","",IF(CC$4&gt;2,(CB38*(1+'Rent Roll Analysis'!$AK36/12)), IF(AND('Monthly Cash Flow'!CC$4&gt;1,'Monthly Cash Flow'!CC$4&lt;=2),'Monthly Cash Flow'!CB38*(1+'Rent Roll Analysis'!$AE36/12),'Monthly Cash Flow'!CB38*(1+'Rent Roll Analysis'!$AB36/12))))</f>
        <v/>
      </c>
      <c r="CD38" s="1428" t="str">
        <f>IF($B38="","",IF(CD$4&gt;2,(CC38*(1+'Rent Roll Analysis'!$AK36/12)), IF(AND('Monthly Cash Flow'!CD$4&gt;1,'Monthly Cash Flow'!CD$4&lt;=2),'Monthly Cash Flow'!CC38*(1+'Rent Roll Analysis'!$AE36/12),'Monthly Cash Flow'!CC38*(1+'Rent Roll Analysis'!$AB36/12))))</f>
        <v/>
      </c>
      <c r="CE38" s="1428" t="str">
        <f>IF($B38="","",IF(CE$4&gt;2,(CD38*(1+'Rent Roll Analysis'!$AK36/12)), IF(AND('Monthly Cash Flow'!CE$4&gt;1,'Monthly Cash Flow'!CE$4&lt;=2),'Monthly Cash Flow'!CD38*(1+'Rent Roll Analysis'!$AE36/12),'Monthly Cash Flow'!CD38*(1+'Rent Roll Analysis'!$AB36/12))))</f>
        <v/>
      </c>
      <c r="CF38" s="1428" t="str">
        <f>IF($B38="","",IF(CF$4&gt;2,(CE38*(1+'Rent Roll Analysis'!$AK36/12)), IF(AND('Monthly Cash Flow'!CF$4&gt;1,'Monthly Cash Flow'!CF$4&lt;=2),'Monthly Cash Flow'!CE38*(1+'Rent Roll Analysis'!$AE36/12),'Monthly Cash Flow'!CE38*(1+'Rent Roll Analysis'!$AB36/12))))</f>
        <v/>
      </c>
      <c r="CG38" s="1428" t="str">
        <f>IF($B38="","",IF(CG$4&gt;2,(CF38*(1+'Rent Roll Analysis'!$AK36/12)), IF(AND('Monthly Cash Flow'!CG$4&gt;1,'Monthly Cash Flow'!CG$4&lt;=2),'Monthly Cash Flow'!CF38*(1+'Rent Roll Analysis'!$AE36/12),'Monthly Cash Flow'!CF38*(1+'Rent Roll Analysis'!$AB36/12))))</f>
        <v/>
      </c>
      <c r="CH38" s="1428" t="str">
        <f>IF($B38="","",IF(CH$4&gt;2,(CG38*(1+'Rent Roll Analysis'!$AK36/12)), IF(AND('Monthly Cash Flow'!CH$4&gt;1,'Monthly Cash Flow'!CH$4&lt;=2),'Monthly Cash Flow'!CG38*(1+'Rent Roll Analysis'!$AE36/12),'Monthly Cash Flow'!CG38*(1+'Rent Roll Analysis'!$AB36/12))))</f>
        <v/>
      </c>
      <c r="CI38" s="1428" t="str">
        <f>IF($B38="","",IF(CI$4&gt;2,(CH38*(1+'Rent Roll Analysis'!$AK36/12)), IF(AND('Monthly Cash Flow'!CI$4&gt;1,'Monthly Cash Flow'!CI$4&lt;=2),'Monthly Cash Flow'!CH38*(1+'Rent Roll Analysis'!$AE36/12),'Monthly Cash Flow'!CH38*(1+'Rent Roll Analysis'!$AB36/12))))</f>
        <v/>
      </c>
      <c r="CJ38" s="1428" t="str">
        <f>IF($B38="","",IF(CJ$4&gt;2,(CI38*(1+'Rent Roll Analysis'!$AK36/12)), IF(AND('Monthly Cash Flow'!CJ$4&gt;1,'Monthly Cash Flow'!CJ$4&lt;=2),'Monthly Cash Flow'!CI38*(1+'Rent Roll Analysis'!$AE36/12),'Monthly Cash Flow'!CI38*(1+'Rent Roll Analysis'!$AB36/12))))</f>
        <v/>
      </c>
      <c r="CK38" s="1428" t="str">
        <f>IF($B38="","",IF(CK$4&gt;2,(CJ38*(1+'Rent Roll Analysis'!$AK36/12)), IF(AND('Monthly Cash Flow'!CK$4&gt;1,'Monthly Cash Flow'!CK$4&lt;=2),'Monthly Cash Flow'!CJ38*(1+'Rent Roll Analysis'!$AE36/12),'Monthly Cash Flow'!CJ38*(1+'Rent Roll Analysis'!$AB36/12))))</f>
        <v/>
      </c>
      <c r="CL38" s="1428" t="str">
        <f>IF($B38="","",IF(CL$4&gt;2,(CK38*(1+'Rent Roll Analysis'!$AK36/12)), IF(AND('Monthly Cash Flow'!CL$4&gt;1,'Monthly Cash Flow'!CL$4&lt;=2),'Monthly Cash Flow'!CK38*(1+'Rent Roll Analysis'!$AE36/12),'Monthly Cash Flow'!CK38*(1+'Rent Roll Analysis'!$AB36/12))))</f>
        <v/>
      </c>
      <c r="CM38" s="1428" t="str">
        <f>IF($B38="","",IF(CM$4&gt;2,(CL38*(1+'Rent Roll Analysis'!$AK36/12)), IF(AND('Monthly Cash Flow'!CM$4&gt;1,'Monthly Cash Flow'!CM$4&lt;=2),'Monthly Cash Flow'!CL38*(1+'Rent Roll Analysis'!$AE36/12),'Monthly Cash Flow'!CL38*(1+'Rent Roll Analysis'!$AB36/12))))</f>
        <v/>
      </c>
      <c r="CN38" s="1428" t="str">
        <f>IF($B38="","",IF(CN$4&gt;2,(CM38*(1+'Rent Roll Analysis'!$AK36/12)), IF(AND('Monthly Cash Flow'!CN$4&gt;1,'Monthly Cash Flow'!CN$4&lt;=2),'Monthly Cash Flow'!CM38*(1+'Rent Roll Analysis'!$AE36/12),'Monthly Cash Flow'!CM38*(1+'Rent Roll Analysis'!$AB36/12))))</f>
        <v/>
      </c>
      <c r="CO38" s="1428" t="str">
        <f>IF($B38="","",IF(CO$4&gt;2,(CN38*(1+'Rent Roll Analysis'!$AK36/12)), IF(AND('Monthly Cash Flow'!CO$4&gt;1,'Monthly Cash Flow'!CO$4&lt;=2),'Monthly Cash Flow'!CN38*(1+'Rent Roll Analysis'!$AE36/12),'Monthly Cash Flow'!CN38*(1+'Rent Roll Analysis'!$AB36/12))))</f>
        <v/>
      </c>
      <c r="CP38" s="1428" t="str">
        <f>IF($B38="","",IF(CP$4&gt;2,(CO38*(1+'Rent Roll Analysis'!$AK36/12)), IF(AND('Monthly Cash Flow'!CP$4&gt;1,'Monthly Cash Flow'!CP$4&lt;=2),'Monthly Cash Flow'!CO38*(1+'Rent Roll Analysis'!$AE36/12),'Monthly Cash Flow'!CO38*(1+'Rent Roll Analysis'!$AB36/12))))</f>
        <v/>
      </c>
      <c r="CQ38" s="1428" t="str">
        <f>IF($B38="","",IF(CQ$4&gt;2,(CP38*(1+'Rent Roll Analysis'!$AK36/12)), IF(AND('Monthly Cash Flow'!CQ$4&gt;1,'Monthly Cash Flow'!CQ$4&lt;=2),'Monthly Cash Flow'!CP38*(1+'Rent Roll Analysis'!$AE36/12),'Monthly Cash Flow'!CP38*(1+'Rent Roll Analysis'!$AB36/12))))</f>
        <v/>
      </c>
      <c r="CR38" s="1428" t="str">
        <f>IF($B38="","",IF(CR$4&gt;2,(CQ38*(1+'Rent Roll Analysis'!$AK36/12)), IF(AND('Monthly Cash Flow'!CR$4&gt;1,'Monthly Cash Flow'!CR$4&lt;=2),'Monthly Cash Flow'!CQ38*(1+'Rent Roll Analysis'!$AE36/12),'Monthly Cash Flow'!CQ38*(1+'Rent Roll Analysis'!$AB36/12))))</f>
        <v/>
      </c>
      <c r="CS38" s="1428" t="str">
        <f>IF($B38="","",IF(CS$4&gt;2,(CR38*(1+'Rent Roll Analysis'!$AK36/12)), IF(AND('Monthly Cash Flow'!CS$4&gt;1,'Monthly Cash Flow'!CS$4&lt;=2),'Monthly Cash Flow'!CR38*(1+'Rent Roll Analysis'!$AE36/12),'Monthly Cash Flow'!CR38*(1+'Rent Roll Analysis'!$AB36/12))))</f>
        <v/>
      </c>
      <c r="CT38" s="1428" t="str">
        <f>IF($B38="","",IF(CT$4&gt;2,(CS38*(1+'Rent Roll Analysis'!$AK36/12)), IF(AND('Monthly Cash Flow'!CT$4&gt;1,'Monthly Cash Flow'!CT$4&lt;=2),'Monthly Cash Flow'!CS38*(1+'Rent Roll Analysis'!$AE36/12),'Monthly Cash Flow'!CS38*(1+'Rent Roll Analysis'!$AB36/12))))</f>
        <v/>
      </c>
      <c r="CU38" s="1428" t="str">
        <f>IF($B38="","",IF(CU$4&gt;2,(CT38*(1+'Rent Roll Analysis'!$AK36/12)), IF(AND('Monthly Cash Flow'!CU$4&gt;1,'Monthly Cash Flow'!CU$4&lt;=2),'Monthly Cash Flow'!CT38*(1+'Rent Roll Analysis'!$AE36/12),'Monthly Cash Flow'!CT38*(1+'Rent Roll Analysis'!$AB36/12))))</f>
        <v/>
      </c>
      <c r="CV38" s="1428" t="str">
        <f>IF($B38="","",IF(CV$4&gt;2,(CU38*(1+'Rent Roll Analysis'!$AK36/12)), IF(AND('Monthly Cash Flow'!CV$4&gt;1,'Monthly Cash Flow'!CV$4&lt;=2),'Monthly Cash Flow'!CU38*(1+'Rent Roll Analysis'!$AE36/12),'Monthly Cash Flow'!CU38*(1+'Rent Roll Analysis'!$AB36/12))))</f>
        <v/>
      </c>
      <c r="CW38" s="1428" t="str">
        <f>IF($B38="","",IF(CW$4&gt;2,(CV38*(1+'Rent Roll Analysis'!$AK36/12)), IF(AND('Monthly Cash Flow'!CW$4&gt;1,'Monthly Cash Flow'!CW$4&lt;=2),'Monthly Cash Flow'!CV38*(1+'Rent Roll Analysis'!$AE36/12),'Monthly Cash Flow'!CV38*(1+'Rent Roll Analysis'!$AB36/12))))</f>
        <v/>
      </c>
      <c r="CX38" s="1428" t="str">
        <f>IF($B38="","",IF(CX$4&gt;2,(CW38*(1+'Rent Roll Analysis'!$AK36/12)), IF(AND('Monthly Cash Flow'!CX$4&gt;1,'Monthly Cash Flow'!CX$4&lt;=2),'Monthly Cash Flow'!CW38*(1+'Rent Roll Analysis'!$AE36/12),'Monthly Cash Flow'!CW38*(1+'Rent Roll Analysis'!$AB36/12))))</f>
        <v/>
      </c>
      <c r="CY38" s="1428" t="str">
        <f>IF($B38="","",IF(CY$4&gt;2,(CX38*(1+'Rent Roll Analysis'!$AK36/12)), IF(AND('Monthly Cash Flow'!CY$4&gt;1,'Monthly Cash Flow'!CY$4&lt;=2),'Monthly Cash Flow'!CX38*(1+'Rent Roll Analysis'!$AE36/12),'Monthly Cash Flow'!CX38*(1+'Rent Roll Analysis'!$AB36/12))))</f>
        <v/>
      </c>
      <c r="CZ38" s="1428" t="str">
        <f>IF($B38="","",IF(CZ$4&gt;2,(CY38*(1+'Rent Roll Analysis'!$AK36/12)), IF(AND('Monthly Cash Flow'!CZ$4&gt;1,'Monthly Cash Flow'!CZ$4&lt;=2),'Monthly Cash Flow'!CY38*(1+'Rent Roll Analysis'!$AE36/12),'Monthly Cash Flow'!CY38*(1+'Rent Roll Analysis'!$AB36/12))))</f>
        <v/>
      </c>
      <c r="DA38" s="1428" t="str">
        <f>IF($B38="","",IF(DA$4&gt;2,(CZ38*(1+'Rent Roll Analysis'!$AK36/12)), IF(AND('Monthly Cash Flow'!DA$4&gt;1,'Monthly Cash Flow'!DA$4&lt;=2),'Monthly Cash Flow'!CZ38*(1+'Rent Roll Analysis'!$AE36/12),'Monthly Cash Flow'!CZ38*(1+'Rent Roll Analysis'!$AB36/12))))</f>
        <v/>
      </c>
      <c r="DB38" s="1428" t="str">
        <f>IF($B38="","",IF(DB$4&gt;2,(DA38*(1+'Rent Roll Analysis'!$AK36/12)), IF(AND('Monthly Cash Flow'!DB$4&gt;1,'Monthly Cash Flow'!DB$4&lt;=2),'Monthly Cash Flow'!DA38*(1+'Rent Roll Analysis'!$AE36/12),'Monthly Cash Flow'!DA38*(1+'Rent Roll Analysis'!$AB36/12))))</f>
        <v/>
      </c>
      <c r="DC38" s="1428" t="str">
        <f>IF($B38="","",IF(DC$4&gt;2,(DB38*(1+'Rent Roll Analysis'!$AK36/12)), IF(AND('Monthly Cash Flow'!DC$4&gt;1,'Monthly Cash Flow'!DC$4&lt;=2),'Monthly Cash Flow'!DB38*(1+'Rent Roll Analysis'!$AE36/12),'Monthly Cash Flow'!DB38*(1+'Rent Roll Analysis'!$AB36/12))))</f>
        <v/>
      </c>
      <c r="DD38" s="1428" t="str">
        <f>IF($B38="","",IF(DD$4&gt;2,(DC38*(1+'Rent Roll Analysis'!$AK36/12)), IF(AND('Monthly Cash Flow'!DD$4&gt;1,'Monthly Cash Flow'!DD$4&lt;=2),'Monthly Cash Flow'!DC38*(1+'Rent Roll Analysis'!$AE36/12),'Monthly Cash Flow'!DC38*(1+'Rent Roll Analysis'!$AB36/12))))</f>
        <v/>
      </c>
      <c r="DE38" s="1428" t="str">
        <f>IF($B38="","",IF(DE$4&gt;2,(DD38*(1+'Rent Roll Analysis'!$AK36/12)), IF(AND('Monthly Cash Flow'!DE$4&gt;1,'Monthly Cash Flow'!DE$4&lt;=2),'Monthly Cash Flow'!DD38*(1+'Rent Roll Analysis'!$AE36/12),'Monthly Cash Flow'!DD38*(1+'Rent Roll Analysis'!$AB36/12))))</f>
        <v/>
      </c>
      <c r="DF38" s="1428" t="str">
        <f>IF($B38="","",IF(DF$4&gt;2,(DE38*(1+'Rent Roll Analysis'!$AK36/12)), IF(AND('Monthly Cash Flow'!DF$4&gt;1,'Monthly Cash Flow'!DF$4&lt;=2),'Monthly Cash Flow'!DE38*(1+'Rent Roll Analysis'!$AE36/12),'Monthly Cash Flow'!DE38*(1+'Rent Roll Analysis'!$AB36/12))))</f>
        <v/>
      </c>
      <c r="DG38" s="1428" t="str">
        <f>IF($B38="","",IF(DG$4&gt;2,(DF38*(1+'Rent Roll Analysis'!$AK36/12)), IF(AND('Monthly Cash Flow'!DG$4&gt;1,'Monthly Cash Flow'!DG$4&lt;=2),'Monthly Cash Flow'!DF38*(1+'Rent Roll Analysis'!$AE36/12),'Monthly Cash Flow'!DF38*(1+'Rent Roll Analysis'!$AB36/12))))</f>
        <v/>
      </c>
      <c r="DH38" s="1428" t="str">
        <f>IF($B38="","",IF(DH$4&gt;2,(DG38*(1+'Rent Roll Analysis'!$AK36/12)), IF(AND('Monthly Cash Flow'!DH$4&gt;1,'Monthly Cash Flow'!DH$4&lt;=2),'Monthly Cash Flow'!DG38*(1+'Rent Roll Analysis'!$AE36/12),'Monthly Cash Flow'!DG38*(1+'Rent Roll Analysis'!$AB36/12))))</f>
        <v/>
      </c>
      <c r="DI38" s="1428" t="str">
        <f>IF($B38="","",IF(DI$4&gt;2,(DH38*(1+'Rent Roll Analysis'!$AK36/12)), IF(AND('Monthly Cash Flow'!DI$4&gt;1,'Monthly Cash Flow'!DI$4&lt;=2),'Monthly Cash Flow'!DH38*(1+'Rent Roll Analysis'!$AE36/12),'Monthly Cash Flow'!DH38*(1+'Rent Roll Analysis'!$AB36/12))))</f>
        <v/>
      </c>
      <c r="DJ38" s="1428" t="str">
        <f>IF($B38="","",IF(DJ$4&gt;2,(DI38*(1+'Rent Roll Analysis'!$AK36/12)), IF(AND('Monthly Cash Flow'!DJ$4&gt;1,'Monthly Cash Flow'!DJ$4&lt;=2),'Monthly Cash Flow'!DI38*(1+'Rent Roll Analysis'!$AE36/12),'Monthly Cash Flow'!DI38*(1+'Rent Roll Analysis'!$AB36/12))))</f>
        <v/>
      </c>
      <c r="DK38" s="1428" t="str">
        <f>IF($B38="","",IF(DK$4&gt;2,(DJ38*(1+'Rent Roll Analysis'!$AK36/12)), IF(AND('Monthly Cash Flow'!DK$4&gt;1,'Monthly Cash Flow'!DK$4&lt;=2),'Monthly Cash Flow'!DJ38*(1+'Rent Roll Analysis'!$AE36/12),'Monthly Cash Flow'!DJ38*(1+'Rent Roll Analysis'!$AB36/12))))</f>
        <v/>
      </c>
      <c r="DL38" s="1428" t="str">
        <f>IF($B38="","",IF(DL$4&gt;2,(DK38*(1+'Rent Roll Analysis'!$AK36/12)), IF(AND('Monthly Cash Flow'!DL$4&gt;1,'Monthly Cash Flow'!DL$4&lt;=2),'Monthly Cash Flow'!DK38*(1+'Rent Roll Analysis'!$AE36/12),'Monthly Cash Flow'!DK38*(1+'Rent Roll Analysis'!$AB36/12))))</f>
        <v/>
      </c>
      <c r="DM38" s="1428" t="str">
        <f>IF($B38="","",IF(DM$4&gt;2,(DL38*(1+'Rent Roll Analysis'!$AK36/12)), IF(AND('Monthly Cash Flow'!DM$4&gt;1,'Monthly Cash Flow'!DM$4&lt;=2),'Monthly Cash Flow'!DL38*(1+'Rent Roll Analysis'!$AE36/12),'Monthly Cash Flow'!DL38*(1+'Rent Roll Analysis'!$AB36/12))))</f>
        <v/>
      </c>
      <c r="DN38" s="1428" t="str">
        <f>IF($B38="","",IF(DN$4&gt;2,(DM38*(1+'Rent Roll Analysis'!$AK36/12)), IF(AND('Monthly Cash Flow'!DN$4&gt;1,'Monthly Cash Flow'!DN$4&lt;=2),'Monthly Cash Flow'!DM38*(1+'Rent Roll Analysis'!$AE36/12),'Monthly Cash Flow'!DM38*(1+'Rent Roll Analysis'!$AB36/12))))</f>
        <v/>
      </c>
      <c r="DO38" s="1428" t="str">
        <f>IF($B38="","",IF(DO$4&gt;2,(DN38*(1+'Rent Roll Analysis'!$AK36/12)), IF(AND('Monthly Cash Flow'!DO$4&gt;1,'Monthly Cash Flow'!DO$4&lt;=2),'Monthly Cash Flow'!DN38*(1+'Rent Roll Analysis'!$AE36/12),'Monthly Cash Flow'!DN38*(1+'Rent Roll Analysis'!$AB36/12))))</f>
        <v/>
      </c>
      <c r="DP38" s="1428" t="str">
        <f>IF($B38="","",IF(DP$4&gt;2,(DO38*(1+'Rent Roll Analysis'!$AK36/12)), IF(AND('Monthly Cash Flow'!DP$4&gt;1,'Monthly Cash Flow'!DP$4&lt;=2),'Monthly Cash Flow'!DO38*(1+'Rent Roll Analysis'!$AE36/12),'Monthly Cash Flow'!DO38*(1+'Rent Roll Analysis'!$AB36/12))))</f>
        <v/>
      </c>
      <c r="DQ38" s="1428" t="str">
        <f>IF($B38="","",IF(DQ$4&gt;2,(DP38*(1+'Rent Roll Analysis'!$AK36/12)), IF(AND('Monthly Cash Flow'!DQ$4&gt;1,'Monthly Cash Flow'!DQ$4&lt;=2),'Monthly Cash Flow'!DP38*(1+'Rent Roll Analysis'!$AE36/12),'Monthly Cash Flow'!DP38*(1+'Rent Roll Analysis'!$AB36/12))))</f>
        <v/>
      </c>
      <c r="DR38" s="1428" t="str">
        <f>IF($B38="","",IF(DR$4&gt;2,(DQ38*(1+'Rent Roll Analysis'!$AK36/12)), IF(AND('Monthly Cash Flow'!DR$4&gt;1,'Monthly Cash Flow'!DR$4&lt;=2),'Monthly Cash Flow'!DQ38*(1+'Rent Roll Analysis'!$AE36/12),'Monthly Cash Flow'!DQ38*(1+'Rent Roll Analysis'!$AB36/12))))</f>
        <v/>
      </c>
      <c r="DS38" s="1428" t="str">
        <f>IF($B38="","",IF(DS$4&gt;2,(DR38*(1+'Rent Roll Analysis'!$AK36/12)), IF(AND('Monthly Cash Flow'!DS$4&gt;1,'Monthly Cash Flow'!DS$4&lt;=2),'Monthly Cash Flow'!DR38*(1+'Rent Roll Analysis'!$AE36/12),'Monthly Cash Flow'!DR38*(1+'Rent Roll Analysis'!$AB36/12))))</f>
        <v/>
      </c>
      <c r="DT38" s="1428" t="str">
        <f>IF($B38="","",IF(DT$4&gt;2,(DS38*(1+'Rent Roll Analysis'!$AK36/12)), IF(AND('Monthly Cash Flow'!DT$4&gt;1,'Monthly Cash Flow'!DT$4&lt;=2),'Monthly Cash Flow'!DS38*(1+'Rent Roll Analysis'!$AE36/12),'Monthly Cash Flow'!DS38*(1+'Rent Roll Analysis'!$AB36/12))))</f>
        <v/>
      </c>
      <c r="DU38" s="385" t="s">
        <v>557</v>
      </c>
      <c r="DV38" s="375"/>
    </row>
    <row r="39" spans="1:126" s="92" customFormat="1" ht="20.149999999999999" customHeight="1" outlineLevel="1">
      <c r="A39" s="375"/>
      <c r="B39" s="383" t="str">
        <f>'Rent Roll Analysis'!C37</f>
        <v/>
      </c>
      <c r="C39" s="376"/>
      <c r="D39" s="1426" t="str">
        <f>IF('Rent Roll Analysis'!C37="","",'Rent Roll Analysis'!N37*'Rent Roll Analysis'!E37)</f>
        <v/>
      </c>
      <c r="E39" s="1428" t="str">
        <f t="shared" si="113"/>
        <v/>
      </c>
      <c r="F39" s="1428" t="str">
        <f>IF($B39="","",IF(F$4&gt;2,(E39*(1+'Rent Roll Analysis'!$AK37/12)), IF(AND('Monthly Cash Flow'!F$4&gt;1,'Monthly Cash Flow'!F$4&lt;=2),'Monthly Cash Flow'!E39*(1+'Rent Roll Analysis'!$AE37/12),'Monthly Cash Flow'!E39*(1+'Rent Roll Analysis'!$AB37/12))))</f>
        <v/>
      </c>
      <c r="G39" s="1428" t="str">
        <f>IF($B39="","",IF(G$4&gt;2,(F39*(1+'Rent Roll Analysis'!$AK37/12)), IF(AND('Monthly Cash Flow'!G$4&gt;1,'Monthly Cash Flow'!G$4&lt;=2),'Monthly Cash Flow'!F39*(1+'Rent Roll Analysis'!$AE37/12),'Monthly Cash Flow'!F39*(1+'Rent Roll Analysis'!$AB37/12))))</f>
        <v/>
      </c>
      <c r="H39" s="1428" t="str">
        <f>IF($B39="","",IF(H$4&gt;2,(G39*(1+'Rent Roll Analysis'!$AK37/12)), IF(AND('Monthly Cash Flow'!H$4&gt;1,'Monthly Cash Flow'!H$4&lt;=2),'Monthly Cash Flow'!G39*(1+'Rent Roll Analysis'!$AE37/12),'Monthly Cash Flow'!G39*(1+'Rent Roll Analysis'!$AB37/12))))</f>
        <v/>
      </c>
      <c r="I39" s="1428" t="str">
        <f>IF($B39="","",IF(I$4&gt;2,(H39*(1+'Rent Roll Analysis'!$AK37/12)), IF(AND('Monthly Cash Flow'!I$4&gt;1,'Monthly Cash Flow'!I$4&lt;=2),'Monthly Cash Flow'!H39*(1+'Rent Roll Analysis'!$AE37/12),'Monthly Cash Flow'!H39*(1+'Rent Roll Analysis'!$AB37/12))))</f>
        <v/>
      </c>
      <c r="J39" s="1428" t="str">
        <f>IF($B39="","",IF(J$4&gt;2,(I39*(1+'Rent Roll Analysis'!$AK37/12)), IF(AND('Monthly Cash Flow'!J$4&gt;1,'Monthly Cash Flow'!J$4&lt;=2),'Monthly Cash Flow'!I39*(1+'Rent Roll Analysis'!$AE37/12),'Monthly Cash Flow'!I39*(1+'Rent Roll Analysis'!$AB37/12))))</f>
        <v/>
      </c>
      <c r="K39" s="1428" t="str">
        <f>IF($B39="","",IF(K$4&gt;2,(J39*(1+'Rent Roll Analysis'!$AK37/12)), IF(AND('Monthly Cash Flow'!K$4&gt;1,'Monthly Cash Flow'!K$4&lt;=2),'Monthly Cash Flow'!J39*(1+'Rent Roll Analysis'!$AE37/12),'Monthly Cash Flow'!J39*(1+'Rent Roll Analysis'!$AB37/12))))</f>
        <v/>
      </c>
      <c r="L39" s="1428" t="str">
        <f>IF($B39="","",IF(L$4&gt;2,(K39*(1+'Rent Roll Analysis'!$AK37/12)), IF(AND('Monthly Cash Flow'!L$4&gt;1,'Monthly Cash Flow'!L$4&lt;=2),'Monthly Cash Flow'!K39*(1+'Rent Roll Analysis'!$AE37/12),'Monthly Cash Flow'!K39*(1+'Rent Roll Analysis'!$AB37/12))))</f>
        <v/>
      </c>
      <c r="M39" s="1428" t="str">
        <f>IF($B39="","",IF(M$4&gt;2,(L39*(1+'Rent Roll Analysis'!$AK37/12)), IF(AND('Monthly Cash Flow'!M$4&gt;1,'Monthly Cash Flow'!M$4&lt;=2),'Monthly Cash Flow'!L39*(1+'Rent Roll Analysis'!$AE37/12),'Monthly Cash Flow'!L39*(1+'Rent Roll Analysis'!$AB37/12))))</f>
        <v/>
      </c>
      <c r="N39" s="1428" t="str">
        <f>IF($B39="","",IF(N$4&gt;2,(M39*(1+'Rent Roll Analysis'!$AK37/12)), IF(AND('Monthly Cash Flow'!N$4&gt;1,'Monthly Cash Flow'!N$4&lt;=2),'Monthly Cash Flow'!M39*(1+'Rent Roll Analysis'!$AE37/12),'Monthly Cash Flow'!M39*(1+'Rent Roll Analysis'!$AB37/12))))</f>
        <v/>
      </c>
      <c r="O39" s="1428" t="str">
        <f>IF($B39="","",IF(O$4&gt;2,(N39*(1+'Rent Roll Analysis'!$AK37/12)), IF(AND('Monthly Cash Flow'!O$4&gt;1,'Monthly Cash Flow'!O$4&lt;=2),'Monthly Cash Flow'!N39*(1+'Rent Roll Analysis'!$AE37/12),'Monthly Cash Flow'!N39*(1+'Rent Roll Analysis'!$AB37/12))))</f>
        <v/>
      </c>
      <c r="P39" s="1428" t="str">
        <f>IF($B39="","",IF(P$4&gt;2,(O39*(1+'Rent Roll Analysis'!$AK37/12)), IF(AND('Monthly Cash Flow'!P$4&gt;1,'Monthly Cash Flow'!P$4&lt;=2),'Monthly Cash Flow'!O39*(1+'Rent Roll Analysis'!$AE37/12),'Monthly Cash Flow'!O39*(1+'Rent Roll Analysis'!$AB37/12))))</f>
        <v/>
      </c>
      <c r="Q39" s="1428" t="str">
        <f>IF($B39="","",IF(Q$4&gt;2,(P39*(1+'Rent Roll Analysis'!$AK37/12)), IF(AND('Monthly Cash Flow'!Q$4&gt;1,'Monthly Cash Flow'!Q$4&lt;=2),'Monthly Cash Flow'!P39*(1+'Rent Roll Analysis'!$AE37/12),'Monthly Cash Flow'!P39*(1+'Rent Roll Analysis'!$AB37/12))))</f>
        <v/>
      </c>
      <c r="R39" s="1428" t="str">
        <f>IF($B39="","",IF(R$4&gt;2,(Q39*(1+'Rent Roll Analysis'!$AK37/12)), IF(AND('Monthly Cash Flow'!R$4&gt;1,'Monthly Cash Flow'!R$4&lt;=2),'Monthly Cash Flow'!Q39*(1+'Rent Roll Analysis'!$AE37/12),'Monthly Cash Flow'!Q39*(1+'Rent Roll Analysis'!$AB37/12))))</f>
        <v/>
      </c>
      <c r="S39" s="1428" t="str">
        <f>IF($B39="","",IF(S$4&gt;2,(R39*(1+'Rent Roll Analysis'!$AK37/12)), IF(AND('Monthly Cash Flow'!S$4&gt;1,'Monthly Cash Flow'!S$4&lt;=2),'Monthly Cash Flow'!R39*(1+'Rent Roll Analysis'!$AE37/12),'Monthly Cash Flow'!R39*(1+'Rent Roll Analysis'!$AB37/12))))</f>
        <v/>
      </c>
      <c r="T39" s="1428" t="str">
        <f>IF($B39="","",IF(T$4&gt;2,(S39*(1+'Rent Roll Analysis'!$AK37/12)), IF(AND('Monthly Cash Flow'!T$4&gt;1,'Monthly Cash Flow'!T$4&lt;=2),'Monthly Cash Flow'!S39*(1+'Rent Roll Analysis'!$AE37/12),'Monthly Cash Flow'!S39*(1+'Rent Roll Analysis'!$AB37/12))))</f>
        <v/>
      </c>
      <c r="U39" s="1428" t="str">
        <f>IF($B39="","",IF(U$4&gt;2,(T39*(1+'Rent Roll Analysis'!$AK37/12)), IF(AND('Monthly Cash Flow'!U$4&gt;1,'Monthly Cash Flow'!U$4&lt;=2),'Monthly Cash Flow'!T39*(1+'Rent Roll Analysis'!$AE37/12),'Monthly Cash Flow'!T39*(1+'Rent Roll Analysis'!$AB37/12))))</f>
        <v/>
      </c>
      <c r="V39" s="1428" t="str">
        <f>IF($B39="","",IF(V$4&gt;2,(U39*(1+'Rent Roll Analysis'!$AK37/12)), IF(AND('Monthly Cash Flow'!V$4&gt;1,'Monthly Cash Flow'!V$4&lt;=2),'Monthly Cash Flow'!U39*(1+'Rent Roll Analysis'!$AE37/12),'Monthly Cash Flow'!U39*(1+'Rent Roll Analysis'!$AB37/12))))</f>
        <v/>
      </c>
      <c r="W39" s="1428" t="str">
        <f>IF($B39="","",IF(W$4&gt;2,(V39*(1+'Rent Roll Analysis'!$AK37/12)), IF(AND('Monthly Cash Flow'!W$4&gt;1,'Monthly Cash Flow'!W$4&lt;=2),'Monthly Cash Flow'!V39*(1+'Rent Roll Analysis'!$AE37/12),'Monthly Cash Flow'!V39*(1+'Rent Roll Analysis'!$AB37/12))))</f>
        <v/>
      </c>
      <c r="X39" s="1428" t="str">
        <f>IF($B39="","",IF(X$4&gt;2,(W39*(1+'Rent Roll Analysis'!$AK37/12)), IF(AND('Monthly Cash Flow'!X$4&gt;1,'Monthly Cash Flow'!X$4&lt;=2),'Monthly Cash Flow'!W39*(1+'Rent Roll Analysis'!$AE37/12),'Monthly Cash Flow'!W39*(1+'Rent Roll Analysis'!$AB37/12))))</f>
        <v/>
      </c>
      <c r="Y39" s="1428" t="str">
        <f>IF($B39="","",IF(Y$4&gt;2,(X39*(1+'Rent Roll Analysis'!$AK37/12)), IF(AND('Monthly Cash Flow'!Y$4&gt;1,'Monthly Cash Flow'!Y$4&lt;=2),'Monthly Cash Flow'!X39*(1+'Rent Roll Analysis'!$AE37/12),'Monthly Cash Flow'!X39*(1+'Rent Roll Analysis'!$AB37/12))))</f>
        <v/>
      </c>
      <c r="Z39" s="1428" t="str">
        <f>IF($B39="","",IF(Z$4&gt;2,(Y39*(1+'Rent Roll Analysis'!$AK37/12)), IF(AND('Monthly Cash Flow'!Z$4&gt;1,'Monthly Cash Flow'!Z$4&lt;=2),'Monthly Cash Flow'!Y39*(1+'Rent Roll Analysis'!$AE37/12),'Monthly Cash Flow'!Y39*(1+'Rent Roll Analysis'!$AB37/12))))</f>
        <v/>
      </c>
      <c r="AA39" s="1428" t="str">
        <f>IF($B39="","",IF(AA$4&gt;2,(Z39*(1+'Rent Roll Analysis'!$AK37/12)), IF(AND('Monthly Cash Flow'!AA$4&gt;1,'Monthly Cash Flow'!AA$4&lt;=2),'Monthly Cash Flow'!Z39*(1+'Rent Roll Analysis'!$AE37/12),'Monthly Cash Flow'!Z39*(1+'Rent Roll Analysis'!$AB37/12))))</f>
        <v/>
      </c>
      <c r="AB39" s="1428" t="str">
        <f>IF($B39="","",IF(AB$4&gt;2,(AA39*(1+'Rent Roll Analysis'!$AK37/12)), IF(AND('Monthly Cash Flow'!AB$4&gt;1,'Monthly Cash Flow'!AB$4&lt;=2),'Monthly Cash Flow'!AA39*(1+'Rent Roll Analysis'!$AE37/12),'Monthly Cash Flow'!AA39*(1+'Rent Roll Analysis'!$AB37/12))))</f>
        <v/>
      </c>
      <c r="AC39" s="1428" t="str">
        <f>IF($B39="","",IF(AC$4&gt;2,(AB39*(1+'Rent Roll Analysis'!$AK37/12)), IF(AND('Monthly Cash Flow'!AC$4&gt;1,'Monthly Cash Flow'!AC$4&lt;=2),'Monthly Cash Flow'!AB39*(1+'Rent Roll Analysis'!$AE37/12),'Monthly Cash Flow'!AB39*(1+'Rent Roll Analysis'!$AB37/12))))</f>
        <v/>
      </c>
      <c r="AD39" s="1428" t="str">
        <f>IF($B39="","",IF(AD$4&gt;2,(AC39*(1+'Rent Roll Analysis'!$AK37/12)), IF(AND('Monthly Cash Flow'!AD$4&gt;1,'Monthly Cash Flow'!AD$4&lt;=2),'Monthly Cash Flow'!AC39*(1+'Rent Roll Analysis'!$AE37/12),'Monthly Cash Flow'!AC39*(1+'Rent Roll Analysis'!$AB37/12))))</f>
        <v/>
      </c>
      <c r="AE39" s="1428" t="str">
        <f>IF($B39="","",IF(AE$4&gt;2,(AD39*(1+'Rent Roll Analysis'!$AK37/12)), IF(AND('Monthly Cash Flow'!AE$4&gt;1,'Monthly Cash Flow'!AE$4&lt;=2),'Monthly Cash Flow'!AD39*(1+'Rent Roll Analysis'!$AE37/12),'Monthly Cash Flow'!AD39*(1+'Rent Roll Analysis'!$AB37/12))))</f>
        <v/>
      </c>
      <c r="AF39" s="1428" t="str">
        <f>IF($B39="","",IF(AF$4&gt;2,(AE39*(1+'Rent Roll Analysis'!$AK37/12)), IF(AND('Monthly Cash Flow'!AF$4&gt;1,'Monthly Cash Flow'!AF$4&lt;=2),'Monthly Cash Flow'!AE39*(1+'Rent Roll Analysis'!$AE37/12),'Monthly Cash Flow'!AE39*(1+'Rent Roll Analysis'!$AB37/12))))</f>
        <v/>
      </c>
      <c r="AG39" s="1428" t="str">
        <f>IF($B39="","",IF(AG$4&gt;2,(AF39*(1+'Rent Roll Analysis'!$AK37/12)), IF(AND('Monthly Cash Flow'!AG$4&gt;1,'Monthly Cash Flow'!AG$4&lt;=2),'Monthly Cash Flow'!AF39*(1+'Rent Roll Analysis'!$AE37/12),'Monthly Cash Flow'!AF39*(1+'Rent Roll Analysis'!$AB37/12))))</f>
        <v/>
      </c>
      <c r="AH39" s="1428" t="str">
        <f>IF($B39="","",IF(AH$4&gt;2,(AG39*(1+'Rent Roll Analysis'!$AK37/12)), IF(AND('Monthly Cash Flow'!AH$4&gt;1,'Monthly Cash Flow'!AH$4&lt;=2),'Monthly Cash Flow'!AG39*(1+'Rent Roll Analysis'!$AE37/12),'Monthly Cash Flow'!AG39*(1+'Rent Roll Analysis'!$AB37/12))))</f>
        <v/>
      </c>
      <c r="AI39" s="1428" t="str">
        <f>IF($B39="","",IF(AI$4&gt;2,(AH39*(1+'Rent Roll Analysis'!$AK37/12)), IF(AND('Monthly Cash Flow'!AI$4&gt;1,'Monthly Cash Flow'!AI$4&lt;=2),'Monthly Cash Flow'!AH39*(1+'Rent Roll Analysis'!$AE37/12),'Monthly Cash Flow'!AH39*(1+'Rent Roll Analysis'!$AB37/12))))</f>
        <v/>
      </c>
      <c r="AJ39" s="1428" t="str">
        <f>IF($B39="","",IF(AJ$4&gt;2,(AI39*(1+'Rent Roll Analysis'!$AK37/12)), IF(AND('Monthly Cash Flow'!AJ$4&gt;1,'Monthly Cash Flow'!AJ$4&lt;=2),'Monthly Cash Flow'!AI39*(1+'Rent Roll Analysis'!$AE37/12),'Monthly Cash Flow'!AI39*(1+'Rent Roll Analysis'!$AB37/12))))</f>
        <v/>
      </c>
      <c r="AK39" s="1428" t="str">
        <f>IF($B39="","",IF(AK$4&gt;2,(AJ39*(1+'Rent Roll Analysis'!$AK37/12)), IF(AND('Monthly Cash Flow'!AK$4&gt;1,'Monthly Cash Flow'!AK$4&lt;=2),'Monthly Cash Flow'!AJ39*(1+'Rent Roll Analysis'!$AE37/12),'Monthly Cash Flow'!AJ39*(1+'Rent Roll Analysis'!$AB37/12))))</f>
        <v/>
      </c>
      <c r="AL39" s="1428" t="str">
        <f>IF($B39="","",IF(AL$4&gt;2,(AK39*(1+'Rent Roll Analysis'!$AK37/12)), IF(AND('Monthly Cash Flow'!AL$4&gt;1,'Monthly Cash Flow'!AL$4&lt;=2),'Monthly Cash Flow'!AK39*(1+'Rent Roll Analysis'!$AE37/12),'Monthly Cash Flow'!AK39*(1+'Rent Roll Analysis'!$AB37/12))))</f>
        <v/>
      </c>
      <c r="AM39" s="1428" t="str">
        <f>IF($B39="","",IF(AM$4&gt;2,(AL39*(1+'Rent Roll Analysis'!$AK37/12)), IF(AND('Monthly Cash Flow'!AM$4&gt;1,'Monthly Cash Flow'!AM$4&lt;=2),'Monthly Cash Flow'!AL39*(1+'Rent Roll Analysis'!$AE37/12),'Monthly Cash Flow'!AL39*(1+'Rent Roll Analysis'!$AB37/12))))</f>
        <v/>
      </c>
      <c r="AN39" s="1428" t="str">
        <f>IF($B39="","",IF(AN$4&gt;2,(AM39*(1+'Rent Roll Analysis'!$AK37/12)), IF(AND('Monthly Cash Flow'!AN$4&gt;1,'Monthly Cash Flow'!AN$4&lt;=2),'Monthly Cash Flow'!AM39*(1+'Rent Roll Analysis'!$AE37/12),'Monthly Cash Flow'!AM39*(1+'Rent Roll Analysis'!$AB37/12))))</f>
        <v/>
      </c>
      <c r="AO39" s="1428" t="str">
        <f>IF($B39="","",IF(AO$4&gt;2,(AN39*(1+'Rent Roll Analysis'!$AK37/12)), IF(AND('Monthly Cash Flow'!AO$4&gt;1,'Monthly Cash Flow'!AO$4&lt;=2),'Monthly Cash Flow'!AN39*(1+'Rent Roll Analysis'!$AE37/12),'Monthly Cash Flow'!AN39*(1+'Rent Roll Analysis'!$AB37/12))))</f>
        <v/>
      </c>
      <c r="AP39" s="1428" t="str">
        <f>IF($B39="","",IF(AP$4&gt;2,(AO39*(1+'Rent Roll Analysis'!$AK37/12)), IF(AND('Monthly Cash Flow'!AP$4&gt;1,'Monthly Cash Flow'!AP$4&lt;=2),'Monthly Cash Flow'!AO39*(1+'Rent Roll Analysis'!$AE37/12),'Monthly Cash Flow'!AO39*(1+'Rent Roll Analysis'!$AB37/12))))</f>
        <v/>
      </c>
      <c r="AQ39" s="1428" t="str">
        <f>IF($B39="","",IF(AQ$4&gt;2,(AP39*(1+'Rent Roll Analysis'!$AK37/12)), IF(AND('Monthly Cash Flow'!AQ$4&gt;1,'Monthly Cash Flow'!AQ$4&lt;=2),'Monthly Cash Flow'!AP39*(1+'Rent Roll Analysis'!$AE37/12),'Monthly Cash Flow'!AP39*(1+'Rent Roll Analysis'!$AB37/12))))</f>
        <v/>
      </c>
      <c r="AR39" s="1428" t="str">
        <f>IF($B39="","",IF(AR$4&gt;2,(AQ39*(1+'Rent Roll Analysis'!$AK37/12)), IF(AND('Monthly Cash Flow'!AR$4&gt;1,'Monthly Cash Flow'!AR$4&lt;=2),'Monthly Cash Flow'!AQ39*(1+'Rent Roll Analysis'!$AE37/12),'Monthly Cash Flow'!AQ39*(1+'Rent Roll Analysis'!$AB37/12))))</f>
        <v/>
      </c>
      <c r="AS39" s="1428" t="str">
        <f>IF($B39="","",IF(AS$4&gt;2,(AR39*(1+'Rent Roll Analysis'!$AK37/12)), IF(AND('Monthly Cash Flow'!AS$4&gt;1,'Monthly Cash Flow'!AS$4&lt;=2),'Monthly Cash Flow'!AR39*(1+'Rent Roll Analysis'!$AE37/12),'Monthly Cash Flow'!AR39*(1+'Rent Roll Analysis'!$AB37/12))))</f>
        <v/>
      </c>
      <c r="AT39" s="1428" t="str">
        <f>IF($B39="","",IF(AT$4&gt;2,(AS39*(1+'Rent Roll Analysis'!$AK37/12)), IF(AND('Monthly Cash Flow'!AT$4&gt;1,'Monthly Cash Flow'!AT$4&lt;=2),'Monthly Cash Flow'!AS39*(1+'Rent Roll Analysis'!$AE37/12),'Monthly Cash Flow'!AS39*(1+'Rent Roll Analysis'!$AB37/12))))</f>
        <v/>
      </c>
      <c r="AU39" s="1428" t="str">
        <f>IF($B39="","",IF(AU$4&gt;2,(AT39*(1+'Rent Roll Analysis'!$AK37/12)), IF(AND('Monthly Cash Flow'!AU$4&gt;1,'Monthly Cash Flow'!AU$4&lt;=2),'Monthly Cash Flow'!AT39*(1+'Rent Roll Analysis'!$AE37/12),'Monthly Cash Flow'!AT39*(1+'Rent Roll Analysis'!$AB37/12))))</f>
        <v/>
      </c>
      <c r="AV39" s="1428" t="str">
        <f>IF($B39="","",IF(AV$4&gt;2,(AU39*(1+'Rent Roll Analysis'!$AK37/12)), IF(AND('Monthly Cash Flow'!AV$4&gt;1,'Monthly Cash Flow'!AV$4&lt;=2),'Monthly Cash Flow'!AU39*(1+'Rent Roll Analysis'!$AE37/12),'Monthly Cash Flow'!AU39*(1+'Rent Roll Analysis'!$AB37/12))))</f>
        <v/>
      </c>
      <c r="AW39" s="1428" t="str">
        <f>IF($B39="","",IF(AW$4&gt;2,(AV39*(1+'Rent Roll Analysis'!$AK37/12)), IF(AND('Monthly Cash Flow'!AW$4&gt;1,'Monthly Cash Flow'!AW$4&lt;=2),'Monthly Cash Flow'!AV39*(1+'Rent Roll Analysis'!$AE37/12),'Monthly Cash Flow'!AV39*(1+'Rent Roll Analysis'!$AB37/12))))</f>
        <v/>
      </c>
      <c r="AX39" s="1428" t="str">
        <f>IF($B39="","",IF(AX$4&gt;2,(AW39*(1+'Rent Roll Analysis'!$AK37/12)), IF(AND('Monthly Cash Flow'!AX$4&gt;1,'Monthly Cash Flow'!AX$4&lt;=2),'Monthly Cash Flow'!AW39*(1+'Rent Roll Analysis'!$AE37/12),'Monthly Cash Flow'!AW39*(1+'Rent Roll Analysis'!$AB37/12))))</f>
        <v/>
      </c>
      <c r="AY39" s="1428" t="str">
        <f>IF($B39="","",IF(AY$4&gt;2,(AX39*(1+'Rent Roll Analysis'!$AK37/12)), IF(AND('Monthly Cash Flow'!AY$4&gt;1,'Monthly Cash Flow'!AY$4&lt;=2),'Monthly Cash Flow'!AX39*(1+'Rent Roll Analysis'!$AE37/12),'Monthly Cash Flow'!AX39*(1+'Rent Roll Analysis'!$AB37/12))))</f>
        <v/>
      </c>
      <c r="AZ39" s="1428" t="str">
        <f>IF($B39="","",IF(AZ$4&gt;2,(AY39*(1+'Rent Roll Analysis'!$AK37/12)), IF(AND('Monthly Cash Flow'!AZ$4&gt;1,'Monthly Cash Flow'!AZ$4&lt;=2),'Monthly Cash Flow'!AY39*(1+'Rent Roll Analysis'!$AE37/12),'Monthly Cash Flow'!AY39*(1+'Rent Roll Analysis'!$AB37/12))))</f>
        <v/>
      </c>
      <c r="BA39" s="1428" t="str">
        <f>IF($B39="","",IF(BA$4&gt;2,(AZ39*(1+'Rent Roll Analysis'!$AK37/12)), IF(AND('Monthly Cash Flow'!BA$4&gt;1,'Monthly Cash Flow'!BA$4&lt;=2),'Monthly Cash Flow'!AZ39*(1+'Rent Roll Analysis'!$AE37/12),'Monthly Cash Flow'!AZ39*(1+'Rent Roll Analysis'!$AB37/12))))</f>
        <v/>
      </c>
      <c r="BB39" s="1428" t="str">
        <f>IF($B39="","",IF(BB$4&gt;2,(BA39*(1+'Rent Roll Analysis'!$AK37/12)), IF(AND('Monthly Cash Flow'!BB$4&gt;1,'Monthly Cash Flow'!BB$4&lt;=2),'Monthly Cash Flow'!BA39*(1+'Rent Roll Analysis'!$AE37/12),'Monthly Cash Flow'!BA39*(1+'Rent Roll Analysis'!$AB37/12))))</f>
        <v/>
      </c>
      <c r="BC39" s="1428" t="str">
        <f>IF($B39="","",IF(BC$4&gt;2,(BB39*(1+'Rent Roll Analysis'!$AK37/12)), IF(AND('Monthly Cash Flow'!BC$4&gt;1,'Monthly Cash Flow'!BC$4&lt;=2),'Monthly Cash Flow'!BB39*(1+'Rent Roll Analysis'!$AE37/12),'Monthly Cash Flow'!BB39*(1+'Rent Roll Analysis'!$AB37/12))))</f>
        <v/>
      </c>
      <c r="BD39" s="1428" t="str">
        <f>IF($B39="","",IF(BD$4&gt;2,(BC39*(1+'Rent Roll Analysis'!$AK37/12)), IF(AND('Monthly Cash Flow'!BD$4&gt;1,'Monthly Cash Flow'!BD$4&lt;=2),'Monthly Cash Flow'!BC39*(1+'Rent Roll Analysis'!$AE37/12),'Monthly Cash Flow'!BC39*(1+'Rent Roll Analysis'!$AB37/12))))</f>
        <v/>
      </c>
      <c r="BE39" s="1428" t="str">
        <f>IF($B39="","",IF(BE$4&gt;2,(BD39*(1+'Rent Roll Analysis'!$AK37/12)), IF(AND('Monthly Cash Flow'!BE$4&gt;1,'Monthly Cash Flow'!BE$4&lt;=2),'Monthly Cash Flow'!BD39*(1+'Rent Roll Analysis'!$AE37/12),'Monthly Cash Flow'!BD39*(1+'Rent Roll Analysis'!$AB37/12))))</f>
        <v/>
      </c>
      <c r="BF39" s="1428" t="str">
        <f>IF($B39="","",IF(BF$4&gt;2,(BE39*(1+'Rent Roll Analysis'!$AK37/12)), IF(AND('Monthly Cash Flow'!BF$4&gt;1,'Monthly Cash Flow'!BF$4&lt;=2),'Monthly Cash Flow'!BE39*(1+'Rent Roll Analysis'!$AE37/12),'Monthly Cash Flow'!BE39*(1+'Rent Roll Analysis'!$AB37/12))))</f>
        <v/>
      </c>
      <c r="BG39" s="1428" t="str">
        <f>IF($B39="","",IF(BG$4&gt;2,(BF39*(1+'Rent Roll Analysis'!$AK37/12)), IF(AND('Monthly Cash Flow'!BG$4&gt;1,'Monthly Cash Flow'!BG$4&lt;=2),'Monthly Cash Flow'!BF39*(1+'Rent Roll Analysis'!$AE37/12),'Monthly Cash Flow'!BF39*(1+'Rent Roll Analysis'!$AB37/12))))</f>
        <v/>
      </c>
      <c r="BH39" s="1428" t="str">
        <f>IF($B39="","",IF(BH$4&gt;2,(BG39*(1+'Rent Roll Analysis'!$AK37/12)), IF(AND('Monthly Cash Flow'!BH$4&gt;1,'Monthly Cash Flow'!BH$4&lt;=2),'Monthly Cash Flow'!BG39*(1+'Rent Roll Analysis'!$AE37/12),'Monthly Cash Flow'!BG39*(1+'Rent Roll Analysis'!$AB37/12))))</f>
        <v/>
      </c>
      <c r="BI39" s="1428" t="str">
        <f>IF($B39="","",IF(BI$4&gt;2,(BH39*(1+'Rent Roll Analysis'!$AK37/12)), IF(AND('Monthly Cash Flow'!BI$4&gt;1,'Monthly Cash Flow'!BI$4&lt;=2),'Monthly Cash Flow'!BH39*(1+'Rent Roll Analysis'!$AE37/12),'Monthly Cash Flow'!BH39*(1+'Rent Roll Analysis'!$AB37/12))))</f>
        <v/>
      </c>
      <c r="BJ39" s="1428" t="str">
        <f>IF($B39="","",IF(BJ$4&gt;2,(BI39*(1+'Rent Roll Analysis'!$AK37/12)), IF(AND('Monthly Cash Flow'!BJ$4&gt;1,'Monthly Cash Flow'!BJ$4&lt;=2),'Monthly Cash Flow'!BI39*(1+'Rent Roll Analysis'!$AE37/12),'Monthly Cash Flow'!BI39*(1+'Rent Roll Analysis'!$AB37/12))))</f>
        <v/>
      </c>
      <c r="BK39" s="1428" t="str">
        <f>IF($B39="","",IF(BK$4&gt;2,(BJ39*(1+'Rent Roll Analysis'!$AK37/12)), IF(AND('Monthly Cash Flow'!BK$4&gt;1,'Monthly Cash Flow'!BK$4&lt;=2),'Monthly Cash Flow'!BJ39*(1+'Rent Roll Analysis'!$AE37/12),'Monthly Cash Flow'!BJ39*(1+'Rent Roll Analysis'!$AB37/12))))</f>
        <v/>
      </c>
      <c r="BL39" s="1428" t="str">
        <f>IF($B39="","",IF(BL$4&gt;2,(BK39*(1+'Rent Roll Analysis'!$AK37/12)), IF(AND('Monthly Cash Flow'!BL$4&gt;1,'Monthly Cash Flow'!BL$4&lt;=2),'Monthly Cash Flow'!BK39*(1+'Rent Roll Analysis'!$AE37/12),'Monthly Cash Flow'!BK39*(1+'Rent Roll Analysis'!$AB37/12))))</f>
        <v/>
      </c>
      <c r="BM39" s="1428" t="str">
        <f>IF($B39="","",IF(BM$4&gt;2,(BL39*(1+'Rent Roll Analysis'!$AK37/12)), IF(AND('Monthly Cash Flow'!BM$4&gt;1,'Monthly Cash Flow'!BM$4&lt;=2),'Monthly Cash Flow'!BL39*(1+'Rent Roll Analysis'!$AE37/12),'Monthly Cash Flow'!BL39*(1+'Rent Roll Analysis'!$AB37/12))))</f>
        <v/>
      </c>
      <c r="BN39" s="1428" t="str">
        <f>IF($B39="","",IF(BN$4&gt;2,(BM39*(1+'Rent Roll Analysis'!$AK37/12)), IF(AND('Monthly Cash Flow'!BN$4&gt;1,'Monthly Cash Flow'!BN$4&lt;=2),'Monthly Cash Flow'!BM39*(1+'Rent Roll Analysis'!$AE37/12),'Monthly Cash Flow'!BM39*(1+'Rent Roll Analysis'!$AB37/12))))</f>
        <v/>
      </c>
      <c r="BO39" s="1428" t="str">
        <f>IF($B39="","",IF(BO$4&gt;2,(BN39*(1+'Rent Roll Analysis'!$AK37/12)), IF(AND('Monthly Cash Flow'!BO$4&gt;1,'Monthly Cash Flow'!BO$4&lt;=2),'Monthly Cash Flow'!BN39*(1+'Rent Roll Analysis'!$AE37/12),'Monthly Cash Flow'!BN39*(1+'Rent Roll Analysis'!$AB37/12))))</f>
        <v/>
      </c>
      <c r="BP39" s="1428" t="str">
        <f>IF($B39="","",IF(BP$4&gt;2,(BO39*(1+'Rent Roll Analysis'!$AK37/12)), IF(AND('Monthly Cash Flow'!BP$4&gt;1,'Monthly Cash Flow'!BP$4&lt;=2),'Monthly Cash Flow'!BO39*(1+'Rent Roll Analysis'!$AE37/12),'Monthly Cash Flow'!BO39*(1+'Rent Roll Analysis'!$AB37/12))))</f>
        <v/>
      </c>
      <c r="BQ39" s="1428" t="str">
        <f>IF($B39="","",IF(BQ$4&gt;2,(BP39*(1+'Rent Roll Analysis'!$AK37/12)), IF(AND('Monthly Cash Flow'!BQ$4&gt;1,'Monthly Cash Flow'!BQ$4&lt;=2),'Monthly Cash Flow'!BP39*(1+'Rent Roll Analysis'!$AE37/12),'Monthly Cash Flow'!BP39*(1+'Rent Roll Analysis'!$AB37/12))))</f>
        <v/>
      </c>
      <c r="BR39" s="1428" t="str">
        <f>IF($B39="","",IF(BR$4&gt;2,(BQ39*(1+'Rent Roll Analysis'!$AK37/12)), IF(AND('Monthly Cash Flow'!BR$4&gt;1,'Monthly Cash Flow'!BR$4&lt;=2),'Monthly Cash Flow'!BQ39*(1+'Rent Roll Analysis'!$AE37/12),'Monthly Cash Flow'!BQ39*(1+'Rent Roll Analysis'!$AB37/12))))</f>
        <v/>
      </c>
      <c r="BS39" s="1428" t="str">
        <f>IF($B39="","",IF(BS$4&gt;2,(BR39*(1+'Rent Roll Analysis'!$AK37/12)), IF(AND('Monthly Cash Flow'!BS$4&gt;1,'Monthly Cash Flow'!BS$4&lt;=2),'Monthly Cash Flow'!BR39*(1+'Rent Roll Analysis'!$AE37/12),'Monthly Cash Flow'!BR39*(1+'Rent Roll Analysis'!$AB37/12))))</f>
        <v/>
      </c>
      <c r="BT39" s="1428" t="str">
        <f>IF($B39="","",IF(BT$4&gt;2,(BS39*(1+'Rent Roll Analysis'!$AK37/12)), IF(AND('Monthly Cash Flow'!BT$4&gt;1,'Monthly Cash Flow'!BT$4&lt;=2),'Monthly Cash Flow'!BS39*(1+'Rent Roll Analysis'!$AE37/12),'Monthly Cash Flow'!BS39*(1+'Rent Roll Analysis'!$AB37/12))))</f>
        <v/>
      </c>
      <c r="BU39" s="1428" t="str">
        <f>IF($B39="","",IF(BU$4&gt;2,(BT39*(1+'Rent Roll Analysis'!$AK37/12)), IF(AND('Monthly Cash Flow'!BU$4&gt;1,'Monthly Cash Flow'!BU$4&lt;=2),'Monthly Cash Flow'!BT39*(1+'Rent Roll Analysis'!$AE37/12),'Monthly Cash Flow'!BT39*(1+'Rent Roll Analysis'!$AB37/12))))</f>
        <v/>
      </c>
      <c r="BV39" s="1428" t="str">
        <f>IF($B39="","",IF(BV$4&gt;2,(BU39*(1+'Rent Roll Analysis'!$AK37/12)), IF(AND('Monthly Cash Flow'!BV$4&gt;1,'Monthly Cash Flow'!BV$4&lt;=2),'Monthly Cash Flow'!BU39*(1+'Rent Roll Analysis'!$AE37/12),'Monthly Cash Flow'!BU39*(1+'Rent Roll Analysis'!$AB37/12))))</f>
        <v/>
      </c>
      <c r="BW39" s="1428" t="str">
        <f>IF($B39="","",IF(BW$4&gt;2,(BV39*(1+'Rent Roll Analysis'!$AK37/12)), IF(AND('Monthly Cash Flow'!BW$4&gt;1,'Monthly Cash Flow'!BW$4&lt;=2),'Monthly Cash Flow'!BV39*(1+'Rent Roll Analysis'!$AE37/12),'Monthly Cash Flow'!BV39*(1+'Rent Roll Analysis'!$AB37/12))))</f>
        <v/>
      </c>
      <c r="BX39" s="1428" t="str">
        <f>IF($B39="","",IF(BX$4&gt;2,(BW39*(1+'Rent Roll Analysis'!$AK37/12)), IF(AND('Monthly Cash Flow'!BX$4&gt;1,'Monthly Cash Flow'!BX$4&lt;=2),'Monthly Cash Flow'!BW39*(1+'Rent Roll Analysis'!$AE37/12),'Monthly Cash Flow'!BW39*(1+'Rent Roll Analysis'!$AB37/12))))</f>
        <v/>
      </c>
      <c r="BY39" s="1428" t="str">
        <f>IF($B39="","",IF(BY$4&gt;2,(BX39*(1+'Rent Roll Analysis'!$AK37/12)), IF(AND('Monthly Cash Flow'!BY$4&gt;1,'Monthly Cash Flow'!BY$4&lt;=2),'Monthly Cash Flow'!BX39*(1+'Rent Roll Analysis'!$AE37/12),'Monthly Cash Flow'!BX39*(1+'Rent Roll Analysis'!$AB37/12))))</f>
        <v/>
      </c>
      <c r="BZ39" s="1428" t="str">
        <f>IF($B39="","",IF(BZ$4&gt;2,(BY39*(1+'Rent Roll Analysis'!$AK37/12)), IF(AND('Monthly Cash Flow'!BZ$4&gt;1,'Monthly Cash Flow'!BZ$4&lt;=2),'Monthly Cash Flow'!BY39*(1+'Rent Roll Analysis'!$AE37/12),'Monthly Cash Flow'!BY39*(1+'Rent Roll Analysis'!$AB37/12))))</f>
        <v/>
      </c>
      <c r="CA39" s="1428" t="str">
        <f>IF($B39="","",IF(CA$4&gt;2,(BZ39*(1+'Rent Roll Analysis'!$AK37/12)), IF(AND('Monthly Cash Flow'!CA$4&gt;1,'Monthly Cash Flow'!CA$4&lt;=2),'Monthly Cash Flow'!BZ39*(1+'Rent Roll Analysis'!$AE37/12),'Monthly Cash Flow'!BZ39*(1+'Rent Roll Analysis'!$AB37/12))))</f>
        <v/>
      </c>
      <c r="CB39" s="1428" t="str">
        <f>IF($B39="","",IF(CB$4&gt;2,(CA39*(1+'Rent Roll Analysis'!$AK37/12)), IF(AND('Monthly Cash Flow'!CB$4&gt;1,'Monthly Cash Flow'!CB$4&lt;=2),'Monthly Cash Flow'!CA39*(1+'Rent Roll Analysis'!$AE37/12),'Monthly Cash Flow'!CA39*(1+'Rent Roll Analysis'!$AB37/12))))</f>
        <v/>
      </c>
      <c r="CC39" s="1428" t="str">
        <f>IF($B39="","",IF(CC$4&gt;2,(CB39*(1+'Rent Roll Analysis'!$AK37/12)), IF(AND('Monthly Cash Flow'!CC$4&gt;1,'Monthly Cash Flow'!CC$4&lt;=2),'Monthly Cash Flow'!CB39*(1+'Rent Roll Analysis'!$AE37/12),'Monthly Cash Flow'!CB39*(1+'Rent Roll Analysis'!$AB37/12))))</f>
        <v/>
      </c>
      <c r="CD39" s="1428" t="str">
        <f>IF($B39="","",IF(CD$4&gt;2,(CC39*(1+'Rent Roll Analysis'!$AK37/12)), IF(AND('Monthly Cash Flow'!CD$4&gt;1,'Monthly Cash Flow'!CD$4&lt;=2),'Monthly Cash Flow'!CC39*(1+'Rent Roll Analysis'!$AE37/12),'Monthly Cash Flow'!CC39*(1+'Rent Roll Analysis'!$AB37/12))))</f>
        <v/>
      </c>
      <c r="CE39" s="1428" t="str">
        <f>IF($B39="","",IF(CE$4&gt;2,(CD39*(1+'Rent Roll Analysis'!$AK37/12)), IF(AND('Monthly Cash Flow'!CE$4&gt;1,'Monthly Cash Flow'!CE$4&lt;=2),'Monthly Cash Flow'!CD39*(1+'Rent Roll Analysis'!$AE37/12),'Monthly Cash Flow'!CD39*(1+'Rent Roll Analysis'!$AB37/12))))</f>
        <v/>
      </c>
      <c r="CF39" s="1428" t="str">
        <f>IF($B39="","",IF(CF$4&gt;2,(CE39*(1+'Rent Roll Analysis'!$AK37/12)), IF(AND('Monthly Cash Flow'!CF$4&gt;1,'Monthly Cash Flow'!CF$4&lt;=2),'Monthly Cash Flow'!CE39*(1+'Rent Roll Analysis'!$AE37/12),'Monthly Cash Flow'!CE39*(1+'Rent Roll Analysis'!$AB37/12))))</f>
        <v/>
      </c>
      <c r="CG39" s="1428" t="str">
        <f>IF($B39="","",IF(CG$4&gt;2,(CF39*(1+'Rent Roll Analysis'!$AK37/12)), IF(AND('Monthly Cash Flow'!CG$4&gt;1,'Monthly Cash Flow'!CG$4&lt;=2),'Monthly Cash Flow'!CF39*(1+'Rent Roll Analysis'!$AE37/12),'Monthly Cash Flow'!CF39*(1+'Rent Roll Analysis'!$AB37/12))))</f>
        <v/>
      </c>
      <c r="CH39" s="1428" t="str">
        <f>IF($B39="","",IF(CH$4&gt;2,(CG39*(1+'Rent Roll Analysis'!$AK37/12)), IF(AND('Monthly Cash Flow'!CH$4&gt;1,'Monthly Cash Flow'!CH$4&lt;=2),'Monthly Cash Flow'!CG39*(1+'Rent Roll Analysis'!$AE37/12),'Monthly Cash Flow'!CG39*(1+'Rent Roll Analysis'!$AB37/12))))</f>
        <v/>
      </c>
      <c r="CI39" s="1428" t="str">
        <f>IF($B39="","",IF(CI$4&gt;2,(CH39*(1+'Rent Roll Analysis'!$AK37/12)), IF(AND('Monthly Cash Flow'!CI$4&gt;1,'Monthly Cash Flow'!CI$4&lt;=2),'Monthly Cash Flow'!CH39*(1+'Rent Roll Analysis'!$AE37/12),'Monthly Cash Flow'!CH39*(1+'Rent Roll Analysis'!$AB37/12))))</f>
        <v/>
      </c>
      <c r="CJ39" s="1428" t="str">
        <f>IF($B39="","",IF(CJ$4&gt;2,(CI39*(1+'Rent Roll Analysis'!$AK37/12)), IF(AND('Monthly Cash Flow'!CJ$4&gt;1,'Monthly Cash Flow'!CJ$4&lt;=2),'Monthly Cash Flow'!CI39*(1+'Rent Roll Analysis'!$AE37/12),'Monthly Cash Flow'!CI39*(1+'Rent Roll Analysis'!$AB37/12))))</f>
        <v/>
      </c>
      <c r="CK39" s="1428" t="str">
        <f>IF($B39="","",IF(CK$4&gt;2,(CJ39*(1+'Rent Roll Analysis'!$AK37/12)), IF(AND('Monthly Cash Flow'!CK$4&gt;1,'Monthly Cash Flow'!CK$4&lt;=2),'Monthly Cash Flow'!CJ39*(1+'Rent Roll Analysis'!$AE37/12),'Monthly Cash Flow'!CJ39*(1+'Rent Roll Analysis'!$AB37/12))))</f>
        <v/>
      </c>
      <c r="CL39" s="1428" t="str">
        <f>IF($B39="","",IF(CL$4&gt;2,(CK39*(1+'Rent Roll Analysis'!$AK37/12)), IF(AND('Monthly Cash Flow'!CL$4&gt;1,'Monthly Cash Flow'!CL$4&lt;=2),'Monthly Cash Flow'!CK39*(1+'Rent Roll Analysis'!$AE37/12),'Monthly Cash Flow'!CK39*(1+'Rent Roll Analysis'!$AB37/12))))</f>
        <v/>
      </c>
      <c r="CM39" s="1428" t="str">
        <f>IF($B39="","",IF(CM$4&gt;2,(CL39*(1+'Rent Roll Analysis'!$AK37/12)), IF(AND('Monthly Cash Flow'!CM$4&gt;1,'Monthly Cash Flow'!CM$4&lt;=2),'Monthly Cash Flow'!CL39*(1+'Rent Roll Analysis'!$AE37/12),'Monthly Cash Flow'!CL39*(1+'Rent Roll Analysis'!$AB37/12))))</f>
        <v/>
      </c>
      <c r="CN39" s="1428" t="str">
        <f>IF($B39="","",IF(CN$4&gt;2,(CM39*(1+'Rent Roll Analysis'!$AK37/12)), IF(AND('Monthly Cash Flow'!CN$4&gt;1,'Monthly Cash Flow'!CN$4&lt;=2),'Monthly Cash Flow'!CM39*(1+'Rent Roll Analysis'!$AE37/12),'Monthly Cash Flow'!CM39*(1+'Rent Roll Analysis'!$AB37/12))))</f>
        <v/>
      </c>
      <c r="CO39" s="1428" t="str">
        <f>IF($B39="","",IF(CO$4&gt;2,(CN39*(1+'Rent Roll Analysis'!$AK37/12)), IF(AND('Monthly Cash Flow'!CO$4&gt;1,'Monthly Cash Flow'!CO$4&lt;=2),'Monthly Cash Flow'!CN39*(1+'Rent Roll Analysis'!$AE37/12),'Monthly Cash Flow'!CN39*(1+'Rent Roll Analysis'!$AB37/12))))</f>
        <v/>
      </c>
      <c r="CP39" s="1428" t="str">
        <f>IF($B39="","",IF(CP$4&gt;2,(CO39*(1+'Rent Roll Analysis'!$AK37/12)), IF(AND('Monthly Cash Flow'!CP$4&gt;1,'Monthly Cash Flow'!CP$4&lt;=2),'Monthly Cash Flow'!CO39*(1+'Rent Roll Analysis'!$AE37/12),'Monthly Cash Flow'!CO39*(1+'Rent Roll Analysis'!$AB37/12))))</f>
        <v/>
      </c>
      <c r="CQ39" s="1428" t="str">
        <f>IF($B39="","",IF(CQ$4&gt;2,(CP39*(1+'Rent Roll Analysis'!$AK37/12)), IF(AND('Monthly Cash Flow'!CQ$4&gt;1,'Monthly Cash Flow'!CQ$4&lt;=2),'Monthly Cash Flow'!CP39*(1+'Rent Roll Analysis'!$AE37/12),'Monthly Cash Flow'!CP39*(1+'Rent Roll Analysis'!$AB37/12))))</f>
        <v/>
      </c>
      <c r="CR39" s="1428" t="str">
        <f>IF($B39="","",IF(CR$4&gt;2,(CQ39*(1+'Rent Roll Analysis'!$AK37/12)), IF(AND('Monthly Cash Flow'!CR$4&gt;1,'Monthly Cash Flow'!CR$4&lt;=2),'Monthly Cash Flow'!CQ39*(1+'Rent Roll Analysis'!$AE37/12),'Monthly Cash Flow'!CQ39*(1+'Rent Roll Analysis'!$AB37/12))))</f>
        <v/>
      </c>
      <c r="CS39" s="1428" t="str">
        <f>IF($B39="","",IF(CS$4&gt;2,(CR39*(1+'Rent Roll Analysis'!$AK37/12)), IF(AND('Monthly Cash Flow'!CS$4&gt;1,'Monthly Cash Flow'!CS$4&lt;=2),'Monthly Cash Flow'!CR39*(1+'Rent Roll Analysis'!$AE37/12),'Monthly Cash Flow'!CR39*(1+'Rent Roll Analysis'!$AB37/12))))</f>
        <v/>
      </c>
      <c r="CT39" s="1428" t="str">
        <f>IF($B39="","",IF(CT$4&gt;2,(CS39*(1+'Rent Roll Analysis'!$AK37/12)), IF(AND('Monthly Cash Flow'!CT$4&gt;1,'Monthly Cash Flow'!CT$4&lt;=2),'Monthly Cash Flow'!CS39*(1+'Rent Roll Analysis'!$AE37/12),'Monthly Cash Flow'!CS39*(1+'Rent Roll Analysis'!$AB37/12))))</f>
        <v/>
      </c>
      <c r="CU39" s="1428" t="str">
        <f>IF($B39="","",IF(CU$4&gt;2,(CT39*(1+'Rent Roll Analysis'!$AK37/12)), IF(AND('Monthly Cash Flow'!CU$4&gt;1,'Monthly Cash Flow'!CU$4&lt;=2),'Monthly Cash Flow'!CT39*(1+'Rent Roll Analysis'!$AE37/12),'Monthly Cash Flow'!CT39*(1+'Rent Roll Analysis'!$AB37/12))))</f>
        <v/>
      </c>
      <c r="CV39" s="1428" t="str">
        <f>IF($B39="","",IF(CV$4&gt;2,(CU39*(1+'Rent Roll Analysis'!$AK37/12)), IF(AND('Monthly Cash Flow'!CV$4&gt;1,'Monthly Cash Flow'!CV$4&lt;=2),'Monthly Cash Flow'!CU39*(1+'Rent Roll Analysis'!$AE37/12),'Monthly Cash Flow'!CU39*(1+'Rent Roll Analysis'!$AB37/12))))</f>
        <v/>
      </c>
      <c r="CW39" s="1428" t="str">
        <f>IF($B39="","",IF(CW$4&gt;2,(CV39*(1+'Rent Roll Analysis'!$AK37/12)), IF(AND('Monthly Cash Flow'!CW$4&gt;1,'Monthly Cash Flow'!CW$4&lt;=2),'Monthly Cash Flow'!CV39*(1+'Rent Roll Analysis'!$AE37/12),'Monthly Cash Flow'!CV39*(1+'Rent Roll Analysis'!$AB37/12))))</f>
        <v/>
      </c>
      <c r="CX39" s="1428" t="str">
        <f>IF($B39="","",IF(CX$4&gt;2,(CW39*(1+'Rent Roll Analysis'!$AK37/12)), IF(AND('Monthly Cash Flow'!CX$4&gt;1,'Monthly Cash Flow'!CX$4&lt;=2),'Monthly Cash Flow'!CW39*(1+'Rent Roll Analysis'!$AE37/12),'Monthly Cash Flow'!CW39*(1+'Rent Roll Analysis'!$AB37/12))))</f>
        <v/>
      </c>
      <c r="CY39" s="1428" t="str">
        <f>IF($B39="","",IF(CY$4&gt;2,(CX39*(1+'Rent Roll Analysis'!$AK37/12)), IF(AND('Monthly Cash Flow'!CY$4&gt;1,'Monthly Cash Flow'!CY$4&lt;=2),'Monthly Cash Flow'!CX39*(1+'Rent Roll Analysis'!$AE37/12),'Monthly Cash Flow'!CX39*(1+'Rent Roll Analysis'!$AB37/12))))</f>
        <v/>
      </c>
      <c r="CZ39" s="1428" t="str">
        <f>IF($B39="","",IF(CZ$4&gt;2,(CY39*(1+'Rent Roll Analysis'!$AK37/12)), IF(AND('Monthly Cash Flow'!CZ$4&gt;1,'Monthly Cash Flow'!CZ$4&lt;=2),'Monthly Cash Flow'!CY39*(1+'Rent Roll Analysis'!$AE37/12),'Monthly Cash Flow'!CY39*(1+'Rent Roll Analysis'!$AB37/12))))</f>
        <v/>
      </c>
      <c r="DA39" s="1428" t="str">
        <f>IF($B39="","",IF(DA$4&gt;2,(CZ39*(1+'Rent Roll Analysis'!$AK37/12)), IF(AND('Monthly Cash Flow'!DA$4&gt;1,'Monthly Cash Flow'!DA$4&lt;=2),'Monthly Cash Flow'!CZ39*(1+'Rent Roll Analysis'!$AE37/12),'Monthly Cash Flow'!CZ39*(1+'Rent Roll Analysis'!$AB37/12))))</f>
        <v/>
      </c>
      <c r="DB39" s="1428" t="str">
        <f>IF($B39="","",IF(DB$4&gt;2,(DA39*(1+'Rent Roll Analysis'!$AK37/12)), IF(AND('Monthly Cash Flow'!DB$4&gt;1,'Monthly Cash Flow'!DB$4&lt;=2),'Monthly Cash Flow'!DA39*(1+'Rent Roll Analysis'!$AE37/12),'Monthly Cash Flow'!DA39*(1+'Rent Roll Analysis'!$AB37/12))))</f>
        <v/>
      </c>
      <c r="DC39" s="1428" t="str">
        <f>IF($B39="","",IF(DC$4&gt;2,(DB39*(1+'Rent Roll Analysis'!$AK37/12)), IF(AND('Monthly Cash Flow'!DC$4&gt;1,'Monthly Cash Flow'!DC$4&lt;=2),'Monthly Cash Flow'!DB39*(1+'Rent Roll Analysis'!$AE37/12),'Monthly Cash Flow'!DB39*(1+'Rent Roll Analysis'!$AB37/12))))</f>
        <v/>
      </c>
      <c r="DD39" s="1428" t="str">
        <f>IF($B39="","",IF(DD$4&gt;2,(DC39*(1+'Rent Roll Analysis'!$AK37/12)), IF(AND('Monthly Cash Flow'!DD$4&gt;1,'Monthly Cash Flow'!DD$4&lt;=2),'Monthly Cash Flow'!DC39*(1+'Rent Roll Analysis'!$AE37/12),'Monthly Cash Flow'!DC39*(1+'Rent Roll Analysis'!$AB37/12))))</f>
        <v/>
      </c>
      <c r="DE39" s="1428" t="str">
        <f>IF($B39="","",IF(DE$4&gt;2,(DD39*(1+'Rent Roll Analysis'!$AK37/12)), IF(AND('Monthly Cash Flow'!DE$4&gt;1,'Monthly Cash Flow'!DE$4&lt;=2),'Monthly Cash Flow'!DD39*(1+'Rent Roll Analysis'!$AE37/12),'Monthly Cash Flow'!DD39*(1+'Rent Roll Analysis'!$AB37/12))))</f>
        <v/>
      </c>
      <c r="DF39" s="1428" t="str">
        <f>IF($B39="","",IF(DF$4&gt;2,(DE39*(1+'Rent Roll Analysis'!$AK37/12)), IF(AND('Monthly Cash Flow'!DF$4&gt;1,'Monthly Cash Flow'!DF$4&lt;=2),'Monthly Cash Flow'!DE39*(1+'Rent Roll Analysis'!$AE37/12),'Monthly Cash Flow'!DE39*(1+'Rent Roll Analysis'!$AB37/12))))</f>
        <v/>
      </c>
      <c r="DG39" s="1428" t="str">
        <f>IF($B39="","",IF(DG$4&gt;2,(DF39*(1+'Rent Roll Analysis'!$AK37/12)), IF(AND('Monthly Cash Flow'!DG$4&gt;1,'Monthly Cash Flow'!DG$4&lt;=2),'Monthly Cash Flow'!DF39*(1+'Rent Roll Analysis'!$AE37/12),'Monthly Cash Flow'!DF39*(1+'Rent Roll Analysis'!$AB37/12))))</f>
        <v/>
      </c>
      <c r="DH39" s="1428" t="str">
        <f>IF($B39="","",IF(DH$4&gt;2,(DG39*(1+'Rent Roll Analysis'!$AK37/12)), IF(AND('Monthly Cash Flow'!DH$4&gt;1,'Monthly Cash Flow'!DH$4&lt;=2),'Monthly Cash Flow'!DG39*(1+'Rent Roll Analysis'!$AE37/12),'Monthly Cash Flow'!DG39*(1+'Rent Roll Analysis'!$AB37/12))))</f>
        <v/>
      </c>
      <c r="DI39" s="1428" t="str">
        <f>IF($B39="","",IF(DI$4&gt;2,(DH39*(1+'Rent Roll Analysis'!$AK37/12)), IF(AND('Monthly Cash Flow'!DI$4&gt;1,'Monthly Cash Flow'!DI$4&lt;=2),'Monthly Cash Flow'!DH39*(1+'Rent Roll Analysis'!$AE37/12),'Monthly Cash Flow'!DH39*(1+'Rent Roll Analysis'!$AB37/12))))</f>
        <v/>
      </c>
      <c r="DJ39" s="1428" t="str">
        <f>IF($B39="","",IF(DJ$4&gt;2,(DI39*(1+'Rent Roll Analysis'!$AK37/12)), IF(AND('Monthly Cash Flow'!DJ$4&gt;1,'Monthly Cash Flow'!DJ$4&lt;=2),'Monthly Cash Flow'!DI39*(1+'Rent Roll Analysis'!$AE37/12),'Monthly Cash Flow'!DI39*(1+'Rent Roll Analysis'!$AB37/12))))</f>
        <v/>
      </c>
      <c r="DK39" s="1428" t="str">
        <f>IF($B39="","",IF(DK$4&gt;2,(DJ39*(1+'Rent Roll Analysis'!$AK37/12)), IF(AND('Monthly Cash Flow'!DK$4&gt;1,'Monthly Cash Flow'!DK$4&lt;=2),'Monthly Cash Flow'!DJ39*(1+'Rent Roll Analysis'!$AE37/12),'Monthly Cash Flow'!DJ39*(1+'Rent Roll Analysis'!$AB37/12))))</f>
        <v/>
      </c>
      <c r="DL39" s="1428" t="str">
        <f>IF($B39="","",IF(DL$4&gt;2,(DK39*(1+'Rent Roll Analysis'!$AK37/12)), IF(AND('Monthly Cash Flow'!DL$4&gt;1,'Monthly Cash Flow'!DL$4&lt;=2),'Monthly Cash Flow'!DK39*(1+'Rent Roll Analysis'!$AE37/12),'Monthly Cash Flow'!DK39*(1+'Rent Roll Analysis'!$AB37/12))))</f>
        <v/>
      </c>
      <c r="DM39" s="1428" t="str">
        <f>IF($B39="","",IF(DM$4&gt;2,(DL39*(1+'Rent Roll Analysis'!$AK37/12)), IF(AND('Monthly Cash Flow'!DM$4&gt;1,'Monthly Cash Flow'!DM$4&lt;=2),'Monthly Cash Flow'!DL39*(1+'Rent Roll Analysis'!$AE37/12),'Monthly Cash Flow'!DL39*(1+'Rent Roll Analysis'!$AB37/12))))</f>
        <v/>
      </c>
      <c r="DN39" s="1428" t="str">
        <f>IF($B39="","",IF(DN$4&gt;2,(DM39*(1+'Rent Roll Analysis'!$AK37/12)), IF(AND('Monthly Cash Flow'!DN$4&gt;1,'Monthly Cash Flow'!DN$4&lt;=2),'Monthly Cash Flow'!DM39*(1+'Rent Roll Analysis'!$AE37/12),'Monthly Cash Flow'!DM39*(1+'Rent Roll Analysis'!$AB37/12))))</f>
        <v/>
      </c>
      <c r="DO39" s="1428" t="str">
        <f>IF($B39="","",IF(DO$4&gt;2,(DN39*(1+'Rent Roll Analysis'!$AK37/12)), IF(AND('Monthly Cash Flow'!DO$4&gt;1,'Monthly Cash Flow'!DO$4&lt;=2),'Monthly Cash Flow'!DN39*(1+'Rent Roll Analysis'!$AE37/12),'Monthly Cash Flow'!DN39*(1+'Rent Roll Analysis'!$AB37/12))))</f>
        <v/>
      </c>
      <c r="DP39" s="1428" t="str">
        <f>IF($B39="","",IF(DP$4&gt;2,(DO39*(1+'Rent Roll Analysis'!$AK37/12)), IF(AND('Monthly Cash Flow'!DP$4&gt;1,'Monthly Cash Flow'!DP$4&lt;=2),'Monthly Cash Flow'!DO39*(1+'Rent Roll Analysis'!$AE37/12),'Monthly Cash Flow'!DO39*(1+'Rent Roll Analysis'!$AB37/12))))</f>
        <v/>
      </c>
      <c r="DQ39" s="1428" t="str">
        <f>IF($B39="","",IF(DQ$4&gt;2,(DP39*(1+'Rent Roll Analysis'!$AK37/12)), IF(AND('Monthly Cash Flow'!DQ$4&gt;1,'Monthly Cash Flow'!DQ$4&lt;=2),'Monthly Cash Flow'!DP39*(1+'Rent Roll Analysis'!$AE37/12),'Monthly Cash Flow'!DP39*(1+'Rent Roll Analysis'!$AB37/12))))</f>
        <v/>
      </c>
      <c r="DR39" s="1428" t="str">
        <f>IF($B39="","",IF(DR$4&gt;2,(DQ39*(1+'Rent Roll Analysis'!$AK37/12)), IF(AND('Monthly Cash Flow'!DR$4&gt;1,'Monthly Cash Flow'!DR$4&lt;=2),'Monthly Cash Flow'!DQ39*(1+'Rent Roll Analysis'!$AE37/12),'Monthly Cash Flow'!DQ39*(1+'Rent Roll Analysis'!$AB37/12))))</f>
        <v/>
      </c>
      <c r="DS39" s="1428" t="str">
        <f>IF($B39="","",IF(DS$4&gt;2,(DR39*(1+'Rent Roll Analysis'!$AK37/12)), IF(AND('Monthly Cash Flow'!DS$4&gt;1,'Monthly Cash Flow'!DS$4&lt;=2),'Monthly Cash Flow'!DR39*(1+'Rent Roll Analysis'!$AE37/12),'Monthly Cash Flow'!DR39*(1+'Rent Roll Analysis'!$AB37/12))))</f>
        <v/>
      </c>
      <c r="DT39" s="1428" t="str">
        <f>IF($B39="","",IF(DT$4&gt;2,(DS39*(1+'Rent Roll Analysis'!$AK37/12)), IF(AND('Monthly Cash Flow'!DT$4&gt;1,'Monthly Cash Flow'!DT$4&lt;=2),'Monthly Cash Flow'!DS39*(1+'Rent Roll Analysis'!$AE37/12),'Monthly Cash Flow'!DS39*(1+'Rent Roll Analysis'!$AB37/12))))</f>
        <v/>
      </c>
      <c r="DU39" s="385" t="s">
        <v>557</v>
      </c>
      <c r="DV39" s="375"/>
    </row>
    <row r="40" spans="1:126" s="92" customFormat="1" ht="20.149999999999999" customHeight="1" outlineLevel="1">
      <c r="A40" s="375"/>
      <c r="B40" s="383" t="str">
        <f>'Rent Roll Analysis'!C38</f>
        <v/>
      </c>
      <c r="C40" s="376"/>
      <c r="D40" s="1426" t="str">
        <f>IF('Rent Roll Analysis'!C38="","",'Rent Roll Analysis'!N38*'Rent Roll Analysis'!E38)</f>
        <v/>
      </c>
      <c r="E40" s="1428" t="str">
        <f t="shared" si="113"/>
        <v/>
      </c>
      <c r="F40" s="1428" t="str">
        <f>IF($B40="","",IF(F$4&gt;2,(E40*(1+'Rent Roll Analysis'!$AK38/12)), IF(AND('Monthly Cash Flow'!F$4&gt;1,'Monthly Cash Flow'!F$4&lt;=2),'Monthly Cash Flow'!E40*(1+'Rent Roll Analysis'!$AE38/12),'Monthly Cash Flow'!E40*(1+'Rent Roll Analysis'!$AB38/12))))</f>
        <v/>
      </c>
      <c r="G40" s="1428" t="str">
        <f>IF($B40="","",IF(G$4&gt;2,(F40*(1+'Rent Roll Analysis'!$AK38/12)), IF(AND('Monthly Cash Flow'!G$4&gt;1,'Monthly Cash Flow'!G$4&lt;=2),'Monthly Cash Flow'!F40*(1+'Rent Roll Analysis'!$AE38/12),'Monthly Cash Flow'!F40*(1+'Rent Roll Analysis'!$AB38/12))))</f>
        <v/>
      </c>
      <c r="H40" s="1428" t="str">
        <f>IF($B40="","",IF(H$4&gt;2,(G40*(1+'Rent Roll Analysis'!$AK38/12)), IF(AND('Monthly Cash Flow'!H$4&gt;1,'Monthly Cash Flow'!H$4&lt;=2),'Monthly Cash Flow'!G40*(1+'Rent Roll Analysis'!$AE38/12),'Monthly Cash Flow'!G40*(1+'Rent Roll Analysis'!$AB38/12))))</f>
        <v/>
      </c>
      <c r="I40" s="1428" t="str">
        <f>IF($B40="","",IF(I$4&gt;2,(H40*(1+'Rent Roll Analysis'!$AK38/12)), IF(AND('Monthly Cash Flow'!I$4&gt;1,'Monthly Cash Flow'!I$4&lt;=2),'Monthly Cash Flow'!H40*(1+'Rent Roll Analysis'!$AE38/12),'Monthly Cash Flow'!H40*(1+'Rent Roll Analysis'!$AB38/12))))</f>
        <v/>
      </c>
      <c r="J40" s="1428" t="str">
        <f>IF($B40="","",IF(J$4&gt;2,(I40*(1+'Rent Roll Analysis'!$AK38/12)), IF(AND('Monthly Cash Flow'!J$4&gt;1,'Monthly Cash Flow'!J$4&lt;=2),'Monthly Cash Flow'!I40*(1+'Rent Roll Analysis'!$AE38/12),'Monthly Cash Flow'!I40*(1+'Rent Roll Analysis'!$AB38/12))))</f>
        <v/>
      </c>
      <c r="K40" s="1428" t="str">
        <f>IF($B40="","",IF(K$4&gt;2,(J40*(1+'Rent Roll Analysis'!$AK38/12)), IF(AND('Monthly Cash Flow'!K$4&gt;1,'Monthly Cash Flow'!K$4&lt;=2),'Monthly Cash Flow'!J40*(1+'Rent Roll Analysis'!$AE38/12),'Monthly Cash Flow'!J40*(1+'Rent Roll Analysis'!$AB38/12))))</f>
        <v/>
      </c>
      <c r="L40" s="1428" t="str">
        <f>IF($B40="","",IF(L$4&gt;2,(K40*(1+'Rent Roll Analysis'!$AK38/12)), IF(AND('Monthly Cash Flow'!L$4&gt;1,'Monthly Cash Flow'!L$4&lt;=2),'Monthly Cash Flow'!K40*(1+'Rent Roll Analysis'!$AE38/12),'Monthly Cash Flow'!K40*(1+'Rent Roll Analysis'!$AB38/12))))</f>
        <v/>
      </c>
      <c r="M40" s="1428" t="str">
        <f>IF($B40="","",IF(M$4&gt;2,(L40*(1+'Rent Roll Analysis'!$AK38/12)), IF(AND('Monthly Cash Flow'!M$4&gt;1,'Monthly Cash Flow'!M$4&lt;=2),'Monthly Cash Flow'!L40*(1+'Rent Roll Analysis'!$AE38/12),'Monthly Cash Flow'!L40*(1+'Rent Roll Analysis'!$AB38/12))))</f>
        <v/>
      </c>
      <c r="N40" s="1428" t="str">
        <f>IF($B40="","",IF(N$4&gt;2,(M40*(1+'Rent Roll Analysis'!$AK38/12)), IF(AND('Monthly Cash Flow'!N$4&gt;1,'Monthly Cash Flow'!N$4&lt;=2),'Monthly Cash Flow'!M40*(1+'Rent Roll Analysis'!$AE38/12),'Monthly Cash Flow'!M40*(1+'Rent Roll Analysis'!$AB38/12))))</f>
        <v/>
      </c>
      <c r="O40" s="1428" t="str">
        <f>IF($B40="","",IF(O$4&gt;2,(N40*(1+'Rent Roll Analysis'!$AK38/12)), IF(AND('Monthly Cash Flow'!O$4&gt;1,'Monthly Cash Flow'!O$4&lt;=2),'Monthly Cash Flow'!N40*(1+'Rent Roll Analysis'!$AE38/12),'Monthly Cash Flow'!N40*(1+'Rent Roll Analysis'!$AB38/12))))</f>
        <v/>
      </c>
      <c r="P40" s="1428" t="str">
        <f>IF($B40="","",IF(P$4&gt;2,(O40*(1+'Rent Roll Analysis'!$AK38/12)), IF(AND('Monthly Cash Flow'!P$4&gt;1,'Monthly Cash Flow'!P$4&lt;=2),'Monthly Cash Flow'!O40*(1+'Rent Roll Analysis'!$AE38/12),'Monthly Cash Flow'!O40*(1+'Rent Roll Analysis'!$AB38/12))))</f>
        <v/>
      </c>
      <c r="Q40" s="1428" t="str">
        <f>IF($B40="","",IF(Q$4&gt;2,(P40*(1+'Rent Roll Analysis'!$AK38/12)), IF(AND('Monthly Cash Flow'!Q$4&gt;1,'Monthly Cash Flow'!Q$4&lt;=2),'Monthly Cash Flow'!P40*(1+'Rent Roll Analysis'!$AE38/12),'Monthly Cash Flow'!P40*(1+'Rent Roll Analysis'!$AB38/12))))</f>
        <v/>
      </c>
      <c r="R40" s="1428" t="str">
        <f>IF($B40="","",IF(R$4&gt;2,(Q40*(1+'Rent Roll Analysis'!$AK38/12)), IF(AND('Monthly Cash Flow'!R$4&gt;1,'Monthly Cash Flow'!R$4&lt;=2),'Monthly Cash Flow'!Q40*(1+'Rent Roll Analysis'!$AE38/12),'Monthly Cash Flow'!Q40*(1+'Rent Roll Analysis'!$AB38/12))))</f>
        <v/>
      </c>
      <c r="S40" s="1428" t="str">
        <f>IF($B40="","",IF(S$4&gt;2,(R40*(1+'Rent Roll Analysis'!$AK38/12)), IF(AND('Monthly Cash Flow'!S$4&gt;1,'Monthly Cash Flow'!S$4&lt;=2),'Monthly Cash Flow'!R40*(1+'Rent Roll Analysis'!$AE38/12),'Monthly Cash Flow'!R40*(1+'Rent Roll Analysis'!$AB38/12))))</f>
        <v/>
      </c>
      <c r="T40" s="1428" t="str">
        <f>IF($B40="","",IF(T$4&gt;2,(S40*(1+'Rent Roll Analysis'!$AK38/12)), IF(AND('Monthly Cash Flow'!T$4&gt;1,'Monthly Cash Flow'!T$4&lt;=2),'Monthly Cash Flow'!S40*(1+'Rent Roll Analysis'!$AE38/12),'Monthly Cash Flow'!S40*(1+'Rent Roll Analysis'!$AB38/12))))</f>
        <v/>
      </c>
      <c r="U40" s="1428" t="str">
        <f>IF($B40="","",IF(U$4&gt;2,(T40*(1+'Rent Roll Analysis'!$AK38/12)), IF(AND('Monthly Cash Flow'!U$4&gt;1,'Monthly Cash Flow'!U$4&lt;=2),'Monthly Cash Flow'!T40*(1+'Rent Roll Analysis'!$AE38/12),'Monthly Cash Flow'!T40*(1+'Rent Roll Analysis'!$AB38/12))))</f>
        <v/>
      </c>
      <c r="V40" s="1428" t="str">
        <f>IF($B40="","",IF(V$4&gt;2,(U40*(1+'Rent Roll Analysis'!$AK38/12)), IF(AND('Monthly Cash Flow'!V$4&gt;1,'Monthly Cash Flow'!V$4&lt;=2),'Monthly Cash Flow'!U40*(1+'Rent Roll Analysis'!$AE38/12),'Monthly Cash Flow'!U40*(1+'Rent Roll Analysis'!$AB38/12))))</f>
        <v/>
      </c>
      <c r="W40" s="1428" t="str">
        <f>IF($B40="","",IF(W$4&gt;2,(V40*(1+'Rent Roll Analysis'!$AK38/12)), IF(AND('Monthly Cash Flow'!W$4&gt;1,'Monthly Cash Flow'!W$4&lt;=2),'Monthly Cash Flow'!V40*(1+'Rent Roll Analysis'!$AE38/12),'Monthly Cash Flow'!V40*(1+'Rent Roll Analysis'!$AB38/12))))</f>
        <v/>
      </c>
      <c r="X40" s="1428" t="str">
        <f>IF($B40="","",IF(X$4&gt;2,(W40*(1+'Rent Roll Analysis'!$AK38/12)), IF(AND('Monthly Cash Flow'!X$4&gt;1,'Monthly Cash Flow'!X$4&lt;=2),'Monthly Cash Flow'!W40*(1+'Rent Roll Analysis'!$AE38/12),'Monthly Cash Flow'!W40*(1+'Rent Roll Analysis'!$AB38/12))))</f>
        <v/>
      </c>
      <c r="Y40" s="1428" t="str">
        <f>IF($B40="","",IF(Y$4&gt;2,(X40*(1+'Rent Roll Analysis'!$AK38/12)), IF(AND('Monthly Cash Flow'!Y$4&gt;1,'Monthly Cash Flow'!Y$4&lt;=2),'Monthly Cash Flow'!X40*(1+'Rent Roll Analysis'!$AE38/12),'Monthly Cash Flow'!X40*(1+'Rent Roll Analysis'!$AB38/12))))</f>
        <v/>
      </c>
      <c r="Z40" s="1428" t="str">
        <f>IF($B40="","",IF(Z$4&gt;2,(Y40*(1+'Rent Roll Analysis'!$AK38/12)), IF(AND('Monthly Cash Flow'!Z$4&gt;1,'Monthly Cash Flow'!Z$4&lt;=2),'Monthly Cash Flow'!Y40*(1+'Rent Roll Analysis'!$AE38/12),'Monthly Cash Flow'!Y40*(1+'Rent Roll Analysis'!$AB38/12))))</f>
        <v/>
      </c>
      <c r="AA40" s="1428" t="str">
        <f>IF($B40="","",IF(AA$4&gt;2,(Z40*(1+'Rent Roll Analysis'!$AK38/12)), IF(AND('Monthly Cash Flow'!AA$4&gt;1,'Monthly Cash Flow'!AA$4&lt;=2),'Monthly Cash Flow'!Z40*(1+'Rent Roll Analysis'!$AE38/12),'Monthly Cash Flow'!Z40*(1+'Rent Roll Analysis'!$AB38/12))))</f>
        <v/>
      </c>
      <c r="AB40" s="1428" t="str">
        <f>IF($B40="","",IF(AB$4&gt;2,(AA40*(1+'Rent Roll Analysis'!$AK38/12)), IF(AND('Monthly Cash Flow'!AB$4&gt;1,'Monthly Cash Flow'!AB$4&lt;=2),'Monthly Cash Flow'!AA40*(1+'Rent Roll Analysis'!$AE38/12),'Monthly Cash Flow'!AA40*(1+'Rent Roll Analysis'!$AB38/12))))</f>
        <v/>
      </c>
      <c r="AC40" s="1428" t="str">
        <f>IF($B40="","",IF(AC$4&gt;2,(AB40*(1+'Rent Roll Analysis'!$AK38/12)), IF(AND('Monthly Cash Flow'!AC$4&gt;1,'Monthly Cash Flow'!AC$4&lt;=2),'Monthly Cash Flow'!AB40*(1+'Rent Roll Analysis'!$AE38/12),'Monthly Cash Flow'!AB40*(1+'Rent Roll Analysis'!$AB38/12))))</f>
        <v/>
      </c>
      <c r="AD40" s="1428" t="str">
        <f>IF($B40="","",IF(AD$4&gt;2,(AC40*(1+'Rent Roll Analysis'!$AK38/12)), IF(AND('Monthly Cash Flow'!AD$4&gt;1,'Monthly Cash Flow'!AD$4&lt;=2),'Monthly Cash Flow'!AC40*(1+'Rent Roll Analysis'!$AE38/12),'Monthly Cash Flow'!AC40*(1+'Rent Roll Analysis'!$AB38/12))))</f>
        <v/>
      </c>
      <c r="AE40" s="1428" t="str">
        <f>IF($B40="","",IF(AE$4&gt;2,(AD40*(1+'Rent Roll Analysis'!$AK38/12)), IF(AND('Monthly Cash Flow'!AE$4&gt;1,'Monthly Cash Flow'!AE$4&lt;=2),'Monthly Cash Flow'!AD40*(1+'Rent Roll Analysis'!$AE38/12),'Monthly Cash Flow'!AD40*(1+'Rent Roll Analysis'!$AB38/12))))</f>
        <v/>
      </c>
      <c r="AF40" s="1428" t="str">
        <f>IF($B40="","",IF(AF$4&gt;2,(AE40*(1+'Rent Roll Analysis'!$AK38/12)), IF(AND('Monthly Cash Flow'!AF$4&gt;1,'Monthly Cash Flow'!AF$4&lt;=2),'Monthly Cash Flow'!AE40*(1+'Rent Roll Analysis'!$AE38/12),'Monthly Cash Flow'!AE40*(1+'Rent Roll Analysis'!$AB38/12))))</f>
        <v/>
      </c>
      <c r="AG40" s="1428" t="str">
        <f>IF($B40="","",IF(AG$4&gt;2,(AF40*(1+'Rent Roll Analysis'!$AK38/12)), IF(AND('Monthly Cash Flow'!AG$4&gt;1,'Monthly Cash Flow'!AG$4&lt;=2),'Monthly Cash Flow'!AF40*(1+'Rent Roll Analysis'!$AE38/12),'Monthly Cash Flow'!AF40*(1+'Rent Roll Analysis'!$AB38/12))))</f>
        <v/>
      </c>
      <c r="AH40" s="1428" t="str">
        <f>IF($B40="","",IF(AH$4&gt;2,(AG40*(1+'Rent Roll Analysis'!$AK38/12)), IF(AND('Monthly Cash Flow'!AH$4&gt;1,'Monthly Cash Flow'!AH$4&lt;=2),'Monthly Cash Flow'!AG40*(1+'Rent Roll Analysis'!$AE38/12),'Monthly Cash Flow'!AG40*(1+'Rent Roll Analysis'!$AB38/12))))</f>
        <v/>
      </c>
      <c r="AI40" s="1428" t="str">
        <f>IF($B40="","",IF(AI$4&gt;2,(AH40*(1+'Rent Roll Analysis'!$AK38/12)), IF(AND('Monthly Cash Flow'!AI$4&gt;1,'Monthly Cash Flow'!AI$4&lt;=2),'Monthly Cash Flow'!AH40*(1+'Rent Roll Analysis'!$AE38/12),'Monthly Cash Flow'!AH40*(1+'Rent Roll Analysis'!$AB38/12))))</f>
        <v/>
      </c>
      <c r="AJ40" s="1428" t="str">
        <f>IF($B40="","",IF(AJ$4&gt;2,(AI40*(1+'Rent Roll Analysis'!$AK38/12)), IF(AND('Monthly Cash Flow'!AJ$4&gt;1,'Monthly Cash Flow'!AJ$4&lt;=2),'Monthly Cash Flow'!AI40*(1+'Rent Roll Analysis'!$AE38/12),'Monthly Cash Flow'!AI40*(1+'Rent Roll Analysis'!$AB38/12))))</f>
        <v/>
      </c>
      <c r="AK40" s="1428" t="str">
        <f>IF($B40="","",IF(AK$4&gt;2,(AJ40*(1+'Rent Roll Analysis'!$AK38/12)), IF(AND('Monthly Cash Flow'!AK$4&gt;1,'Monthly Cash Flow'!AK$4&lt;=2),'Monthly Cash Flow'!AJ40*(1+'Rent Roll Analysis'!$AE38/12),'Monthly Cash Flow'!AJ40*(1+'Rent Roll Analysis'!$AB38/12))))</f>
        <v/>
      </c>
      <c r="AL40" s="1428" t="str">
        <f>IF($B40="","",IF(AL$4&gt;2,(AK40*(1+'Rent Roll Analysis'!$AK38/12)), IF(AND('Monthly Cash Flow'!AL$4&gt;1,'Monthly Cash Flow'!AL$4&lt;=2),'Monthly Cash Flow'!AK40*(1+'Rent Roll Analysis'!$AE38/12),'Monthly Cash Flow'!AK40*(1+'Rent Roll Analysis'!$AB38/12))))</f>
        <v/>
      </c>
      <c r="AM40" s="1428" t="str">
        <f>IF($B40="","",IF(AM$4&gt;2,(AL40*(1+'Rent Roll Analysis'!$AK38/12)), IF(AND('Monthly Cash Flow'!AM$4&gt;1,'Monthly Cash Flow'!AM$4&lt;=2),'Monthly Cash Flow'!AL40*(1+'Rent Roll Analysis'!$AE38/12),'Monthly Cash Flow'!AL40*(1+'Rent Roll Analysis'!$AB38/12))))</f>
        <v/>
      </c>
      <c r="AN40" s="1428" t="str">
        <f>IF($B40="","",IF(AN$4&gt;2,(AM40*(1+'Rent Roll Analysis'!$AK38/12)), IF(AND('Monthly Cash Flow'!AN$4&gt;1,'Monthly Cash Flow'!AN$4&lt;=2),'Monthly Cash Flow'!AM40*(1+'Rent Roll Analysis'!$AE38/12),'Monthly Cash Flow'!AM40*(1+'Rent Roll Analysis'!$AB38/12))))</f>
        <v/>
      </c>
      <c r="AO40" s="1428" t="str">
        <f>IF($B40="","",IF(AO$4&gt;2,(AN40*(1+'Rent Roll Analysis'!$AK38/12)), IF(AND('Monthly Cash Flow'!AO$4&gt;1,'Monthly Cash Flow'!AO$4&lt;=2),'Monthly Cash Flow'!AN40*(1+'Rent Roll Analysis'!$AE38/12),'Monthly Cash Flow'!AN40*(1+'Rent Roll Analysis'!$AB38/12))))</f>
        <v/>
      </c>
      <c r="AP40" s="1428" t="str">
        <f>IF($B40="","",IF(AP$4&gt;2,(AO40*(1+'Rent Roll Analysis'!$AK38/12)), IF(AND('Monthly Cash Flow'!AP$4&gt;1,'Monthly Cash Flow'!AP$4&lt;=2),'Monthly Cash Flow'!AO40*(1+'Rent Roll Analysis'!$AE38/12),'Monthly Cash Flow'!AO40*(1+'Rent Roll Analysis'!$AB38/12))))</f>
        <v/>
      </c>
      <c r="AQ40" s="1428" t="str">
        <f>IF($B40="","",IF(AQ$4&gt;2,(AP40*(1+'Rent Roll Analysis'!$AK38/12)), IF(AND('Monthly Cash Flow'!AQ$4&gt;1,'Monthly Cash Flow'!AQ$4&lt;=2),'Monthly Cash Flow'!AP40*(1+'Rent Roll Analysis'!$AE38/12),'Monthly Cash Flow'!AP40*(1+'Rent Roll Analysis'!$AB38/12))))</f>
        <v/>
      </c>
      <c r="AR40" s="1428" t="str">
        <f>IF($B40="","",IF(AR$4&gt;2,(AQ40*(1+'Rent Roll Analysis'!$AK38/12)), IF(AND('Monthly Cash Flow'!AR$4&gt;1,'Monthly Cash Flow'!AR$4&lt;=2),'Monthly Cash Flow'!AQ40*(1+'Rent Roll Analysis'!$AE38/12),'Monthly Cash Flow'!AQ40*(1+'Rent Roll Analysis'!$AB38/12))))</f>
        <v/>
      </c>
      <c r="AS40" s="1428" t="str">
        <f>IF($B40="","",IF(AS$4&gt;2,(AR40*(1+'Rent Roll Analysis'!$AK38/12)), IF(AND('Monthly Cash Flow'!AS$4&gt;1,'Monthly Cash Flow'!AS$4&lt;=2),'Monthly Cash Flow'!AR40*(1+'Rent Roll Analysis'!$AE38/12),'Monthly Cash Flow'!AR40*(1+'Rent Roll Analysis'!$AB38/12))))</f>
        <v/>
      </c>
      <c r="AT40" s="1428" t="str">
        <f>IF($B40="","",IF(AT$4&gt;2,(AS40*(1+'Rent Roll Analysis'!$AK38/12)), IF(AND('Monthly Cash Flow'!AT$4&gt;1,'Monthly Cash Flow'!AT$4&lt;=2),'Monthly Cash Flow'!AS40*(1+'Rent Roll Analysis'!$AE38/12),'Monthly Cash Flow'!AS40*(1+'Rent Roll Analysis'!$AB38/12))))</f>
        <v/>
      </c>
      <c r="AU40" s="1428" t="str">
        <f>IF($B40="","",IF(AU$4&gt;2,(AT40*(1+'Rent Roll Analysis'!$AK38/12)), IF(AND('Monthly Cash Flow'!AU$4&gt;1,'Monthly Cash Flow'!AU$4&lt;=2),'Monthly Cash Flow'!AT40*(1+'Rent Roll Analysis'!$AE38/12),'Monthly Cash Flow'!AT40*(1+'Rent Roll Analysis'!$AB38/12))))</f>
        <v/>
      </c>
      <c r="AV40" s="1428" t="str">
        <f>IF($B40="","",IF(AV$4&gt;2,(AU40*(1+'Rent Roll Analysis'!$AK38/12)), IF(AND('Monthly Cash Flow'!AV$4&gt;1,'Monthly Cash Flow'!AV$4&lt;=2),'Monthly Cash Flow'!AU40*(1+'Rent Roll Analysis'!$AE38/12),'Monthly Cash Flow'!AU40*(1+'Rent Roll Analysis'!$AB38/12))))</f>
        <v/>
      </c>
      <c r="AW40" s="1428" t="str">
        <f>IF($B40="","",IF(AW$4&gt;2,(AV40*(1+'Rent Roll Analysis'!$AK38/12)), IF(AND('Monthly Cash Flow'!AW$4&gt;1,'Monthly Cash Flow'!AW$4&lt;=2),'Monthly Cash Flow'!AV40*(1+'Rent Roll Analysis'!$AE38/12),'Monthly Cash Flow'!AV40*(1+'Rent Roll Analysis'!$AB38/12))))</f>
        <v/>
      </c>
      <c r="AX40" s="1428" t="str">
        <f>IF($B40="","",IF(AX$4&gt;2,(AW40*(1+'Rent Roll Analysis'!$AK38/12)), IF(AND('Monthly Cash Flow'!AX$4&gt;1,'Monthly Cash Flow'!AX$4&lt;=2),'Monthly Cash Flow'!AW40*(1+'Rent Roll Analysis'!$AE38/12),'Monthly Cash Flow'!AW40*(1+'Rent Roll Analysis'!$AB38/12))))</f>
        <v/>
      </c>
      <c r="AY40" s="1428" t="str">
        <f>IF($B40="","",IF(AY$4&gt;2,(AX40*(1+'Rent Roll Analysis'!$AK38/12)), IF(AND('Monthly Cash Flow'!AY$4&gt;1,'Monthly Cash Flow'!AY$4&lt;=2),'Monthly Cash Flow'!AX40*(1+'Rent Roll Analysis'!$AE38/12),'Monthly Cash Flow'!AX40*(1+'Rent Roll Analysis'!$AB38/12))))</f>
        <v/>
      </c>
      <c r="AZ40" s="1428" t="str">
        <f>IF($B40="","",IF(AZ$4&gt;2,(AY40*(1+'Rent Roll Analysis'!$AK38/12)), IF(AND('Monthly Cash Flow'!AZ$4&gt;1,'Monthly Cash Flow'!AZ$4&lt;=2),'Monthly Cash Flow'!AY40*(1+'Rent Roll Analysis'!$AE38/12),'Monthly Cash Flow'!AY40*(1+'Rent Roll Analysis'!$AB38/12))))</f>
        <v/>
      </c>
      <c r="BA40" s="1428" t="str">
        <f>IF($B40="","",IF(BA$4&gt;2,(AZ40*(1+'Rent Roll Analysis'!$AK38/12)), IF(AND('Monthly Cash Flow'!BA$4&gt;1,'Monthly Cash Flow'!BA$4&lt;=2),'Monthly Cash Flow'!AZ40*(1+'Rent Roll Analysis'!$AE38/12),'Monthly Cash Flow'!AZ40*(1+'Rent Roll Analysis'!$AB38/12))))</f>
        <v/>
      </c>
      <c r="BB40" s="1428" t="str">
        <f>IF($B40="","",IF(BB$4&gt;2,(BA40*(1+'Rent Roll Analysis'!$AK38/12)), IF(AND('Monthly Cash Flow'!BB$4&gt;1,'Monthly Cash Flow'!BB$4&lt;=2),'Monthly Cash Flow'!BA40*(1+'Rent Roll Analysis'!$AE38/12),'Monthly Cash Flow'!BA40*(1+'Rent Roll Analysis'!$AB38/12))))</f>
        <v/>
      </c>
      <c r="BC40" s="1428" t="str">
        <f>IF($B40="","",IF(BC$4&gt;2,(BB40*(1+'Rent Roll Analysis'!$AK38/12)), IF(AND('Monthly Cash Flow'!BC$4&gt;1,'Monthly Cash Flow'!BC$4&lt;=2),'Monthly Cash Flow'!BB40*(1+'Rent Roll Analysis'!$AE38/12),'Monthly Cash Flow'!BB40*(1+'Rent Roll Analysis'!$AB38/12))))</f>
        <v/>
      </c>
      <c r="BD40" s="1428" t="str">
        <f>IF($B40="","",IF(BD$4&gt;2,(BC40*(1+'Rent Roll Analysis'!$AK38/12)), IF(AND('Monthly Cash Flow'!BD$4&gt;1,'Monthly Cash Flow'!BD$4&lt;=2),'Monthly Cash Flow'!BC40*(1+'Rent Roll Analysis'!$AE38/12),'Monthly Cash Flow'!BC40*(1+'Rent Roll Analysis'!$AB38/12))))</f>
        <v/>
      </c>
      <c r="BE40" s="1428" t="str">
        <f>IF($B40="","",IF(BE$4&gt;2,(BD40*(1+'Rent Roll Analysis'!$AK38/12)), IF(AND('Monthly Cash Flow'!BE$4&gt;1,'Monthly Cash Flow'!BE$4&lt;=2),'Monthly Cash Flow'!BD40*(1+'Rent Roll Analysis'!$AE38/12),'Monthly Cash Flow'!BD40*(1+'Rent Roll Analysis'!$AB38/12))))</f>
        <v/>
      </c>
      <c r="BF40" s="1428" t="str">
        <f>IF($B40="","",IF(BF$4&gt;2,(BE40*(1+'Rent Roll Analysis'!$AK38/12)), IF(AND('Monthly Cash Flow'!BF$4&gt;1,'Monthly Cash Flow'!BF$4&lt;=2),'Monthly Cash Flow'!BE40*(1+'Rent Roll Analysis'!$AE38/12),'Monthly Cash Flow'!BE40*(1+'Rent Roll Analysis'!$AB38/12))))</f>
        <v/>
      </c>
      <c r="BG40" s="1428" t="str">
        <f>IF($B40="","",IF(BG$4&gt;2,(BF40*(1+'Rent Roll Analysis'!$AK38/12)), IF(AND('Monthly Cash Flow'!BG$4&gt;1,'Monthly Cash Flow'!BG$4&lt;=2),'Monthly Cash Flow'!BF40*(1+'Rent Roll Analysis'!$AE38/12),'Monthly Cash Flow'!BF40*(1+'Rent Roll Analysis'!$AB38/12))))</f>
        <v/>
      </c>
      <c r="BH40" s="1428" t="str">
        <f>IF($B40="","",IF(BH$4&gt;2,(BG40*(1+'Rent Roll Analysis'!$AK38/12)), IF(AND('Monthly Cash Flow'!BH$4&gt;1,'Monthly Cash Flow'!BH$4&lt;=2),'Monthly Cash Flow'!BG40*(1+'Rent Roll Analysis'!$AE38/12),'Monthly Cash Flow'!BG40*(1+'Rent Roll Analysis'!$AB38/12))))</f>
        <v/>
      </c>
      <c r="BI40" s="1428" t="str">
        <f>IF($B40="","",IF(BI$4&gt;2,(BH40*(1+'Rent Roll Analysis'!$AK38/12)), IF(AND('Monthly Cash Flow'!BI$4&gt;1,'Monthly Cash Flow'!BI$4&lt;=2),'Monthly Cash Flow'!BH40*(1+'Rent Roll Analysis'!$AE38/12),'Monthly Cash Flow'!BH40*(1+'Rent Roll Analysis'!$AB38/12))))</f>
        <v/>
      </c>
      <c r="BJ40" s="1428" t="str">
        <f>IF($B40="","",IF(BJ$4&gt;2,(BI40*(1+'Rent Roll Analysis'!$AK38/12)), IF(AND('Monthly Cash Flow'!BJ$4&gt;1,'Monthly Cash Flow'!BJ$4&lt;=2),'Monthly Cash Flow'!BI40*(1+'Rent Roll Analysis'!$AE38/12),'Monthly Cash Flow'!BI40*(1+'Rent Roll Analysis'!$AB38/12))))</f>
        <v/>
      </c>
      <c r="BK40" s="1428" t="str">
        <f>IF($B40="","",IF(BK$4&gt;2,(BJ40*(1+'Rent Roll Analysis'!$AK38/12)), IF(AND('Monthly Cash Flow'!BK$4&gt;1,'Monthly Cash Flow'!BK$4&lt;=2),'Monthly Cash Flow'!BJ40*(1+'Rent Roll Analysis'!$AE38/12),'Monthly Cash Flow'!BJ40*(1+'Rent Roll Analysis'!$AB38/12))))</f>
        <v/>
      </c>
      <c r="BL40" s="1428" t="str">
        <f>IF($B40="","",IF(BL$4&gt;2,(BK40*(1+'Rent Roll Analysis'!$AK38/12)), IF(AND('Monthly Cash Flow'!BL$4&gt;1,'Monthly Cash Flow'!BL$4&lt;=2),'Monthly Cash Flow'!BK40*(1+'Rent Roll Analysis'!$AE38/12),'Monthly Cash Flow'!BK40*(1+'Rent Roll Analysis'!$AB38/12))))</f>
        <v/>
      </c>
      <c r="BM40" s="1428" t="str">
        <f>IF($B40="","",IF(BM$4&gt;2,(BL40*(1+'Rent Roll Analysis'!$AK38/12)), IF(AND('Monthly Cash Flow'!BM$4&gt;1,'Monthly Cash Flow'!BM$4&lt;=2),'Monthly Cash Flow'!BL40*(1+'Rent Roll Analysis'!$AE38/12),'Monthly Cash Flow'!BL40*(1+'Rent Roll Analysis'!$AB38/12))))</f>
        <v/>
      </c>
      <c r="BN40" s="1428" t="str">
        <f>IF($B40="","",IF(BN$4&gt;2,(BM40*(1+'Rent Roll Analysis'!$AK38/12)), IF(AND('Monthly Cash Flow'!BN$4&gt;1,'Monthly Cash Flow'!BN$4&lt;=2),'Monthly Cash Flow'!BM40*(1+'Rent Roll Analysis'!$AE38/12),'Monthly Cash Flow'!BM40*(1+'Rent Roll Analysis'!$AB38/12))))</f>
        <v/>
      </c>
      <c r="BO40" s="1428" t="str">
        <f>IF($B40="","",IF(BO$4&gt;2,(BN40*(1+'Rent Roll Analysis'!$AK38/12)), IF(AND('Monthly Cash Flow'!BO$4&gt;1,'Monthly Cash Flow'!BO$4&lt;=2),'Monthly Cash Flow'!BN40*(1+'Rent Roll Analysis'!$AE38/12),'Monthly Cash Flow'!BN40*(1+'Rent Roll Analysis'!$AB38/12))))</f>
        <v/>
      </c>
      <c r="BP40" s="1428" t="str">
        <f>IF($B40="","",IF(BP$4&gt;2,(BO40*(1+'Rent Roll Analysis'!$AK38/12)), IF(AND('Monthly Cash Flow'!BP$4&gt;1,'Monthly Cash Flow'!BP$4&lt;=2),'Monthly Cash Flow'!BO40*(1+'Rent Roll Analysis'!$AE38/12),'Monthly Cash Flow'!BO40*(1+'Rent Roll Analysis'!$AB38/12))))</f>
        <v/>
      </c>
      <c r="BQ40" s="1428" t="str">
        <f>IF($B40="","",IF(BQ$4&gt;2,(BP40*(1+'Rent Roll Analysis'!$AK38/12)), IF(AND('Monthly Cash Flow'!BQ$4&gt;1,'Monthly Cash Flow'!BQ$4&lt;=2),'Monthly Cash Flow'!BP40*(1+'Rent Roll Analysis'!$AE38/12),'Monthly Cash Flow'!BP40*(1+'Rent Roll Analysis'!$AB38/12))))</f>
        <v/>
      </c>
      <c r="BR40" s="1428" t="str">
        <f>IF($B40="","",IF(BR$4&gt;2,(BQ40*(1+'Rent Roll Analysis'!$AK38/12)), IF(AND('Monthly Cash Flow'!BR$4&gt;1,'Monthly Cash Flow'!BR$4&lt;=2),'Monthly Cash Flow'!BQ40*(1+'Rent Roll Analysis'!$AE38/12),'Monthly Cash Flow'!BQ40*(1+'Rent Roll Analysis'!$AB38/12))))</f>
        <v/>
      </c>
      <c r="BS40" s="1428" t="str">
        <f>IF($B40="","",IF(BS$4&gt;2,(BR40*(1+'Rent Roll Analysis'!$AK38/12)), IF(AND('Monthly Cash Flow'!BS$4&gt;1,'Monthly Cash Flow'!BS$4&lt;=2),'Monthly Cash Flow'!BR40*(1+'Rent Roll Analysis'!$AE38/12),'Monthly Cash Flow'!BR40*(1+'Rent Roll Analysis'!$AB38/12))))</f>
        <v/>
      </c>
      <c r="BT40" s="1428" t="str">
        <f>IF($B40="","",IF(BT$4&gt;2,(BS40*(1+'Rent Roll Analysis'!$AK38/12)), IF(AND('Monthly Cash Flow'!BT$4&gt;1,'Monthly Cash Flow'!BT$4&lt;=2),'Monthly Cash Flow'!BS40*(1+'Rent Roll Analysis'!$AE38/12),'Monthly Cash Flow'!BS40*(1+'Rent Roll Analysis'!$AB38/12))))</f>
        <v/>
      </c>
      <c r="BU40" s="1428" t="str">
        <f>IF($B40="","",IF(BU$4&gt;2,(BT40*(1+'Rent Roll Analysis'!$AK38/12)), IF(AND('Monthly Cash Flow'!BU$4&gt;1,'Monthly Cash Flow'!BU$4&lt;=2),'Monthly Cash Flow'!BT40*(1+'Rent Roll Analysis'!$AE38/12),'Monthly Cash Flow'!BT40*(1+'Rent Roll Analysis'!$AB38/12))))</f>
        <v/>
      </c>
      <c r="BV40" s="1428" t="str">
        <f>IF($B40="","",IF(BV$4&gt;2,(BU40*(1+'Rent Roll Analysis'!$AK38/12)), IF(AND('Monthly Cash Flow'!BV$4&gt;1,'Monthly Cash Flow'!BV$4&lt;=2),'Monthly Cash Flow'!BU40*(1+'Rent Roll Analysis'!$AE38/12),'Monthly Cash Flow'!BU40*(1+'Rent Roll Analysis'!$AB38/12))))</f>
        <v/>
      </c>
      <c r="BW40" s="1428" t="str">
        <f>IF($B40="","",IF(BW$4&gt;2,(BV40*(1+'Rent Roll Analysis'!$AK38/12)), IF(AND('Monthly Cash Flow'!BW$4&gt;1,'Monthly Cash Flow'!BW$4&lt;=2),'Monthly Cash Flow'!BV40*(1+'Rent Roll Analysis'!$AE38/12),'Monthly Cash Flow'!BV40*(1+'Rent Roll Analysis'!$AB38/12))))</f>
        <v/>
      </c>
      <c r="BX40" s="1428" t="str">
        <f>IF($B40="","",IF(BX$4&gt;2,(BW40*(1+'Rent Roll Analysis'!$AK38/12)), IF(AND('Monthly Cash Flow'!BX$4&gt;1,'Monthly Cash Flow'!BX$4&lt;=2),'Monthly Cash Flow'!BW40*(1+'Rent Roll Analysis'!$AE38/12),'Monthly Cash Flow'!BW40*(1+'Rent Roll Analysis'!$AB38/12))))</f>
        <v/>
      </c>
      <c r="BY40" s="1428" t="str">
        <f>IF($B40="","",IF(BY$4&gt;2,(BX40*(1+'Rent Roll Analysis'!$AK38/12)), IF(AND('Monthly Cash Flow'!BY$4&gt;1,'Monthly Cash Flow'!BY$4&lt;=2),'Monthly Cash Flow'!BX40*(1+'Rent Roll Analysis'!$AE38/12),'Monthly Cash Flow'!BX40*(1+'Rent Roll Analysis'!$AB38/12))))</f>
        <v/>
      </c>
      <c r="BZ40" s="1428" t="str">
        <f>IF($B40="","",IF(BZ$4&gt;2,(BY40*(1+'Rent Roll Analysis'!$AK38/12)), IF(AND('Monthly Cash Flow'!BZ$4&gt;1,'Monthly Cash Flow'!BZ$4&lt;=2),'Monthly Cash Flow'!BY40*(1+'Rent Roll Analysis'!$AE38/12),'Monthly Cash Flow'!BY40*(1+'Rent Roll Analysis'!$AB38/12))))</f>
        <v/>
      </c>
      <c r="CA40" s="1428" t="str">
        <f>IF($B40="","",IF(CA$4&gt;2,(BZ40*(1+'Rent Roll Analysis'!$AK38/12)), IF(AND('Monthly Cash Flow'!CA$4&gt;1,'Monthly Cash Flow'!CA$4&lt;=2),'Monthly Cash Flow'!BZ40*(1+'Rent Roll Analysis'!$AE38/12),'Monthly Cash Flow'!BZ40*(1+'Rent Roll Analysis'!$AB38/12))))</f>
        <v/>
      </c>
      <c r="CB40" s="1428" t="str">
        <f>IF($B40="","",IF(CB$4&gt;2,(CA40*(1+'Rent Roll Analysis'!$AK38/12)), IF(AND('Monthly Cash Flow'!CB$4&gt;1,'Monthly Cash Flow'!CB$4&lt;=2),'Monthly Cash Flow'!CA40*(1+'Rent Roll Analysis'!$AE38/12),'Monthly Cash Flow'!CA40*(1+'Rent Roll Analysis'!$AB38/12))))</f>
        <v/>
      </c>
      <c r="CC40" s="1428" t="str">
        <f>IF($B40="","",IF(CC$4&gt;2,(CB40*(1+'Rent Roll Analysis'!$AK38/12)), IF(AND('Monthly Cash Flow'!CC$4&gt;1,'Monthly Cash Flow'!CC$4&lt;=2),'Monthly Cash Flow'!CB40*(1+'Rent Roll Analysis'!$AE38/12),'Monthly Cash Flow'!CB40*(1+'Rent Roll Analysis'!$AB38/12))))</f>
        <v/>
      </c>
      <c r="CD40" s="1428" t="str">
        <f>IF($B40="","",IF(CD$4&gt;2,(CC40*(1+'Rent Roll Analysis'!$AK38/12)), IF(AND('Monthly Cash Flow'!CD$4&gt;1,'Monthly Cash Flow'!CD$4&lt;=2),'Monthly Cash Flow'!CC40*(1+'Rent Roll Analysis'!$AE38/12),'Monthly Cash Flow'!CC40*(1+'Rent Roll Analysis'!$AB38/12))))</f>
        <v/>
      </c>
      <c r="CE40" s="1428" t="str">
        <f>IF($B40="","",IF(CE$4&gt;2,(CD40*(1+'Rent Roll Analysis'!$AK38/12)), IF(AND('Monthly Cash Flow'!CE$4&gt;1,'Monthly Cash Flow'!CE$4&lt;=2),'Monthly Cash Flow'!CD40*(1+'Rent Roll Analysis'!$AE38/12),'Monthly Cash Flow'!CD40*(1+'Rent Roll Analysis'!$AB38/12))))</f>
        <v/>
      </c>
      <c r="CF40" s="1428" t="str">
        <f>IF($B40="","",IF(CF$4&gt;2,(CE40*(1+'Rent Roll Analysis'!$AK38/12)), IF(AND('Monthly Cash Flow'!CF$4&gt;1,'Monthly Cash Flow'!CF$4&lt;=2),'Monthly Cash Flow'!CE40*(1+'Rent Roll Analysis'!$AE38/12),'Monthly Cash Flow'!CE40*(1+'Rent Roll Analysis'!$AB38/12))))</f>
        <v/>
      </c>
      <c r="CG40" s="1428" t="str">
        <f>IF($B40="","",IF(CG$4&gt;2,(CF40*(1+'Rent Roll Analysis'!$AK38/12)), IF(AND('Monthly Cash Flow'!CG$4&gt;1,'Monthly Cash Flow'!CG$4&lt;=2),'Monthly Cash Flow'!CF40*(1+'Rent Roll Analysis'!$AE38/12),'Monthly Cash Flow'!CF40*(1+'Rent Roll Analysis'!$AB38/12))))</f>
        <v/>
      </c>
      <c r="CH40" s="1428" t="str">
        <f>IF($B40="","",IF(CH$4&gt;2,(CG40*(1+'Rent Roll Analysis'!$AK38/12)), IF(AND('Monthly Cash Flow'!CH$4&gt;1,'Monthly Cash Flow'!CH$4&lt;=2),'Monthly Cash Flow'!CG40*(1+'Rent Roll Analysis'!$AE38/12),'Monthly Cash Flow'!CG40*(1+'Rent Roll Analysis'!$AB38/12))))</f>
        <v/>
      </c>
      <c r="CI40" s="1428" t="str">
        <f>IF($B40="","",IF(CI$4&gt;2,(CH40*(1+'Rent Roll Analysis'!$AK38/12)), IF(AND('Monthly Cash Flow'!CI$4&gt;1,'Monthly Cash Flow'!CI$4&lt;=2),'Monthly Cash Flow'!CH40*(1+'Rent Roll Analysis'!$AE38/12),'Monthly Cash Flow'!CH40*(1+'Rent Roll Analysis'!$AB38/12))))</f>
        <v/>
      </c>
      <c r="CJ40" s="1428" t="str">
        <f>IF($B40="","",IF(CJ$4&gt;2,(CI40*(1+'Rent Roll Analysis'!$AK38/12)), IF(AND('Monthly Cash Flow'!CJ$4&gt;1,'Monthly Cash Flow'!CJ$4&lt;=2),'Monthly Cash Flow'!CI40*(1+'Rent Roll Analysis'!$AE38/12),'Monthly Cash Flow'!CI40*(1+'Rent Roll Analysis'!$AB38/12))))</f>
        <v/>
      </c>
      <c r="CK40" s="1428" t="str">
        <f>IF($B40="","",IF(CK$4&gt;2,(CJ40*(1+'Rent Roll Analysis'!$AK38/12)), IF(AND('Monthly Cash Flow'!CK$4&gt;1,'Monthly Cash Flow'!CK$4&lt;=2),'Monthly Cash Flow'!CJ40*(1+'Rent Roll Analysis'!$AE38/12),'Monthly Cash Flow'!CJ40*(1+'Rent Roll Analysis'!$AB38/12))))</f>
        <v/>
      </c>
      <c r="CL40" s="1428" t="str">
        <f>IF($B40="","",IF(CL$4&gt;2,(CK40*(1+'Rent Roll Analysis'!$AK38/12)), IF(AND('Monthly Cash Flow'!CL$4&gt;1,'Monthly Cash Flow'!CL$4&lt;=2),'Monthly Cash Flow'!CK40*(1+'Rent Roll Analysis'!$AE38/12),'Monthly Cash Flow'!CK40*(1+'Rent Roll Analysis'!$AB38/12))))</f>
        <v/>
      </c>
      <c r="CM40" s="1428" t="str">
        <f>IF($B40="","",IF(CM$4&gt;2,(CL40*(1+'Rent Roll Analysis'!$AK38/12)), IF(AND('Monthly Cash Flow'!CM$4&gt;1,'Monthly Cash Flow'!CM$4&lt;=2),'Monthly Cash Flow'!CL40*(1+'Rent Roll Analysis'!$AE38/12),'Monthly Cash Flow'!CL40*(1+'Rent Roll Analysis'!$AB38/12))))</f>
        <v/>
      </c>
      <c r="CN40" s="1428" t="str">
        <f>IF($B40="","",IF(CN$4&gt;2,(CM40*(1+'Rent Roll Analysis'!$AK38/12)), IF(AND('Monthly Cash Flow'!CN$4&gt;1,'Monthly Cash Flow'!CN$4&lt;=2),'Monthly Cash Flow'!CM40*(1+'Rent Roll Analysis'!$AE38/12),'Monthly Cash Flow'!CM40*(1+'Rent Roll Analysis'!$AB38/12))))</f>
        <v/>
      </c>
      <c r="CO40" s="1428" t="str">
        <f>IF($B40="","",IF(CO$4&gt;2,(CN40*(1+'Rent Roll Analysis'!$AK38/12)), IF(AND('Monthly Cash Flow'!CO$4&gt;1,'Monthly Cash Flow'!CO$4&lt;=2),'Monthly Cash Flow'!CN40*(1+'Rent Roll Analysis'!$AE38/12),'Monthly Cash Flow'!CN40*(1+'Rent Roll Analysis'!$AB38/12))))</f>
        <v/>
      </c>
      <c r="CP40" s="1428" t="str">
        <f>IF($B40="","",IF(CP$4&gt;2,(CO40*(1+'Rent Roll Analysis'!$AK38/12)), IF(AND('Monthly Cash Flow'!CP$4&gt;1,'Monthly Cash Flow'!CP$4&lt;=2),'Monthly Cash Flow'!CO40*(1+'Rent Roll Analysis'!$AE38/12),'Monthly Cash Flow'!CO40*(1+'Rent Roll Analysis'!$AB38/12))))</f>
        <v/>
      </c>
      <c r="CQ40" s="1428" t="str">
        <f>IF($B40="","",IF(CQ$4&gt;2,(CP40*(1+'Rent Roll Analysis'!$AK38/12)), IF(AND('Monthly Cash Flow'!CQ$4&gt;1,'Monthly Cash Flow'!CQ$4&lt;=2),'Monthly Cash Flow'!CP40*(1+'Rent Roll Analysis'!$AE38/12),'Monthly Cash Flow'!CP40*(1+'Rent Roll Analysis'!$AB38/12))))</f>
        <v/>
      </c>
      <c r="CR40" s="1428" t="str">
        <f>IF($B40="","",IF(CR$4&gt;2,(CQ40*(1+'Rent Roll Analysis'!$AK38/12)), IF(AND('Monthly Cash Flow'!CR$4&gt;1,'Monthly Cash Flow'!CR$4&lt;=2),'Monthly Cash Flow'!CQ40*(1+'Rent Roll Analysis'!$AE38/12),'Monthly Cash Flow'!CQ40*(1+'Rent Roll Analysis'!$AB38/12))))</f>
        <v/>
      </c>
      <c r="CS40" s="1428" t="str">
        <f>IF($B40="","",IF(CS$4&gt;2,(CR40*(1+'Rent Roll Analysis'!$AK38/12)), IF(AND('Monthly Cash Flow'!CS$4&gt;1,'Monthly Cash Flow'!CS$4&lt;=2),'Monthly Cash Flow'!CR40*(1+'Rent Roll Analysis'!$AE38/12),'Monthly Cash Flow'!CR40*(1+'Rent Roll Analysis'!$AB38/12))))</f>
        <v/>
      </c>
      <c r="CT40" s="1428" t="str">
        <f>IF($B40="","",IF(CT$4&gt;2,(CS40*(1+'Rent Roll Analysis'!$AK38/12)), IF(AND('Monthly Cash Flow'!CT$4&gt;1,'Monthly Cash Flow'!CT$4&lt;=2),'Monthly Cash Flow'!CS40*(1+'Rent Roll Analysis'!$AE38/12),'Monthly Cash Flow'!CS40*(1+'Rent Roll Analysis'!$AB38/12))))</f>
        <v/>
      </c>
      <c r="CU40" s="1428" t="str">
        <f>IF($B40="","",IF(CU$4&gt;2,(CT40*(1+'Rent Roll Analysis'!$AK38/12)), IF(AND('Monthly Cash Flow'!CU$4&gt;1,'Monthly Cash Flow'!CU$4&lt;=2),'Monthly Cash Flow'!CT40*(1+'Rent Roll Analysis'!$AE38/12),'Monthly Cash Flow'!CT40*(1+'Rent Roll Analysis'!$AB38/12))))</f>
        <v/>
      </c>
      <c r="CV40" s="1428" t="str">
        <f>IF($B40="","",IF(CV$4&gt;2,(CU40*(1+'Rent Roll Analysis'!$AK38/12)), IF(AND('Monthly Cash Flow'!CV$4&gt;1,'Monthly Cash Flow'!CV$4&lt;=2),'Monthly Cash Flow'!CU40*(1+'Rent Roll Analysis'!$AE38/12),'Monthly Cash Flow'!CU40*(1+'Rent Roll Analysis'!$AB38/12))))</f>
        <v/>
      </c>
      <c r="CW40" s="1428" t="str">
        <f>IF($B40="","",IF(CW$4&gt;2,(CV40*(1+'Rent Roll Analysis'!$AK38/12)), IF(AND('Monthly Cash Flow'!CW$4&gt;1,'Monthly Cash Flow'!CW$4&lt;=2),'Monthly Cash Flow'!CV40*(1+'Rent Roll Analysis'!$AE38/12),'Monthly Cash Flow'!CV40*(1+'Rent Roll Analysis'!$AB38/12))))</f>
        <v/>
      </c>
      <c r="CX40" s="1428" t="str">
        <f>IF($B40="","",IF(CX$4&gt;2,(CW40*(1+'Rent Roll Analysis'!$AK38/12)), IF(AND('Monthly Cash Flow'!CX$4&gt;1,'Monthly Cash Flow'!CX$4&lt;=2),'Monthly Cash Flow'!CW40*(1+'Rent Roll Analysis'!$AE38/12),'Monthly Cash Flow'!CW40*(1+'Rent Roll Analysis'!$AB38/12))))</f>
        <v/>
      </c>
      <c r="CY40" s="1428" t="str">
        <f>IF($B40="","",IF(CY$4&gt;2,(CX40*(1+'Rent Roll Analysis'!$AK38/12)), IF(AND('Monthly Cash Flow'!CY$4&gt;1,'Monthly Cash Flow'!CY$4&lt;=2),'Monthly Cash Flow'!CX40*(1+'Rent Roll Analysis'!$AE38/12),'Monthly Cash Flow'!CX40*(1+'Rent Roll Analysis'!$AB38/12))))</f>
        <v/>
      </c>
      <c r="CZ40" s="1428" t="str">
        <f>IF($B40="","",IF(CZ$4&gt;2,(CY40*(1+'Rent Roll Analysis'!$AK38/12)), IF(AND('Monthly Cash Flow'!CZ$4&gt;1,'Monthly Cash Flow'!CZ$4&lt;=2),'Monthly Cash Flow'!CY40*(1+'Rent Roll Analysis'!$AE38/12),'Monthly Cash Flow'!CY40*(1+'Rent Roll Analysis'!$AB38/12))))</f>
        <v/>
      </c>
      <c r="DA40" s="1428" t="str">
        <f>IF($B40="","",IF(DA$4&gt;2,(CZ40*(1+'Rent Roll Analysis'!$AK38/12)), IF(AND('Monthly Cash Flow'!DA$4&gt;1,'Monthly Cash Flow'!DA$4&lt;=2),'Monthly Cash Flow'!CZ40*(1+'Rent Roll Analysis'!$AE38/12),'Monthly Cash Flow'!CZ40*(1+'Rent Roll Analysis'!$AB38/12))))</f>
        <v/>
      </c>
      <c r="DB40" s="1428" t="str">
        <f>IF($B40="","",IF(DB$4&gt;2,(DA40*(1+'Rent Roll Analysis'!$AK38/12)), IF(AND('Monthly Cash Flow'!DB$4&gt;1,'Monthly Cash Flow'!DB$4&lt;=2),'Monthly Cash Flow'!DA40*(1+'Rent Roll Analysis'!$AE38/12),'Monthly Cash Flow'!DA40*(1+'Rent Roll Analysis'!$AB38/12))))</f>
        <v/>
      </c>
      <c r="DC40" s="1428" t="str">
        <f>IF($B40="","",IF(DC$4&gt;2,(DB40*(1+'Rent Roll Analysis'!$AK38/12)), IF(AND('Monthly Cash Flow'!DC$4&gt;1,'Monthly Cash Flow'!DC$4&lt;=2),'Monthly Cash Flow'!DB40*(1+'Rent Roll Analysis'!$AE38/12),'Monthly Cash Flow'!DB40*(1+'Rent Roll Analysis'!$AB38/12))))</f>
        <v/>
      </c>
      <c r="DD40" s="1428" t="str">
        <f>IF($B40="","",IF(DD$4&gt;2,(DC40*(1+'Rent Roll Analysis'!$AK38/12)), IF(AND('Monthly Cash Flow'!DD$4&gt;1,'Monthly Cash Flow'!DD$4&lt;=2),'Monthly Cash Flow'!DC40*(1+'Rent Roll Analysis'!$AE38/12),'Monthly Cash Flow'!DC40*(1+'Rent Roll Analysis'!$AB38/12))))</f>
        <v/>
      </c>
      <c r="DE40" s="1428" t="str">
        <f>IF($B40="","",IF(DE$4&gt;2,(DD40*(1+'Rent Roll Analysis'!$AK38/12)), IF(AND('Monthly Cash Flow'!DE$4&gt;1,'Monthly Cash Flow'!DE$4&lt;=2),'Monthly Cash Flow'!DD40*(1+'Rent Roll Analysis'!$AE38/12),'Monthly Cash Flow'!DD40*(1+'Rent Roll Analysis'!$AB38/12))))</f>
        <v/>
      </c>
      <c r="DF40" s="1428" t="str">
        <f>IF($B40="","",IF(DF$4&gt;2,(DE40*(1+'Rent Roll Analysis'!$AK38/12)), IF(AND('Monthly Cash Flow'!DF$4&gt;1,'Monthly Cash Flow'!DF$4&lt;=2),'Monthly Cash Flow'!DE40*(1+'Rent Roll Analysis'!$AE38/12),'Monthly Cash Flow'!DE40*(1+'Rent Roll Analysis'!$AB38/12))))</f>
        <v/>
      </c>
      <c r="DG40" s="1428" t="str">
        <f>IF($B40="","",IF(DG$4&gt;2,(DF40*(1+'Rent Roll Analysis'!$AK38/12)), IF(AND('Monthly Cash Flow'!DG$4&gt;1,'Monthly Cash Flow'!DG$4&lt;=2),'Monthly Cash Flow'!DF40*(1+'Rent Roll Analysis'!$AE38/12),'Monthly Cash Flow'!DF40*(1+'Rent Roll Analysis'!$AB38/12))))</f>
        <v/>
      </c>
      <c r="DH40" s="1428" t="str">
        <f>IF($B40="","",IF(DH$4&gt;2,(DG40*(1+'Rent Roll Analysis'!$AK38/12)), IF(AND('Monthly Cash Flow'!DH$4&gt;1,'Monthly Cash Flow'!DH$4&lt;=2),'Monthly Cash Flow'!DG40*(1+'Rent Roll Analysis'!$AE38/12),'Monthly Cash Flow'!DG40*(1+'Rent Roll Analysis'!$AB38/12))))</f>
        <v/>
      </c>
      <c r="DI40" s="1428" t="str">
        <f>IF($B40="","",IF(DI$4&gt;2,(DH40*(1+'Rent Roll Analysis'!$AK38/12)), IF(AND('Monthly Cash Flow'!DI$4&gt;1,'Monthly Cash Flow'!DI$4&lt;=2),'Monthly Cash Flow'!DH40*(1+'Rent Roll Analysis'!$AE38/12),'Monthly Cash Flow'!DH40*(1+'Rent Roll Analysis'!$AB38/12))))</f>
        <v/>
      </c>
      <c r="DJ40" s="1428" t="str">
        <f>IF($B40="","",IF(DJ$4&gt;2,(DI40*(1+'Rent Roll Analysis'!$AK38/12)), IF(AND('Monthly Cash Flow'!DJ$4&gt;1,'Monthly Cash Flow'!DJ$4&lt;=2),'Monthly Cash Flow'!DI40*(1+'Rent Roll Analysis'!$AE38/12),'Monthly Cash Flow'!DI40*(1+'Rent Roll Analysis'!$AB38/12))))</f>
        <v/>
      </c>
      <c r="DK40" s="1428" t="str">
        <f>IF($B40="","",IF(DK$4&gt;2,(DJ40*(1+'Rent Roll Analysis'!$AK38/12)), IF(AND('Monthly Cash Flow'!DK$4&gt;1,'Monthly Cash Flow'!DK$4&lt;=2),'Monthly Cash Flow'!DJ40*(1+'Rent Roll Analysis'!$AE38/12),'Monthly Cash Flow'!DJ40*(1+'Rent Roll Analysis'!$AB38/12))))</f>
        <v/>
      </c>
      <c r="DL40" s="1428" t="str">
        <f>IF($B40="","",IF(DL$4&gt;2,(DK40*(1+'Rent Roll Analysis'!$AK38/12)), IF(AND('Monthly Cash Flow'!DL$4&gt;1,'Monthly Cash Flow'!DL$4&lt;=2),'Monthly Cash Flow'!DK40*(1+'Rent Roll Analysis'!$AE38/12),'Monthly Cash Flow'!DK40*(1+'Rent Roll Analysis'!$AB38/12))))</f>
        <v/>
      </c>
      <c r="DM40" s="1428" t="str">
        <f>IF($B40="","",IF(DM$4&gt;2,(DL40*(1+'Rent Roll Analysis'!$AK38/12)), IF(AND('Monthly Cash Flow'!DM$4&gt;1,'Monthly Cash Flow'!DM$4&lt;=2),'Monthly Cash Flow'!DL40*(1+'Rent Roll Analysis'!$AE38/12),'Monthly Cash Flow'!DL40*(1+'Rent Roll Analysis'!$AB38/12))))</f>
        <v/>
      </c>
      <c r="DN40" s="1428" t="str">
        <f>IF($B40="","",IF(DN$4&gt;2,(DM40*(1+'Rent Roll Analysis'!$AK38/12)), IF(AND('Monthly Cash Flow'!DN$4&gt;1,'Monthly Cash Flow'!DN$4&lt;=2),'Monthly Cash Flow'!DM40*(1+'Rent Roll Analysis'!$AE38/12),'Monthly Cash Flow'!DM40*(1+'Rent Roll Analysis'!$AB38/12))))</f>
        <v/>
      </c>
      <c r="DO40" s="1428" t="str">
        <f>IF($B40="","",IF(DO$4&gt;2,(DN40*(1+'Rent Roll Analysis'!$AK38/12)), IF(AND('Monthly Cash Flow'!DO$4&gt;1,'Monthly Cash Flow'!DO$4&lt;=2),'Monthly Cash Flow'!DN40*(1+'Rent Roll Analysis'!$AE38/12),'Monthly Cash Flow'!DN40*(1+'Rent Roll Analysis'!$AB38/12))))</f>
        <v/>
      </c>
      <c r="DP40" s="1428" t="str">
        <f>IF($B40="","",IF(DP$4&gt;2,(DO40*(1+'Rent Roll Analysis'!$AK38/12)), IF(AND('Monthly Cash Flow'!DP$4&gt;1,'Monthly Cash Flow'!DP$4&lt;=2),'Monthly Cash Flow'!DO40*(1+'Rent Roll Analysis'!$AE38/12),'Monthly Cash Flow'!DO40*(1+'Rent Roll Analysis'!$AB38/12))))</f>
        <v/>
      </c>
      <c r="DQ40" s="1428" t="str">
        <f>IF($B40="","",IF(DQ$4&gt;2,(DP40*(1+'Rent Roll Analysis'!$AK38/12)), IF(AND('Monthly Cash Flow'!DQ$4&gt;1,'Monthly Cash Flow'!DQ$4&lt;=2),'Monthly Cash Flow'!DP40*(1+'Rent Roll Analysis'!$AE38/12),'Monthly Cash Flow'!DP40*(1+'Rent Roll Analysis'!$AB38/12))))</f>
        <v/>
      </c>
      <c r="DR40" s="1428" t="str">
        <f>IF($B40="","",IF(DR$4&gt;2,(DQ40*(1+'Rent Roll Analysis'!$AK38/12)), IF(AND('Monthly Cash Flow'!DR$4&gt;1,'Monthly Cash Flow'!DR$4&lt;=2),'Monthly Cash Flow'!DQ40*(1+'Rent Roll Analysis'!$AE38/12),'Monthly Cash Flow'!DQ40*(1+'Rent Roll Analysis'!$AB38/12))))</f>
        <v/>
      </c>
      <c r="DS40" s="1428" t="str">
        <f>IF($B40="","",IF(DS$4&gt;2,(DR40*(1+'Rent Roll Analysis'!$AK38/12)), IF(AND('Monthly Cash Flow'!DS$4&gt;1,'Monthly Cash Flow'!DS$4&lt;=2),'Monthly Cash Flow'!DR40*(1+'Rent Roll Analysis'!$AE38/12),'Monthly Cash Flow'!DR40*(1+'Rent Roll Analysis'!$AB38/12))))</f>
        <v/>
      </c>
      <c r="DT40" s="1428" t="str">
        <f>IF($B40="","",IF(DT$4&gt;2,(DS40*(1+'Rent Roll Analysis'!$AK38/12)), IF(AND('Monthly Cash Flow'!DT$4&gt;1,'Monthly Cash Flow'!DT$4&lt;=2),'Monthly Cash Flow'!DS40*(1+'Rent Roll Analysis'!$AE38/12),'Monthly Cash Flow'!DS40*(1+'Rent Roll Analysis'!$AB38/12))))</f>
        <v/>
      </c>
      <c r="DU40" s="385" t="s">
        <v>557</v>
      </c>
      <c r="DV40" s="375"/>
    </row>
    <row r="41" spans="1:126" s="92" customFormat="1" ht="20.149999999999999" customHeight="1" outlineLevel="1">
      <c r="A41" s="375"/>
      <c r="B41" s="383" t="str">
        <f>'Rent Roll Analysis'!C39</f>
        <v/>
      </c>
      <c r="C41" s="376"/>
      <c r="D41" s="1426" t="str">
        <f>IF('Rent Roll Analysis'!C39="","",'Rent Roll Analysis'!N39*'Rent Roll Analysis'!E39)</f>
        <v/>
      </c>
      <c r="E41" s="1428" t="str">
        <f t="shared" si="113"/>
        <v/>
      </c>
      <c r="F41" s="1428" t="str">
        <f>IF($B41="","",IF(F$4&gt;2,(E41*(1+'Rent Roll Analysis'!$AK39/12)), IF(AND('Monthly Cash Flow'!F$4&gt;1,'Monthly Cash Flow'!F$4&lt;=2),'Monthly Cash Flow'!E41*(1+'Rent Roll Analysis'!$AE39/12),'Monthly Cash Flow'!E41*(1+'Rent Roll Analysis'!$AB39/12))))</f>
        <v/>
      </c>
      <c r="G41" s="1428" t="str">
        <f>IF($B41="","",IF(G$4&gt;2,(F41*(1+'Rent Roll Analysis'!$AK39/12)), IF(AND('Monthly Cash Flow'!G$4&gt;1,'Monthly Cash Flow'!G$4&lt;=2),'Monthly Cash Flow'!F41*(1+'Rent Roll Analysis'!$AE39/12),'Monthly Cash Flow'!F41*(1+'Rent Roll Analysis'!$AB39/12))))</f>
        <v/>
      </c>
      <c r="H41" s="1428" t="str">
        <f>IF($B41="","",IF(H$4&gt;2,(G41*(1+'Rent Roll Analysis'!$AK39/12)), IF(AND('Monthly Cash Flow'!H$4&gt;1,'Monthly Cash Flow'!H$4&lt;=2),'Monthly Cash Flow'!G41*(1+'Rent Roll Analysis'!$AE39/12),'Monthly Cash Flow'!G41*(1+'Rent Roll Analysis'!$AB39/12))))</f>
        <v/>
      </c>
      <c r="I41" s="1428" t="str">
        <f>IF($B41="","",IF(I$4&gt;2,(H41*(1+'Rent Roll Analysis'!$AK39/12)), IF(AND('Monthly Cash Flow'!I$4&gt;1,'Monthly Cash Flow'!I$4&lt;=2),'Monthly Cash Flow'!H41*(1+'Rent Roll Analysis'!$AE39/12),'Monthly Cash Flow'!H41*(1+'Rent Roll Analysis'!$AB39/12))))</f>
        <v/>
      </c>
      <c r="J41" s="1428" t="str">
        <f>IF($B41="","",IF(J$4&gt;2,(I41*(1+'Rent Roll Analysis'!$AK39/12)), IF(AND('Monthly Cash Flow'!J$4&gt;1,'Monthly Cash Flow'!J$4&lt;=2),'Monthly Cash Flow'!I41*(1+'Rent Roll Analysis'!$AE39/12),'Monthly Cash Flow'!I41*(1+'Rent Roll Analysis'!$AB39/12))))</f>
        <v/>
      </c>
      <c r="K41" s="1428" t="str">
        <f>IF($B41="","",IF(K$4&gt;2,(J41*(1+'Rent Roll Analysis'!$AK39/12)), IF(AND('Monthly Cash Flow'!K$4&gt;1,'Monthly Cash Flow'!K$4&lt;=2),'Monthly Cash Flow'!J41*(1+'Rent Roll Analysis'!$AE39/12),'Monthly Cash Flow'!J41*(1+'Rent Roll Analysis'!$AB39/12))))</f>
        <v/>
      </c>
      <c r="L41" s="1428" t="str">
        <f>IF($B41="","",IF(L$4&gt;2,(K41*(1+'Rent Roll Analysis'!$AK39/12)), IF(AND('Monthly Cash Flow'!L$4&gt;1,'Monthly Cash Flow'!L$4&lt;=2),'Monthly Cash Flow'!K41*(1+'Rent Roll Analysis'!$AE39/12),'Monthly Cash Flow'!K41*(1+'Rent Roll Analysis'!$AB39/12))))</f>
        <v/>
      </c>
      <c r="M41" s="1428" t="str">
        <f>IF($B41="","",IF(M$4&gt;2,(L41*(1+'Rent Roll Analysis'!$AK39/12)), IF(AND('Monthly Cash Flow'!M$4&gt;1,'Monthly Cash Flow'!M$4&lt;=2),'Monthly Cash Flow'!L41*(1+'Rent Roll Analysis'!$AE39/12),'Monthly Cash Flow'!L41*(1+'Rent Roll Analysis'!$AB39/12))))</f>
        <v/>
      </c>
      <c r="N41" s="1428" t="str">
        <f>IF($B41="","",IF(N$4&gt;2,(M41*(1+'Rent Roll Analysis'!$AK39/12)), IF(AND('Monthly Cash Flow'!N$4&gt;1,'Monthly Cash Flow'!N$4&lt;=2),'Monthly Cash Flow'!M41*(1+'Rent Roll Analysis'!$AE39/12),'Monthly Cash Flow'!M41*(1+'Rent Roll Analysis'!$AB39/12))))</f>
        <v/>
      </c>
      <c r="O41" s="1428" t="str">
        <f>IF($B41="","",IF(O$4&gt;2,(N41*(1+'Rent Roll Analysis'!$AK39/12)), IF(AND('Monthly Cash Flow'!O$4&gt;1,'Monthly Cash Flow'!O$4&lt;=2),'Monthly Cash Flow'!N41*(1+'Rent Roll Analysis'!$AE39/12),'Monthly Cash Flow'!N41*(1+'Rent Roll Analysis'!$AB39/12))))</f>
        <v/>
      </c>
      <c r="P41" s="1428" t="str">
        <f>IF($B41="","",IF(P$4&gt;2,(O41*(1+'Rent Roll Analysis'!$AK39/12)), IF(AND('Monthly Cash Flow'!P$4&gt;1,'Monthly Cash Flow'!P$4&lt;=2),'Monthly Cash Flow'!O41*(1+'Rent Roll Analysis'!$AE39/12),'Monthly Cash Flow'!O41*(1+'Rent Roll Analysis'!$AB39/12))))</f>
        <v/>
      </c>
      <c r="Q41" s="1428" t="str">
        <f>IF($B41="","",IF(Q$4&gt;2,(P41*(1+'Rent Roll Analysis'!$AK39/12)), IF(AND('Monthly Cash Flow'!Q$4&gt;1,'Monthly Cash Flow'!Q$4&lt;=2),'Monthly Cash Flow'!P41*(1+'Rent Roll Analysis'!$AE39/12),'Monthly Cash Flow'!P41*(1+'Rent Roll Analysis'!$AB39/12))))</f>
        <v/>
      </c>
      <c r="R41" s="1428" t="str">
        <f>IF($B41="","",IF(R$4&gt;2,(Q41*(1+'Rent Roll Analysis'!$AK39/12)), IF(AND('Monthly Cash Flow'!R$4&gt;1,'Monthly Cash Flow'!R$4&lt;=2),'Monthly Cash Flow'!Q41*(1+'Rent Roll Analysis'!$AE39/12),'Monthly Cash Flow'!Q41*(1+'Rent Roll Analysis'!$AB39/12))))</f>
        <v/>
      </c>
      <c r="S41" s="1428" t="str">
        <f>IF($B41="","",IF(S$4&gt;2,(R41*(1+'Rent Roll Analysis'!$AK39/12)), IF(AND('Monthly Cash Flow'!S$4&gt;1,'Monthly Cash Flow'!S$4&lt;=2),'Monthly Cash Flow'!R41*(1+'Rent Roll Analysis'!$AE39/12),'Monthly Cash Flow'!R41*(1+'Rent Roll Analysis'!$AB39/12))))</f>
        <v/>
      </c>
      <c r="T41" s="1428" t="str">
        <f>IF($B41="","",IF(T$4&gt;2,(S41*(1+'Rent Roll Analysis'!$AK39/12)), IF(AND('Monthly Cash Flow'!T$4&gt;1,'Monthly Cash Flow'!T$4&lt;=2),'Monthly Cash Flow'!S41*(1+'Rent Roll Analysis'!$AE39/12),'Monthly Cash Flow'!S41*(1+'Rent Roll Analysis'!$AB39/12))))</f>
        <v/>
      </c>
      <c r="U41" s="1428" t="str">
        <f>IF($B41="","",IF(U$4&gt;2,(T41*(1+'Rent Roll Analysis'!$AK39/12)), IF(AND('Monthly Cash Flow'!U$4&gt;1,'Monthly Cash Flow'!U$4&lt;=2),'Monthly Cash Flow'!T41*(1+'Rent Roll Analysis'!$AE39/12),'Monthly Cash Flow'!T41*(1+'Rent Roll Analysis'!$AB39/12))))</f>
        <v/>
      </c>
      <c r="V41" s="1428" t="str">
        <f>IF($B41="","",IF(V$4&gt;2,(U41*(1+'Rent Roll Analysis'!$AK39/12)), IF(AND('Monthly Cash Flow'!V$4&gt;1,'Monthly Cash Flow'!V$4&lt;=2),'Monthly Cash Flow'!U41*(1+'Rent Roll Analysis'!$AE39/12),'Monthly Cash Flow'!U41*(1+'Rent Roll Analysis'!$AB39/12))))</f>
        <v/>
      </c>
      <c r="W41" s="1428" t="str">
        <f>IF($B41="","",IF(W$4&gt;2,(V41*(1+'Rent Roll Analysis'!$AK39/12)), IF(AND('Monthly Cash Flow'!W$4&gt;1,'Monthly Cash Flow'!W$4&lt;=2),'Monthly Cash Flow'!V41*(1+'Rent Roll Analysis'!$AE39/12),'Monthly Cash Flow'!V41*(1+'Rent Roll Analysis'!$AB39/12))))</f>
        <v/>
      </c>
      <c r="X41" s="1428" t="str">
        <f>IF($B41="","",IF(X$4&gt;2,(W41*(1+'Rent Roll Analysis'!$AK39/12)), IF(AND('Monthly Cash Flow'!X$4&gt;1,'Monthly Cash Flow'!X$4&lt;=2),'Monthly Cash Flow'!W41*(1+'Rent Roll Analysis'!$AE39/12),'Monthly Cash Flow'!W41*(1+'Rent Roll Analysis'!$AB39/12))))</f>
        <v/>
      </c>
      <c r="Y41" s="1428" t="str">
        <f>IF($B41="","",IF(Y$4&gt;2,(X41*(1+'Rent Roll Analysis'!$AK39/12)), IF(AND('Monthly Cash Flow'!Y$4&gt;1,'Monthly Cash Flow'!Y$4&lt;=2),'Monthly Cash Flow'!X41*(1+'Rent Roll Analysis'!$AE39/12),'Monthly Cash Flow'!X41*(1+'Rent Roll Analysis'!$AB39/12))))</f>
        <v/>
      </c>
      <c r="Z41" s="1428" t="str">
        <f>IF($B41="","",IF(Z$4&gt;2,(Y41*(1+'Rent Roll Analysis'!$AK39/12)), IF(AND('Monthly Cash Flow'!Z$4&gt;1,'Monthly Cash Flow'!Z$4&lt;=2),'Monthly Cash Flow'!Y41*(1+'Rent Roll Analysis'!$AE39/12),'Monthly Cash Flow'!Y41*(1+'Rent Roll Analysis'!$AB39/12))))</f>
        <v/>
      </c>
      <c r="AA41" s="1428" t="str">
        <f>IF($B41="","",IF(AA$4&gt;2,(Z41*(1+'Rent Roll Analysis'!$AK39/12)), IF(AND('Monthly Cash Flow'!AA$4&gt;1,'Monthly Cash Flow'!AA$4&lt;=2),'Monthly Cash Flow'!Z41*(1+'Rent Roll Analysis'!$AE39/12),'Monthly Cash Flow'!Z41*(1+'Rent Roll Analysis'!$AB39/12))))</f>
        <v/>
      </c>
      <c r="AB41" s="1428" t="str">
        <f>IF($B41="","",IF(AB$4&gt;2,(AA41*(1+'Rent Roll Analysis'!$AK39/12)), IF(AND('Monthly Cash Flow'!AB$4&gt;1,'Monthly Cash Flow'!AB$4&lt;=2),'Monthly Cash Flow'!AA41*(1+'Rent Roll Analysis'!$AE39/12),'Monthly Cash Flow'!AA41*(1+'Rent Roll Analysis'!$AB39/12))))</f>
        <v/>
      </c>
      <c r="AC41" s="1428" t="str">
        <f>IF($B41="","",IF(AC$4&gt;2,(AB41*(1+'Rent Roll Analysis'!$AK39/12)), IF(AND('Monthly Cash Flow'!AC$4&gt;1,'Monthly Cash Flow'!AC$4&lt;=2),'Monthly Cash Flow'!AB41*(1+'Rent Roll Analysis'!$AE39/12),'Monthly Cash Flow'!AB41*(1+'Rent Roll Analysis'!$AB39/12))))</f>
        <v/>
      </c>
      <c r="AD41" s="1428" t="str">
        <f>IF($B41="","",IF(AD$4&gt;2,(AC41*(1+'Rent Roll Analysis'!$AK39/12)), IF(AND('Monthly Cash Flow'!AD$4&gt;1,'Monthly Cash Flow'!AD$4&lt;=2),'Monthly Cash Flow'!AC41*(1+'Rent Roll Analysis'!$AE39/12),'Monthly Cash Flow'!AC41*(1+'Rent Roll Analysis'!$AB39/12))))</f>
        <v/>
      </c>
      <c r="AE41" s="1428" t="str">
        <f>IF($B41="","",IF(AE$4&gt;2,(AD41*(1+'Rent Roll Analysis'!$AK39/12)), IF(AND('Monthly Cash Flow'!AE$4&gt;1,'Monthly Cash Flow'!AE$4&lt;=2),'Monthly Cash Flow'!AD41*(1+'Rent Roll Analysis'!$AE39/12),'Monthly Cash Flow'!AD41*(1+'Rent Roll Analysis'!$AB39/12))))</f>
        <v/>
      </c>
      <c r="AF41" s="1428" t="str">
        <f>IF($B41="","",IF(AF$4&gt;2,(AE41*(1+'Rent Roll Analysis'!$AK39/12)), IF(AND('Monthly Cash Flow'!AF$4&gt;1,'Monthly Cash Flow'!AF$4&lt;=2),'Monthly Cash Flow'!AE41*(1+'Rent Roll Analysis'!$AE39/12),'Monthly Cash Flow'!AE41*(1+'Rent Roll Analysis'!$AB39/12))))</f>
        <v/>
      </c>
      <c r="AG41" s="1428" t="str">
        <f>IF($B41="","",IF(AG$4&gt;2,(AF41*(1+'Rent Roll Analysis'!$AK39/12)), IF(AND('Monthly Cash Flow'!AG$4&gt;1,'Monthly Cash Flow'!AG$4&lt;=2),'Monthly Cash Flow'!AF41*(1+'Rent Roll Analysis'!$AE39/12),'Monthly Cash Flow'!AF41*(1+'Rent Roll Analysis'!$AB39/12))))</f>
        <v/>
      </c>
      <c r="AH41" s="1428" t="str">
        <f>IF($B41="","",IF(AH$4&gt;2,(AG41*(1+'Rent Roll Analysis'!$AK39/12)), IF(AND('Monthly Cash Flow'!AH$4&gt;1,'Monthly Cash Flow'!AH$4&lt;=2),'Monthly Cash Flow'!AG41*(1+'Rent Roll Analysis'!$AE39/12),'Monthly Cash Flow'!AG41*(1+'Rent Roll Analysis'!$AB39/12))))</f>
        <v/>
      </c>
      <c r="AI41" s="1428" t="str">
        <f>IF($B41="","",IF(AI$4&gt;2,(AH41*(1+'Rent Roll Analysis'!$AK39/12)), IF(AND('Monthly Cash Flow'!AI$4&gt;1,'Monthly Cash Flow'!AI$4&lt;=2),'Monthly Cash Flow'!AH41*(1+'Rent Roll Analysis'!$AE39/12),'Monthly Cash Flow'!AH41*(1+'Rent Roll Analysis'!$AB39/12))))</f>
        <v/>
      </c>
      <c r="AJ41" s="1428" t="str">
        <f>IF($B41="","",IF(AJ$4&gt;2,(AI41*(1+'Rent Roll Analysis'!$AK39/12)), IF(AND('Monthly Cash Flow'!AJ$4&gt;1,'Monthly Cash Flow'!AJ$4&lt;=2),'Monthly Cash Flow'!AI41*(1+'Rent Roll Analysis'!$AE39/12),'Monthly Cash Flow'!AI41*(1+'Rent Roll Analysis'!$AB39/12))))</f>
        <v/>
      </c>
      <c r="AK41" s="1428" t="str">
        <f>IF($B41="","",IF(AK$4&gt;2,(AJ41*(1+'Rent Roll Analysis'!$AK39/12)), IF(AND('Monthly Cash Flow'!AK$4&gt;1,'Monthly Cash Flow'!AK$4&lt;=2),'Monthly Cash Flow'!AJ41*(1+'Rent Roll Analysis'!$AE39/12),'Monthly Cash Flow'!AJ41*(1+'Rent Roll Analysis'!$AB39/12))))</f>
        <v/>
      </c>
      <c r="AL41" s="1428" t="str">
        <f>IF($B41="","",IF(AL$4&gt;2,(AK41*(1+'Rent Roll Analysis'!$AK39/12)), IF(AND('Monthly Cash Flow'!AL$4&gt;1,'Monthly Cash Flow'!AL$4&lt;=2),'Monthly Cash Flow'!AK41*(1+'Rent Roll Analysis'!$AE39/12),'Monthly Cash Flow'!AK41*(1+'Rent Roll Analysis'!$AB39/12))))</f>
        <v/>
      </c>
      <c r="AM41" s="1428" t="str">
        <f>IF($B41="","",IF(AM$4&gt;2,(AL41*(1+'Rent Roll Analysis'!$AK39/12)), IF(AND('Monthly Cash Flow'!AM$4&gt;1,'Monthly Cash Flow'!AM$4&lt;=2),'Monthly Cash Flow'!AL41*(1+'Rent Roll Analysis'!$AE39/12),'Monthly Cash Flow'!AL41*(1+'Rent Roll Analysis'!$AB39/12))))</f>
        <v/>
      </c>
      <c r="AN41" s="1428" t="str">
        <f>IF($B41="","",IF(AN$4&gt;2,(AM41*(1+'Rent Roll Analysis'!$AK39/12)), IF(AND('Monthly Cash Flow'!AN$4&gt;1,'Monthly Cash Flow'!AN$4&lt;=2),'Monthly Cash Flow'!AM41*(1+'Rent Roll Analysis'!$AE39/12),'Monthly Cash Flow'!AM41*(1+'Rent Roll Analysis'!$AB39/12))))</f>
        <v/>
      </c>
      <c r="AO41" s="1428" t="str">
        <f>IF($B41="","",IF(AO$4&gt;2,(AN41*(1+'Rent Roll Analysis'!$AK39/12)), IF(AND('Monthly Cash Flow'!AO$4&gt;1,'Monthly Cash Flow'!AO$4&lt;=2),'Monthly Cash Flow'!AN41*(1+'Rent Roll Analysis'!$AE39/12),'Monthly Cash Flow'!AN41*(1+'Rent Roll Analysis'!$AB39/12))))</f>
        <v/>
      </c>
      <c r="AP41" s="1428" t="str">
        <f>IF($B41="","",IF(AP$4&gt;2,(AO41*(1+'Rent Roll Analysis'!$AK39/12)), IF(AND('Monthly Cash Flow'!AP$4&gt;1,'Monthly Cash Flow'!AP$4&lt;=2),'Monthly Cash Flow'!AO41*(1+'Rent Roll Analysis'!$AE39/12),'Monthly Cash Flow'!AO41*(1+'Rent Roll Analysis'!$AB39/12))))</f>
        <v/>
      </c>
      <c r="AQ41" s="1428" t="str">
        <f>IF($B41="","",IF(AQ$4&gt;2,(AP41*(1+'Rent Roll Analysis'!$AK39/12)), IF(AND('Monthly Cash Flow'!AQ$4&gt;1,'Monthly Cash Flow'!AQ$4&lt;=2),'Monthly Cash Flow'!AP41*(1+'Rent Roll Analysis'!$AE39/12),'Monthly Cash Flow'!AP41*(1+'Rent Roll Analysis'!$AB39/12))))</f>
        <v/>
      </c>
      <c r="AR41" s="1428" t="str">
        <f>IF($B41="","",IF(AR$4&gt;2,(AQ41*(1+'Rent Roll Analysis'!$AK39/12)), IF(AND('Monthly Cash Flow'!AR$4&gt;1,'Monthly Cash Flow'!AR$4&lt;=2),'Monthly Cash Flow'!AQ41*(1+'Rent Roll Analysis'!$AE39/12),'Monthly Cash Flow'!AQ41*(1+'Rent Roll Analysis'!$AB39/12))))</f>
        <v/>
      </c>
      <c r="AS41" s="1428" t="str">
        <f>IF($B41="","",IF(AS$4&gt;2,(AR41*(1+'Rent Roll Analysis'!$AK39/12)), IF(AND('Monthly Cash Flow'!AS$4&gt;1,'Monthly Cash Flow'!AS$4&lt;=2),'Monthly Cash Flow'!AR41*(1+'Rent Roll Analysis'!$AE39/12),'Monthly Cash Flow'!AR41*(1+'Rent Roll Analysis'!$AB39/12))))</f>
        <v/>
      </c>
      <c r="AT41" s="1428" t="str">
        <f>IF($B41="","",IF(AT$4&gt;2,(AS41*(1+'Rent Roll Analysis'!$AK39/12)), IF(AND('Monthly Cash Flow'!AT$4&gt;1,'Monthly Cash Flow'!AT$4&lt;=2),'Monthly Cash Flow'!AS41*(1+'Rent Roll Analysis'!$AE39/12),'Monthly Cash Flow'!AS41*(1+'Rent Roll Analysis'!$AB39/12))))</f>
        <v/>
      </c>
      <c r="AU41" s="1428" t="str">
        <f>IF($B41="","",IF(AU$4&gt;2,(AT41*(1+'Rent Roll Analysis'!$AK39/12)), IF(AND('Monthly Cash Flow'!AU$4&gt;1,'Monthly Cash Flow'!AU$4&lt;=2),'Monthly Cash Flow'!AT41*(1+'Rent Roll Analysis'!$AE39/12),'Monthly Cash Flow'!AT41*(1+'Rent Roll Analysis'!$AB39/12))))</f>
        <v/>
      </c>
      <c r="AV41" s="1428" t="str">
        <f>IF($B41="","",IF(AV$4&gt;2,(AU41*(1+'Rent Roll Analysis'!$AK39/12)), IF(AND('Monthly Cash Flow'!AV$4&gt;1,'Monthly Cash Flow'!AV$4&lt;=2),'Monthly Cash Flow'!AU41*(1+'Rent Roll Analysis'!$AE39/12),'Monthly Cash Flow'!AU41*(1+'Rent Roll Analysis'!$AB39/12))))</f>
        <v/>
      </c>
      <c r="AW41" s="1428" t="str">
        <f>IF($B41="","",IF(AW$4&gt;2,(AV41*(1+'Rent Roll Analysis'!$AK39/12)), IF(AND('Monthly Cash Flow'!AW$4&gt;1,'Monthly Cash Flow'!AW$4&lt;=2),'Monthly Cash Flow'!AV41*(1+'Rent Roll Analysis'!$AE39/12),'Monthly Cash Flow'!AV41*(1+'Rent Roll Analysis'!$AB39/12))))</f>
        <v/>
      </c>
      <c r="AX41" s="1428" t="str">
        <f>IF($B41="","",IF(AX$4&gt;2,(AW41*(1+'Rent Roll Analysis'!$AK39/12)), IF(AND('Monthly Cash Flow'!AX$4&gt;1,'Monthly Cash Flow'!AX$4&lt;=2),'Monthly Cash Flow'!AW41*(1+'Rent Roll Analysis'!$AE39/12),'Monthly Cash Flow'!AW41*(1+'Rent Roll Analysis'!$AB39/12))))</f>
        <v/>
      </c>
      <c r="AY41" s="1428" t="str">
        <f>IF($B41="","",IF(AY$4&gt;2,(AX41*(1+'Rent Roll Analysis'!$AK39/12)), IF(AND('Monthly Cash Flow'!AY$4&gt;1,'Monthly Cash Flow'!AY$4&lt;=2),'Monthly Cash Flow'!AX41*(1+'Rent Roll Analysis'!$AE39/12),'Monthly Cash Flow'!AX41*(1+'Rent Roll Analysis'!$AB39/12))))</f>
        <v/>
      </c>
      <c r="AZ41" s="1428" t="str">
        <f>IF($B41="","",IF(AZ$4&gt;2,(AY41*(1+'Rent Roll Analysis'!$AK39/12)), IF(AND('Monthly Cash Flow'!AZ$4&gt;1,'Monthly Cash Flow'!AZ$4&lt;=2),'Monthly Cash Flow'!AY41*(1+'Rent Roll Analysis'!$AE39/12),'Monthly Cash Flow'!AY41*(1+'Rent Roll Analysis'!$AB39/12))))</f>
        <v/>
      </c>
      <c r="BA41" s="1428" t="str">
        <f>IF($B41="","",IF(BA$4&gt;2,(AZ41*(1+'Rent Roll Analysis'!$AK39/12)), IF(AND('Monthly Cash Flow'!BA$4&gt;1,'Monthly Cash Flow'!BA$4&lt;=2),'Monthly Cash Flow'!AZ41*(1+'Rent Roll Analysis'!$AE39/12),'Monthly Cash Flow'!AZ41*(1+'Rent Roll Analysis'!$AB39/12))))</f>
        <v/>
      </c>
      <c r="BB41" s="1428" t="str">
        <f>IF($B41="","",IF(BB$4&gt;2,(BA41*(1+'Rent Roll Analysis'!$AK39/12)), IF(AND('Monthly Cash Flow'!BB$4&gt;1,'Monthly Cash Flow'!BB$4&lt;=2),'Monthly Cash Flow'!BA41*(1+'Rent Roll Analysis'!$AE39/12),'Monthly Cash Flow'!BA41*(1+'Rent Roll Analysis'!$AB39/12))))</f>
        <v/>
      </c>
      <c r="BC41" s="1428" t="str">
        <f>IF($B41="","",IF(BC$4&gt;2,(BB41*(1+'Rent Roll Analysis'!$AK39/12)), IF(AND('Monthly Cash Flow'!BC$4&gt;1,'Monthly Cash Flow'!BC$4&lt;=2),'Monthly Cash Flow'!BB41*(1+'Rent Roll Analysis'!$AE39/12),'Monthly Cash Flow'!BB41*(1+'Rent Roll Analysis'!$AB39/12))))</f>
        <v/>
      </c>
      <c r="BD41" s="1428" t="str">
        <f>IF($B41="","",IF(BD$4&gt;2,(BC41*(1+'Rent Roll Analysis'!$AK39/12)), IF(AND('Monthly Cash Flow'!BD$4&gt;1,'Monthly Cash Flow'!BD$4&lt;=2),'Monthly Cash Flow'!BC41*(1+'Rent Roll Analysis'!$AE39/12),'Monthly Cash Flow'!BC41*(1+'Rent Roll Analysis'!$AB39/12))))</f>
        <v/>
      </c>
      <c r="BE41" s="1428" t="str">
        <f>IF($B41="","",IF(BE$4&gt;2,(BD41*(1+'Rent Roll Analysis'!$AK39/12)), IF(AND('Monthly Cash Flow'!BE$4&gt;1,'Monthly Cash Flow'!BE$4&lt;=2),'Monthly Cash Flow'!BD41*(1+'Rent Roll Analysis'!$AE39/12),'Monthly Cash Flow'!BD41*(1+'Rent Roll Analysis'!$AB39/12))))</f>
        <v/>
      </c>
      <c r="BF41" s="1428" t="str">
        <f>IF($B41="","",IF(BF$4&gt;2,(BE41*(1+'Rent Roll Analysis'!$AK39/12)), IF(AND('Monthly Cash Flow'!BF$4&gt;1,'Monthly Cash Flow'!BF$4&lt;=2),'Monthly Cash Flow'!BE41*(1+'Rent Roll Analysis'!$AE39/12),'Monthly Cash Flow'!BE41*(1+'Rent Roll Analysis'!$AB39/12))))</f>
        <v/>
      </c>
      <c r="BG41" s="1428" t="str">
        <f>IF($B41="","",IF(BG$4&gt;2,(BF41*(1+'Rent Roll Analysis'!$AK39/12)), IF(AND('Monthly Cash Flow'!BG$4&gt;1,'Monthly Cash Flow'!BG$4&lt;=2),'Monthly Cash Flow'!BF41*(1+'Rent Roll Analysis'!$AE39/12),'Monthly Cash Flow'!BF41*(1+'Rent Roll Analysis'!$AB39/12))))</f>
        <v/>
      </c>
      <c r="BH41" s="1428" t="str">
        <f>IF($B41="","",IF(BH$4&gt;2,(BG41*(1+'Rent Roll Analysis'!$AK39/12)), IF(AND('Monthly Cash Flow'!BH$4&gt;1,'Monthly Cash Flow'!BH$4&lt;=2),'Monthly Cash Flow'!BG41*(1+'Rent Roll Analysis'!$AE39/12),'Monthly Cash Flow'!BG41*(1+'Rent Roll Analysis'!$AB39/12))))</f>
        <v/>
      </c>
      <c r="BI41" s="1428" t="str">
        <f>IF($B41="","",IF(BI$4&gt;2,(BH41*(1+'Rent Roll Analysis'!$AK39/12)), IF(AND('Monthly Cash Flow'!BI$4&gt;1,'Monthly Cash Flow'!BI$4&lt;=2),'Monthly Cash Flow'!BH41*(1+'Rent Roll Analysis'!$AE39/12),'Monthly Cash Flow'!BH41*(1+'Rent Roll Analysis'!$AB39/12))))</f>
        <v/>
      </c>
      <c r="BJ41" s="1428" t="str">
        <f>IF($B41="","",IF(BJ$4&gt;2,(BI41*(1+'Rent Roll Analysis'!$AK39/12)), IF(AND('Monthly Cash Flow'!BJ$4&gt;1,'Monthly Cash Flow'!BJ$4&lt;=2),'Monthly Cash Flow'!BI41*(1+'Rent Roll Analysis'!$AE39/12),'Monthly Cash Flow'!BI41*(1+'Rent Roll Analysis'!$AB39/12))))</f>
        <v/>
      </c>
      <c r="BK41" s="1428" t="str">
        <f>IF($B41="","",IF(BK$4&gt;2,(BJ41*(1+'Rent Roll Analysis'!$AK39/12)), IF(AND('Monthly Cash Flow'!BK$4&gt;1,'Monthly Cash Flow'!BK$4&lt;=2),'Monthly Cash Flow'!BJ41*(1+'Rent Roll Analysis'!$AE39/12),'Monthly Cash Flow'!BJ41*(1+'Rent Roll Analysis'!$AB39/12))))</f>
        <v/>
      </c>
      <c r="BL41" s="1428" t="str">
        <f>IF($B41="","",IF(BL$4&gt;2,(BK41*(1+'Rent Roll Analysis'!$AK39/12)), IF(AND('Monthly Cash Flow'!BL$4&gt;1,'Monthly Cash Flow'!BL$4&lt;=2),'Monthly Cash Flow'!BK41*(1+'Rent Roll Analysis'!$AE39/12),'Monthly Cash Flow'!BK41*(1+'Rent Roll Analysis'!$AB39/12))))</f>
        <v/>
      </c>
      <c r="BM41" s="1428" t="str">
        <f>IF($B41="","",IF(BM$4&gt;2,(BL41*(1+'Rent Roll Analysis'!$AK39/12)), IF(AND('Monthly Cash Flow'!BM$4&gt;1,'Monthly Cash Flow'!BM$4&lt;=2),'Monthly Cash Flow'!BL41*(1+'Rent Roll Analysis'!$AE39/12),'Monthly Cash Flow'!BL41*(1+'Rent Roll Analysis'!$AB39/12))))</f>
        <v/>
      </c>
      <c r="BN41" s="1428" t="str">
        <f>IF($B41="","",IF(BN$4&gt;2,(BM41*(1+'Rent Roll Analysis'!$AK39/12)), IF(AND('Monthly Cash Flow'!BN$4&gt;1,'Monthly Cash Flow'!BN$4&lt;=2),'Monthly Cash Flow'!BM41*(1+'Rent Roll Analysis'!$AE39/12),'Monthly Cash Flow'!BM41*(1+'Rent Roll Analysis'!$AB39/12))))</f>
        <v/>
      </c>
      <c r="BO41" s="1428" t="str">
        <f>IF($B41="","",IF(BO$4&gt;2,(BN41*(1+'Rent Roll Analysis'!$AK39/12)), IF(AND('Monthly Cash Flow'!BO$4&gt;1,'Monthly Cash Flow'!BO$4&lt;=2),'Monthly Cash Flow'!BN41*(1+'Rent Roll Analysis'!$AE39/12),'Monthly Cash Flow'!BN41*(1+'Rent Roll Analysis'!$AB39/12))))</f>
        <v/>
      </c>
      <c r="BP41" s="1428" t="str">
        <f>IF($B41="","",IF(BP$4&gt;2,(BO41*(1+'Rent Roll Analysis'!$AK39/12)), IF(AND('Monthly Cash Flow'!BP$4&gt;1,'Monthly Cash Flow'!BP$4&lt;=2),'Monthly Cash Flow'!BO41*(1+'Rent Roll Analysis'!$AE39/12),'Monthly Cash Flow'!BO41*(1+'Rent Roll Analysis'!$AB39/12))))</f>
        <v/>
      </c>
      <c r="BQ41" s="1428" t="str">
        <f>IF($B41="","",IF(BQ$4&gt;2,(BP41*(1+'Rent Roll Analysis'!$AK39/12)), IF(AND('Monthly Cash Flow'!BQ$4&gt;1,'Monthly Cash Flow'!BQ$4&lt;=2),'Monthly Cash Flow'!BP41*(1+'Rent Roll Analysis'!$AE39/12),'Monthly Cash Flow'!BP41*(1+'Rent Roll Analysis'!$AB39/12))))</f>
        <v/>
      </c>
      <c r="BR41" s="1428" t="str">
        <f>IF($B41="","",IF(BR$4&gt;2,(BQ41*(1+'Rent Roll Analysis'!$AK39/12)), IF(AND('Monthly Cash Flow'!BR$4&gt;1,'Monthly Cash Flow'!BR$4&lt;=2),'Monthly Cash Flow'!BQ41*(1+'Rent Roll Analysis'!$AE39/12),'Monthly Cash Flow'!BQ41*(1+'Rent Roll Analysis'!$AB39/12))))</f>
        <v/>
      </c>
      <c r="BS41" s="1428" t="str">
        <f>IF($B41="","",IF(BS$4&gt;2,(BR41*(1+'Rent Roll Analysis'!$AK39/12)), IF(AND('Monthly Cash Flow'!BS$4&gt;1,'Monthly Cash Flow'!BS$4&lt;=2),'Monthly Cash Flow'!BR41*(1+'Rent Roll Analysis'!$AE39/12),'Monthly Cash Flow'!BR41*(1+'Rent Roll Analysis'!$AB39/12))))</f>
        <v/>
      </c>
      <c r="BT41" s="1428" t="str">
        <f>IF($B41="","",IF(BT$4&gt;2,(BS41*(1+'Rent Roll Analysis'!$AK39/12)), IF(AND('Monthly Cash Flow'!BT$4&gt;1,'Monthly Cash Flow'!BT$4&lt;=2),'Monthly Cash Flow'!BS41*(1+'Rent Roll Analysis'!$AE39/12),'Monthly Cash Flow'!BS41*(1+'Rent Roll Analysis'!$AB39/12))))</f>
        <v/>
      </c>
      <c r="BU41" s="1428" t="str">
        <f>IF($B41="","",IF(BU$4&gt;2,(BT41*(1+'Rent Roll Analysis'!$AK39/12)), IF(AND('Monthly Cash Flow'!BU$4&gt;1,'Monthly Cash Flow'!BU$4&lt;=2),'Monthly Cash Flow'!BT41*(1+'Rent Roll Analysis'!$AE39/12),'Monthly Cash Flow'!BT41*(1+'Rent Roll Analysis'!$AB39/12))))</f>
        <v/>
      </c>
      <c r="BV41" s="1428" t="str">
        <f>IF($B41="","",IF(BV$4&gt;2,(BU41*(1+'Rent Roll Analysis'!$AK39/12)), IF(AND('Monthly Cash Flow'!BV$4&gt;1,'Monthly Cash Flow'!BV$4&lt;=2),'Monthly Cash Flow'!BU41*(1+'Rent Roll Analysis'!$AE39/12),'Monthly Cash Flow'!BU41*(1+'Rent Roll Analysis'!$AB39/12))))</f>
        <v/>
      </c>
      <c r="BW41" s="1428" t="str">
        <f>IF($B41="","",IF(BW$4&gt;2,(BV41*(1+'Rent Roll Analysis'!$AK39/12)), IF(AND('Monthly Cash Flow'!BW$4&gt;1,'Monthly Cash Flow'!BW$4&lt;=2),'Monthly Cash Flow'!BV41*(1+'Rent Roll Analysis'!$AE39/12),'Monthly Cash Flow'!BV41*(1+'Rent Roll Analysis'!$AB39/12))))</f>
        <v/>
      </c>
      <c r="BX41" s="1428" t="str">
        <f>IF($B41="","",IF(BX$4&gt;2,(BW41*(1+'Rent Roll Analysis'!$AK39/12)), IF(AND('Monthly Cash Flow'!BX$4&gt;1,'Monthly Cash Flow'!BX$4&lt;=2),'Monthly Cash Flow'!BW41*(1+'Rent Roll Analysis'!$AE39/12),'Monthly Cash Flow'!BW41*(1+'Rent Roll Analysis'!$AB39/12))))</f>
        <v/>
      </c>
      <c r="BY41" s="1428" t="str">
        <f>IF($B41="","",IF(BY$4&gt;2,(BX41*(1+'Rent Roll Analysis'!$AK39/12)), IF(AND('Monthly Cash Flow'!BY$4&gt;1,'Monthly Cash Flow'!BY$4&lt;=2),'Monthly Cash Flow'!BX41*(1+'Rent Roll Analysis'!$AE39/12),'Monthly Cash Flow'!BX41*(1+'Rent Roll Analysis'!$AB39/12))))</f>
        <v/>
      </c>
      <c r="BZ41" s="1428" t="str">
        <f>IF($B41="","",IF(BZ$4&gt;2,(BY41*(1+'Rent Roll Analysis'!$AK39/12)), IF(AND('Monthly Cash Flow'!BZ$4&gt;1,'Monthly Cash Flow'!BZ$4&lt;=2),'Monthly Cash Flow'!BY41*(1+'Rent Roll Analysis'!$AE39/12),'Monthly Cash Flow'!BY41*(1+'Rent Roll Analysis'!$AB39/12))))</f>
        <v/>
      </c>
      <c r="CA41" s="1428" t="str">
        <f>IF($B41="","",IF(CA$4&gt;2,(BZ41*(1+'Rent Roll Analysis'!$AK39/12)), IF(AND('Monthly Cash Flow'!CA$4&gt;1,'Monthly Cash Flow'!CA$4&lt;=2),'Monthly Cash Flow'!BZ41*(1+'Rent Roll Analysis'!$AE39/12),'Monthly Cash Flow'!BZ41*(1+'Rent Roll Analysis'!$AB39/12))))</f>
        <v/>
      </c>
      <c r="CB41" s="1428" t="str">
        <f>IF($B41="","",IF(CB$4&gt;2,(CA41*(1+'Rent Roll Analysis'!$AK39/12)), IF(AND('Monthly Cash Flow'!CB$4&gt;1,'Monthly Cash Flow'!CB$4&lt;=2),'Monthly Cash Flow'!CA41*(1+'Rent Roll Analysis'!$AE39/12),'Monthly Cash Flow'!CA41*(1+'Rent Roll Analysis'!$AB39/12))))</f>
        <v/>
      </c>
      <c r="CC41" s="1428" t="str">
        <f>IF($B41="","",IF(CC$4&gt;2,(CB41*(1+'Rent Roll Analysis'!$AK39/12)), IF(AND('Monthly Cash Flow'!CC$4&gt;1,'Monthly Cash Flow'!CC$4&lt;=2),'Monthly Cash Flow'!CB41*(1+'Rent Roll Analysis'!$AE39/12),'Monthly Cash Flow'!CB41*(1+'Rent Roll Analysis'!$AB39/12))))</f>
        <v/>
      </c>
      <c r="CD41" s="1428" t="str">
        <f>IF($B41="","",IF(CD$4&gt;2,(CC41*(1+'Rent Roll Analysis'!$AK39/12)), IF(AND('Monthly Cash Flow'!CD$4&gt;1,'Monthly Cash Flow'!CD$4&lt;=2),'Monthly Cash Flow'!CC41*(1+'Rent Roll Analysis'!$AE39/12),'Monthly Cash Flow'!CC41*(1+'Rent Roll Analysis'!$AB39/12))))</f>
        <v/>
      </c>
      <c r="CE41" s="1428" t="str">
        <f>IF($B41="","",IF(CE$4&gt;2,(CD41*(1+'Rent Roll Analysis'!$AK39/12)), IF(AND('Monthly Cash Flow'!CE$4&gt;1,'Monthly Cash Flow'!CE$4&lt;=2),'Monthly Cash Flow'!CD41*(1+'Rent Roll Analysis'!$AE39/12),'Monthly Cash Flow'!CD41*(1+'Rent Roll Analysis'!$AB39/12))))</f>
        <v/>
      </c>
      <c r="CF41" s="1428" t="str">
        <f>IF($B41="","",IF(CF$4&gt;2,(CE41*(1+'Rent Roll Analysis'!$AK39/12)), IF(AND('Monthly Cash Flow'!CF$4&gt;1,'Monthly Cash Flow'!CF$4&lt;=2),'Monthly Cash Flow'!CE41*(1+'Rent Roll Analysis'!$AE39/12),'Monthly Cash Flow'!CE41*(1+'Rent Roll Analysis'!$AB39/12))))</f>
        <v/>
      </c>
      <c r="CG41" s="1428" t="str">
        <f>IF($B41="","",IF(CG$4&gt;2,(CF41*(1+'Rent Roll Analysis'!$AK39/12)), IF(AND('Monthly Cash Flow'!CG$4&gt;1,'Monthly Cash Flow'!CG$4&lt;=2),'Monthly Cash Flow'!CF41*(1+'Rent Roll Analysis'!$AE39/12),'Monthly Cash Flow'!CF41*(1+'Rent Roll Analysis'!$AB39/12))))</f>
        <v/>
      </c>
      <c r="CH41" s="1428" t="str">
        <f>IF($B41="","",IF(CH$4&gt;2,(CG41*(1+'Rent Roll Analysis'!$AK39/12)), IF(AND('Monthly Cash Flow'!CH$4&gt;1,'Monthly Cash Flow'!CH$4&lt;=2),'Monthly Cash Flow'!CG41*(1+'Rent Roll Analysis'!$AE39/12),'Monthly Cash Flow'!CG41*(1+'Rent Roll Analysis'!$AB39/12))))</f>
        <v/>
      </c>
      <c r="CI41" s="1428" t="str">
        <f>IF($B41="","",IF(CI$4&gt;2,(CH41*(1+'Rent Roll Analysis'!$AK39/12)), IF(AND('Monthly Cash Flow'!CI$4&gt;1,'Monthly Cash Flow'!CI$4&lt;=2),'Monthly Cash Flow'!CH41*(1+'Rent Roll Analysis'!$AE39/12),'Monthly Cash Flow'!CH41*(1+'Rent Roll Analysis'!$AB39/12))))</f>
        <v/>
      </c>
      <c r="CJ41" s="1428" t="str">
        <f>IF($B41="","",IF(CJ$4&gt;2,(CI41*(1+'Rent Roll Analysis'!$AK39/12)), IF(AND('Monthly Cash Flow'!CJ$4&gt;1,'Monthly Cash Flow'!CJ$4&lt;=2),'Monthly Cash Flow'!CI41*(1+'Rent Roll Analysis'!$AE39/12),'Monthly Cash Flow'!CI41*(1+'Rent Roll Analysis'!$AB39/12))))</f>
        <v/>
      </c>
      <c r="CK41" s="1428" t="str">
        <f>IF($B41="","",IF(CK$4&gt;2,(CJ41*(1+'Rent Roll Analysis'!$AK39/12)), IF(AND('Monthly Cash Flow'!CK$4&gt;1,'Monthly Cash Flow'!CK$4&lt;=2),'Monthly Cash Flow'!CJ41*(1+'Rent Roll Analysis'!$AE39/12),'Monthly Cash Flow'!CJ41*(1+'Rent Roll Analysis'!$AB39/12))))</f>
        <v/>
      </c>
      <c r="CL41" s="1428" t="str">
        <f>IF($B41="","",IF(CL$4&gt;2,(CK41*(1+'Rent Roll Analysis'!$AK39/12)), IF(AND('Monthly Cash Flow'!CL$4&gt;1,'Monthly Cash Flow'!CL$4&lt;=2),'Monthly Cash Flow'!CK41*(1+'Rent Roll Analysis'!$AE39/12),'Monthly Cash Flow'!CK41*(1+'Rent Roll Analysis'!$AB39/12))))</f>
        <v/>
      </c>
      <c r="CM41" s="1428" t="str">
        <f>IF($B41="","",IF(CM$4&gt;2,(CL41*(1+'Rent Roll Analysis'!$AK39/12)), IF(AND('Monthly Cash Flow'!CM$4&gt;1,'Monthly Cash Flow'!CM$4&lt;=2),'Monthly Cash Flow'!CL41*(1+'Rent Roll Analysis'!$AE39/12),'Monthly Cash Flow'!CL41*(1+'Rent Roll Analysis'!$AB39/12))))</f>
        <v/>
      </c>
      <c r="CN41" s="1428" t="str">
        <f>IF($B41="","",IF(CN$4&gt;2,(CM41*(1+'Rent Roll Analysis'!$AK39/12)), IF(AND('Monthly Cash Flow'!CN$4&gt;1,'Monthly Cash Flow'!CN$4&lt;=2),'Monthly Cash Flow'!CM41*(1+'Rent Roll Analysis'!$AE39/12),'Monthly Cash Flow'!CM41*(1+'Rent Roll Analysis'!$AB39/12))))</f>
        <v/>
      </c>
      <c r="CO41" s="1428" t="str">
        <f>IF($B41="","",IF(CO$4&gt;2,(CN41*(1+'Rent Roll Analysis'!$AK39/12)), IF(AND('Monthly Cash Flow'!CO$4&gt;1,'Monthly Cash Flow'!CO$4&lt;=2),'Monthly Cash Flow'!CN41*(1+'Rent Roll Analysis'!$AE39/12),'Monthly Cash Flow'!CN41*(1+'Rent Roll Analysis'!$AB39/12))))</f>
        <v/>
      </c>
      <c r="CP41" s="1428" t="str">
        <f>IF($B41="","",IF(CP$4&gt;2,(CO41*(1+'Rent Roll Analysis'!$AK39/12)), IF(AND('Monthly Cash Flow'!CP$4&gt;1,'Monthly Cash Flow'!CP$4&lt;=2),'Monthly Cash Flow'!CO41*(1+'Rent Roll Analysis'!$AE39/12),'Monthly Cash Flow'!CO41*(1+'Rent Roll Analysis'!$AB39/12))))</f>
        <v/>
      </c>
      <c r="CQ41" s="1428" t="str">
        <f>IF($B41="","",IF(CQ$4&gt;2,(CP41*(1+'Rent Roll Analysis'!$AK39/12)), IF(AND('Monthly Cash Flow'!CQ$4&gt;1,'Monthly Cash Flow'!CQ$4&lt;=2),'Monthly Cash Flow'!CP41*(1+'Rent Roll Analysis'!$AE39/12),'Monthly Cash Flow'!CP41*(1+'Rent Roll Analysis'!$AB39/12))))</f>
        <v/>
      </c>
      <c r="CR41" s="1428" t="str">
        <f>IF($B41="","",IF(CR$4&gt;2,(CQ41*(1+'Rent Roll Analysis'!$AK39/12)), IF(AND('Monthly Cash Flow'!CR$4&gt;1,'Monthly Cash Flow'!CR$4&lt;=2),'Monthly Cash Flow'!CQ41*(1+'Rent Roll Analysis'!$AE39/12),'Monthly Cash Flow'!CQ41*(1+'Rent Roll Analysis'!$AB39/12))))</f>
        <v/>
      </c>
      <c r="CS41" s="1428" t="str">
        <f>IF($B41="","",IF(CS$4&gt;2,(CR41*(1+'Rent Roll Analysis'!$AK39/12)), IF(AND('Monthly Cash Flow'!CS$4&gt;1,'Monthly Cash Flow'!CS$4&lt;=2),'Monthly Cash Flow'!CR41*(1+'Rent Roll Analysis'!$AE39/12),'Monthly Cash Flow'!CR41*(1+'Rent Roll Analysis'!$AB39/12))))</f>
        <v/>
      </c>
      <c r="CT41" s="1428" t="str">
        <f>IF($B41="","",IF(CT$4&gt;2,(CS41*(1+'Rent Roll Analysis'!$AK39/12)), IF(AND('Monthly Cash Flow'!CT$4&gt;1,'Monthly Cash Flow'!CT$4&lt;=2),'Monthly Cash Flow'!CS41*(1+'Rent Roll Analysis'!$AE39/12),'Monthly Cash Flow'!CS41*(1+'Rent Roll Analysis'!$AB39/12))))</f>
        <v/>
      </c>
      <c r="CU41" s="1428" t="str">
        <f>IF($B41="","",IF(CU$4&gt;2,(CT41*(1+'Rent Roll Analysis'!$AK39/12)), IF(AND('Monthly Cash Flow'!CU$4&gt;1,'Monthly Cash Flow'!CU$4&lt;=2),'Monthly Cash Flow'!CT41*(1+'Rent Roll Analysis'!$AE39/12),'Monthly Cash Flow'!CT41*(1+'Rent Roll Analysis'!$AB39/12))))</f>
        <v/>
      </c>
      <c r="CV41" s="1428" t="str">
        <f>IF($B41="","",IF(CV$4&gt;2,(CU41*(1+'Rent Roll Analysis'!$AK39/12)), IF(AND('Monthly Cash Flow'!CV$4&gt;1,'Monthly Cash Flow'!CV$4&lt;=2),'Monthly Cash Flow'!CU41*(1+'Rent Roll Analysis'!$AE39/12),'Monthly Cash Flow'!CU41*(1+'Rent Roll Analysis'!$AB39/12))))</f>
        <v/>
      </c>
      <c r="CW41" s="1428" t="str">
        <f>IF($B41="","",IF(CW$4&gt;2,(CV41*(1+'Rent Roll Analysis'!$AK39/12)), IF(AND('Monthly Cash Flow'!CW$4&gt;1,'Monthly Cash Flow'!CW$4&lt;=2),'Monthly Cash Flow'!CV41*(1+'Rent Roll Analysis'!$AE39/12),'Monthly Cash Flow'!CV41*(1+'Rent Roll Analysis'!$AB39/12))))</f>
        <v/>
      </c>
      <c r="CX41" s="1428" t="str">
        <f>IF($B41="","",IF(CX$4&gt;2,(CW41*(1+'Rent Roll Analysis'!$AK39/12)), IF(AND('Monthly Cash Flow'!CX$4&gt;1,'Monthly Cash Flow'!CX$4&lt;=2),'Monthly Cash Flow'!CW41*(1+'Rent Roll Analysis'!$AE39/12),'Monthly Cash Flow'!CW41*(1+'Rent Roll Analysis'!$AB39/12))))</f>
        <v/>
      </c>
      <c r="CY41" s="1428" t="str">
        <f>IF($B41="","",IF(CY$4&gt;2,(CX41*(1+'Rent Roll Analysis'!$AK39/12)), IF(AND('Monthly Cash Flow'!CY$4&gt;1,'Monthly Cash Flow'!CY$4&lt;=2),'Monthly Cash Flow'!CX41*(1+'Rent Roll Analysis'!$AE39/12),'Monthly Cash Flow'!CX41*(1+'Rent Roll Analysis'!$AB39/12))))</f>
        <v/>
      </c>
      <c r="CZ41" s="1428" t="str">
        <f>IF($B41="","",IF(CZ$4&gt;2,(CY41*(1+'Rent Roll Analysis'!$AK39/12)), IF(AND('Monthly Cash Flow'!CZ$4&gt;1,'Monthly Cash Flow'!CZ$4&lt;=2),'Monthly Cash Flow'!CY41*(1+'Rent Roll Analysis'!$AE39/12),'Monthly Cash Flow'!CY41*(1+'Rent Roll Analysis'!$AB39/12))))</f>
        <v/>
      </c>
      <c r="DA41" s="1428" t="str">
        <f>IF($B41="","",IF(DA$4&gt;2,(CZ41*(1+'Rent Roll Analysis'!$AK39/12)), IF(AND('Monthly Cash Flow'!DA$4&gt;1,'Monthly Cash Flow'!DA$4&lt;=2),'Monthly Cash Flow'!CZ41*(1+'Rent Roll Analysis'!$AE39/12),'Monthly Cash Flow'!CZ41*(1+'Rent Roll Analysis'!$AB39/12))))</f>
        <v/>
      </c>
      <c r="DB41" s="1428" t="str">
        <f>IF($B41="","",IF(DB$4&gt;2,(DA41*(1+'Rent Roll Analysis'!$AK39/12)), IF(AND('Monthly Cash Flow'!DB$4&gt;1,'Monthly Cash Flow'!DB$4&lt;=2),'Monthly Cash Flow'!DA41*(1+'Rent Roll Analysis'!$AE39/12),'Monthly Cash Flow'!DA41*(1+'Rent Roll Analysis'!$AB39/12))))</f>
        <v/>
      </c>
      <c r="DC41" s="1428" t="str">
        <f>IF($B41="","",IF(DC$4&gt;2,(DB41*(1+'Rent Roll Analysis'!$AK39/12)), IF(AND('Monthly Cash Flow'!DC$4&gt;1,'Monthly Cash Flow'!DC$4&lt;=2),'Monthly Cash Flow'!DB41*(1+'Rent Roll Analysis'!$AE39/12),'Monthly Cash Flow'!DB41*(1+'Rent Roll Analysis'!$AB39/12))))</f>
        <v/>
      </c>
      <c r="DD41" s="1428" t="str">
        <f>IF($B41="","",IF(DD$4&gt;2,(DC41*(1+'Rent Roll Analysis'!$AK39/12)), IF(AND('Monthly Cash Flow'!DD$4&gt;1,'Monthly Cash Flow'!DD$4&lt;=2),'Monthly Cash Flow'!DC41*(1+'Rent Roll Analysis'!$AE39/12),'Monthly Cash Flow'!DC41*(1+'Rent Roll Analysis'!$AB39/12))))</f>
        <v/>
      </c>
      <c r="DE41" s="1428" t="str">
        <f>IF($B41="","",IF(DE$4&gt;2,(DD41*(1+'Rent Roll Analysis'!$AK39/12)), IF(AND('Monthly Cash Flow'!DE$4&gt;1,'Monthly Cash Flow'!DE$4&lt;=2),'Monthly Cash Flow'!DD41*(1+'Rent Roll Analysis'!$AE39/12),'Monthly Cash Flow'!DD41*(1+'Rent Roll Analysis'!$AB39/12))))</f>
        <v/>
      </c>
      <c r="DF41" s="1428" t="str">
        <f>IF($B41="","",IF(DF$4&gt;2,(DE41*(1+'Rent Roll Analysis'!$AK39/12)), IF(AND('Monthly Cash Flow'!DF$4&gt;1,'Monthly Cash Flow'!DF$4&lt;=2),'Monthly Cash Flow'!DE41*(1+'Rent Roll Analysis'!$AE39/12),'Monthly Cash Flow'!DE41*(1+'Rent Roll Analysis'!$AB39/12))))</f>
        <v/>
      </c>
      <c r="DG41" s="1428" t="str">
        <f>IF($B41="","",IF(DG$4&gt;2,(DF41*(1+'Rent Roll Analysis'!$AK39/12)), IF(AND('Monthly Cash Flow'!DG$4&gt;1,'Monthly Cash Flow'!DG$4&lt;=2),'Monthly Cash Flow'!DF41*(1+'Rent Roll Analysis'!$AE39/12),'Monthly Cash Flow'!DF41*(1+'Rent Roll Analysis'!$AB39/12))))</f>
        <v/>
      </c>
      <c r="DH41" s="1428" t="str">
        <f>IF($B41="","",IF(DH$4&gt;2,(DG41*(1+'Rent Roll Analysis'!$AK39/12)), IF(AND('Monthly Cash Flow'!DH$4&gt;1,'Monthly Cash Flow'!DH$4&lt;=2),'Monthly Cash Flow'!DG41*(1+'Rent Roll Analysis'!$AE39/12),'Monthly Cash Flow'!DG41*(1+'Rent Roll Analysis'!$AB39/12))))</f>
        <v/>
      </c>
      <c r="DI41" s="1428" t="str">
        <f>IF($B41="","",IF(DI$4&gt;2,(DH41*(1+'Rent Roll Analysis'!$AK39/12)), IF(AND('Monthly Cash Flow'!DI$4&gt;1,'Monthly Cash Flow'!DI$4&lt;=2),'Monthly Cash Flow'!DH41*(1+'Rent Roll Analysis'!$AE39/12),'Monthly Cash Flow'!DH41*(1+'Rent Roll Analysis'!$AB39/12))))</f>
        <v/>
      </c>
      <c r="DJ41" s="1428" t="str">
        <f>IF($B41="","",IF(DJ$4&gt;2,(DI41*(1+'Rent Roll Analysis'!$AK39/12)), IF(AND('Monthly Cash Flow'!DJ$4&gt;1,'Monthly Cash Flow'!DJ$4&lt;=2),'Monthly Cash Flow'!DI41*(1+'Rent Roll Analysis'!$AE39/12),'Monthly Cash Flow'!DI41*(1+'Rent Roll Analysis'!$AB39/12))))</f>
        <v/>
      </c>
      <c r="DK41" s="1428" t="str">
        <f>IF($B41="","",IF(DK$4&gt;2,(DJ41*(1+'Rent Roll Analysis'!$AK39/12)), IF(AND('Monthly Cash Flow'!DK$4&gt;1,'Monthly Cash Flow'!DK$4&lt;=2),'Monthly Cash Flow'!DJ41*(1+'Rent Roll Analysis'!$AE39/12),'Monthly Cash Flow'!DJ41*(1+'Rent Roll Analysis'!$AB39/12))))</f>
        <v/>
      </c>
      <c r="DL41" s="1428" t="str">
        <f>IF($B41="","",IF(DL$4&gt;2,(DK41*(1+'Rent Roll Analysis'!$AK39/12)), IF(AND('Monthly Cash Flow'!DL$4&gt;1,'Monthly Cash Flow'!DL$4&lt;=2),'Monthly Cash Flow'!DK41*(1+'Rent Roll Analysis'!$AE39/12),'Monthly Cash Flow'!DK41*(1+'Rent Roll Analysis'!$AB39/12))))</f>
        <v/>
      </c>
      <c r="DM41" s="1428" t="str">
        <f>IF($B41="","",IF(DM$4&gt;2,(DL41*(1+'Rent Roll Analysis'!$AK39/12)), IF(AND('Monthly Cash Flow'!DM$4&gt;1,'Monthly Cash Flow'!DM$4&lt;=2),'Monthly Cash Flow'!DL41*(1+'Rent Roll Analysis'!$AE39/12),'Monthly Cash Flow'!DL41*(1+'Rent Roll Analysis'!$AB39/12))))</f>
        <v/>
      </c>
      <c r="DN41" s="1428" t="str">
        <f>IF($B41="","",IF(DN$4&gt;2,(DM41*(1+'Rent Roll Analysis'!$AK39/12)), IF(AND('Monthly Cash Flow'!DN$4&gt;1,'Monthly Cash Flow'!DN$4&lt;=2),'Monthly Cash Flow'!DM41*(1+'Rent Roll Analysis'!$AE39/12),'Monthly Cash Flow'!DM41*(1+'Rent Roll Analysis'!$AB39/12))))</f>
        <v/>
      </c>
      <c r="DO41" s="1428" t="str">
        <f>IF($B41="","",IF(DO$4&gt;2,(DN41*(1+'Rent Roll Analysis'!$AK39/12)), IF(AND('Monthly Cash Flow'!DO$4&gt;1,'Monthly Cash Flow'!DO$4&lt;=2),'Monthly Cash Flow'!DN41*(1+'Rent Roll Analysis'!$AE39/12),'Monthly Cash Flow'!DN41*(1+'Rent Roll Analysis'!$AB39/12))))</f>
        <v/>
      </c>
      <c r="DP41" s="1428" t="str">
        <f>IF($B41="","",IF(DP$4&gt;2,(DO41*(1+'Rent Roll Analysis'!$AK39/12)), IF(AND('Monthly Cash Flow'!DP$4&gt;1,'Monthly Cash Flow'!DP$4&lt;=2),'Monthly Cash Flow'!DO41*(1+'Rent Roll Analysis'!$AE39/12),'Monthly Cash Flow'!DO41*(1+'Rent Roll Analysis'!$AB39/12))))</f>
        <v/>
      </c>
      <c r="DQ41" s="1428" t="str">
        <f>IF($B41="","",IF(DQ$4&gt;2,(DP41*(1+'Rent Roll Analysis'!$AK39/12)), IF(AND('Monthly Cash Flow'!DQ$4&gt;1,'Monthly Cash Flow'!DQ$4&lt;=2),'Monthly Cash Flow'!DP41*(1+'Rent Roll Analysis'!$AE39/12),'Monthly Cash Flow'!DP41*(1+'Rent Roll Analysis'!$AB39/12))))</f>
        <v/>
      </c>
      <c r="DR41" s="1428" t="str">
        <f>IF($B41="","",IF(DR$4&gt;2,(DQ41*(1+'Rent Roll Analysis'!$AK39/12)), IF(AND('Monthly Cash Flow'!DR$4&gt;1,'Monthly Cash Flow'!DR$4&lt;=2),'Monthly Cash Flow'!DQ41*(1+'Rent Roll Analysis'!$AE39/12),'Monthly Cash Flow'!DQ41*(1+'Rent Roll Analysis'!$AB39/12))))</f>
        <v/>
      </c>
      <c r="DS41" s="1428" t="str">
        <f>IF($B41="","",IF(DS$4&gt;2,(DR41*(1+'Rent Roll Analysis'!$AK39/12)), IF(AND('Monthly Cash Flow'!DS$4&gt;1,'Monthly Cash Flow'!DS$4&lt;=2),'Monthly Cash Flow'!DR41*(1+'Rent Roll Analysis'!$AE39/12),'Monthly Cash Flow'!DR41*(1+'Rent Roll Analysis'!$AB39/12))))</f>
        <v/>
      </c>
      <c r="DT41" s="1428" t="str">
        <f>IF($B41="","",IF(DT$4&gt;2,(DS41*(1+'Rent Roll Analysis'!$AK39/12)), IF(AND('Monthly Cash Flow'!DT$4&gt;1,'Monthly Cash Flow'!DT$4&lt;=2),'Monthly Cash Flow'!DS41*(1+'Rent Roll Analysis'!$AE39/12),'Monthly Cash Flow'!DS41*(1+'Rent Roll Analysis'!$AB39/12))))</f>
        <v/>
      </c>
      <c r="DU41" s="385" t="s">
        <v>557</v>
      </c>
      <c r="DV41" s="375"/>
    </row>
    <row r="42" spans="1:126" s="92" customFormat="1" ht="20.149999999999999" customHeight="1" outlineLevel="1">
      <c r="A42" s="375"/>
      <c r="B42" s="383" t="str">
        <f>'Rent Roll Analysis'!C40</f>
        <v/>
      </c>
      <c r="C42" s="376"/>
      <c r="D42" s="1426" t="str">
        <f>IF('Rent Roll Analysis'!C40="","",'Rent Roll Analysis'!N40*'Rent Roll Analysis'!E40)</f>
        <v/>
      </c>
      <c r="E42" s="1428" t="str">
        <f t="shared" si="113"/>
        <v/>
      </c>
      <c r="F42" s="1428" t="str">
        <f>IF($B42="","",IF(F$4&gt;2,(E42*(1+'Rent Roll Analysis'!$AK40/12)), IF(AND('Monthly Cash Flow'!F$4&gt;1,'Monthly Cash Flow'!F$4&lt;=2),'Monthly Cash Flow'!E42*(1+'Rent Roll Analysis'!$AE40/12),'Monthly Cash Flow'!E42*(1+'Rent Roll Analysis'!$AB40/12))))</f>
        <v/>
      </c>
      <c r="G42" s="1428" t="str">
        <f>IF($B42="","",IF(G$4&gt;2,(F42*(1+'Rent Roll Analysis'!$AK40/12)), IF(AND('Monthly Cash Flow'!G$4&gt;1,'Monthly Cash Flow'!G$4&lt;=2),'Monthly Cash Flow'!F42*(1+'Rent Roll Analysis'!$AE40/12),'Monthly Cash Flow'!F42*(1+'Rent Roll Analysis'!$AB40/12))))</f>
        <v/>
      </c>
      <c r="H42" s="1428" t="str">
        <f>IF($B42="","",IF(H$4&gt;2,(G42*(1+'Rent Roll Analysis'!$AK40/12)), IF(AND('Monthly Cash Flow'!H$4&gt;1,'Monthly Cash Flow'!H$4&lt;=2),'Monthly Cash Flow'!G42*(1+'Rent Roll Analysis'!$AE40/12),'Monthly Cash Flow'!G42*(1+'Rent Roll Analysis'!$AB40/12))))</f>
        <v/>
      </c>
      <c r="I42" s="1428" t="str">
        <f>IF($B42="","",IF(I$4&gt;2,(H42*(1+'Rent Roll Analysis'!$AK40/12)), IF(AND('Monthly Cash Flow'!I$4&gt;1,'Monthly Cash Flow'!I$4&lt;=2),'Monthly Cash Flow'!H42*(1+'Rent Roll Analysis'!$AE40/12),'Monthly Cash Flow'!H42*(1+'Rent Roll Analysis'!$AB40/12))))</f>
        <v/>
      </c>
      <c r="J42" s="1428" t="str">
        <f>IF($B42="","",IF(J$4&gt;2,(I42*(1+'Rent Roll Analysis'!$AK40/12)), IF(AND('Monthly Cash Flow'!J$4&gt;1,'Monthly Cash Flow'!J$4&lt;=2),'Monthly Cash Flow'!I42*(1+'Rent Roll Analysis'!$AE40/12),'Monthly Cash Flow'!I42*(1+'Rent Roll Analysis'!$AB40/12))))</f>
        <v/>
      </c>
      <c r="K42" s="1428" t="str">
        <f>IF($B42="","",IF(K$4&gt;2,(J42*(1+'Rent Roll Analysis'!$AK40/12)), IF(AND('Monthly Cash Flow'!K$4&gt;1,'Monthly Cash Flow'!K$4&lt;=2),'Monthly Cash Flow'!J42*(1+'Rent Roll Analysis'!$AE40/12),'Monthly Cash Flow'!J42*(1+'Rent Roll Analysis'!$AB40/12))))</f>
        <v/>
      </c>
      <c r="L42" s="1428" t="str">
        <f>IF($B42="","",IF(L$4&gt;2,(K42*(1+'Rent Roll Analysis'!$AK40/12)), IF(AND('Monthly Cash Flow'!L$4&gt;1,'Monthly Cash Flow'!L$4&lt;=2),'Monthly Cash Flow'!K42*(1+'Rent Roll Analysis'!$AE40/12),'Monthly Cash Flow'!K42*(1+'Rent Roll Analysis'!$AB40/12))))</f>
        <v/>
      </c>
      <c r="M42" s="1428" t="str">
        <f>IF($B42="","",IF(M$4&gt;2,(L42*(1+'Rent Roll Analysis'!$AK40/12)), IF(AND('Monthly Cash Flow'!M$4&gt;1,'Monthly Cash Flow'!M$4&lt;=2),'Monthly Cash Flow'!L42*(1+'Rent Roll Analysis'!$AE40/12),'Monthly Cash Flow'!L42*(1+'Rent Roll Analysis'!$AB40/12))))</f>
        <v/>
      </c>
      <c r="N42" s="1428" t="str">
        <f>IF($B42="","",IF(N$4&gt;2,(M42*(1+'Rent Roll Analysis'!$AK40/12)), IF(AND('Monthly Cash Flow'!N$4&gt;1,'Monthly Cash Flow'!N$4&lt;=2),'Monthly Cash Flow'!M42*(1+'Rent Roll Analysis'!$AE40/12),'Monthly Cash Flow'!M42*(1+'Rent Roll Analysis'!$AB40/12))))</f>
        <v/>
      </c>
      <c r="O42" s="1428" t="str">
        <f>IF($B42="","",IF(O$4&gt;2,(N42*(1+'Rent Roll Analysis'!$AK40/12)), IF(AND('Monthly Cash Flow'!O$4&gt;1,'Monthly Cash Flow'!O$4&lt;=2),'Monthly Cash Flow'!N42*(1+'Rent Roll Analysis'!$AE40/12),'Monthly Cash Flow'!N42*(1+'Rent Roll Analysis'!$AB40/12))))</f>
        <v/>
      </c>
      <c r="P42" s="1428" t="str">
        <f>IF($B42="","",IF(P$4&gt;2,(O42*(1+'Rent Roll Analysis'!$AK40/12)), IF(AND('Monthly Cash Flow'!P$4&gt;1,'Monthly Cash Flow'!P$4&lt;=2),'Monthly Cash Flow'!O42*(1+'Rent Roll Analysis'!$AE40/12),'Monthly Cash Flow'!O42*(1+'Rent Roll Analysis'!$AB40/12))))</f>
        <v/>
      </c>
      <c r="Q42" s="1428" t="str">
        <f>IF($B42="","",IF(Q$4&gt;2,(P42*(1+'Rent Roll Analysis'!$AK40/12)), IF(AND('Monthly Cash Flow'!Q$4&gt;1,'Monthly Cash Flow'!Q$4&lt;=2),'Monthly Cash Flow'!P42*(1+'Rent Roll Analysis'!$AE40/12),'Monthly Cash Flow'!P42*(1+'Rent Roll Analysis'!$AB40/12))))</f>
        <v/>
      </c>
      <c r="R42" s="1428" t="str">
        <f>IF($B42="","",IF(R$4&gt;2,(Q42*(1+'Rent Roll Analysis'!$AK40/12)), IF(AND('Monthly Cash Flow'!R$4&gt;1,'Monthly Cash Flow'!R$4&lt;=2),'Monthly Cash Flow'!Q42*(1+'Rent Roll Analysis'!$AE40/12),'Monthly Cash Flow'!Q42*(1+'Rent Roll Analysis'!$AB40/12))))</f>
        <v/>
      </c>
      <c r="S42" s="1428" t="str">
        <f>IF($B42="","",IF(S$4&gt;2,(R42*(1+'Rent Roll Analysis'!$AK40/12)), IF(AND('Monthly Cash Flow'!S$4&gt;1,'Monthly Cash Flow'!S$4&lt;=2),'Monthly Cash Flow'!R42*(1+'Rent Roll Analysis'!$AE40/12),'Monthly Cash Flow'!R42*(1+'Rent Roll Analysis'!$AB40/12))))</f>
        <v/>
      </c>
      <c r="T42" s="1428" t="str">
        <f>IF($B42="","",IF(T$4&gt;2,(S42*(1+'Rent Roll Analysis'!$AK40/12)), IF(AND('Monthly Cash Flow'!T$4&gt;1,'Monthly Cash Flow'!T$4&lt;=2),'Monthly Cash Flow'!S42*(1+'Rent Roll Analysis'!$AE40/12),'Monthly Cash Flow'!S42*(1+'Rent Roll Analysis'!$AB40/12))))</f>
        <v/>
      </c>
      <c r="U42" s="1428" t="str">
        <f>IF($B42="","",IF(U$4&gt;2,(T42*(1+'Rent Roll Analysis'!$AK40/12)), IF(AND('Monthly Cash Flow'!U$4&gt;1,'Monthly Cash Flow'!U$4&lt;=2),'Monthly Cash Flow'!T42*(1+'Rent Roll Analysis'!$AE40/12),'Monthly Cash Flow'!T42*(1+'Rent Roll Analysis'!$AB40/12))))</f>
        <v/>
      </c>
      <c r="V42" s="1428" t="str">
        <f>IF($B42="","",IF(V$4&gt;2,(U42*(1+'Rent Roll Analysis'!$AK40/12)), IF(AND('Monthly Cash Flow'!V$4&gt;1,'Monthly Cash Flow'!V$4&lt;=2),'Monthly Cash Flow'!U42*(1+'Rent Roll Analysis'!$AE40/12),'Monthly Cash Flow'!U42*(1+'Rent Roll Analysis'!$AB40/12))))</f>
        <v/>
      </c>
      <c r="W42" s="1428" t="str">
        <f>IF($B42="","",IF(W$4&gt;2,(V42*(1+'Rent Roll Analysis'!$AK40/12)), IF(AND('Monthly Cash Flow'!W$4&gt;1,'Monthly Cash Flow'!W$4&lt;=2),'Monthly Cash Flow'!V42*(1+'Rent Roll Analysis'!$AE40/12),'Monthly Cash Flow'!V42*(1+'Rent Roll Analysis'!$AB40/12))))</f>
        <v/>
      </c>
      <c r="X42" s="1428" t="str">
        <f>IF($B42="","",IF(X$4&gt;2,(W42*(1+'Rent Roll Analysis'!$AK40/12)), IF(AND('Monthly Cash Flow'!X$4&gt;1,'Monthly Cash Flow'!X$4&lt;=2),'Monthly Cash Flow'!W42*(1+'Rent Roll Analysis'!$AE40/12),'Monthly Cash Flow'!W42*(1+'Rent Roll Analysis'!$AB40/12))))</f>
        <v/>
      </c>
      <c r="Y42" s="1428" t="str">
        <f>IF($B42="","",IF(Y$4&gt;2,(X42*(1+'Rent Roll Analysis'!$AK40/12)), IF(AND('Monthly Cash Flow'!Y$4&gt;1,'Monthly Cash Flow'!Y$4&lt;=2),'Monthly Cash Flow'!X42*(1+'Rent Roll Analysis'!$AE40/12),'Monthly Cash Flow'!X42*(1+'Rent Roll Analysis'!$AB40/12))))</f>
        <v/>
      </c>
      <c r="Z42" s="1428" t="str">
        <f>IF($B42="","",IF(Z$4&gt;2,(Y42*(1+'Rent Roll Analysis'!$AK40/12)), IF(AND('Monthly Cash Flow'!Z$4&gt;1,'Monthly Cash Flow'!Z$4&lt;=2),'Monthly Cash Flow'!Y42*(1+'Rent Roll Analysis'!$AE40/12),'Monthly Cash Flow'!Y42*(1+'Rent Roll Analysis'!$AB40/12))))</f>
        <v/>
      </c>
      <c r="AA42" s="1428" t="str">
        <f>IF($B42="","",IF(AA$4&gt;2,(Z42*(1+'Rent Roll Analysis'!$AK40/12)), IF(AND('Monthly Cash Flow'!AA$4&gt;1,'Monthly Cash Flow'!AA$4&lt;=2),'Monthly Cash Flow'!Z42*(1+'Rent Roll Analysis'!$AE40/12),'Monthly Cash Flow'!Z42*(1+'Rent Roll Analysis'!$AB40/12))))</f>
        <v/>
      </c>
      <c r="AB42" s="1428" t="str">
        <f>IF($B42="","",IF(AB$4&gt;2,(AA42*(1+'Rent Roll Analysis'!$AK40/12)), IF(AND('Monthly Cash Flow'!AB$4&gt;1,'Monthly Cash Flow'!AB$4&lt;=2),'Monthly Cash Flow'!AA42*(1+'Rent Roll Analysis'!$AE40/12),'Monthly Cash Flow'!AA42*(1+'Rent Roll Analysis'!$AB40/12))))</f>
        <v/>
      </c>
      <c r="AC42" s="1428" t="str">
        <f>IF($B42="","",IF(AC$4&gt;2,(AB42*(1+'Rent Roll Analysis'!$AK40/12)), IF(AND('Monthly Cash Flow'!AC$4&gt;1,'Monthly Cash Flow'!AC$4&lt;=2),'Monthly Cash Flow'!AB42*(1+'Rent Roll Analysis'!$AE40/12),'Monthly Cash Flow'!AB42*(1+'Rent Roll Analysis'!$AB40/12))))</f>
        <v/>
      </c>
      <c r="AD42" s="1428" t="str">
        <f>IF($B42="","",IF(AD$4&gt;2,(AC42*(1+'Rent Roll Analysis'!$AK40/12)), IF(AND('Monthly Cash Flow'!AD$4&gt;1,'Monthly Cash Flow'!AD$4&lt;=2),'Monthly Cash Flow'!AC42*(1+'Rent Roll Analysis'!$AE40/12),'Monthly Cash Flow'!AC42*(1+'Rent Roll Analysis'!$AB40/12))))</f>
        <v/>
      </c>
      <c r="AE42" s="1428" t="str">
        <f>IF($B42="","",IF(AE$4&gt;2,(AD42*(1+'Rent Roll Analysis'!$AK40/12)), IF(AND('Monthly Cash Flow'!AE$4&gt;1,'Monthly Cash Flow'!AE$4&lt;=2),'Monthly Cash Flow'!AD42*(1+'Rent Roll Analysis'!$AE40/12),'Monthly Cash Flow'!AD42*(1+'Rent Roll Analysis'!$AB40/12))))</f>
        <v/>
      </c>
      <c r="AF42" s="1428" t="str">
        <f>IF($B42="","",IF(AF$4&gt;2,(AE42*(1+'Rent Roll Analysis'!$AK40/12)), IF(AND('Monthly Cash Flow'!AF$4&gt;1,'Monthly Cash Flow'!AF$4&lt;=2),'Monthly Cash Flow'!AE42*(1+'Rent Roll Analysis'!$AE40/12),'Monthly Cash Flow'!AE42*(1+'Rent Roll Analysis'!$AB40/12))))</f>
        <v/>
      </c>
      <c r="AG42" s="1428" t="str">
        <f>IF($B42="","",IF(AG$4&gt;2,(AF42*(1+'Rent Roll Analysis'!$AK40/12)), IF(AND('Monthly Cash Flow'!AG$4&gt;1,'Monthly Cash Flow'!AG$4&lt;=2),'Monthly Cash Flow'!AF42*(1+'Rent Roll Analysis'!$AE40/12),'Monthly Cash Flow'!AF42*(1+'Rent Roll Analysis'!$AB40/12))))</f>
        <v/>
      </c>
      <c r="AH42" s="1428" t="str">
        <f>IF($B42="","",IF(AH$4&gt;2,(AG42*(1+'Rent Roll Analysis'!$AK40/12)), IF(AND('Monthly Cash Flow'!AH$4&gt;1,'Monthly Cash Flow'!AH$4&lt;=2),'Monthly Cash Flow'!AG42*(1+'Rent Roll Analysis'!$AE40/12),'Monthly Cash Flow'!AG42*(1+'Rent Roll Analysis'!$AB40/12))))</f>
        <v/>
      </c>
      <c r="AI42" s="1428" t="str">
        <f>IF($B42="","",IF(AI$4&gt;2,(AH42*(1+'Rent Roll Analysis'!$AK40/12)), IF(AND('Monthly Cash Flow'!AI$4&gt;1,'Monthly Cash Flow'!AI$4&lt;=2),'Monthly Cash Flow'!AH42*(1+'Rent Roll Analysis'!$AE40/12),'Monthly Cash Flow'!AH42*(1+'Rent Roll Analysis'!$AB40/12))))</f>
        <v/>
      </c>
      <c r="AJ42" s="1428" t="str">
        <f>IF($B42="","",IF(AJ$4&gt;2,(AI42*(1+'Rent Roll Analysis'!$AK40/12)), IF(AND('Monthly Cash Flow'!AJ$4&gt;1,'Monthly Cash Flow'!AJ$4&lt;=2),'Monthly Cash Flow'!AI42*(1+'Rent Roll Analysis'!$AE40/12),'Monthly Cash Flow'!AI42*(1+'Rent Roll Analysis'!$AB40/12))))</f>
        <v/>
      </c>
      <c r="AK42" s="1428" t="str">
        <f>IF($B42="","",IF(AK$4&gt;2,(AJ42*(1+'Rent Roll Analysis'!$AK40/12)), IF(AND('Monthly Cash Flow'!AK$4&gt;1,'Monthly Cash Flow'!AK$4&lt;=2),'Monthly Cash Flow'!AJ42*(1+'Rent Roll Analysis'!$AE40/12),'Monthly Cash Flow'!AJ42*(1+'Rent Roll Analysis'!$AB40/12))))</f>
        <v/>
      </c>
      <c r="AL42" s="1428" t="str">
        <f>IF($B42="","",IF(AL$4&gt;2,(AK42*(1+'Rent Roll Analysis'!$AK40/12)), IF(AND('Monthly Cash Flow'!AL$4&gt;1,'Monthly Cash Flow'!AL$4&lt;=2),'Monthly Cash Flow'!AK42*(1+'Rent Roll Analysis'!$AE40/12),'Monthly Cash Flow'!AK42*(1+'Rent Roll Analysis'!$AB40/12))))</f>
        <v/>
      </c>
      <c r="AM42" s="1428" t="str">
        <f>IF($B42="","",IF(AM$4&gt;2,(AL42*(1+'Rent Roll Analysis'!$AK40/12)), IF(AND('Monthly Cash Flow'!AM$4&gt;1,'Monthly Cash Flow'!AM$4&lt;=2),'Monthly Cash Flow'!AL42*(1+'Rent Roll Analysis'!$AE40/12),'Monthly Cash Flow'!AL42*(1+'Rent Roll Analysis'!$AB40/12))))</f>
        <v/>
      </c>
      <c r="AN42" s="1428" t="str">
        <f>IF($B42="","",IF(AN$4&gt;2,(AM42*(1+'Rent Roll Analysis'!$AK40/12)), IF(AND('Monthly Cash Flow'!AN$4&gt;1,'Monthly Cash Flow'!AN$4&lt;=2),'Monthly Cash Flow'!AM42*(1+'Rent Roll Analysis'!$AE40/12),'Monthly Cash Flow'!AM42*(1+'Rent Roll Analysis'!$AB40/12))))</f>
        <v/>
      </c>
      <c r="AO42" s="1428" t="str">
        <f>IF($B42="","",IF(AO$4&gt;2,(AN42*(1+'Rent Roll Analysis'!$AK40/12)), IF(AND('Monthly Cash Flow'!AO$4&gt;1,'Monthly Cash Flow'!AO$4&lt;=2),'Monthly Cash Flow'!AN42*(1+'Rent Roll Analysis'!$AE40/12),'Monthly Cash Flow'!AN42*(1+'Rent Roll Analysis'!$AB40/12))))</f>
        <v/>
      </c>
      <c r="AP42" s="1428" t="str">
        <f>IF($B42="","",IF(AP$4&gt;2,(AO42*(1+'Rent Roll Analysis'!$AK40/12)), IF(AND('Monthly Cash Flow'!AP$4&gt;1,'Monthly Cash Flow'!AP$4&lt;=2),'Monthly Cash Flow'!AO42*(1+'Rent Roll Analysis'!$AE40/12),'Monthly Cash Flow'!AO42*(1+'Rent Roll Analysis'!$AB40/12))))</f>
        <v/>
      </c>
      <c r="AQ42" s="1428" t="str">
        <f>IF($B42="","",IF(AQ$4&gt;2,(AP42*(1+'Rent Roll Analysis'!$AK40/12)), IF(AND('Monthly Cash Flow'!AQ$4&gt;1,'Monthly Cash Flow'!AQ$4&lt;=2),'Monthly Cash Flow'!AP42*(1+'Rent Roll Analysis'!$AE40/12),'Monthly Cash Flow'!AP42*(1+'Rent Roll Analysis'!$AB40/12))))</f>
        <v/>
      </c>
      <c r="AR42" s="1428" t="str">
        <f>IF($B42="","",IF(AR$4&gt;2,(AQ42*(1+'Rent Roll Analysis'!$AK40/12)), IF(AND('Monthly Cash Flow'!AR$4&gt;1,'Monthly Cash Flow'!AR$4&lt;=2),'Monthly Cash Flow'!AQ42*(1+'Rent Roll Analysis'!$AE40/12),'Monthly Cash Flow'!AQ42*(1+'Rent Roll Analysis'!$AB40/12))))</f>
        <v/>
      </c>
      <c r="AS42" s="1428" t="str">
        <f>IF($B42="","",IF(AS$4&gt;2,(AR42*(1+'Rent Roll Analysis'!$AK40/12)), IF(AND('Monthly Cash Flow'!AS$4&gt;1,'Monthly Cash Flow'!AS$4&lt;=2),'Monthly Cash Flow'!AR42*(1+'Rent Roll Analysis'!$AE40/12),'Monthly Cash Flow'!AR42*(1+'Rent Roll Analysis'!$AB40/12))))</f>
        <v/>
      </c>
      <c r="AT42" s="1428" t="str">
        <f>IF($B42="","",IF(AT$4&gt;2,(AS42*(1+'Rent Roll Analysis'!$AK40/12)), IF(AND('Monthly Cash Flow'!AT$4&gt;1,'Monthly Cash Flow'!AT$4&lt;=2),'Monthly Cash Flow'!AS42*(1+'Rent Roll Analysis'!$AE40/12),'Monthly Cash Flow'!AS42*(1+'Rent Roll Analysis'!$AB40/12))))</f>
        <v/>
      </c>
      <c r="AU42" s="1428" t="str">
        <f>IF($B42="","",IF(AU$4&gt;2,(AT42*(1+'Rent Roll Analysis'!$AK40/12)), IF(AND('Monthly Cash Flow'!AU$4&gt;1,'Monthly Cash Flow'!AU$4&lt;=2),'Monthly Cash Flow'!AT42*(1+'Rent Roll Analysis'!$AE40/12),'Monthly Cash Flow'!AT42*(1+'Rent Roll Analysis'!$AB40/12))))</f>
        <v/>
      </c>
      <c r="AV42" s="1428" t="str">
        <f>IF($B42="","",IF(AV$4&gt;2,(AU42*(1+'Rent Roll Analysis'!$AK40/12)), IF(AND('Monthly Cash Flow'!AV$4&gt;1,'Monthly Cash Flow'!AV$4&lt;=2),'Monthly Cash Flow'!AU42*(1+'Rent Roll Analysis'!$AE40/12),'Monthly Cash Flow'!AU42*(1+'Rent Roll Analysis'!$AB40/12))))</f>
        <v/>
      </c>
      <c r="AW42" s="1428" t="str">
        <f>IF($B42="","",IF(AW$4&gt;2,(AV42*(1+'Rent Roll Analysis'!$AK40/12)), IF(AND('Monthly Cash Flow'!AW$4&gt;1,'Monthly Cash Flow'!AW$4&lt;=2),'Monthly Cash Flow'!AV42*(1+'Rent Roll Analysis'!$AE40/12),'Monthly Cash Flow'!AV42*(1+'Rent Roll Analysis'!$AB40/12))))</f>
        <v/>
      </c>
      <c r="AX42" s="1428" t="str">
        <f>IF($B42="","",IF(AX$4&gt;2,(AW42*(1+'Rent Roll Analysis'!$AK40/12)), IF(AND('Monthly Cash Flow'!AX$4&gt;1,'Monthly Cash Flow'!AX$4&lt;=2),'Monthly Cash Flow'!AW42*(1+'Rent Roll Analysis'!$AE40/12),'Monthly Cash Flow'!AW42*(1+'Rent Roll Analysis'!$AB40/12))))</f>
        <v/>
      </c>
      <c r="AY42" s="1428" t="str">
        <f>IF($B42="","",IF(AY$4&gt;2,(AX42*(1+'Rent Roll Analysis'!$AK40/12)), IF(AND('Monthly Cash Flow'!AY$4&gt;1,'Monthly Cash Flow'!AY$4&lt;=2),'Monthly Cash Flow'!AX42*(1+'Rent Roll Analysis'!$AE40/12),'Monthly Cash Flow'!AX42*(1+'Rent Roll Analysis'!$AB40/12))))</f>
        <v/>
      </c>
      <c r="AZ42" s="1428" t="str">
        <f>IF($B42="","",IF(AZ$4&gt;2,(AY42*(1+'Rent Roll Analysis'!$AK40/12)), IF(AND('Monthly Cash Flow'!AZ$4&gt;1,'Monthly Cash Flow'!AZ$4&lt;=2),'Monthly Cash Flow'!AY42*(1+'Rent Roll Analysis'!$AE40/12),'Monthly Cash Flow'!AY42*(1+'Rent Roll Analysis'!$AB40/12))))</f>
        <v/>
      </c>
      <c r="BA42" s="1428" t="str">
        <f>IF($B42="","",IF(BA$4&gt;2,(AZ42*(1+'Rent Roll Analysis'!$AK40/12)), IF(AND('Monthly Cash Flow'!BA$4&gt;1,'Monthly Cash Flow'!BA$4&lt;=2),'Monthly Cash Flow'!AZ42*(1+'Rent Roll Analysis'!$AE40/12),'Monthly Cash Flow'!AZ42*(1+'Rent Roll Analysis'!$AB40/12))))</f>
        <v/>
      </c>
      <c r="BB42" s="1428" t="str">
        <f>IF($B42="","",IF(BB$4&gt;2,(BA42*(1+'Rent Roll Analysis'!$AK40/12)), IF(AND('Monthly Cash Flow'!BB$4&gt;1,'Monthly Cash Flow'!BB$4&lt;=2),'Monthly Cash Flow'!BA42*(1+'Rent Roll Analysis'!$AE40/12),'Monthly Cash Flow'!BA42*(1+'Rent Roll Analysis'!$AB40/12))))</f>
        <v/>
      </c>
      <c r="BC42" s="1428" t="str">
        <f>IF($B42="","",IF(BC$4&gt;2,(BB42*(1+'Rent Roll Analysis'!$AK40/12)), IF(AND('Monthly Cash Flow'!BC$4&gt;1,'Monthly Cash Flow'!BC$4&lt;=2),'Monthly Cash Flow'!BB42*(1+'Rent Roll Analysis'!$AE40/12),'Monthly Cash Flow'!BB42*(1+'Rent Roll Analysis'!$AB40/12))))</f>
        <v/>
      </c>
      <c r="BD42" s="1428" t="str">
        <f>IF($B42="","",IF(BD$4&gt;2,(BC42*(1+'Rent Roll Analysis'!$AK40/12)), IF(AND('Monthly Cash Flow'!BD$4&gt;1,'Monthly Cash Flow'!BD$4&lt;=2),'Monthly Cash Flow'!BC42*(1+'Rent Roll Analysis'!$AE40/12),'Monthly Cash Flow'!BC42*(1+'Rent Roll Analysis'!$AB40/12))))</f>
        <v/>
      </c>
      <c r="BE42" s="1428" t="str">
        <f>IF($B42="","",IF(BE$4&gt;2,(BD42*(1+'Rent Roll Analysis'!$AK40/12)), IF(AND('Monthly Cash Flow'!BE$4&gt;1,'Monthly Cash Flow'!BE$4&lt;=2),'Monthly Cash Flow'!BD42*(1+'Rent Roll Analysis'!$AE40/12),'Monthly Cash Flow'!BD42*(1+'Rent Roll Analysis'!$AB40/12))))</f>
        <v/>
      </c>
      <c r="BF42" s="1428" t="str">
        <f>IF($B42="","",IF(BF$4&gt;2,(BE42*(1+'Rent Roll Analysis'!$AK40/12)), IF(AND('Monthly Cash Flow'!BF$4&gt;1,'Monthly Cash Flow'!BF$4&lt;=2),'Monthly Cash Flow'!BE42*(1+'Rent Roll Analysis'!$AE40/12),'Monthly Cash Flow'!BE42*(1+'Rent Roll Analysis'!$AB40/12))))</f>
        <v/>
      </c>
      <c r="BG42" s="1428" t="str">
        <f>IF($B42="","",IF(BG$4&gt;2,(BF42*(1+'Rent Roll Analysis'!$AK40/12)), IF(AND('Monthly Cash Flow'!BG$4&gt;1,'Monthly Cash Flow'!BG$4&lt;=2),'Monthly Cash Flow'!BF42*(1+'Rent Roll Analysis'!$AE40/12),'Monthly Cash Flow'!BF42*(1+'Rent Roll Analysis'!$AB40/12))))</f>
        <v/>
      </c>
      <c r="BH42" s="1428" t="str">
        <f>IF($B42="","",IF(BH$4&gt;2,(BG42*(1+'Rent Roll Analysis'!$AK40/12)), IF(AND('Monthly Cash Flow'!BH$4&gt;1,'Monthly Cash Flow'!BH$4&lt;=2),'Monthly Cash Flow'!BG42*(1+'Rent Roll Analysis'!$AE40/12),'Monthly Cash Flow'!BG42*(1+'Rent Roll Analysis'!$AB40/12))))</f>
        <v/>
      </c>
      <c r="BI42" s="1428" t="str">
        <f>IF($B42="","",IF(BI$4&gt;2,(BH42*(1+'Rent Roll Analysis'!$AK40/12)), IF(AND('Monthly Cash Flow'!BI$4&gt;1,'Monthly Cash Flow'!BI$4&lt;=2),'Monthly Cash Flow'!BH42*(1+'Rent Roll Analysis'!$AE40/12),'Monthly Cash Flow'!BH42*(1+'Rent Roll Analysis'!$AB40/12))))</f>
        <v/>
      </c>
      <c r="BJ42" s="1428" t="str">
        <f>IF($B42="","",IF(BJ$4&gt;2,(BI42*(1+'Rent Roll Analysis'!$AK40/12)), IF(AND('Monthly Cash Flow'!BJ$4&gt;1,'Monthly Cash Flow'!BJ$4&lt;=2),'Monthly Cash Flow'!BI42*(1+'Rent Roll Analysis'!$AE40/12),'Monthly Cash Flow'!BI42*(1+'Rent Roll Analysis'!$AB40/12))))</f>
        <v/>
      </c>
      <c r="BK42" s="1428" t="str">
        <f>IF($B42="","",IF(BK$4&gt;2,(BJ42*(1+'Rent Roll Analysis'!$AK40/12)), IF(AND('Monthly Cash Flow'!BK$4&gt;1,'Monthly Cash Flow'!BK$4&lt;=2),'Monthly Cash Flow'!BJ42*(1+'Rent Roll Analysis'!$AE40/12),'Monthly Cash Flow'!BJ42*(1+'Rent Roll Analysis'!$AB40/12))))</f>
        <v/>
      </c>
      <c r="BL42" s="1428" t="str">
        <f>IF($B42="","",IF(BL$4&gt;2,(BK42*(1+'Rent Roll Analysis'!$AK40/12)), IF(AND('Monthly Cash Flow'!BL$4&gt;1,'Monthly Cash Flow'!BL$4&lt;=2),'Monthly Cash Flow'!BK42*(1+'Rent Roll Analysis'!$AE40/12),'Monthly Cash Flow'!BK42*(1+'Rent Roll Analysis'!$AB40/12))))</f>
        <v/>
      </c>
      <c r="BM42" s="1428" t="str">
        <f>IF($B42="","",IF(BM$4&gt;2,(BL42*(1+'Rent Roll Analysis'!$AK40/12)), IF(AND('Monthly Cash Flow'!BM$4&gt;1,'Monthly Cash Flow'!BM$4&lt;=2),'Monthly Cash Flow'!BL42*(1+'Rent Roll Analysis'!$AE40/12),'Monthly Cash Flow'!BL42*(1+'Rent Roll Analysis'!$AB40/12))))</f>
        <v/>
      </c>
      <c r="BN42" s="1428" t="str">
        <f>IF($B42="","",IF(BN$4&gt;2,(BM42*(1+'Rent Roll Analysis'!$AK40/12)), IF(AND('Monthly Cash Flow'!BN$4&gt;1,'Monthly Cash Flow'!BN$4&lt;=2),'Monthly Cash Flow'!BM42*(1+'Rent Roll Analysis'!$AE40/12),'Monthly Cash Flow'!BM42*(1+'Rent Roll Analysis'!$AB40/12))))</f>
        <v/>
      </c>
      <c r="BO42" s="1428" t="str">
        <f>IF($B42="","",IF(BO$4&gt;2,(BN42*(1+'Rent Roll Analysis'!$AK40/12)), IF(AND('Monthly Cash Flow'!BO$4&gt;1,'Monthly Cash Flow'!BO$4&lt;=2),'Monthly Cash Flow'!BN42*(1+'Rent Roll Analysis'!$AE40/12),'Monthly Cash Flow'!BN42*(1+'Rent Roll Analysis'!$AB40/12))))</f>
        <v/>
      </c>
      <c r="BP42" s="1428" t="str">
        <f>IF($B42="","",IF(BP$4&gt;2,(BO42*(1+'Rent Roll Analysis'!$AK40/12)), IF(AND('Monthly Cash Flow'!BP$4&gt;1,'Monthly Cash Flow'!BP$4&lt;=2),'Monthly Cash Flow'!BO42*(1+'Rent Roll Analysis'!$AE40/12),'Monthly Cash Flow'!BO42*(1+'Rent Roll Analysis'!$AB40/12))))</f>
        <v/>
      </c>
      <c r="BQ42" s="1428" t="str">
        <f>IF($B42="","",IF(BQ$4&gt;2,(BP42*(1+'Rent Roll Analysis'!$AK40/12)), IF(AND('Monthly Cash Flow'!BQ$4&gt;1,'Monthly Cash Flow'!BQ$4&lt;=2),'Monthly Cash Flow'!BP42*(1+'Rent Roll Analysis'!$AE40/12),'Monthly Cash Flow'!BP42*(1+'Rent Roll Analysis'!$AB40/12))))</f>
        <v/>
      </c>
      <c r="BR42" s="1428" t="str">
        <f>IF($B42="","",IF(BR$4&gt;2,(BQ42*(1+'Rent Roll Analysis'!$AK40/12)), IF(AND('Monthly Cash Flow'!BR$4&gt;1,'Monthly Cash Flow'!BR$4&lt;=2),'Monthly Cash Flow'!BQ42*(1+'Rent Roll Analysis'!$AE40/12),'Monthly Cash Flow'!BQ42*(1+'Rent Roll Analysis'!$AB40/12))))</f>
        <v/>
      </c>
      <c r="BS42" s="1428" t="str">
        <f>IF($B42="","",IF(BS$4&gt;2,(BR42*(1+'Rent Roll Analysis'!$AK40/12)), IF(AND('Monthly Cash Flow'!BS$4&gt;1,'Monthly Cash Flow'!BS$4&lt;=2),'Monthly Cash Flow'!BR42*(1+'Rent Roll Analysis'!$AE40/12),'Monthly Cash Flow'!BR42*(1+'Rent Roll Analysis'!$AB40/12))))</f>
        <v/>
      </c>
      <c r="BT42" s="1428" t="str">
        <f>IF($B42="","",IF(BT$4&gt;2,(BS42*(1+'Rent Roll Analysis'!$AK40/12)), IF(AND('Monthly Cash Flow'!BT$4&gt;1,'Monthly Cash Flow'!BT$4&lt;=2),'Monthly Cash Flow'!BS42*(1+'Rent Roll Analysis'!$AE40/12),'Monthly Cash Flow'!BS42*(1+'Rent Roll Analysis'!$AB40/12))))</f>
        <v/>
      </c>
      <c r="BU42" s="1428" t="str">
        <f>IF($B42="","",IF(BU$4&gt;2,(BT42*(1+'Rent Roll Analysis'!$AK40/12)), IF(AND('Monthly Cash Flow'!BU$4&gt;1,'Monthly Cash Flow'!BU$4&lt;=2),'Monthly Cash Flow'!BT42*(1+'Rent Roll Analysis'!$AE40/12),'Monthly Cash Flow'!BT42*(1+'Rent Roll Analysis'!$AB40/12))))</f>
        <v/>
      </c>
      <c r="BV42" s="1428" t="str">
        <f>IF($B42="","",IF(BV$4&gt;2,(BU42*(1+'Rent Roll Analysis'!$AK40/12)), IF(AND('Monthly Cash Flow'!BV$4&gt;1,'Monthly Cash Flow'!BV$4&lt;=2),'Monthly Cash Flow'!BU42*(1+'Rent Roll Analysis'!$AE40/12),'Monthly Cash Flow'!BU42*(1+'Rent Roll Analysis'!$AB40/12))))</f>
        <v/>
      </c>
      <c r="BW42" s="1428" t="str">
        <f>IF($B42="","",IF(BW$4&gt;2,(BV42*(1+'Rent Roll Analysis'!$AK40/12)), IF(AND('Monthly Cash Flow'!BW$4&gt;1,'Monthly Cash Flow'!BW$4&lt;=2),'Monthly Cash Flow'!BV42*(1+'Rent Roll Analysis'!$AE40/12),'Monthly Cash Flow'!BV42*(1+'Rent Roll Analysis'!$AB40/12))))</f>
        <v/>
      </c>
      <c r="BX42" s="1428" t="str">
        <f>IF($B42="","",IF(BX$4&gt;2,(BW42*(1+'Rent Roll Analysis'!$AK40/12)), IF(AND('Monthly Cash Flow'!BX$4&gt;1,'Monthly Cash Flow'!BX$4&lt;=2),'Monthly Cash Flow'!BW42*(1+'Rent Roll Analysis'!$AE40/12),'Monthly Cash Flow'!BW42*(1+'Rent Roll Analysis'!$AB40/12))))</f>
        <v/>
      </c>
      <c r="BY42" s="1428" t="str">
        <f>IF($B42="","",IF(BY$4&gt;2,(BX42*(1+'Rent Roll Analysis'!$AK40/12)), IF(AND('Monthly Cash Flow'!BY$4&gt;1,'Monthly Cash Flow'!BY$4&lt;=2),'Monthly Cash Flow'!BX42*(1+'Rent Roll Analysis'!$AE40/12),'Monthly Cash Flow'!BX42*(1+'Rent Roll Analysis'!$AB40/12))))</f>
        <v/>
      </c>
      <c r="BZ42" s="1428" t="str">
        <f>IF($B42="","",IF(BZ$4&gt;2,(BY42*(1+'Rent Roll Analysis'!$AK40/12)), IF(AND('Monthly Cash Flow'!BZ$4&gt;1,'Monthly Cash Flow'!BZ$4&lt;=2),'Monthly Cash Flow'!BY42*(1+'Rent Roll Analysis'!$AE40/12),'Monthly Cash Flow'!BY42*(1+'Rent Roll Analysis'!$AB40/12))))</f>
        <v/>
      </c>
      <c r="CA42" s="1428" t="str">
        <f>IF($B42="","",IF(CA$4&gt;2,(BZ42*(1+'Rent Roll Analysis'!$AK40/12)), IF(AND('Monthly Cash Flow'!CA$4&gt;1,'Monthly Cash Flow'!CA$4&lt;=2),'Monthly Cash Flow'!BZ42*(1+'Rent Roll Analysis'!$AE40/12),'Monthly Cash Flow'!BZ42*(1+'Rent Roll Analysis'!$AB40/12))))</f>
        <v/>
      </c>
      <c r="CB42" s="1428" t="str">
        <f>IF($B42="","",IF(CB$4&gt;2,(CA42*(1+'Rent Roll Analysis'!$AK40/12)), IF(AND('Monthly Cash Flow'!CB$4&gt;1,'Monthly Cash Flow'!CB$4&lt;=2),'Monthly Cash Flow'!CA42*(1+'Rent Roll Analysis'!$AE40/12),'Monthly Cash Flow'!CA42*(1+'Rent Roll Analysis'!$AB40/12))))</f>
        <v/>
      </c>
      <c r="CC42" s="1428" t="str">
        <f>IF($B42="","",IF(CC$4&gt;2,(CB42*(1+'Rent Roll Analysis'!$AK40/12)), IF(AND('Monthly Cash Flow'!CC$4&gt;1,'Monthly Cash Flow'!CC$4&lt;=2),'Monthly Cash Flow'!CB42*(1+'Rent Roll Analysis'!$AE40/12),'Monthly Cash Flow'!CB42*(1+'Rent Roll Analysis'!$AB40/12))))</f>
        <v/>
      </c>
      <c r="CD42" s="1428" t="str">
        <f>IF($B42="","",IF(CD$4&gt;2,(CC42*(1+'Rent Roll Analysis'!$AK40/12)), IF(AND('Monthly Cash Flow'!CD$4&gt;1,'Monthly Cash Flow'!CD$4&lt;=2),'Monthly Cash Flow'!CC42*(1+'Rent Roll Analysis'!$AE40/12),'Monthly Cash Flow'!CC42*(1+'Rent Roll Analysis'!$AB40/12))))</f>
        <v/>
      </c>
      <c r="CE42" s="1428" t="str">
        <f>IF($B42="","",IF(CE$4&gt;2,(CD42*(1+'Rent Roll Analysis'!$AK40/12)), IF(AND('Monthly Cash Flow'!CE$4&gt;1,'Monthly Cash Flow'!CE$4&lt;=2),'Monthly Cash Flow'!CD42*(1+'Rent Roll Analysis'!$AE40/12),'Monthly Cash Flow'!CD42*(1+'Rent Roll Analysis'!$AB40/12))))</f>
        <v/>
      </c>
      <c r="CF42" s="1428" t="str">
        <f>IF($B42="","",IF(CF$4&gt;2,(CE42*(1+'Rent Roll Analysis'!$AK40/12)), IF(AND('Monthly Cash Flow'!CF$4&gt;1,'Monthly Cash Flow'!CF$4&lt;=2),'Monthly Cash Flow'!CE42*(1+'Rent Roll Analysis'!$AE40/12),'Monthly Cash Flow'!CE42*(1+'Rent Roll Analysis'!$AB40/12))))</f>
        <v/>
      </c>
      <c r="CG42" s="1428" t="str">
        <f>IF($B42="","",IF(CG$4&gt;2,(CF42*(1+'Rent Roll Analysis'!$AK40/12)), IF(AND('Monthly Cash Flow'!CG$4&gt;1,'Monthly Cash Flow'!CG$4&lt;=2),'Monthly Cash Flow'!CF42*(1+'Rent Roll Analysis'!$AE40/12),'Monthly Cash Flow'!CF42*(1+'Rent Roll Analysis'!$AB40/12))))</f>
        <v/>
      </c>
      <c r="CH42" s="1428" t="str">
        <f>IF($B42="","",IF(CH$4&gt;2,(CG42*(1+'Rent Roll Analysis'!$AK40/12)), IF(AND('Monthly Cash Flow'!CH$4&gt;1,'Monthly Cash Flow'!CH$4&lt;=2),'Monthly Cash Flow'!CG42*(1+'Rent Roll Analysis'!$AE40/12),'Monthly Cash Flow'!CG42*(1+'Rent Roll Analysis'!$AB40/12))))</f>
        <v/>
      </c>
      <c r="CI42" s="1428" t="str">
        <f>IF($B42="","",IF(CI$4&gt;2,(CH42*(1+'Rent Roll Analysis'!$AK40/12)), IF(AND('Monthly Cash Flow'!CI$4&gt;1,'Monthly Cash Flow'!CI$4&lt;=2),'Monthly Cash Flow'!CH42*(1+'Rent Roll Analysis'!$AE40/12),'Monthly Cash Flow'!CH42*(1+'Rent Roll Analysis'!$AB40/12))))</f>
        <v/>
      </c>
      <c r="CJ42" s="1428" t="str">
        <f>IF($B42="","",IF(CJ$4&gt;2,(CI42*(1+'Rent Roll Analysis'!$AK40/12)), IF(AND('Monthly Cash Flow'!CJ$4&gt;1,'Monthly Cash Flow'!CJ$4&lt;=2),'Monthly Cash Flow'!CI42*(1+'Rent Roll Analysis'!$AE40/12),'Monthly Cash Flow'!CI42*(1+'Rent Roll Analysis'!$AB40/12))))</f>
        <v/>
      </c>
      <c r="CK42" s="1428" t="str">
        <f>IF($B42="","",IF(CK$4&gt;2,(CJ42*(1+'Rent Roll Analysis'!$AK40/12)), IF(AND('Monthly Cash Flow'!CK$4&gt;1,'Monthly Cash Flow'!CK$4&lt;=2),'Monthly Cash Flow'!CJ42*(1+'Rent Roll Analysis'!$AE40/12),'Monthly Cash Flow'!CJ42*(1+'Rent Roll Analysis'!$AB40/12))))</f>
        <v/>
      </c>
      <c r="CL42" s="1428" t="str">
        <f>IF($B42="","",IF(CL$4&gt;2,(CK42*(1+'Rent Roll Analysis'!$AK40/12)), IF(AND('Monthly Cash Flow'!CL$4&gt;1,'Monthly Cash Flow'!CL$4&lt;=2),'Monthly Cash Flow'!CK42*(1+'Rent Roll Analysis'!$AE40/12),'Monthly Cash Flow'!CK42*(1+'Rent Roll Analysis'!$AB40/12))))</f>
        <v/>
      </c>
      <c r="CM42" s="1428" t="str">
        <f>IF($B42="","",IF(CM$4&gt;2,(CL42*(1+'Rent Roll Analysis'!$AK40/12)), IF(AND('Monthly Cash Flow'!CM$4&gt;1,'Monthly Cash Flow'!CM$4&lt;=2),'Monthly Cash Flow'!CL42*(1+'Rent Roll Analysis'!$AE40/12),'Monthly Cash Flow'!CL42*(1+'Rent Roll Analysis'!$AB40/12))))</f>
        <v/>
      </c>
      <c r="CN42" s="1428" t="str">
        <f>IF($B42="","",IF(CN$4&gt;2,(CM42*(1+'Rent Roll Analysis'!$AK40/12)), IF(AND('Monthly Cash Flow'!CN$4&gt;1,'Monthly Cash Flow'!CN$4&lt;=2),'Monthly Cash Flow'!CM42*(1+'Rent Roll Analysis'!$AE40/12),'Monthly Cash Flow'!CM42*(1+'Rent Roll Analysis'!$AB40/12))))</f>
        <v/>
      </c>
      <c r="CO42" s="1428" t="str">
        <f>IF($B42="","",IF(CO$4&gt;2,(CN42*(1+'Rent Roll Analysis'!$AK40/12)), IF(AND('Monthly Cash Flow'!CO$4&gt;1,'Monthly Cash Flow'!CO$4&lt;=2),'Monthly Cash Flow'!CN42*(1+'Rent Roll Analysis'!$AE40/12),'Monthly Cash Flow'!CN42*(1+'Rent Roll Analysis'!$AB40/12))))</f>
        <v/>
      </c>
      <c r="CP42" s="1428" t="str">
        <f>IF($B42="","",IF(CP$4&gt;2,(CO42*(1+'Rent Roll Analysis'!$AK40/12)), IF(AND('Monthly Cash Flow'!CP$4&gt;1,'Monthly Cash Flow'!CP$4&lt;=2),'Monthly Cash Flow'!CO42*(1+'Rent Roll Analysis'!$AE40/12),'Monthly Cash Flow'!CO42*(1+'Rent Roll Analysis'!$AB40/12))))</f>
        <v/>
      </c>
      <c r="CQ42" s="1428" t="str">
        <f>IF($B42="","",IF(CQ$4&gt;2,(CP42*(1+'Rent Roll Analysis'!$AK40/12)), IF(AND('Monthly Cash Flow'!CQ$4&gt;1,'Monthly Cash Flow'!CQ$4&lt;=2),'Monthly Cash Flow'!CP42*(1+'Rent Roll Analysis'!$AE40/12),'Monthly Cash Flow'!CP42*(1+'Rent Roll Analysis'!$AB40/12))))</f>
        <v/>
      </c>
      <c r="CR42" s="1428" t="str">
        <f>IF($B42="","",IF(CR$4&gt;2,(CQ42*(1+'Rent Roll Analysis'!$AK40/12)), IF(AND('Monthly Cash Flow'!CR$4&gt;1,'Monthly Cash Flow'!CR$4&lt;=2),'Monthly Cash Flow'!CQ42*(1+'Rent Roll Analysis'!$AE40/12),'Monthly Cash Flow'!CQ42*(1+'Rent Roll Analysis'!$AB40/12))))</f>
        <v/>
      </c>
      <c r="CS42" s="1428" t="str">
        <f>IF($B42="","",IF(CS$4&gt;2,(CR42*(1+'Rent Roll Analysis'!$AK40/12)), IF(AND('Monthly Cash Flow'!CS$4&gt;1,'Monthly Cash Flow'!CS$4&lt;=2),'Monthly Cash Flow'!CR42*(1+'Rent Roll Analysis'!$AE40/12),'Monthly Cash Flow'!CR42*(1+'Rent Roll Analysis'!$AB40/12))))</f>
        <v/>
      </c>
      <c r="CT42" s="1428" t="str">
        <f>IF($B42="","",IF(CT$4&gt;2,(CS42*(1+'Rent Roll Analysis'!$AK40/12)), IF(AND('Monthly Cash Flow'!CT$4&gt;1,'Monthly Cash Flow'!CT$4&lt;=2),'Monthly Cash Flow'!CS42*(1+'Rent Roll Analysis'!$AE40/12),'Monthly Cash Flow'!CS42*(1+'Rent Roll Analysis'!$AB40/12))))</f>
        <v/>
      </c>
      <c r="CU42" s="1428" t="str">
        <f>IF($B42="","",IF(CU$4&gt;2,(CT42*(1+'Rent Roll Analysis'!$AK40/12)), IF(AND('Monthly Cash Flow'!CU$4&gt;1,'Monthly Cash Flow'!CU$4&lt;=2),'Monthly Cash Flow'!CT42*(1+'Rent Roll Analysis'!$AE40/12),'Monthly Cash Flow'!CT42*(1+'Rent Roll Analysis'!$AB40/12))))</f>
        <v/>
      </c>
      <c r="CV42" s="1428" t="str">
        <f>IF($B42="","",IF(CV$4&gt;2,(CU42*(1+'Rent Roll Analysis'!$AK40/12)), IF(AND('Monthly Cash Flow'!CV$4&gt;1,'Monthly Cash Flow'!CV$4&lt;=2),'Monthly Cash Flow'!CU42*(1+'Rent Roll Analysis'!$AE40/12),'Monthly Cash Flow'!CU42*(1+'Rent Roll Analysis'!$AB40/12))))</f>
        <v/>
      </c>
      <c r="CW42" s="1428" t="str">
        <f>IF($B42="","",IF(CW$4&gt;2,(CV42*(1+'Rent Roll Analysis'!$AK40/12)), IF(AND('Monthly Cash Flow'!CW$4&gt;1,'Monthly Cash Flow'!CW$4&lt;=2),'Monthly Cash Flow'!CV42*(1+'Rent Roll Analysis'!$AE40/12),'Monthly Cash Flow'!CV42*(1+'Rent Roll Analysis'!$AB40/12))))</f>
        <v/>
      </c>
      <c r="CX42" s="1428" t="str">
        <f>IF($B42="","",IF(CX$4&gt;2,(CW42*(1+'Rent Roll Analysis'!$AK40/12)), IF(AND('Monthly Cash Flow'!CX$4&gt;1,'Monthly Cash Flow'!CX$4&lt;=2),'Monthly Cash Flow'!CW42*(1+'Rent Roll Analysis'!$AE40/12),'Monthly Cash Flow'!CW42*(1+'Rent Roll Analysis'!$AB40/12))))</f>
        <v/>
      </c>
      <c r="CY42" s="1428" t="str">
        <f>IF($B42="","",IF(CY$4&gt;2,(CX42*(1+'Rent Roll Analysis'!$AK40/12)), IF(AND('Monthly Cash Flow'!CY$4&gt;1,'Monthly Cash Flow'!CY$4&lt;=2),'Monthly Cash Flow'!CX42*(1+'Rent Roll Analysis'!$AE40/12),'Monthly Cash Flow'!CX42*(1+'Rent Roll Analysis'!$AB40/12))))</f>
        <v/>
      </c>
      <c r="CZ42" s="1428" t="str">
        <f>IF($B42="","",IF(CZ$4&gt;2,(CY42*(1+'Rent Roll Analysis'!$AK40/12)), IF(AND('Monthly Cash Flow'!CZ$4&gt;1,'Monthly Cash Flow'!CZ$4&lt;=2),'Monthly Cash Flow'!CY42*(1+'Rent Roll Analysis'!$AE40/12),'Monthly Cash Flow'!CY42*(1+'Rent Roll Analysis'!$AB40/12))))</f>
        <v/>
      </c>
      <c r="DA42" s="1428" t="str">
        <f>IF($B42="","",IF(DA$4&gt;2,(CZ42*(1+'Rent Roll Analysis'!$AK40/12)), IF(AND('Monthly Cash Flow'!DA$4&gt;1,'Monthly Cash Flow'!DA$4&lt;=2),'Monthly Cash Flow'!CZ42*(1+'Rent Roll Analysis'!$AE40/12),'Monthly Cash Flow'!CZ42*(1+'Rent Roll Analysis'!$AB40/12))))</f>
        <v/>
      </c>
      <c r="DB42" s="1428" t="str">
        <f>IF($B42="","",IF(DB$4&gt;2,(DA42*(1+'Rent Roll Analysis'!$AK40/12)), IF(AND('Monthly Cash Flow'!DB$4&gt;1,'Monthly Cash Flow'!DB$4&lt;=2),'Monthly Cash Flow'!DA42*(1+'Rent Roll Analysis'!$AE40/12),'Monthly Cash Flow'!DA42*(1+'Rent Roll Analysis'!$AB40/12))))</f>
        <v/>
      </c>
      <c r="DC42" s="1428" t="str">
        <f>IF($B42="","",IF(DC$4&gt;2,(DB42*(1+'Rent Roll Analysis'!$AK40/12)), IF(AND('Monthly Cash Flow'!DC$4&gt;1,'Monthly Cash Flow'!DC$4&lt;=2),'Monthly Cash Flow'!DB42*(1+'Rent Roll Analysis'!$AE40/12),'Monthly Cash Flow'!DB42*(1+'Rent Roll Analysis'!$AB40/12))))</f>
        <v/>
      </c>
      <c r="DD42" s="1428" t="str">
        <f>IF($B42="","",IF(DD$4&gt;2,(DC42*(1+'Rent Roll Analysis'!$AK40/12)), IF(AND('Monthly Cash Flow'!DD$4&gt;1,'Monthly Cash Flow'!DD$4&lt;=2),'Monthly Cash Flow'!DC42*(1+'Rent Roll Analysis'!$AE40/12),'Monthly Cash Flow'!DC42*(1+'Rent Roll Analysis'!$AB40/12))))</f>
        <v/>
      </c>
      <c r="DE42" s="1428" t="str">
        <f>IF($B42="","",IF(DE$4&gt;2,(DD42*(1+'Rent Roll Analysis'!$AK40/12)), IF(AND('Monthly Cash Flow'!DE$4&gt;1,'Monthly Cash Flow'!DE$4&lt;=2),'Monthly Cash Flow'!DD42*(1+'Rent Roll Analysis'!$AE40/12),'Monthly Cash Flow'!DD42*(1+'Rent Roll Analysis'!$AB40/12))))</f>
        <v/>
      </c>
      <c r="DF42" s="1428" t="str">
        <f>IF($B42="","",IF(DF$4&gt;2,(DE42*(1+'Rent Roll Analysis'!$AK40/12)), IF(AND('Monthly Cash Flow'!DF$4&gt;1,'Monthly Cash Flow'!DF$4&lt;=2),'Monthly Cash Flow'!DE42*(1+'Rent Roll Analysis'!$AE40/12),'Monthly Cash Flow'!DE42*(1+'Rent Roll Analysis'!$AB40/12))))</f>
        <v/>
      </c>
      <c r="DG42" s="1428" t="str">
        <f>IF($B42="","",IF(DG$4&gt;2,(DF42*(1+'Rent Roll Analysis'!$AK40/12)), IF(AND('Monthly Cash Flow'!DG$4&gt;1,'Monthly Cash Flow'!DG$4&lt;=2),'Monthly Cash Flow'!DF42*(1+'Rent Roll Analysis'!$AE40/12),'Monthly Cash Flow'!DF42*(1+'Rent Roll Analysis'!$AB40/12))))</f>
        <v/>
      </c>
      <c r="DH42" s="1428" t="str">
        <f>IF($B42="","",IF(DH$4&gt;2,(DG42*(1+'Rent Roll Analysis'!$AK40/12)), IF(AND('Monthly Cash Flow'!DH$4&gt;1,'Monthly Cash Flow'!DH$4&lt;=2),'Monthly Cash Flow'!DG42*(1+'Rent Roll Analysis'!$AE40/12),'Monthly Cash Flow'!DG42*(1+'Rent Roll Analysis'!$AB40/12))))</f>
        <v/>
      </c>
      <c r="DI42" s="1428" t="str">
        <f>IF($B42="","",IF(DI$4&gt;2,(DH42*(1+'Rent Roll Analysis'!$AK40/12)), IF(AND('Monthly Cash Flow'!DI$4&gt;1,'Monthly Cash Flow'!DI$4&lt;=2),'Monthly Cash Flow'!DH42*(1+'Rent Roll Analysis'!$AE40/12),'Monthly Cash Flow'!DH42*(1+'Rent Roll Analysis'!$AB40/12))))</f>
        <v/>
      </c>
      <c r="DJ42" s="1428" t="str">
        <f>IF($B42="","",IF(DJ$4&gt;2,(DI42*(1+'Rent Roll Analysis'!$AK40/12)), IF(AND('Monthly Cash Flow'!DJ$4&gt;1,'Monthly Cash Flow'!DJ$4&lt;=2),'Monthly Cash Flow'!DI42*(1+'Rent Roll Analysis'!$AE40/12),'Monthly Cash Flow'!DI42*(1+'Rent Roll Analysis'!$AB40/12))))</f>
        <v/>
      </c>
      <c r="DK42" s="1428" t="str">
        <f>IF($B42="","",IF(DK$4&gt;2,(DJ42*(1+'Rent Roll Analysis'!$AK40/12)), IF(AND('Monthly Cash Flow'!DK$4&gt;1,'Monthly Cash Flow'!DK$4&lt;=2),'Monthly Cash Flow'!DJ42*(1+'Rent Roll Analysis'!$AE40/12),'Monthly Cash Flow'!DJ42*(1+'Rent Roll Analysis'!$AB40/12))))</f>
        <v/>
      </c>
      <c r="DL42" s="1428" t="str">
        <f>IF($B42="","",IF(DL$4&gt;2,(DK42*(1+'Rent Roll Analysis'!$AK40/12)), IF(AND('Monthly Cash Flow'!DL$4&gt;1,'Monthly Cash Flow'!DL$4&lt;=2),'Monthly Cash Flow'!DK42*(1+'Rent Roll Analysis'!$AE40/12),'Monthly Cash Flow'!DK42*(1+'Rent Roll Analysis'!$AB40/12))))</f>
        <v/>
      </c>
      <c r="DM42" s="1428" t="str">
        <f>IF($B42="","",IF(DM$4&gt;2,(DL42*(1+'Rent Roll Analysis'!$AK40/12)), IF(AND('Monthly Cash Flow'!DM$4&gt;1,'Monthly Cash Flow'!DM$4&lt;=2),'Monthly Cash Flow'!DL42*(1+'Rent Roll Analysis'!$AE40/12),'Monthly Cash Flow'!DL42*(1+'Rent Roll Analysis'!$AB40/12))))</f>
        <v/>
      </c>
      <c r="DN42" s="1428" t="str">
        <f>IF($B42="","",IF(DN$4&gt;2,(DM42*(1+'Rent Roll Analysis'!$AK40/12)), IF(AND('Monthly Cash Flow'!DN$4&gt;1,'Monthly Cash Flow'!DN$4&lt;=2),'Monthly Cash Flow'!DM42*(1+'Rent Roll Analysis'!$AE40/12),'Monthly Cash Flow'!DM42*(1+'Rent Roll Analysis'!$AB40/12))))</f>
        <v/>
      </c>
      <c r="DO42" s="1428" t="str">
        <f>IF($B42="","",IF(DO$4&gt;2,(DN42*(1+'Rent Roll Analysis'!$AK40/12)), IF(AND('Monthly Cash Flow'!DO$4&gt;1,'Monthly Cash Flow'!DO$4&lt;=2),'Monthly Cash Flow'!DN42*(1+'Rent Roll Analysis'!$AE40/12),'Monthly Cash Flow'!DN42*(1+'Rent Roll Analysis'!$AB40/12))))</f>
        <v/>
      </c>
      <c r="DP42" s="1428" t="str">
        <f>IF($B42="","",IF(DP$4&gt;2,(DO42*(1+'Rent Roll Analysis'!$AK40/12)), IF(AND('Monthly Cash Flow'!DP$4&gt;1,'Monthly Cash Flow'!DP$4&lt;=2),'Monthly Cash Flow'!DO42*(1+'Rent Roll Analysis'!$AE40/12),'Monthly Cash Flow'!DO42*(1+'Rent Roll Analysis'!$AB40/12))))</f>
        <v/>
      </c>
      <c r="DQ42" s="1428" t="str">
        <f>IF($B42="","",IF(DQ$4&gt;2,(DP42*(1+'Rent Roll Analysis'!$AK40/12)), IF(AND('Monthly Cash Flow'!DQ$4&gt;1,'Monthly Cash Flow'!DQ$4&lt;=2),'Monthly Cash Flow'!DP42*(1+'Rent Roll Analysis'!$AE40/12),'Monthly Cash Flow'!DP42*(1+'Rent Roll Analysis'!$AB40/12))))</f>
        <v/>
      </c>
      <c r="DR42" s="1428" t="str">
        <f>IF($B42="","",IF(DR$4&gt;2,(DQ42*(1+'Rent Roll Analysis'!$AK40/12)), IF(AND('Monthly Cash Flow'!DR$4&gt;1,'Monthly Cash Flow'!DR$4&lt;=2),'Monthly Cash Flow'!DQ42*(1+'Rent Roll Analysis'!$AE40/12),'Monthly Cash Flow'!DQ42*(1+'Rent Roll Analysis'!$AB40/12))))</f>
        <v/>
      </c>
      <c r="DS42" s="1428" t="str">
        <f>IF($B42="","",IF(DS$4&gt;2,(DR42*(1+'Rent Roll Analysis'!$AK40/12)), IF(AND('Monthly Cash Flow'!DS$4&gt;1,'Monthly Cash Flow'!DS$4&lt;=2),'Monthly Cash Flow'!DR42*(1+'Rent Roll Analysis'!$AE40/12),'Monthly Cash Flow'!DR42*(1+'Rent Roll Analysis'!$AB40/12))))</f>
        <v/>
      </c>
      <c r="DT42" s="1428" t="str">
        <f>IF($B42="","",IF(DT$4&gt;2,(DS42*(1+'Rent Roll Analysis'!$AK40/12)), IF(AND('Monthly Cash Flow'!DT$4&gt;1,'Monthly Cash Flow'!DT$4&lt;=2),'Monthly Cash Flow'!DS42*(1+'Rent Roll Analysis'!$AE40/12),'Monthly Cash Flow'!DS42*(1+'Rent Roll Analysis'!$AB40/12))))</f>
        <v/>
      </c>
      <c r="DU42" s="385" t="s">
        <v>557</v>
      </c>
      <c r="DV42" s="375"/>
    </row>
    <row r="43" spans="1:126" s="92" customFormat="1" ht="20.149999999999999" customHeight="1" outlineLevel="1">
      <c r="A43" s="375"/>
      <c r="B43" s="212" t="s">
        <v>1071</v>
      </c>
      <c r="C43" s="1427"/>
      <c r="D43" s="1429">
        <f>SUM(D8:D42)</f>
        <v>352558.51317670348</v>
      </c>
      <c r="E43" s="1430">
        <f t="shared" ref="E43:BP43" si="114">SUM(E8:E42)</f>
        <v>352558.51317670348</v>
      </c>
      <c r="F43" s="1430">
        <f t="shared" si="114"/>
        <v>354908.90326454811</v>
      </c>
      <c r="G43" s="1430">
        <f t="shared" si="114"/>
        <v>357274.96261964511</v>
      </c>
      <c r="H43" s="1430">
        <f t="shared" si="114"/>
        <v>359656.79570377606</v>
      </c>
      <c r="I43" s="1430">
        <f t="shared" si="114"/>
        <v>362054.50767513458</v>
      </c>
      <c r="J43" s="1430">
        <f t="shared" si="114"/>
        <v>364468.20439296874</v>
      </c>
      <c r="K43" s="1430">
        <f t="shared" si="114"/>
        <v>366897.99242225522</v>
      </c>
      <c r="L43" s="1430">
        <f t="shared" si="114"/>
        <v>369343.97903840349</v>
      </c>
      <c r="M43" s="1430">
        <f t="shared" si="114"/>
        <v>371806.2722319928</v>
      </c>
      <c r="N43" s="1430">
        <f t="shared" si="114"/>
        <v>374284.98071353947</v>
      </c>
      <c r="O43" s="1430">
        <f t="shared" si="114"/>
        <v>376780.21391829639</v>
      </c>
      <c r="P43" s="1430">
        <f t="shared" si="114"/>
        <v>379292.08201108495</v>
      </c>
      <c r="Q43" s="1430">
        <f t="shared" si="114"/>
        <v>381662.65752365428</v>
      </c>
      <c r="R43" s="1430">
        <f t="shared" si="114"/>
        <v>384048.04913317715</v>
      </c>
      <c r="S43" s="1430">
        <f t="shared" si="114"/>
        <v>386448.34944025957</v>
      </c>
      <c r="T43" s="1430">
        <f t="shared" si="114"/>
        <v>388863.65162426117</v>
      </c>
      <c r="U43" s="1430">
        <f t="shared" si="114"/>
        <v>391294.04944691289</v>
      </c>
      <c r="V43" s="1430">
        <f t="shared" si="114"/>
        <v>393739.63725595613</v>
      </c>
      <c r="W43" s="1430">
        <f t="shared" si="114"/>
        <v>396200.50998880586</v>
      </c>
      <c r="X43" s="1430">
        <f t="shared" si="114"/>
        <v>398676.76317623595</v>
      </c>
      <c r="Y43" s="1430">
        <f t="shared" si="114"/>
        <v>401168.4929460875</v>
      </c>
      <c r="Z43" s="1430">
        <f t="shared" si="114"/>
        <v>403675.79602700053</v>
      </c>
      <c r="AA43" s="1430">
        <f t="shared" si="114"/>
        <v>406198.76975216932</v>
      </c>
      <c r="AB43" s="1430">
        <f t="shared" si="114"/>
        <v>408737.51206312043</v>
      </c>
      <c r="AC43" s="1430">
        <f t="shared" si="114"/>
        <v>410099.97043666418</v>
      </c>
      <c r="AD43" s="1430">
        <f t="shared" si="114"/>
        <v>411466.97033811978</v>
      </c>
      <c r="AE43" s="1430">
        <f t="shared" si="114"/>
        <v>412838.52690591355</v>
      </c>
      <c r="AF43" s="1430">
        <f t="shared" si="114"/>
        <v>414214.65532893327</v>
      </c>
      <c r="AG43" s="1430">
        <f t="shared" si="114"/>
        <v>415595.37084669637</v>
      </c>
      <c r="AH43" s="1430">
        <f t="shared" si="114"/>
        <v>416980.68874951883</v>
      </c>
      <c r="AI43" s="1430">
        <f t="shared" si="114"/>
        <v>418370.62437868392</v>
      </c>
      <c r="AJ43" s="1430">
        <f t="shared" si="114"/>
        <v>419765.19312661287</v>
      </c>
      <c r="AK43" s="1430">
        <f t="shared" si="114"/>
        <v>421164.41043703485</v>
      </c>
      <c r="AL43" s="1430">
        <f t="shared" si="114"/>
        <v>422568.29180515843</v>
      </c>
      <c r="AM43" s="1430">
        <f t="shared" si="114"/>
        <v>423976.85277784226</v>
      </c>
      <c r="AN43" s="1430">
        <f t="shared" si="114"/>
        <v>425390.1089537685</v>
      </c>
      <c r="AO43" s="1430">
        <f t="shared" si="114"/>
        <v>426808.07598361437</v>
      </c>
      <c r="AP43" s="1430">
        <f t="shared" si="114"/>
        <v>428230.76957022655</v>
      </c>
      <c r="AQ43" s="1430">
        <f t="shared" si="114"/>
        <v>429658.20546879392</v>
      </c>
      <c r="AR43" s="1430">
        <f t="shared" si="114"/>
        <v>431090.3994870233</v>
      </c>
      <c r="AS43" s="1430">
        <f t="shared" si="114"/>
        <v>432527.36748531344</v>
      </c>
      <c r="AT43" s="1430">
        <f t="shared" si="114"/>
        <v>433969.1253769311</v>
      </c>
      <c r="AU43" s="1430">
        <f t="shared" si="114"/>
        <v>435415.68912818766</v>
      </c>
      <c r="AV43" s="1430">
        <f t="shared" si="114"/>
        <v>436867.07475861494</v>
      </c>
      <c r="AW43" s="1430">
        <f t="shared" si="114"/>
        <v>438323.2983411437</v>
      </c>
      <c r="AX43" s="1430">
        <f t="shared" si="114"/>
        <v>439784.37600228086</v>
      </c>
      <c r="AY43" s="1430">
        <f t="shared" si="114"/>
        <v>441250.32392228855</v>
      </c>
      <c r="AZ43" s="1430">
        <f t="shared" si="114"/>
        <v>442721.15833536285</v>
      </c>
      <c r="BA43" s="1430">
        <f t="shared" si="114"/>
        <v>444196.89552981406</v>
      </c>
      <c r="BB43" s="1430">
        <f t="shared" si="114"/>
        <v>445677.55184824677</v>
      </c>
      <c r="BC43" s="1430">
        <f t="shared" si="114"/>
        <v>447163.14368774102</v>
      </c>
      <c r="BD43" s="1430">
        <f t="shared" si="114"/>
        <v>448653.68750003347</v>
      </c>
      <c r="BE43" s="1430">
        <f t="shared" si="114"/>
        <v>450149.19979170035</v>
      </c>
      <c r="BF43" s="1430">
        <f t="shared" si="114"/>
        <v>451649.69712433929</v>
      </c>
      <c r="BG43" s="1430">
        <f t="shared" si="114"/>
        <v>453155.19611475384</v>
      </c>
      <c r="BH43" s="1430">
        <f t="shared" si="114"/>
        <v>454665.71343513636</v>
      </c>
      <c r="BI43" s="1430">
        <f t="shared" si="114"/>
        <v>456181.26581325359</v>
      </c>
      <c r="BJ43" s="1430">
        <f t="shared" si="114"/>
        <v>457701.87003263104</v>
      </c>
      <c r="BK43" s="1430">
        <f t="shared" si="114"/>
        <v>459227.54293273995</v>
      </c>
      <c r="BL43" s="1430">
        <f t="shared" si="114"/>
        <v>460758.30140918237</v>
      </c>
      <c r="BM43" s="1430">
        <f t="shared" si="114"/>
        <v>462294.16241387971</v>
      </c>
      <c r="BN43" s="1430">
        <f t="shared" si="114"/>
        <v>463835.14295525936</v>
      </c>
      <c r="BO43" s="1430">
        <f t="shared" si="114"/>
        <v>465381.26009844348</v>
      </c>
      <c r="BP43" s="1430">
        <f t="shared" si="114"/>
        <v>466932.53096543846</v>
      </c>
      <c r="BQ43" s="1430">
        <f t="shared" ref="BQ43:DT43" si="115">SUM(BQ8:BQ42)</f>
        <v>468488.97273532324</v>
      </c>
      <c r="BR43" s="1430">
        <f t="shared" si="115"/>
        <v>470050.60264444107</v>
      </c>
      <c r="BS43" s="1430">
        <f t="shared" si="115"/>
        <v>471617.43798658915</v>
      </c>
      <c r="BT43" s="1430">
        <f t="shared" si="115"/>
        <v>473189.49611321127</v>
      </c>
      <c r="BU43" s="1430">
        <f t="shared" si="115"/>
        <v>474766.79443358863</v>
      </c>
      <c r="BV43" s="1430">
        <f t="shared" si="115"/>
        <v>476349.35041503393</v>
      </c>
      <c r="BW43" s="1430">
        <f t="shared" si="115"/>
        <v>477937.18158308417</v>
      </c>
      <c r="BX43" s="1430">
        <f t="shared" si="115"/>
        <v>479530.30552169442</v>
      </c>
      <c r="BY43" s="1430">
        <f t="shared" si="115"/>
        <v>481128.73987343343</v>
      </c>
      <c r="BZ43" s="1430">
        <f t="shared" si="115"/>
        <v>482732.50233967823</v>
      </c>
      <c r="CA43" s="1430">
        <f t="shared" si="115"/>
        <v>484341.61068081058</v>
      </c>
      <c r="CB43" s="1430">
        <f t="shared" si="115"/>
        <v>485956.08271641331</v>
      </c>
      <c r="CC43" s="1430">
        <f t="shared" si="115"/>
        <v>487575.93632546801</v>
      </c>
      <c r="CD43" s="1430">
        <f t="shared" si="115"/>
        <v>489201.18944655295</v>
      </c>
      <c r="CE43" s="1430">
        <f t="shared" si="115"/>
        <v>490831.8600780415</v>
      </c>
      <c r="CF43" s="1430">
        <f t="shared" si="115"/>
        <v>492467.96627830167</v>
      </c>
      <c r="CG43" s="1430">
        <f t="shared" si="115"/>
        <v>494109.5261658961</v>
      </c>
      <c r="CH43" s="1430">
        <f t="shared" si="115"/>
        <v>495756.55791978241</v>
      </c>
      <c r="CI43" s="1430">
        <f t="shared" si="115"/>
        <v>497409.07977951504</v>
      </c>
      <c r="CJ43" s="1430">
        <f t="shared" si="115"/>
        <v>499067.11004544684</v>
      </c>
      <c r="CK43" s="1430">
        <f t="shared" si="115"/>
        <v>500730.6670789317</v>
      </c>
      <c r="CL43" s="1430">
        <f t="shared" si="115"/>
        <v>502399.76930252818</v>
      </c>
      <c r="CM43" s="1430">
        <f t="shared" si="115"/>
        <v>504074.43520020327</v>
      </c>
      <c r="CN43" s="1430">
        <f t="shared" si="115"/>
        <v>505754.6833175373</v>
      </c>
      <c r="CO43" s="1430">
        <f t="shared" si="115"/>
        <v>507440.53226192918</v>
      </c>
      <c r="CP43" s="1430">
        <f t="shared" si="115"/>
        <v>509132.00070280232</v>
      </c>
      <c r="CQ43" s="1430">
        <f t="shared" si="115"/>
        <v>510829.10737181176</v>
      </c>
      <c r="CR43" s="1430">
        <f t="shared" si="115"/>
        <v>512531.87106305111</v>
      </c>
      <c r="CS43" s="1430">
        <f t="shared" si="115"/>
        <v>514240.31063326128</v>
      </c>
      <c r="CT43" s="1430">
        <f t="shared" si="115"/>
        <v>515954.44500203885</v>
      </c>
      <c r="CU43" s="1430">
        <f t="shared" si="115"/>
        <v>517674.29315204569</v>
      </c>
      <c r="CV43" s="1430">
        <f t="shared" si="115"/>
        <v>519399.87412921921</v>
      </c>
      <c r="CW43" s="1430">
        <f t="shared" si="115"/>
        <v>521131.20704298333</v>
      </c>
      <c r="CX43" s="1430">
        <f t="shared" si="115"/>
        <v>522868.31106645998</v>
      </c>
      <c r="CY43" s="1430">
        <f t="shared" si="115"/>
        <v>524611.20543668151</v>
      </c>
      <c r="CZ43" s="1430">
        <f t="shared" si="115"/>
        <v>526359.90945480391</v>
      </c>
      <c r="DA43" s="1430">
        <f t="shared" si="115"/>
        <v>528114.44248631992</v>
      </c>
      <c r="DB43" s="1430">
        <f t="shared" si="115"/>
        <v>529874.82396127435</v>
      </c>
      <c r="DC43" s="1430">
        <f t="shared" si="115"/>
        <v>531641.07337447861</v>
      </c>
      <c r="DD43" s="1430">
        <f t="shared" si="115"/>
        <v>533413.21028572693</v>
      </c>
      <c r="DE43" s="1430">
        <f t="shared" si="115"/>
        <v>535191.25432001275</v>
      </c>
      <c r="DF43" s="1430">
        <f t="shared" si="115"/>
        <v>536975.22516774619</v>
      </c>
      <c r="DG43" s="1430">
        <f t="shared" si="115"/>
        <v>538765.14258497197</v>
      </c>
      <c r="DH43" s="1430">
        <f t="shared" si="115"/>
        <v>540561.02639358863</v>
      </c>
      <c r="DI43" s="1430">
        <f t="shared" si="115"/>
        <v>542362.8964815673</v>
      </c>
      <c r="DJ43" s="1430">
        <f t="shared" si="115"/>
        <v>544170.77280317247</v>
      </c>
      <c r="DK43" s="1430">
        <f t="shared" si="115"/>
        <v>545984.67537918314</v>
      </c>
      <c r="DL43" s="1430">
        <f t="shared" si="115"/>
        <v>547804.62429711386</v>
      </c>
      <c r="DM43" s="1430">
        <f t="shared" si="115"/>
        <v>549630.63971143751</v>
      </c>
      <c r="DN43" s="1430">
        <f t="shared" si="115"/>
        <v>551462.74184380902</v>
      </c>
      <c r="DO43" s="1430">
        <f t="shared" si="115"/>
        <v>553300.95098328847</v>
      </c>
      <c r="DP43" s="1430">
        <f t="shared" si="115"/>
        <v>555145.28748656611</v>
      </c>
      <c r="DQ43" s="1430">
        <f t="shared" si="115"/>
        <v>556995.77177818806</v>
      </c>
      <c r="DR43" s="1430">
        <f t="shared" si="115"/>
        <v>558852.42435078206</v>
      </c>
      <c r="DS43" s="1430">
        <f t="shared" si="115"/>
        <v>560715.26576528465</v>
      </c>
      <c r="DT43" s="1430">
        <f t="shared" si="115"/>
        <v>562584.31665116898</v>
      </c>
      <c r="DU43" s="385" t="s">
        <v>557</v>
      </c>
      <c r="DV43" s="375"/>
    </row>
    <row r="44" spans="1:126" s="92" customFormat="1" ht="20.149999999999999" customHeight="1">
      <c r="A44" s="375"/>
      <c r="B44" s="1417"/>
      <c r="C44" s="1418"/>
      <c r="D44" s="1419"/>
      <c r="E44" s="1420"/>
      <c r="F44" s="1421"/>
      <c r="G44" s="1422"/>
      <c r="H44" s="1422"/>
      <c r="I44" s="1422"/>
      <c r="J44" s="1422"/>
      <c r="K44" s="1422"/>
      <c r="L44" s="1422"/>
      <c r="M44" s="1422"/>
      <c r="N44" s="1422"/>
      <c r="O44" s="1422"/>
      <c r="P44" s="1422"/>
      <c r="Q44" s="1422"/>
      <c r="R44" s="1420"/>
      <c r="S44" s="1422"/>
      <c r="T44" s="1422"/>
      <c r="U44" s="1422"/>
      <c r="V44" s="1422"/>
      <c r="W44" s="1422"/>
      <c r="X44" s="1422"/>
      <c r="Y44" s="1422"/>
      <c r="Z44" s="1422"/>
      <c r="AA44" s="1422"/>
      <c r="AB44" s="1422"/>
      <c r="AC44" s="1422"/>
      <c r="AD44" s="1420"/>
      <c r="AE44" s="1422"/>
      <c r="AF44" s="1422"/>
      <c r="AG44" s="1422"/>
      <c r="AH44" s="1422"/>
      <c r="AI44" s="1422"/>
      <c r="AJ44" s="1422"/>
      <c r="AK44" s="1422"/>
      <c r="AL44" s="1422"/>
      <c r="AM44" s="1422"/>
      <c r="AN44" s="1422"/>
      <c r="AO44" s="1422"/>
      <c r="AP44" s="1422"/>
      <c r="AQ44" s="1422"/>
      <c r="AR44" s="1422"/>
      <c r="AS44" s="1422"/>
      <c r="AT44" s="1422"/>
      <c r="AU44" s="1422"/>
      <c r="AV44" s="1422"/>
      <c r="AW44" s="1422"/>
      <c r="AX44" s="1422"/>
      <c r="AY44" s="1422"/>
      <c r="AZ44" s="1422"/>
      <c r="BA44" s="1422"/>
      <c r="BB44" s="1422"/>
      <c r="BC44" s="1422"/>
      <c r="BD44" s="1422"/>
      <c r="BE44" s="1422"/>
      <c r="BF44" s="1422"/>
      <c r="BG44" s="1422"/>
      <c r="BH44" s="1422"/>
      <c r="BI44" s="1422"/>
      <c r="BJ44" s="1422"/>
      <c r="BK44" s="1422"/>
      <c r="BL44" s="1422"/>
      <c r="BM44" s="1422"/>
      <c r="BN44" s="1422"/>
      <c r="BO44" s="1422"/>
      <c r="BP44" s="1422"/>
      <c r="BQ44" s="1422"/>
      <c r="BR44" s="1422"/>
      <c r="BS44" s="1422"/>
      <c r="BT44" s="1422"/>
      <c r="BU44" s="1422"/>
      <c r="BV44" s="1422"/>
      <c r="BW44" s="1422"/>
      <c r="BX44" s="1422"/>
      <c r="BY44" s="1422"/>
      <c r="BZ44" s="1422"/>
      <c r="CA44" s="1422"/>
      <c r="CB44" s="1422"/>
      <c r="CC44" s="1422"/>
      <c r="CD44" s="1422"/>
      <c r="CE44" s="1422"/>
      <c r="CF44" s="1422"/>
      <c r="CG44" s="1422"/>
      <c r="CH44" s="1422"/>
      <c r="CI44" s="1422"/>
      <c r="CJ44" s="1422"/>
      <c r="CK44" s="1422"/>
      <c r="CL44" s="1422"/>
      <c r="CM44" s="1422"/>
      <c r="CN44" s="1422"/>
      <c r="CO44" s="1422"/>
      <c r="CP44" s="1422"/>
      <c r="CQ44" s="1422"/>
      <c r="CR44" s="1422"/>
      <c r="CS44" s="1422"/>
      <c r="CT44" s="1422"/>
      <c r="CU44" s="1422"/>
      <c r="CV44" s="1422"/>
      <c r="CW44" s="1422"/>
      <c r="CX44" s="1422"/>
      <c r="CY44" s="1422"/>
      <c r="CZ44" s="1422"/>
      <c r="DA44" s="1422"/>
      <c r="DB44" s="1422"/>
      <c r="DC44" s="1422"/>
      <c r="DD44" s="1422"/>
      <c r="DE44" s="1422"/>
      <c r="DF44" s="1422"/>
      <c r="DG44" s="1422"/>
      <c r="DH44" s="1422"/>
      <c r="DI44" s="1422"/>
      <c r="DJ44" s="1422"/>
      <c r="DK44" s="1422"/>
      <c r="DL44" s="1422"/>
      <c r="DM44" s="1422"/>
      <c r="DN44" s="1422"/>
      <c r="DO44" s="1422"/>
      <c r="DP44" s="1422"/>
      <c r="DQ44" s="1422"/>
      <c r="DR44" s="1422"/>
      <c r="DS44" s="1422"/>
      <c r="DT44" s="1422"/>
      <c r="DU44" s="385" t="s">
        <v>557</v>
      </c>
      <c r="DV44" s="375"/>
    </row>
    <row r="45" spans="1:126" s="5" customFormat="1" ht="19" outlineLevel="1">
      <c r="A45" s="196"/>
      <c r="B45" s="383" t="s">
        <v>1072</v>
      </c>
      <c r="C45" s="1384"/>
      <c r="D45" s="1409">
        <f>'Rent Roll Analysis'!E41</f>
        <v>264</v>
      </c>
      <c r="E45" s="1388">
        <f>'Rent Roll Analysis'!$E$41-'Monthly Cash Flow'!E46</f>
        <v>264</v>
      </c>
      <c r="F45" s="1388">
        <f>'Rent Roll Analysis'!$E$41-'Monthly Cash Flow'!F46</f>
        <v>264</v>
      </c>
      <c r="G45" s="1388">
        <f>'Rent Roll Analysis'!$E$41-'Monthly Cash Flow'!G46</f>
        <v>264</v>
      </c>
      <c r="H45" s="1388">
        <f>'Rent Roll Analysis'!$E$41-'Monthly Cash Flow'!H46</f>
        <v>264</v>
      </c>
      <c r="I45" s="1388">
        <f>'Rent Roll Analysis'!$E$41-'Monthly Cash Flow'!I46</f>
        <v>264</v>
      </c>
      <c r="J45" s="1388">
        <f>'Rent Roll Analysis'!$E$41-'Monthly Cash Flow'!J46</f>
        <v>264</v>
      </c>
      <c r="K45" s="1388">
        <f>'Rent Roll Analysis'!$E$41-'Monthly Cash Flow'!K46</f>
        <v>264</v>
      </c>
      <c r="L45" s="1388">
        <f>'Rent Roll Analysis'!$E$41-'Monthly Cash Flow'!L46</f>
        <v>264</v>
      </c>
      <c r="M45" s="1388">
        <f>'Rent Roll Analysis'!$E$41-'Monthly Cash Flow'!M46</f>
        <v>264</v>
      </c>
      <c r="N45" s="1388">
        <f>'Rent Roll Analysis'!$E$41-'Monthly Cash Flow'!N46</f>
        <v>264</v>
      </c>
      <c r="O45" s="1388">
        <f>'Rent Roll Analysis'!$E$41-'Monthly Cash Flow'!O46</f>
        <v>264</v>
      </c>
      <c r="P45" s="1388">
        <f>'Rent Roll Analysis'!$E$41-'Monthly Cash Flow'!P46</f>
        <v>264</v>
      </c>
      <c r="Q45" s="1388">
        <f>'Rent Roll Analysis'!$E$41-'Monthly Cash Flow'!Q46</f>
        <v>264</v>
      </c>
      <c r="R45" s="1388">
        <f>'Rent Roll Analysis'!$E$41-'Monthly Cash Flow'!R46</f>
        <v>264</v>
      </c>
      <c r="S45" s="1388">
        <f>'Rent Roll Analysis'!$E$41-'Monthly Cash Flow'!S46</f>
        <v>264</v>
      </c>
      <c r="T45" s="1388">
        <f>'Rent Roll Analysis'!$E$41-'Monthly Cash Flow'!T46</f>
        <v>264</v>
      </c>
      <c r="U45" s="1388">
        <f>'Rent Roll Analysis'!$E$41-'Monthly Cash Flow'!U46</f>
        <v>264</v>
      </c>
      <c r="V45" s="1388">
        <f>'Rent Roll Analysis'!$E$41-'Monthly Cash Flow'!V46</f>
        <v>264</v>
      </c>
      <c r="W45" s="1388">
        <f>'Rent Roll Analysis'!$E$41-'Monthly Cash Flow'!W46</f>
        <v>264</v>
      </c>
      <c r="X45" s="1388">
        <f>'Rent Roll Analysis'!$E$41-'Monthly Cash Flow'!X46</f>
        <v>264</v>
      </c>
      <c r="Y45" s="1388">
        <f>'Rent Roll Analysis'!$E$41-'Monthly Cash Flow'!Y46</f>
        <v>264</v>
      </c>
      <c r="Z45" s="1388">
        <f>'Rent Roll Analysis'!$E$41-'Monthly Cash Flow'!Z46</f>
        <v>264</v>
      </c>
      <c r="AA45" s="1388">
        <f>'Rent Roll Analysis'!$E$41-'Monthly Cash Flow'!AA46</f>
        <v>264</v>
      </c>
      <c r="AB45" s="1388">
        <f>'Rent Roll Analysis'!$E$41-'Monthly Cash Flow'!AB46</f>
        <v>264</v>
      </c>
      <c r="AC45" s="1388">
        <f>'Rent Roll Analysis'!$E$41-'Monthly Cash Flow'!AC46</f>
        <v>264</v>
      </c>
      <c r="AD45" s="1388">
        <f>'Rent Roll Analysis'!$E$41-'Monthly Cash Flow'!AD46</f>
        <v>264</v>
      </c>
      <c r="AE45" s="1388">
        <f>'Rent Roll Analysis'!$E$41-'Monthly Cash Flow'!AE46</f>
        <v>264</v>
      </c>
      <c r="AF45" s="1388">
        <f>'Rent Roll Analysis'!$E$41-'Monthly Cash Flow'!AF46</f>
        <v>264</v>
      </c>
      <c r="AG45" s="1388">
        <f>'Rent Roll Analysis'!$E$41-'Monthly Cash Flow'!AG46</f>
        <v>264</v>
      </c>
      <c r="AH45" s="1388">
        <f>'Rent Roll Analysis'!$E$41-'Monthly Cash Flow'!AH46</f>
        <v>264</v>
      </c>
      <c r="AI45" s="1388">
        <f>'Rent Roll Analysis'!$E$41-'Monthly Cash Flow'!AI46</f>
        <v>264</v>
      </c>
      <c r="AJ45" s="1388">
        <f>'Rent Roll Analysis'!$E$41-'Monthly Cash Flow'!AJ46</f>
        <v>264</v>
      </c>
      <c r="AK45" s="1388">
        <f>'Rent Roll Analysis'!$E$41-'Monthly Cash Flow'!AK46</f>
        <v>264</v>
      </c>
      <c r="AL45" s="1388">
        <f>'Rent Roll Analysis'!$E$41-'Monthly Cash Flow'!AL46</f>
        <v>264</v>
      </c>
      <c r="AM45" s="1388">
        <f>'Rent Roll Analysis'!$E$41-'Monthly Cash Flow'!AM46</f>
        <v>264</v>
      </c>
      <c r="AN45" s="1388">
        <f>'Rent Roll Analysis'!$E$41-'Monthly Cash Flow'!AN46</f>
        <v>264</v>
      </c>
      <c r="AO45" s="1388">
        <f>'Rent Roll Analysis'!$E$41-'Monthly Cash Flow'!AO46</f>
        <v>264</v>
      </c>
      <c r="AP45" s="1388">
        <f>'Rent Roll Analysis'!$E$41-'Monthly Cash Flow'!AP46</f>
        <v>264</v>
      </c>
      <c r="AQ45" s="1388">
        <f>'Rent Roll Analysis'!$E$41-'Monthly Cash Flow'!AQ46</f>
        <v>264</v>
      </c>
      <c r="AR45" s="1388">
        <f>'Rent Roll Analysis'!$E$41-'Monthly Cash Flow'!AR46</f>
        <v>264</v>
      </c>
      <c r="AS45" s="1388">
        <f>'Rent Roll Analysis'!$E$41-'Monthly Cash Flow'!AS46</f>
        <v>264</v>
      </c>
      <c r="AT45" s="1388">
        <f>'Rent Roll Analysis'!$E$41-'Monthly Cash Flow'!AT46</f>
        <v>264</v>
      </c>
      <c r="AU45" s="1388">
        <f>'Rent Roll Analysis'!$E$41-'Monthly Cash Flow'!AU46</f>
        <v>264</v>
      </c>
      <c r="AV45" s="1388">
        <f>'Rent Roll Analysis'!$E$41-'Monthly Cash Flow'!AV46</f>
        <v>264</v>
      </c>
      <c r="AW45" s="1388">
        <f>'Rent Roll Analysis'!$E$41-'Monthly Cash Flow'!AW46</f>
        <v>264</v>
      </c>
      <c r="AX45" s="1388">
        <f>'Rent Roll Analysis'!$E$41-'Monthly Cash Flow'!AX46</f>
        <v>264</v>
      </c>
      <c r="AY45" s="1388">
        <f>'Rent Roll Analysis'!$E$41-'Monthly Cash Flow'!AY46</f>
        <v>264</v>
      </c>
      <c r="AZ45" s="1388">
        <f>'Rent Roll Analysis'!$E$41-'Monthly Cash Flow'!AZ46</f>
        <v>264</v>
      </c>
      <c r="BA45" s="1388">
        <f>'Rent Roll Analysis'!$E$41-'Monthly Cash Flow'!BA46</f>
        <v>264</v>
      </c>
      <c r="BB45" s="1388">
        <f>'Rent Roll Analysis'!$E$41-'Monthly Cash Flow'!BB46</f>
        <v>264</v>
      </c>
      <c r="BC45" s="1388">
        <f>'Rent Roll Analysis'!$E$41-'Monthly Cash Flow'!BC46</f>
        <v>264</v>
      </c>
      <c r="BD45" s="1388">
        <f>'Rent Roll Analysis'!$E$41-'Monthly Cash Flow'!BD46</f>
        <v>264</v>
      </c>
      <c r="BE45" s="1388">
        <f>'Rent Roll Analysis'!$E$41-'Monthly Cash Flow'!BE46</f>
        <v>264</v>
      </c>
      <c r="BF45" s="1388">
        <f>'Rent Roll Analysis'!$E$41-'Monthly Cash Flow'!BF46</f>
        <v>264</v>
      </c>
      <c r="BG45" s="1388">
        <f>'Rent Roll Analysis'!$E$41-'Monthly Cash Flow'!BG46</f>
        <v>264</v>
      </c>
      <c r="BH45" s="1388">
        <f>'Rent Roll Analysis'!$E$41-'Monthly Cash Flow'!BH46</f>
        <v>264</v>
      </c>
      <c r="BI45" s="1388">
        <f>'Rent Roll Analysis'!$E$41-'Monthly Cash Flow'!BI46</f>
        <v>264</v>
      </c>
      <c r="BJ45" s="1388">
        <f>'Rent Roll Analysis'!$E$41-'Monthly Cash Flow'!BJ46</f>
        <v>264</v>
      </c>
      <c r="BK45" s="1388">
        <f>'Rent Roll Analysis'!$E$41-'Monthly Cash Flow'!BK46</f>
        <v>264</v>
      </c>
      <c r="BL45" s="1388">
        <f>'Rent Roll Analysis'!$E$41-'Monthly Cash Flow'!BL46</f>
        <v>264</v>
      </c>
      <c r="BM45" s="1388">
        <f>'Rent Roll Analysis'!$E$41-'Monthly Cash Flow'!BM46</f>
        <v>264</v>
      </c>
      <c r="BN45" s="1388">
        <f>'Rent Roll Analysis'!$E$41-'Monthly Cash Flow'!BN46</f>
        <v>264</v>
      </c>
      <c r="BO45" s="1388">
        <f>'Rent Roll Analysis'!$E$41-'Monthly Cash Flow'!BO46</f>
        <v>264</v>
      </c>
      <c r="BP45" s="1388">
        <f>'Rent Roll Analysis'!$E$41-'Monthly Cash Flow'!BP46</f>
        <v>264</v>
      </c>
      <c r="BQ45" s="1388">
        <f>'Rent Roll Analysis'!$E$41-'Monthly Cash Flow'!BQ46</f>
        <v>264</v>
      </c>
      <c r="BR45" s="1388">
        <f>'Rent Roll Analysis'!$E$41-'Monthly Cash Flow'!BR46</f>
        <v>264</v>
      </c>
      <c r="BS45" s="1388">
        <f>'Rent Roll Analysis'!$E$41-'Monthly Cash Flow'!BS46</f>
        <v>264</v>
      </c>
      <c r="BT45" s="1388">
        <f>'Rent Roll Analysis'!$E$41-'Monthly Cash Flow'!BT46</f>
        <v>264</v>
      </c>
      <c r="BU45" s="1388">
        <f>'Rent Roll Analysis'!$E$41-'Monthly Cash Flow'!BU46</f>
        <v>264</v>
      </c>
      <c r="BV45" s="1388">
        <f>'Rent Roll Analysis'!$E$41-'Monthly Cash Flow'!BV46</f>
        <v>264</v>
      </c>
      <c r="BW45" s="1388">
        <f>'Rent Roll Analysis'!$E$41-'Monthly Cash Flow'!BW46</f>
        <v>264</v>
      </c>
      <c r="BX45" s="1388">
        <f>'Rent Roll Analysis'!$E$41-'Monthly Cash Flow'!BX46</f>
        <v>264</v>
      </c>
      <c r="BY45" s="1388">
        <f>'Rent Roll Analysis'!$E$41-'Monthly Cash Flow'!BY46</f>
        <v>264</v>
      </c>
      <c r="BZ45" s="1388">
        <f>'Rent Roll Analysis'!$E$41-'Monthly Cash Flow'!BZ46</f>
        <v>264</v>
      </c>
      <c r="CA45" s="1388">
        <f>'Rent Roll Analysis'!$E$41-'Monthly Cash Flow'!CA46</f>
        <v>264</v>
      </c>
      <c r="CB45" s="1388">
        <f>'Rent Roll Analysis'!$E$41-'Monthly Cash Flow'!CB46</f>
        <v>264</v>
      </c>
      <c r="CC45" s="1388">
        <f>'Rent Roll Analysis'!$E$41-'Monthly Cash Flow'!CC46</f>
        <v>264</v>
      </c>
      <c r="CD45" s="1388">
        <f>'Rent Roll Analysis'!$E$41-'Monthly Cash Flow'!CD46</f>
        <v>264</v>
      </c>
      <c r="CE45" s="1388">
        <f>'Rent Roll Analysis'!$E$41-'Monthly Cash Flow'!CE46</f>
        <v>264</v>
      </c>
      <c r="CF45" s="1388">
        <f>'Rent Roll Analysis'!$E$41-'Monthly Cash Flow'!CF46</f>
        <v>264</v>
      </c>
      <c r="CG45" s="1388">
        <f>'Rent Roll Analysis'!$E$41-'Monthly Cash Flow'!CG46</f>
        <v>264</v>
      </c>
      <c r="CH45" s="1388">
        <f>'Rent Roll Analysis'!$E$41-'Monthly Cash Flow'!CH46</f>
        <v>264</v>
      </c>
      <c r="CI45" s="1388">
        <f>'Rent Roll Analysis'!$E$41-'Monthly Cash Flow'!CI46</f>
        <v>264</v>
      </c>
      <c r="CJ45" s="1388">
        <f>'Rent Roll Analysis'!$E$41-'Monthly Cash Flow'!CJ46</f>
        <v>264</v>
      </c>
      <c r="CK45" s="1388">
        <f>'Rent Roll Analysis'!$E$41-'Monthly Cash Flow'!CK46</f>
        <v>264</v>
      </c>
      <c r="CL45" s="1388">
        <f>'Rent Roll Analysis'!$E$41-'Monthly Cash Flow'!CL46</f>
        <v>264</v>
      </c>
      <c r="CM45" s="1388">
        <f>'Rent Roll Analysis'!$E$41-'Monthly Cash Flow'!CM46</f>
        <v>264</v>
      </c>
      <c r="CN45" s="1388">
        <f>'Rent Roll Analysis'!$E$41-'Monthly Cash Flow'!CN46</f>
        <v>264</v>
      </c>
      <c r="CO45" s="1388">
        <f>'Rent Roll Analysis'!$E$41-'Monthly Cash Flow'!CO46</f>
        <v>264</v>
      </c>
      <c r="CP45" s="1388">
        <f>'Rent Roll Analysis'!$E$41-'Monthly Cash Flow'!CP46</f>
        <v>264</v>
      </c>
      <c r="CQ45" s="1388">
        <f>'Rent Roll Analysis'!$E$41-'Monthly Cash Flow'!CQ46</f>
        <v>264</v>
      </c>
      <c r="CR45" s="1388">
        <f>'Rent Roll Analysis'!$E$41-'Monthly Cash Flow'!CR46</f>
        <v>264</v>
      </c>
      <c r="CS45" s="1388">
        <f>'Rent Roll Analysis'!$E$41-'Monthly Cash Flow'!CS46</f>
        <v>264</v>
      </c>
      <c r="CT45" s="1388">
        <f>'Rent Roll Analysis'!$E$41-'Monthly Cash Flow'!CT46</f>
        <v>264</v>
      </c>
      <c r="CU45" s="1388">
        <f>'Rent Roll Analysis'!$E$41-'Monthly Cash Flow'!CU46</f>
        <v>264</v>
      </c>
      <c r="CV45" s="1388">
        <f>'Rent Roll Analysis'!$E$41-'Monthly Cash Flow'!CV46</f>
        <v>264</v>
      </c>
      <c r="CW45" s="1388">
        <f>'Rent Roll Analysis'!$E$41-'Monthly Cash Flow'!CW46</f>
        <v>264</v>
      </c>
      <c r="CX45" s="1388">
        <f>'Rent Roll Analysis'!$E$41-'Monthly Cash Flow'!CX46</f>
        <v>264</v>
      </c>
      <c r="CY45" s="1388">
        <f>'Rent Roll Analysis'!$E$41-'Monthly Cash Flow'!CY46</f>
        <v>264</v>
      </c>
      <c r="CZ45" s="1388">
        <f>'Rent Roll Analysis'!$E$41-'Monthly Cash Flow'!CZ46</f>
        <v>264</v>
      </c>
      <c r="DA45" s="1388">
        <f>'Rent Roll Analysis'!$E$41-'Monthly Cash Flow'!DA46</f>
        <v>264</v>
      </c>
      <c r="DB45" s="1388">
        <f>'Rent Roll Analysis'!$E$41-'Monthly Cash Flow'!DB46</f>
        <v>264</v>
      </c>
      <c r="DC45" s="1388">
        <f>'Rent Roll Analysis'!$E$41-'Monthly Cash Flow'!DC46</f>
        <v>264</v>
      </c>
      <c r="DD45" s="1388">
        <f>'Rent Roll Analysis'!$E$41-'Monthly Cash Flow'!DD46</f>
        <v>264</v>
      </c>
      <c r="DE45" s="1388">
        <f>'Rent Roll Analysis'!$E$41-'Monthly Cash Flow'!DE46</f>
        <v>264</v>
      </c>
      <c r="DF45" s="1388">
        <f>'Rent Roll Analysis'!$E$41-'Monthly Cash Flow'!DF46</f>
        <v>264</v>
      </c>
      <c r="DG45" s="1388">
        <f>'Rent Roll Analysis'!$E$41-'Monthly Cash Flow'!DG46</f>
        <v>264</v>
      </c>
      <c r="DH45" s="1388">
        <f>'Rent Roll Analysis'!$E$41-'Monthly Cash Flow'!DH46</f>
        <v>264</v>
      </c>
      <c r="DI45" s="1388">
        <f>'Rent Roll Analysis'!$E$41-'Monthly Cash Flow'!DI46</f>
        <v>264</v>
      </c>
      <c r="DJ45" s="1388">
        <f>'Rent Roll Analysis'!$E$41-'Monthly Cash Flow'!DJ46</f>
        <v>264</v>
      </c>
      <c r="DK45" s="1388">
        <f>'Rent Roll Analysis'!$E$41-'Monthly Cash Flow'!DK46</f>
        <v>264</v>
      </c>
      <c r="DL45" s="1388">
        <f>'Rent Roll Analysis'!$E$41-'Monthly Cash Flow'!DL46</f>
        <v>264</v>
      </c>
      <c r="DM45" s="1388">
        <f>'Rent Roll Analysis'!$E$41-'Monthly Cash Flow'!DM46</f>
        <v>264</v>
      </c>
      <c r="DN45" s="1388">
        <f>'Rent Roll Analysis'!$E$41-'Monthly Cash Flow'!DN46</f>
        <v>264</v>
      </c>
      <c r="DO45" s="1388">
        <f>'Rent Roll Analysis'!$E$41-'Monthly Cash Flow'!DO46</f>
        <v>264</v>
      </c>
      <c r="DP45" s="1388">
        <f>'Rent Roll Analysis'!$E$41-'Monthly Cash Flow'!DP46</f>
        <v>264</v>
      </c>
      <c r="DQ45" s="1388">
        <f>'Rent Roll Analysis'!$E$41-'Monthly Cash Flow'!DQ46</f>
        <v>264</v>
      </c>
      <c r="DR45" s="1388">
        <f>'Rent Roll Analysis'!$E$41-'Monthly Cash Flow'!DR46</f>
        <v>264</v>
      </c>
      <c r="DS45" s="1388">
        <f>'Rent Roll Analysis'!$E$41-'Monthly Cash Flow'!DS46</f>
        <v>264</v>
      </c>
      <c r="DT45" s="1388">
        <f>'Rent Roll Analysis'!$E$41-'Monthly Cash Flow'!DT46</f>
        <v>264</v>
      </c>
      <c r="DU45" s="385" t="s">
        <v>557</v>
      </c>
      <c r="DV45" s="196"/>
    </row>
    <row r="46" spans="1:126" s="5" customFormat="1" ht="19" outlineLevel="1">
      <c r="A46" s="196"/>
      <c r="B46" s="383" t="s">
        <v>1073</v>
      </c>
      <c r="C46" s="1384"/>
      <c r="D46" s="1385"/>
      <c r="E46" s="1388">
        <f>IF(AND(E5&gt;1,E5&lt;='Inputs and Assumptions'!$D$14),MIN(ROUNDUP(IFERROR(('Rent Roll Analysis'!$E$41*'Rent Roll Analysis'!$Q$3)/'Inputs and Assumptions'!$D$14,0),0),('Rent Roll Analysis'!$E$41*'Rent Roll Analysis'!$Q$3)-'Monthly Cash Flow'!D47),0)</f>
        <v>0</v>
      </c>
      <c r="F46" s="1388">
        <f>IF(AND(F5&gt;1,F5&lt;='Inputs and Assumptions'!$D$14),MIN(ROUNDUP(IFERROR(('Rent Roll Analysis'!$E$41*'Rent Roll Analysis'!$Q$3)/'Inputs and Assumptions'!$D$14,0),0),('Rent Roll Analysis'!$E$41*'Rent Roll Analysis'!$Q$3)-'Monthly Cash Flow'!E47),0)</f>
        <v>0</v>
      </c>
      <c r="G46" s="1388">
        <f>IF(AND(G5&gt;1,G5&lt;='Inputs and Assumptions'!$D$14),MIN(ROUNDUP(IFERROR(('Rent Roll Analysis'!$E$41*'Rent Roll Analysis'!$Q$3)/'Inputs and Assumptions'!$D$14,0),0),('Rent Roll Analysis'!$E$41*'Rent Roll Analysis'!$Q$3)-'Monthly Cash Flow'!F47),0)</f>
        <v>0</v>
      </c>
      <c r="H46" s="1388">
        <f>IF(AND(H5&gt;1,H5&lt;='Inputs and Assumptions'!$D$14),MIN(ROUNDUP(IFERROR(('Rent Roll Analysis'!$E$41*'Rent Roll Analysis'!$Q$3)/'Inputs and Assumptions'!$D$14,0),0),('Rent Roll Analysis'!$E$41*'Rent Roll Analysis'!$Q$3)-'Monthly Cash Flow'!G47),0)</f>
        <v>0</v>
      </c>
      <c r="I46" s="1388">
        <f>IF(AND(I5&gt;1,I5&lt;='Inputs and Assumptions'!$D$14),MIN(ROUNDUP(IFERROR(('Rent Roll Analysis'!$E$41*'Rent Roll Analysis'!$Q$3)/'Inputs and Assumptions'!$D$14,0),0),('Rent Roll Analysis'!$E$41*'Rent Roll Analysis'!$Q$3)-'Monthly Cash Flow'!H47),0)</f>
        <v>0</v>
      </c>
      <c r="J46" s="1388">
        <f>IF(AND(J5&gt;1,J5&lt;='Inputs and Assumptions'!$D$14),MIN(ROUNDUP(IFERROR(('Rent Roll Analysis'!$E$41*'Rent Roll Analysis'!$Q$3)/'Inputs and Assumptions'!$D$14,0),0),('Rent Roll Analysis'!$E$41*'Rent Roll Analysis'!$Q$3)-'Monthly Cash Flow'!I47),0)</f>
        <v>0</v>
      </c>
      <c r="K46" s="1388">
        <f>IF(AND(K5&gt;1,K5&lt;='Inputs and Assumptions'!$D$14),MIN(ROUNDUP(IFERROR(('Rent Roll Analysis'!$E$41*'Rent Roll Analysis'!$Q$3)/'Inputs and Assumptions'!$D$14,0),0),('Rent Roll Analysis'!$E$41*'Rent Roll Analysis'!$Q$3)-'Monthly Cash Flow'!J47),0)</f>
        <v>0</v>
      </c>
      <c r="L46" s="1388">
        <f>IF(AND(L5&gt;1,L5&lt;='Inputs and Assumptions'!$D$14),MIN(ROUNDUP(IFERROR(('Rent Roll Analysis'!$E$41*'Rent Roll Analysis'!$Q$3)/'Inputs and Assumptions'!$D$14,0),0),('Rent Roll Analysis'!$E$41*'Rent Roll Analysis'!$Q$3)-'Monthly Cash Flow'!K47),0)</f>
        <v>0</v>
      </c>
      <c r="M46" s="1388">
        <f>IF(AND(M5&gt;1,M5&lt;='Inputs and Assumptions'!$D$14),MIN(ROUNDUP(IFERROR(('Rent Roll Analysis'!$E$41*'Rent Roll Analysis'!$Q$3)/'Inputs and Assumptions'!$D$14,0),0),('Rent Roll Analysis'!$E$41*'Rent Roll Analysis'!$Q$3)-'Monthly Cash Flow'!L47),0)</f>
        <v>0</v>
      </c>
      <c r="N46" s="1388">
        <f>IF(AND(N5&gt;1,N5&lt;='Inputs and Assumptions'!$D$14),MIN(ROUNDUP(IFERROR(('Rent Roll Analysis'!$E$41*'Rent Roll Analysis'!$Q$3)/'Inputs and Assumptions'!$D$14,0),0),('Rent Roll Analysis'!$E$41*'Rent Roll Analysis'!$Q$3)-'Monthly Cash Flow'!M47),0)</f>
        <v>0</v>
      </c>
      <c r="O46" s="1388">
        <f>IF(AND(O5&gt;1,O5&lt;='Inputs and Assumptions'!$D$14),MIN(ROUNDUP(IFERROR(('Rent Roll Analysis'!$E$41*'Rent Roll Analysis'!$Q$3)/'Inputs and Assumptions'!$D$14,0),0),('Rent Roll Analysis'!$E$41*'Rent Roll Analysis'!$Q$3)-'Monthly Cash Flow'!N47),0)</f>
        <v>0</v>
      </c>
      <c r="P46" s="1388">
        <f>IF(AND(P5&gt;1,P5&lt;='Inputs and Assumptions'!$D$14),MIN(ROUNDUP(IFERROR(('Rent Roll Analysis'!$E$41*'Rent Roll Analysis'!$Q$3)/'Inputs and Assumptions'!$D$14,0),0),('Rent Roll Analysis'!$E$41*'Rent Roll Analysis'!$Q$3)-'Monthly Cash Flow'!O47),0)</f>
        <v>0</v>
      </c>
      <c r="Q46" s="1388">
        <f>IF(AND(Q5&gt;1,Q5&lt;='Inputs and Assumptions'!$D$14),MIN(ROUNDUP(IFERROR(('Rent Roll Analysis'!$E$41*'Rent Roll Analysis'!$Q$3)/'Inputs and Assumptions'!$D$14,0),0),('Rent Roll Analysis'!$E$41*'Rent Roll Analysis'!$Q$3)-'Monthly Cash Flow'!P47),0)</f>
        <v>0</v>
      </c>
      <c r="R46" s="1388">
        <f>IF(AND(R5&gt;1,R5&lt;='Inputs and Assumptions'!$D$14),MIN(ROUNDUP(IFERROR(('Rent Roll Analysis'!$E$41*'Rent Roll Analysis'!$Q$3)/'Inputs and Assumptions'!$D$14,0),0),('Rent Roll Analysis'!$E$41*'Rent Roll Analysis'!$Q$3)-'Monthly Cash Flow'!Q47),0)</f>
        <v>0</v>
      </c>
      <c r="S46" s="1388">
        <f>IF(AND(S5&gt;1,S5&lt;='Inputs and Assumptions'!$D$14),MIN(ROUNDUP(IFERROR(('Rent Roll Analysis'!$E$41*'Rent Roll Analysis'!$Q$3)/'Inputs and Assumptions'!$D$14,0),0),('Rent Roll Analysis'!$E$41*'Rent Roll Analysis'!$Q$3)-'Monthly Cash Flow'!R47),0)</f>
        <v>0</v>
      </c>
      <c r="T46" s="1388">
        <f>IF(AND(T5&gt;1,T5&lt;='Inputs and Assumptions'!$D$14),MIN(ROUNDUP(IFERROR(('Rent Roll Analysis'!$E$41*'Rent Roll Analysis'!$Q$3)/'Inputs and Assumptions'!$D$14,0),0),('Rent Roll Analysis'!$E$41*'Rent Roll Analysis'!$Q$3)-'Monthly Cash Flow'!S47),0)</f>
        <v>0</v>
      </c>
      <c r="U46" s="1388">
        <f>IF(AND(U5&gt;1,U5&lt;='Inputs and Assumptions'!$D$14),MIN(ROUNDUP(IFERROR(('Rent Roll Analysis'!$E$41*'Rent Roll Analysis'!$Q$3)/'Inputs and Assumptions'!$D$14,0),0),('Rent Roll Analysis'!$E$41*'Rent Roll Analysis'!$Q$3)-'Monthly Cash Flow'!T47),0)</f>
        <v>0</v>
      </c>
      <c r="V46" s="1388">
        <f>IF(AND(V5&gt;1,V5&lt;='Inputs and Assumptions'!$D$14),MIN(ROUNDUP(IFERROR(('Rent Roll Analysis'!$E$41*'Rent Roll Analysis'!$Q$3)/'Inputs and Assumptions'!$D$14,0),0),('Rent Roll Analysis'!$E$41*'Rent Roll Analysis'!$Q$3)-'Monthly Cash Flow'!U47),0)</f>
        <v>0</v>
      </c>
      <c r="W46" s="1388">
        <f>IF(AND(W5&gt;1,W5&lt;='Inputs and Assumptions'!$D$14),MIN(ROUNDUP(IFERROR(('Rent Roll Analysis'!$E$41*'Rent Roll Analysis'!$Q$3)/'Inputs and Assumptions'!$D$14,0),0),('Rent Roll Analysis'!$E$41*'Rent Roll Analysis'!$Q$3)-'Monthly Cash Flow'!V47),0)</f>
        <v>0</v>
      </c>
      <c r="X46" s="1388">
        <f>IF(AND(X5&gt;1,X5&lt;='Inputs and Assumptions'!$D$14),MIN(ROUNDUP(IFERROR(('Rent Roll Analysis'!$E$41*'Rent Roll Analysis'!$Q$3)/'Inputs and Assumptions'!$D$14,0),0),('Rent Roll Analysis'!$E$41*'Rent Roll Analysis'!$Q$3)-'Monthly Cash Flow'!W47),0)</f>
        <v>0</v>
      </c>
      <c r="Y46" s="1388">
        <f>IF(AND(Y5&gt;1,Y5&lt;='Inputs and Assumptions'!$D$14),MIN(ROUNDUP(IFERROR(('Rent Roll Analysis'!$E$41*'Rent Roll Analysis'!$Q$3)/'Inputs and Assumptions'!$D$14,0),0),('Rent Roll Analysis'!$E$41*'Rent Roll Analysis'!$Q$3)-'Monthly Cash Flow'!X47),0)</f>
        <v>0</v>
      </c>
      <c r="Z46" s="1388">
        <f>IF(AND(Z5&gt;1,Z5&lt;='Inputs and Assumptions'!$D$14),MIN(ROUNDUP(IFERROR(('Rent Roll Analysis'!$E$41*'Rent Roll Analysis'!$Q$3)/'Inputs and Assumptions'!$D$14,0),0),('Rent Roll Analysis'!$E$41*'Rent Roll Analysis'!$Q$3)-'Monthly Cash Flow'!Y47),0)</f>
        <v>0</v>
      </c>
      <c r="AA46" s="1388">
        <f>IF(AND(AA5&gt;1,AA5&lt;='Inputs and Assumptions'!$D$14),MIN(ROUNDUP(IFERROR(('Rent Roll Analysis'!$E$41*'Rent Roll Analysis'!$Q$3)/'Inputs and Assumptions'!$D$14,0),0),('Rent Roll Analysis'!$E$41*'Rent Roll Analysis'!$Q$3)-'Monthly Cash Flow'!Z47),0)</f>
        <v>0</v>
      </c>
      <c r="AB46" s="1388">
        <f>IF(AND(AB5&gt;1,AB5&lt;='Inputs and Assumptions'!$D$14),MIN(ROUNDUP(IFERROR(('Rent Roll Analysis'!$E$41*'Rent Roll Analysis'!$Q$3)/'Inputs and Assumptions'!$D$14,0),0),('Rent Roll Analysis'!$E$41*'Rent Roll Analysis'!$Q$3)-'Monthly Cash Flow'!AA47),0)</f>
        <v>0</v>
      </c>
      <c r="AC46" s="1388">
        <f>IF(AND(AC5&gt;1,AC5&lt;='Inputs and Assumptions'!$D$14),MIN(ROUNDUP(IFERROR(('Rent Roll Analysis'!$E$41*'Rent Roll Analysis'!$Q$3)/'Inputs and Assumptions'!$D$14,0),0),('Rent Roll Analysis'!$E$41*'Rent Roll Analysis'!$Q$3)-'Monthly Cash Flow'!AB47),0)</f>
        <v>0</v>
      </c>
      <c r="AD46" s="1388">
        <f>IF(AND(AD5&gt;1,AD5&lt;='Inputs and Assumptions'!$D$14),MIN(ROUNDUP(IFERROR(('Rent Roll Analysis'!$E$41*'Rent Roll Analysis'!$Q$3)/'Inputs and Assumptions'!$D$14,0),0),('Rent Roll Analysis'!$E$41*'Rent Roll Analysis'!$Q$3)-'Monthly Cash Flow'!AC47),0)</f>
        <v>0</v>
      </c>
      <c r="AE46" s="1388">
        <f>IF(AND(AE5&gt;1,AE5&lt;='Inputs and Assumptions'!$D$14),MIN(ROUNDUP(IFERROR(('Rent Roll Analysis'!$E$41*'Rent Roll Analysis'!$Q$3)/'Inputs and Assumptions'!$D$14,0),0),('Rent Roll Analysis'!$E$41*'Rent Roll Analysis'!$Q$3)-'Monthly Cash Flow'!AD47),0)</f>
        <v>0</v>
      </c>
      <c r="AF46" s="1388">
        <f>IF(AND(AF5&gt;1,AF5&lt;='Inputs and Assumptions'!$D$14),MIN(ROUNDUP(IFERROR(('Rent Roll Analysis'!$E$41*'Rent Roll Analysis'!$Q$3)/'Inputs and Assumptions'!$D$14,0),0),('Rent Roll Analysis'!$E$41*'Rent Roll Analysis'!$Q$3)-'Monthly Cash Flow'!AE47),0)</f>
        <v>0</v>
      </c>
      <c r="AG46" s="1388">
        <f>IF(AND(AG5&gt;1,AG5&lt;='Inputs and Assumptions'!$D$14),MIN(ROUNDUP(IFERROR(('Rent Roll Analysis'!$E$41*'Rent Roll Analysis'!$Q$3)/'Inputs and Assumptions'!$D$14,0),0),('Rent Roll Analysis'!$E$41*'Rent Roll Analysis'!$Q$3)-'Monthly Cash Flow'!AF47),0)</f>
        <v>0</v>
      </c>
      <c r="AH46" s="1388">
        <f>IF(AND(AH5&gt;1,AH5&lt;='Inputs and Assumptions'!$D$14),MIN(ROUNDUP(IFERROR(('Rent Roll Analysis'!$E$41*'Rent Roll Analysis'!$Q$3)/'Inputs and Assumptions'!$D$14,0),0),('Rent Roll Analysis'!$E$41*'Rent Roll Analysis'!$Q$3)-'Monthly Cash Flow'!AG47),0)</f>
        <v>0</v>
      </c>
      <c r="AI46" s="1388">
        <f>IF(AND(AI5&gt;1,AI5&lt;='Inputs and Assumptions'!$D$14),MIN(ROUNDUP(IFERROR(('Rent Roll Analysis'!$E$41*'Rent Roll Analysis'!$Q$3)/'Inputs and Assumptions'!$D$14,0),0),('Rent Roll Analysis'!$E$41*'Rent Roll Analysis'!$Q$3)-'Monthly Cash Flow'!AH47),0)</f>
        <v>0</v>
      </c>
      <c r="AJ46" s="1388">
        <f>IF(AND(AJ5&gt;1,AJ5&lt;='Inputs and Assumptions'!$D$14),MIN(ROUNDUP(IFERROR(('Rent Roll Analysis'!$E$41*'Rent Roll Analysis'!$Q$3)/'Inputs and Assumptions'!$D$14,0),0),('Rent Roll Analysis'!$E$41*'Rent Roll Analysis'!$Q$3)-'Monthly Cash Flow'!AI47),0)</f>
        <v>0</v>
      </c>
      <c r="AK46" s="1388">
        <f>IF(AND(AK5&gt;1,AK5&lt;='Inputs and Assumptions'!$D$14),MIN(ROUNDUP(IFERROR(('Rent Roll Analysis'!$E$41*'Rent Roll Analysis'!$Q$3)/'Inputs and Assumptions'!$D$14,0),0),('Rent Roll Analysis'!$E$41*'Rent Roll Analysis'!$Q$3)-'Monthly Cash Flow'!AJ47),0)</f>
        <v>0</v>
      </c>
      <c r="AL46" s="1388">
        <f>IF(AND(AL5&gt;1,AL5&lt;='Inputs and Assumptions'!$D$14),MIN(ROUNDUP(IFERROR(('Rent Roll Analysis'!$E$41*'Rent Roll Analysis'!$Q$3)/'Inputs and Assumptions'!$D$14,0),0),('Rent Roll Analysis'!$E$41*'Rent Roll Analysis'!$Q$3)-'Monthly Cash Flow'!AK47),0)</f>
        <v>0</v>
      </c>
      <c r="AM46" s="1388">
        <f>IF(AND(AM5&gt;1,AM5&lt;='Inputs and Assumptions'!$D$14),MIN(ROUNDUP(IFERROR(('Rent Roll Analysis'!$E$41*'Rent Roll Analysis'!$Q$3)/'Inputs and Assumptions'!$D$14,0),0),('Rent Roll Analysis'!$E$41*'Rent Roll Analysis'!$Q$3)-'Monthly Cash Flow'!AL47),0)</f>
        <v>0</v>
      </c>
      <c r="AN46" s="1388">
        <f>IF(AND(AN5&gt;1,AN5&lt;='Inputs and Assumptions'!$D$14),MIN(ROUNDUP(IFERROR(('Rent Roll Analysis'!$E$41*'Rent Roll Analysis'!$Q$3)/'Inputs and Assumptions'!$D$14,0),0),('Rent Roll Analysis'!$E$41*'Rent Roll Analysis'!$Q$3)-'Monthly Cash Flow'!AM47),0)</f>
        <v>0</v>
      </c>
      <c r="AO46" s="1388">
        <f>IF(AND(AO5&gt;1,AO5&lt;='Inputs and Assumptions'!$D$14),MIN(ROUNDUP(IFERROR(('Rent Roll Analysis'!$E$41*'Rent Roll Analysis'!$Q$3)/'Inputs and Assumptions'!$D$14,0),0),('Rent Roll Analysis'!$E$41*'Rent Roll Analysis'!$Q$3)-'Monthly Cash Flow'!AN47),0)</f>
        <v>0</v>
      </c>
      <c r="AP46" s="1388">
        <f>IF(AND(AP5&gt;1,AP5&lt;='Inputs and Assumptions'!$D$14),MIN(ROUNDUP(IFERROR(('Rent Roll Analysis'!$E$41*'Rent Roll Analysis'!$Q$3)/'Inputs and Assumptions'!$D$14,0),0),('Rent Roll Analysis'!$E$41*'Rent Roll Analysis'!$Q$3)-'Monthly Cash Flow'!AO47),0)</f>
        <v>0</v>
      </c>
      <c r="AQ46" s="1388">
        <f>IF(AND(AQ5&gt;1,AQ5&lt;='Inputs and Assumptions'!$D$14),MIN(ROUNDUP(IFERROR(('Rent Roll Analysis'!$E$41*'Rent Roll Analysis'!$Q$3)/'Inputs and Assumptions'!$D$14,0),0),('Rent Roll Analysis'!$E$41*'Rent Roll Analysis'!$Q$3)-'Monthly Cash Flow'!AP47),0)</f>
        <v>0</v>
      </c>
      <c r="AR46" s="1388">
        <f>IF(AND(AR5&gt;1,AR5&lt;='Inputs and Assumptions'!$D$14),MIN(ROUNDUP(IFERROR(('Rent Roll Analysis'!$E$41*'Rent Roll Analysis'!$Q$3)/'Inputs and Assumptions'!$D$14,0),0),('Rent Roll Analysis'!$E$41*'Rent Roll Analysis'!$Q$3)-'Monthly Cash Flow'!AQ47),0)</f>
        <v>0</v>
      </c>
      <c r="AS46" s="1388">
        <f>IF(AND(AS5&gt;1,AS5&lt;='Inputs and Assumptions'!$D$14),MIN(ROUNDUP(IFERROR(('Rent Roll Analysis'!$E$41*'Rent Roll Analysis'!$Q$3)/'Inputs and Assumptions'!$D$14,0),0),('Rent Roll Analysis'!$E$41*'Rent Roll Analysis'!$Q$3)-'Monthly Cash Flow'!AR47),0)</f>
        <v>0</v>
      </c>
      <c r="AT46" s="1388">
        <f>IF(AND(AT5&gt;1,AT5&lt;='Inputs and Assumptions'!$D$14),MIN(ROUNDUP(IFERROR(('Rent Roll Analysis'!$E$41*'Rent Roll Analysis'!$Q$3)/'Inputs and Assumptions'!$D$14,0),0),('Rent Roll Analysis'!$E$41*'Rent Roll Analysis'!$Q$3)-'Monthly Cash Flow'!AS47),0)</f>
        <v>0</v>
      </c>
      <c r="AU46" s="1388">
        <f>IF(AND(AU5&gt;1,AU5&lt;='Inputs and Assumptions'!$D$14),MIN(ROUNDUP(IFERROR(('Rent Roll Analysis'!$E$41*'Rent Roll Analysis'!$Q$3)/'Inputs and Assumptions'!$D$14,0),0),('Rent Roll Analysis'!$E$41*'Rent Roll Analysis'!$Q$3)-'Monthly Cash Flow'!AT47),0)</f>
        <v>0</v>
      </c>
      <c r="AV46" s="1388">
        <f>IF(AND(AV5&gt;1,AV5&lt;='Inputs and Assumptions'!$D$14),MIN(ROUNDUP(IFERROR(('Rent Roll Analysis'!$E$41*'Rent Roll Analysis'!$Q$3)/'Inputs and Assumptions'!$D$14,0),0),('Rent Roll Analysis'!$E$41*'Rent Roll Analysis'!$Q$3)-'Monthly Cash Flow'!AU47),0)</f>
        <v>0</v>
      </c>
      <c r="AW46" s="1388">
        <f>IF(AND(AW5&gt;1,AW5&lt;='Inputs and Assumptions'!$D$14),MIN(ROUNDUP(IFERROR(('Rent Roll Analysis'!$E$41*'Rent Roll Analysis'!$Q$3)/'Inputs and Assumptions'!$D$14,0),0),('Rent Roll Analysis'!$E$41*'Rent Roll Analysis'!$Q$3)-'Monthly Cash Flow'!AV47),0)</f>
        <v>0</v>
      </c>
      <c r="AX46" s="1388">
        <f>IF(AND(AX5&gt;1,AX5&lt;='Inputs and Assumptions'!$D$14),MIN(ROUNDUP(IFERROR(('Rent Roll Analysis'!$E$41*'Rent Roll Analysis'!$Q$3)/'Inputs and Assumptions'!$D$14,0),0),('Rent Roll Analysis'!$E$41*'Rent Roll Analysis'!$Q$3)-'Monthly Cash Flow'!AW47),0)</f>
        <v>0</v>
      </c>
      <c r="AY46" s="1388">
        <f>IF(AND(AY5&gt;1,AY5&lt;='Inputs and Assumptions'!$D$14),MIN(ROUNDUP(IFERROR(('Rent Roll Analysis'!$E$41*'Rent Roll Analysis'!$Q$3)/'Inputs and Assumptions'!$D$14,0),0),('Rent Roll Analysis'!$E$41*'Rent Roll Analysis'!$Q$3)-'Monthly Cash Flow'!AX47),0)</f>
        <v>0</v>
      </c>
      <c r="AZ46" s="1388">
        <f>IF(AND(AZ5&gt;1,AZ5&lt;='Inputs and Assumptions'!$D$14),MIN(ROUNDUP(IFERROR(('Rent Roll Analysis'!$E$41*'Rent Roll Analysis'!$Q$3)/'Inputs and Assumptions'!$D$14,0),0),('Rent Roll Analysis'!$E$41*'Rent Roll Analysis'!$Q$3)-'Monthly Cash Flow'!AY47),0)</f>
        <v>0</v>
      </c>
      <c r="BA46" s="1388">
        <f>IF(AND(BA5&gt;1,BA5&lt;='Inputs and Assumptions'!$D$14),MIN(ROUNDUP(IFERROR(('Rent Roll Analysis'!$E$41*'Rent Roll Analysis'!$Q$3)/'Inputs and Assumptions'!$D$14,0),0),('Rent Roll Analysis'!$E$41*'Rent Roll Analysis'!$Q$3)-'Monthly Cash Flow'!AZ47),0)</f>
        <v>0</v>
      </c>
      <c r="BB46" s="1388">
        <f>IF(AND(BB5&gt;1,BB5&lt;='Inputs and Assumptions'!$D$14),MIN(ROUNDUP(IFERROR(('Rent Roll Analysis'!$E$41*'Rent Roll Analysis'!$Q$3)/'Inputs and Assumptions'!$D$14,0),0),('Rent Roll Analysis'!$E$41*'Rent Roll Analysis'!$Q$3)-'Monthly Cash Flow'!BA47),0)</f>
        <v>0</v>
      </c>
      <c r="BC46" s="1388">
        <f>IF(AND(BC5&gt;1,BC5&lt;='Inputs and Assumptions'!$D$14),MIN(ROUNDUP(IFERROR(('Rent Roll Analysis'!$E$41*'Rent Roll Analysis'!$Q$3)/'Inputs and Assumptions'!$D$14,0),0),('Rent Roll Analysis'!$E$41*'Rent Roll Analysis'!$Q$3)-'Monthly Cash Flow'!BB47),0)</f>
        <v>0</v>
      </c>
      <c r="BD46" s="1388">
        <f>IF(AND(BD5&gt;1,BD5&lt;='Inputs and Assumptions'!$D$14),MIN(ROUNDUP(IFERROR(('Rent Roll Analysis'!$E$41*'Rent Roll Analysis'!$Q$3)/'Inputs and Assumptions'!$D$14,0),0),('Rent Roll Analysis'!$E$41*'Rent Roll Analysis'!$Q$3)-'Monthly Cash Flow'!BC47),0)</f>
        <v>0</v>
      </c>
      <c r="BE46" s="1388">
        <f>IF(AND(BE5&gt;1,BE5&lt;='Inputs and Assumptions'!$D$14),MIN(ROUNDUP(IFERROR(('Rent Roll Analysis'!$E$41*'Rent Roll Analysis'!$Q$3)/'Inputs and Assumptions'!$D$14,0),0),('Rent Roll Analysis'!$E$41*'Rent Roll Analysis'!$Q$3)-'Monthly Cash Flow'!BD47),0)</f>
        <v>0</v>
      </c>
      <c r="BF46" s="1388">
        <f>IF(AND(BF5&gt;1,BF5&lt;='Inputs and Assumptions'!$D$14),MIN(ROUNDUP(IFERROR(('Rent Roll Analysis'!$E$41*'Rent Roll Analysis'!$Q$3)/'Inputs and Assumptions'!$D$14,0),0),('Rent Roll Analysis'!$E$41*'Rent Roll Analysis'!$Q$3)-'Monthly Cash Flow'!BE47),0)</f>
        <v>0</v>
      </c>
      <c r="BG46" s="1388">
        <f>IF(AND(BG5&gt;1,BG5&lt;='Inputs and Assumptions'!$D$14),MIN(ROUNDUP(IFERROR(('Rent Roll Analysis'!$E$41*'Rent Roll Analysis'!$Q$3)/'Inputs and Assumptions'!$D$14,0),0),('Rent Roll Analysis'!$E$41*'Rent Roll Analysis'!$Q$3)-'Monthly Cash Flow'!BF47),0)</f>
        <v>0</v>
      </c>
      <c r="BH46" s="1388">
        <f>IF(AND(BH5&gt;1,BH5&lt;='Inputs and Assumptions'!$D$14),MIN(ROUNDUP(IFERROR(('Rent Roll Analysis'!$E$41*'Rent Roll Analysis'!$Q$3)/'Inputs and Assumptions'!$D$14,0),0),('Rent Roll Analysis'!$E$41*'Rent Roll Analysis'!$Q$3)-'Monthly Cash Flow'!BG47),0)</f>
        <v>0</v>
      </c>
      <c r="BI46" s="1388">
        <f>IF(AND(BI5&gt;1,BI5&lt;='Inputs and Assumptions'!$D$14),MIN(ROUNDUP(IFERROR(('Rent Roll Analysis'!$E$41*'Rent Roll Analysis'!$Q$3)/'Inputs and Assumptions'!$D$14,0),0),('Rent Roll Analysis'!$E$41*'Rent Roll Analysis'!$Q$3)-'Monthly Cash Flow'!BH47),0)</f>
        <v>0</v>
      </c>
      <c r="BJ46" s="1388">
        <f>IF(AND(BJ5&gt;1,BJ5&lt;='Inputs and Assumptions'!$D$14),MIN(ROUNDUP(IFERROR(('Rent Roll Analysis'!$E$41*'Rent Roll Analysis'!$Q$3)/'Inputs and Assumptions'!$D$14,0),0),('Rent Roll Analysis'!$E$41*'Rent Roll Analysis'!$Q$3)-'Monthly Cash Flow'!BI47),0)</f>
        <v>0</v>
      </c>
      <c r="BK46" s="1388">
        <f>IF(AND(BK5&gt;1,BK5&lt;='Inputs and Assumptions'!$D$14),MIN(ROUNDUP(IFERROR(('Rent Roll Analysis'!$E$41*'Rent Roll Analysis'!$Q$3)/'Inputs and Assumptions'!$D$14,0),0),('Rent Roll Analysis'!$E$41*'Rent Roll Analysis'!$Q$3)-'Monthly Cash Flow'!BJ47),0)</f>
        <v>0</v>
      </c>
      <c r="BL46" s="1388">
        <f>IF(AND(BL5&gt;1,BL5&lt;='Inputs and Assumptions'!$D$14),MIN(ROUNDUP(IFERROR(('Rent Roll Analysis'!$E$41*'Rent Roll Analysis'!$Q$3)/'Inputs and Assumptions'!$D$14,0),0),('Rent Roll Analysis'!$E$41*'Rent Roll Analysis'!$Q$3)-'Monthly Cash Flow'!BK47),0)</f>
        <v>0</v>
      </c>
      <c r="BM46" s="1388">
        <f>IF(AND(BM5&gt;1,BM5&lt;='Inputs and Assumptions'!$D$14),MIN(ROUNDUP(IFERROR(('Rent Roll Analysis'!$E$41*'Rent Roll Analysis'!$Q$3)/'Inputs and Assumptions'!$D$14,0),0),('Rent Roll Analysis'!$E$41*'Rent Roll Analysis'!$Q$3)-'Monthly Cash Flow'!BL47),0)</f>
        <v>0</v>
      </c>
      <c r="BN46" s="1388">
        <f>IF(AND(BN5&gt;1,BN5&lt;='Inputs and Assumptions'!$D$14),MIN(ROUNDUP(IFERROR(('Rent Roll Analysis'!$E$41*'Rent Roll Analysis'!$Q$3)/'Inputs and Assumptions'!$D$14,0),0),('Rent Roll Analysis'!$E$41*'Rent Roll Analysis'!$Q$3)-'Monthly Cash Flow'!BM47),0)</f>
        <v>0</v>
      </c>
      <c r="BO46" s="1388">
        <f>IF(AND(BO5&gt;1,BO5&lt;='Inputs and Assumptions'!$D$14),MIN(ROUNDUP(IFERROR(('Rent Roll Analysis'!$E$41*'Rent Roll Analysis'!$Q$3)/'Inputs and Assumptions'!$D$14,0),0),('Rent Roll Analysis'!$E$41*'Rent Roll Analysis'!$Q$3)-'Monthly Cash Flow'!BN47),0)</f>
        <v>0</v>
      </c>
      <c r="BP46" s="1388">
        <f>IF(AND(BP5&gt;1,BP5&lt;='Inputs and Assumptions'!$D$14),MIN(ROUNDUP(IFERROR(('Rent Roll Analysis'!$E$41*'Rent Roll Analysis'!$Q$3)/'Inputs and Assumptions'!$D$14,0),0),('Rent Roll Analysis'!$E$41*'Rent Roll Analysis'!$Q$3)-'Monthly Cash Flow'!BO47),0)</f>
        <v>0</v>
      </c>
      <c r="BQ46" s="1388">
        <f>IF(AND(BQ5&gt;1,BQ5&lt;='Inputs and Assumptions'!$D$14),MIN(ROUNDUP(IFERROR(('Rent Roll Analysis'!$E$41*'Rent Roll Analysis'!$Q$3)/'Inputs and Assumptions'!$D$14,0),0),('Rent Roll Analysis'!$E$41*'Rent Roll Analysis'!$Q$3)-'Monthly Cash Flow'!BP47),0)</f>
        <v>0</v>
      </c>
      <c r="BR46" s="1388">
        <f>IF(AND(BR5&gt;1,BR5&lt;='Inputs and Assumptions'!$D$14),MIN(ROUNDUP(IFERROR(('Rent Roll Analysis'!$E$41*'Rent Roll Analysis'!$Q$3)/'Inputs and Assumptions'!$D$14,0),0),('Rent Roll Analysis'!$E$41*'Rent Roll Analysis'!$Q$3)-'Monthly Cash Flow'!BQ47),0)</f>
        <v>0</v>
      </c>
      <c r="BS46" s="1388">
        <f>IF(AND(BS5&gt;1,BS5&lt;='Inputs and Assumptions'!$D$14),MIN(ROUNDUP(IFERROR(('Rent Roll Analysis'!$E$41*'Rent Roll Analysis'!$Q$3)/'Inputs and Assumptions'!$D$14,0),0),('Rent Roll Analysis'!$E$41*'Rent Roll Analysis'!$Q$3)-'Monthly Cash Flow'!BR47),0)</f>
        <v>0</v>
      </c>
      <c r="BT46" s="1388">
        <f>IF(AND(BT5&gt;1,BT5&lt;='Inputs and Assumptions'!$D$14),MIN(ROUNDUP(IFERROR(('Rent Roll Analysis'!$E$41*'Rent Roll Analysis'!$Q$3)/'Inputs and Assumptions'!$D$14,0),0),('Rent Roll Analysis'!$E$41*'Rent Roll Analysis'!$Q$3)-'Monthly Cash Flow'!BS47),0)</f>
        <v>0</v>
      </c>
      <c r="BU46" s="1388">
        <f>IF(AND(BU5&gt;1,BU5&lt;='Inputs and Assumptions'!$D$14),MIN(ROUNDUP(IFERROR(('Rent Roll Analysis'!$E$41*'Rent Roll Analysis'!$Q$3)/'Inputs and Assumptions'!$D$14,0),0),('Rent Roll Analysis'!$E$41*'Rent Roll Analysis'!$Q$3)-'Monthly Cash Flow'!BT47),0)</f>
        <v>0</v>
      </c>
      <c r="BV46" s="1388">
        <f>IF(AND(BV5&gt;1,BV5&lt;='Inputs and Assumptions'!$D$14),MIN(ROUNDUP(IFERROR(('Rent Roll Analysis'!$E$41*'Rent Roll Analysis'!$Q$3)/'Inputs and Assumptions'!$D$14,0),0),('Rent Roll Analysis'!$E$41*'Rent Roll Analysis'!$Q$3)-'Monthly Cash Flow'!BU47),0)</f>
        <v>0</v>
      </c>
      <c r="BW46" s="1388">
        <f>IF(AND(BW5&gt;1,BW5&lt;='Inputs and Assumptions'!$D$14),MIN(ROUNDUP(IFERROR(('Rent Roll Analysis'!$E$41*'Rent Roll Analysis'!$Q$3)/'Inputs and Assumptions'!$D$14,0),0),('Rent Roll Analysis'!$E$41*'Rent Roll Analysis'!$Q$3)-'Monthly Cash Flow'!BV47),0)</f>
        <v>0</v>
      </c>
      <c r="BX46" s="1388">
        <f>IF(AND(BX5&gt;1,BX5&lt;='Inputs and Assumptions'!$D$14),MIN(ROUNDUP(IFERROR(('Rent Roll Analysis'!$E$41*'Rent Roll Analysis'!$Q$3)/'Inputs and Assumptions'!$D$14,0),0),('Rent Roll Analysis'!$E$41*'Rent Roll Analysis'!$Q$3)-'Monthly Cash Flow'!BW47),0)</f>
        <v>0</v>
      </c>
      <c r="BY46" s="1388">
        <f>IF(AND(BY5&gt;1,BY5&lt;='Inputs and Assumptions'!$D$14),MIN(ROUNDUP(IFERROR(('Rent Roll Analysis'!$E$41*'Rent Roll Analysis'!$Q$3)/'Inputs and Assumptions'!$D$14,0),0),('Rent Roll Analysis'!$E$41*'Rent Roll Analysis'!$Q$3)-'Monthly Cash Flow'!BX47),0)</f>
        <v>0</v>
      </c>
      <c r="BZ46" s="1388">
        <f>IF(AND(BZ5&gt;1,BZ5&lt;='Inputs and Assumptions'!$D$14),MIN(ROUNDUP(IFERROR(('Rent Roll Analysis'!$E$41*'Rent Roll Analysis'!$Q$3)/'Inputs and Assumptions'!$D$14,0),0),('Rent Roll Analysis'!$E$41*'Rent Roll Analysis'!$Q$3)-'Monthly Cash Flow'!BY47),0)</f>
        <v>0</v>
      </c>
      <c r="CA46" s="1388">
        <f>IF(AND(CA5&gt;1,CA5&lt;='Inputs and Assumptions'!$D$14),MIN(ROUNDUP(IFERROR(('Rent Roll Analysis'!$E$41*'Rent Roll Analysis'!$Q$3)/'Inputs and Assumptions'!$D$14,0),0),('Rent Roll Analysis'!$E$41*'Rent Roll Analysis'!$Q$3)-'Monthly Cash Flow'!BZ47),0)</f>
        <v>0</v>
      </c>
      <c r="CB46" s="1388">
        <f>IF(AND(CB5&gt;1,CB5&lt;='Inputs and Assumptions'!$D$14),MIN(ROUNDUP(IFERROR(('Rent Roll Analysis'!$E$41*'Rent Roll Analysis'!$Q$3)/'Inputs and Assumptions'!$D$14,0),0),('Rent Roll Analysis'!$E$41*'Rent Roll Analysis'!$Q$3)-'Monthly Cash Flow'!CA47),0)</f>
        <v>0</v>
      </c>
      <c r="CC46" s="1388">
        <f>IF(AND(CC5&gt;1,CC5&lt;='Inputs and Assumptions'!$D$14),MIN(ROUNDUP(IFERROR(('Rent Roll Analysis'!$E$41*'Rent Roll Analysis'!$Q$3)/'Inputs and Assumptions'!$D$14,0),0),('Rent Roll Analysis'!$E$41*'Rent Roll Analysis'!$Q$3)-'Monthly Cash Flow'!CB47),0)</f>
        <v>0</v>
      </c>
      <c r="CD46" s="1388">
        <f>IF(AND(CD5&gt;1,CD5&lt;='Inputs and Assumptions'!$D$14),MIN(ROUNDUP(IFERROR(('Rent Roll Analysis'!$E$41*'Rent Roll Analysis'!$Q$3)/'Inputs and Assumptions'!$D$14,0),0),('Rent Roll Analysis'!$E$41*'Rent Roll Analysis'!$Q$3)-'Monthly Cash Flow'!CC47),0)</f>
        <v>0</v>
      </c>
      <c r="CE46" s="1388">
        <f>IF(AND(CE5&gt;1,CE5&lt;='Inputs and Assumptions'!$D$14),MIN(ROUNDUP(IFERROR(('Rent Roll Analysis'!$E$41*'Rent Roll Analysis'!$Q$3)/'Inputs and Assumptions'!$D$14,0),0),('Rent Roll Analysis'!$E$41*'Rent Roll Analysis'!$Q$3)-'Monthly Cash Flow'!CD47),0)</f>
        <v>0</v>
      </c>
      <c r="CF46" s="1388">
        <f>IF(AND(CF5&gt;1,CF5&lt;='Inputs and Assumptions'!$D$14),MIN(ROUNDUP(IFERROR(('Rent Roll Analysis'!$E$41*'Rent Roll Analysis'!$Q$3)/'Inputs and Assumptions'!$D$14,0),0),('Rent Roll Analysis'!$E$41*'Rent Roll Analysis'!$Q$3)-'Monthly Cash Flow'!CE47),0)</f>
        <v>0</v>
      </c>
      <c r="CG46" s="1388">
        <f>IF(AND(CG5&gt;1,CG5&lt;='Inputs and Assumptions'!$D$14),MIN(ROUNDUP(IFERROR(('Rent Roll Analysis'!$E$41*'Rent Roll Analysis'!$Q$3)/'Inputs and Assumptions'!$D$14,0),0),('Rent Roll Analysis'!$E$41*'Rent Roll Analysis'!$Q$3)-'Monthly Cash Flow'!CF47),0)</f>
        <v>0</v>
      </c>
      <c r="CH46" s="1388">
        <f>IF(AND(CH5&gt;1,CH5&lt;='Inputs and Assumptions'!$D$14),MIN(ROUNDUP(IFERROR(('Rent Roll Analysis'!$E$41*'Rent Roll Analysis'!$Q$3)/'Inputs and Assumptions'!$D$14,0),0),('Rent Roll Analysis'!$E$41*'Rent Roll Analysis'!$Q$3)-'Monthly Cash Flow'!CG47),0)</f>
        <v>0</v>
      </c>
      <c r="CI46" s="1388">
        <f>IF(AND(CI5&gt;1,CI5&lt;='Inputs and Assumptions'!$D$14),MIN(ROUNDUP(IFERROR(('Rent Roll Analysis'!$E$41*'Rent Roll Analysis'!$Q$3)/'Inputs and Assumptions'!$D$14,0),0),('Rent Roll Analysis'!$E$41*'Rent Roll Analysis'!$Q$3)-'Monthly Cash Flow'!CH47),0)</f>
        <v>0</v>
      </c>
      <c r="CJ46" s="1388">
        <f>IF(AND(CJ5&gt;1,CJ5&lt;='Inputs and Assumptions'!$D$14),MIN(ROUNDUP(IFERROR(('Rent Roll Analysis'!$E$41*'Rent Roll Analysis'!$Q$3)/'Inputs and Assumptions'!$D$14,0),0),('Rent Roll Analysis'!$E$41*'Rent Roll Analysis'!$Q$3)-'Monthly Cash Flow'!CI47),0)</f>
        <v>0</v>
      </c>
      <c r="CK46" s="1388">
        <f>IF(AND(CK5&gt;1,CK5&lt;='Inputs and Assumptions'!$D$14),MIN(ROUNDUP(IFERROR(('Rent Roll Analysis'!$E$41*'Rent Roll Analysis'!$Q$3)/'Inputs and Assumptions'!$D$14,0),0),('Rent Roll Analysis'!$E$41*'Rent Roll Analysis'!$Q$3)-'Monthly Cash Flow'!CJ47),0)</f>
        <v>0</v>
      </c>
      <c r="CL46" s="1388">
        <f>IF(AND(CL5&gt;1,CL5&lt;='Inputs and Assumptions'!$D$14),MIN(ROUNDUP(IFERROR(('Rent Roll Analysis'!$E$41*'Rent Roll Analysis'!$Q$3)/'Inputs and Assumptions'!$D$14,0),0),('Rent Roll Analysis'!$E$41*'Rent Roll Analysis'!$Q$3)-'Monthly Cash Flow'!CK47),0)</f>
        <v>0</v>
      </c>
      <c r="CM46" s="1388">
        <f>IF(AND(CM5&gt;1,CM5&lt;='Inputs and Assumptions'!$D$14),MIN(ROUNDUP(IFERROR(('Rent Roll Analysis'!$E$41*'Rent Roll Analysis'!$Q$3)/'Inputs and Assumptions'!$D$14,0),0),('Rent Roll Analysis'!$E$41*'Rent Roll Analysis'!$Q$3)-'Monthly Cash Flow'!CL47),0)</f>
        <v>0</v>
      </c>
      <c r="CN46" s="1388">
        <f>IF(AND(CN5&gt;1,CN5&lt;='Inputs and Assumptions'!$D$14),MIN(ROUNDUP(IFERROR(('Rent Roll Analysis'!$E$41*'Rent Roll Analysis'!$Q$3)/'Inputs and Assumptions'!$D$14,0),0),('Rent Roll Analysis'!$E$41*'Rent Roll Analysis'!$Q$3)-'Monthly Cash Flow'!CM47),0)</f>
        <v>0</v>
      </c>
      <c r="CO46" s="1388">
        <f>IF(AND(CO5&gt;1,CO5&lt;='Inputs and Assumptions'!$D$14),MIN(ROUNDUP(IFERROR(('Rent Roll Analysis'!$E$41*'Rent Roll Analysis'!$Q$3)/'Inputs and Assumptions'!$D$14,0),0),('Rent Roll Analysis'!$E$41*'Rent Roll Analysis'!$Q$3)-'Monthly Cash Flow'!CN47),0)</f>
        <v>0</v>
      </c>
      <c r="CP46" s="1388">
        <f>IF(AND(CP5&gt;1,CP5&lt;='Inputs and Assumptions'!$D$14),MIN(ROUNDUP(IFERROR(('Rent Roll Analysis'!$E$41*'Rent Roll Analysis'!$Q$3)/'Inputs and Assumptions'!$D$14,0),0),('Rent Roll Analysis'!$E$41*'Rent Roll Analysis'!$Q$3)-'Monthly Cash Flow'!CO47),0)</f>
        <v>0</v>
      </c>
      <c r="CQ46" s="1388">
        <f>IF(AND(CQ5&gt;1,CQ5&lt;='Inputs and Assumptions'!$D$14),MIN(ROUNDUP(IFERROR(('Rent Roll Analysis'!$E$41*'Rent Roll Analysis'!$Q$3)/'Inputs and Assumptions'!$D$14,0),0),('Rent Roll Analysis'!$E$41*'Rent Roll Analysis'!$Q$3)-'Monthly Cash Flow'!CP47),0)</f>
        <v>0</v>
      </c>
      <c r="CR46" s="1388">
        <f>IF(AND(CR5&gt;1,CR5&lt;='Inputs and Assumptions'!$D$14),MIN(ROUNDUP(IFERROR(('Rent Roll Analysis'!$E$41*'Rent Roll Analysis'!$Q$3)/'Inputs and Assumptions'!$D$14,0),0),('Rent Roll Analysis'!$E$41*'Rent Roll Analysis'!$Q$3)-'Monthly Cash Flow'!CQ47),0)</f>
        <v>0</v>
      </c>
      <c r="CS46" s="1388">
        <f>IF(AND(CS5&gt;1,CS5&lt;='Inputs and Assumptions'!$D$14),MIN(ROUNDUP(IFERROR(('Rent Roll Analysis'!$E$41*'Rent Roll Analysis'!$Q$3)/'Inputs and Assumptions'!$D$14,0),0),('Rent Roll Analysis'!$E$41*'Rent Roll Analysis'!$Q$3)-'Monthly Cash Flow'!CR47),0)</f>
        <v>0</v>
      </c>
      <c r="CT46" s="1388">
        <f>IF(AND(CT5&gt;1,CT5&lt;='Inputs and Assumptions'!$D$14),MIN(ROUNDUP(IFERROR(('Rent Roll Analysis'!$E$41*'Rent Roll Analysis'!$Q$3)/'Inputs and Assumptions'!$D$14,0),0),('Rent Roll Analysis'!$E$41*'Rent Roll Analysis'!$Q$3)-'Monthly Cash Flow'!CS47),0)</f>
        <v>0</v>
      </c>
      <c r="CU46" s="1388">
        <f>IF(AND(CU5&gt;1,CU5&lt;='Inputs and Assumptions'!$D$14),MIN(ROUNDUP(IFERROR(('Rent Roll Analysis'!$E$41*'Rent Roll Analysis'!$Q$3)/'Inputs and Assumptions'!$D$14,0),0),('Rent Roll Analysis'!$E$41*'Rent Roll Analysis'!$Q$3)-'Monthly Cash Flow'!CT47),0)</f>
        <v>0</v>
      </c>
      <c r="CV46" s="1388">
        <f>IF(AND(CV5&gt;1,CV5&lt;='Inputs and Assumptions'!$D$14),MIN(ROUNDUP(IFERROR(('Rent Roll Analysis'!$E$41*'Rent Roll Analysis'!$Q$3)/'Inputs and Assumptions'!$D$14,0),0),('Rent Roll Analysis'!$E$41*'Rent Roll Analysis'!$Q$3)-'Monthly Cash Flow'!CU47),0)</f>
        <v>0</v>
      </c>
      <c r="CW46" s="1388">
        <f>IF(AND(CW5&gt;1,CW5&lt;='Inputs and Assumptions'!$D$14),MIN(ROUNDUP(IFERROR(('Rent Roll Analysis'!$E$41*'Rent Roll Analysis'!$Q$3)/'Inputs and Assumptions'!$D$14,0),0),('Rent Roll Analysis'!$E$41*'Rent Roll Analysis'!$Q$3)-'Monthly Cash Flow'!CV47),0)</f>
        <v>0</v>
      </c>
      <c r="CX46" s="1388">
        <f>IF(AND(CX5&gt;1,CX5&lt;='Inputs and Assumptions'!$D$14),MIN(ROUNDUP(IFERROR(('Rent Roll Analysis'!$E$41*'Rent Roll Analysis'!$Q$3)/'Inputs and Assumptions'!$D$14,0),0),('Rent Roll Analysis'!$E$41*'Rent Roll Analysis'!$Q$3)-'Monthly Cash Flow'!CW47),0)</f>
        <v>0</v>
      </c>
      <c r="CY46" s="1388">
        <f>IF(AND(CY5&gt;1,CY5&lt;='Inputs and Assumptions'!$D$14),MIN(ROUNDUP(IFERROR(('Rent Roll Analysis'!$E$41*'Rent Roll Analysis'!$Q$3)/'Inputs and Assumptions'!$D$14,0),0),('Rent Roll Analysis'!$E$41*'Rent Roll Analysis'!$Q$3)-'Monthly Cash Flow'!CX47),0)</f>
        <v>0</v>
      </c>
      <c r="CZ46" s="1388">
        <f>IF(AND(CZ5&gt;1,CZ5&lt;='Inputs and Assumptions'!$D$14),MIN(ROUNDUP(IFERROR(('Rent Roll Analysis'!$E$41*'Rent Roll Analysis'!$Q$3)/'Inputs and Assumptions'!$D$14,0),0),('Rent Roll Analysis'!$E$41*'Rent Roll Analysis'!$Q$3)-'Monthly Cash Flow'!CY47),0)</f>
        <v>0</v>
      </c>
      <c r="DA46" s="1388">
        <f>IF(AND(DA5&gt;1,DA5&lt;='Inputs and Assumptions'!$D$14),MIN(ROUNDUP(IFERROR(('Rent Roll Analysis'!$E$41*'Rent Roll Analysis'!$Q$3)/'Inputs and Assumptions'!$D$14,0),0),('Rent Roll Analysis'!$E$41*'Rent Roll Analysis'!$Q$3)-'Monthly Cash Flow'!CZ47),0)</f>
        <v>0</v>
      </c>
      <c r="DB46" s="1388">
        <f>IF(AND(DB5&gt;1,DB5&lt;='Inputs and Assumptions'!$D$14),MIN(ROUNDUP(IFERROR(('Rent Roll Analysis'!$E$41*'Rent Roll Analysis'!$Q$3)/'Inputs and Assumptions'!$D$14,0),0),('Rent Roll Analysis'!$E$41*'Rent Roll Analysis'!$Q$3)-'Monthly Cash Flow'!DA47),0)</f>
        <v>0</v>
      </c>
      <c r="DC46" s="1388">
        <f>IF(AND(DC5&gt;1,DC5&lt;='Inputs and Assumptions'!$D$14),MIN(ROUNDUP(IFERROR(('Rent Roll Analysis'!$E$41*'Rent Roll Analysis'!$Q$3)/'Inputs and Assumptions'!$D$14,0),0),('Rent Roll Analysis'!$E$41*'Rent Roll Analysis'!$Q$3)-'Monthly Cash Flow'!DB47),0)</f>
        <v>0</v>
      </c>
      <c r="DD46" s="1388">
        <f>IF(AND(DD5&gt;1,DD5&lt;='Inputs and Assumptions'!$D$14),MIN(ROUNDUP(IFERROR(('Rent Roll Analysis'!$E$41*'Rent Roll Analysis'!$Q$3)/'Inputs and Assumptions'!$D$14,0),0),('Rent Roll Analysis'!$E$41*'Rent Roll Analysis'!$Q$3)-'Monthly Cash Flow'!DC47),0)</f>
        <v>0</v>
      </c>
      <c r="DE46" s="1388">
        <f>IF(AND(DE5&gt;1,DE5&lt;='Inputs and Assumptions'!$D$14),MIN(ROUNDUP(IFERROR(('Rent Roll Analysis'!$E$41*'Rent Roll Analysis'!$Q$3)/'Inputs and Assumptions'!$D$14,0),0),('Rent Roll Analysis'!$E$41*'Rent Roll Analysis'!$Q$3)-'Monthly Cash Flow'!DD47),0)</f>
        <v>0</v>
      </c>
      <c r="DF46" s="1388">
        <f>IF(AND(DF5&gt;1,DF5&lt;='Inputs and Assumptions'!$D$14),MIN(ROUNDUP(IFERROR(('Rent Roll Analysis'!$E$41*'Rent Roll Analysis'!$Q$3)/'Inputs and Assumptions'!$D$14,0),0),('Rent Roll Analysis'!$E$41*'Rent Roll Analysis'!$Q$3)-'Monthly Cash Flow'!DE47),0)</f>
        <v>0</v>
      </c>
      <c r="DG46" s="1388">
        <f>IF(AND(DG5&gt;1,DG5&lt;='Inputs and Assumptions'!$D$14),MIN(ROUNDUP(IFERROR(('Rent Roll Analysis'!$E$41*'Rent Roll Analysis'!$Q$3)/'Inputs and Assumptions'!$D$14,0),0),('Rent Roll Analysis'!$E$41*'Rent Roll Analysis'!$Q$3)-'Monthly Cash Flow'!DF47),0)</f>
        <v>0</v>
      </c>
      <c r="DH46" s="1388">
        <f>IF(AND(DH5&gt;1,DH5&lt;='Inputs and Assumptions'!$D$14),MIN(ROUNDUP(IFERROR(('Rent Roll Analysis'!$E$41*'Rent Roll Analysis'!$Q$3)/'Inputs and Assumptions'!$D$14,0),0),('Rent Roll Analysis'!$E$41*'Rent Roll Analysis'!$Q$3)-'Monthly Cash Flow'!DG47),0)</f>
        <v>0</v>
      </c>
      <c r="DI46" s="1388">
        <f>IF(AND(DI5&gt;1,DI5&lt;='Inputs and Assumptions'!$D$14),MIN(ROUNDUP(IFERROR(('Rent Roll Analysis'!$E$41*'Rent Roll Analysis'!$Q$3)/'Inputs and Assumptions'!$D$14,0),0),('Rent Roll Analysis'!$E$41*'Rent Roll Analysis'!$Q$3)-'Monthly Cash Flow'!DH47),0)</f>
        <v>0</v>
      </c>
      <c r="DJ46" s="1388">
        <f>IF(AND(DJ5&gt;1,DJ5&lt;='Inputs and Assumptions'!$D$14),MIN(ROUNDUP(IFERROR(('Rent Roll Analysis'!$E$41*'Rent Roll Analysis'!$Q$3)/'Inputs and Assumptions'!$D$14,0),0),('Rent Roll Analysis'!$E$41*'Rent Roll Analysis'!$Q$3)-'Monthly Cash Flow'!DI47),0)</f>
        <v>0</v>
      </c>
      <c r="DK46" s="1388">
        <f>IF(AND(DK5&gt;1,DK5&lt;='Inputs and Assumptions'!$D$14),MIN(ROUNDUP(IFERROR(('Rent Roll Analysis'!$E$41*'Rent Roll Analysis'!$Q$3)/'Inputs and Assumptions'!$D$14,0),0),('Rent Roll Analysis'!$E$41*'Rent Roll Analysis'!$Q$3)-'Monthly Cash Flow'!DJ47),0)</f>
        <v>0</v>
      </c>
      <c r="DL46" s="1388">
        <f>IF(AND(DL5&gt;1,DL5&lt;='Inputs and Assumptions'!$D$14),MIN(ROUNDUP(IFERROR(('Rent Roll Analysis'!$E$41*'Rent Roll Analysis'!$Q$3)/'Inputs and Assumptions'!$D$14,0),0),('Rent Roll Analysis'!$E$41*'Rent Roll Analysis'!$Q$3)-'Monthly Cash Flow'!DK47),0)</f>
        <v>0</v>
      </c>
      <c r="DM46" s="1388">
        <f>IF(AND(DM5&gt;1,DM5&lt;='Inputs and Assumptions'!$D$14),MIN(ROUNDUP(IFERROR(('Rent Roll Analysis'!$E$41*'Rent Roll Analysis'!$Q$3)/'Inputs and Assumptions'!$D$14,0),0),('Rent Roll Analysis'!$E$41*'Rent Roll Analysis'!$Q$3)-'Monthly Cash Flow'!DL47),0)</f>
        <v>0</v>
      </c>
      <c r="DN46" s="1388">
        <f>IF(AND(DN5&gt;1,DN5&lt;='Inputs and Assumptions'!$D$14),MIN(ROUNDUP(IFERROR(('Rent Roll Analysis'!$E$41*'Rent Roll Analysis'!$Q$3)/'Inputs and Assumptions'!$D$14,0),0),('Rent Roll Analysis'!$E$41*'Rent Roll Analysis'!$Q$3)-'Monthly Cash Flow'!DM47),0)</f>
        <v>0</v>
      </c>
      <c r="DO46" s="1388">
        <f>IF(AND(DO5&gt;1,DO5&lt;='Inputs and Assumptions'!$D$14),MIN(ROUNDUP(IFERROR(('Rent Roll Analysis'!$E$41*'Rent Roll Analysis'!$Q$3)/'Inputs and Assumptions'!$D$14,0),0),('Rent Roll Analysis'!$E$41*'Rent Roll Analysis'!$Q$3)-'Monthly Cash Flow'!DN47),0)</f>
        <v>0</v>
      </c>
      <c r="DP46" s="1388">
        <f>IF(AND(DP5&gt;1,DP5&lt;='Inputs and Assumptions'!$D$14),MIN(ROUNDUP(IFERROR(('Rent Roll Analysis'!$E$41*'Rent Roll Analysis'!$Q$3)/'Inputs and Assumptions'!$D$14,0),0),('Rent Roll Analysis'!$E$41*'Rent Roll Analysis'!$Q$3)-'Monthly Cash Flow'!DO47),0)</f>
        <v>0</v>
      </c>
      <c r="DQ46" s="1388">
        <f>IF(AND(DQ5&gt;1,DQ5&lt;='Inputs and Assumptions'!$D$14),MIN(ROUNDUP(IFERROR(('Rent Roll Analysis'!$E$41*'Rent Roll Analysis'!$Q$3)/'Inputs and Assumptions'!$D$14,0),0),('Rent Roll Analysis'!$E$41*'Rent Roll Analysis'!$Q$3)-'Monthly Cash Flow'!DP47),0)</f>
        <v>0</v>
      </c>
      <c r="DR46" s="1388">
        <f>IF(AND(DR5&gt;1,DR5&lt;='Inputs and Assumptions'!$D$14),MIN(ROUNDUP(IFERROR(('Rent Roll Analysis'!$E$41*'Rent Roll Analysis'!$Q$3)/'Inputs and Assumptions'!$D$14,0),0),('Rent Roll Analysis'!$E$41*'Rent Roll Analysis'!$Q$3)-'Monthly Cash Flow'!DQ47),0)</f>
        <v>0</v>
      </c>
      <c r="DS46" s="1388">
        <f>IF(AND(DS5&gt;1,DS5&lt;='Inputs and Assumptions'!$D$14),MIN(ROUNDUP(IFERROR(('Rent Roll Analysis'!$E$41*'Rent Roll Analysis'!$Q$3)/'Inputs and Assumptions'!$D$14,0),0),('Rent Roll Analysis'!$E$41*'Rent Roll Analysis'!$Q$3)-'Monthly Cash Flow'!DR47),0)</f>
        <v>0</v>
      </c>
      <c r="DT46" s="1388">
        <f>IF(AND(DT5&gt;1,DT5&lt;='Inputs and Assumptions'!$D$14),MIN(ROUNDUP(IFERROR(('Rent Roll Analysis'!$E$41*'Rent Roll Analysis'!$Q$3)/'Inputs and Assumptions'!$D$14,0),0),('Rent Roll Analysis'!$E$41*'Rent Roll Analysis'!$Q$3)-'Monthly Cash Flow'!DS47),0)</f>
        <v>0</v>
      </c>
      <c r="DU46" s="385" t="s">
        <v>557</v>
      </c>
      <c r="DV46" s="196"/>
    </row>
    <row r="47" spans="1:126" s="5" customFormat="1" ht="19" outlineLevel="1">
      <c r="A47" s="196"/>
      <c r="B47" s="383"/>
      <c r="C47" s="1384"/>
      <c r="D47" s="1385"/>
      <c r="E47" s="1388"/>
      <c r="F47" s="1388"/>
      <c r="G47" s="1388"/>
      <c r="H47" s="1388"/>
      <c r="I47" s="1388"/>
      <c r="J47" s="1388"/>
      <c r="K47" s="1388"/>
      <c r="L47" s="1388"/>
      <c r="M47" s="1388"/>
      <c r="N47" s="1388"/>
      <c r="O47" s="1388"/>
      <c r="P47" s="1388"/>
      <c r="Q47" s="1388"/>
      <c r="R47" s="1388"/>
      <c r="S47" s="1388"/>
      <c r="T47" s="1388"/>
      <c r="U47" s="1388"/>
      <c r="V47" s="1388"/>
      <c r="W47" s="1388"/>
      <c r="X47" s="1388"/>
      <c r="Y47" s="1388"/>
      <c r="Z47" s="1388"/>
      <c r="AA47" s="1388"/>
      <c r="AB47" s="1388"/>
      <c r="AC47" s="1388"/>
      <c r="AD47" s="1388"/>
      <c r="AE47" s="1388"/>
      <c r="AF47" s="1388"/>
      <c r="AG47" s="1388"/>
      <c r="AH47" s="1388"/>
      <c r="AI47" s="1388"/>
      <c r="AJ47" s="1388"/>
      <c r="AK47" s="1388"/>
      <c r="AL47" s="1388"/>
      <c r="AM47" s="1388"/>
      <c r="AN47" s="1388"/>
      <c r="AO47" s="1388"/>
      <c r="AP47" s="1388"/>
      <c r="AQ47" s="1388"/>
      <c r="AR47" s="1388"/>
      <c r="AS47" s="1388"/>
      <c r="AT47" s="1388"/>
      <c r="AU47" s="1388"/>
      <c r="AV47" s="1388"/>
      <c r="AW47" s="1388"/>
      <c r="AX47" s="1388"/>
      <c r="AY47" s="1388"/>
      <c r="AZ47" s="1388"/>
      <c r="BA47" s="1388"/>
      <c r="BB47" s="1388"/>
      <c r="BC47" s="1388"/>
      <c r="BD47" s="1388"/>
      <c r="BE47" s="1388"/>
      <c r="BF47" s="1388"/>
      <c r="BG47" s="1388"/>
      <c r="BH47" s="1388"/>
      <c r="BI47" s="1388"/>
      <c r="BJ47" s="1388"/>
      <c r="BK47" s="1388"/>
      <c r="BL47" s="1388"/>
      <c r="BM47" s="1388"/>
      <c r="BN47" s="1388"/>
      <c r="BO47" s="1388"/>
      <c r="BP47" s="1388"/>
      <c r="BQ47" s="1388"/>
      <c r="BR47" s="1388"/>
      <c r="BS47" s="1388"/>
      <c r="BT47" s="1388"/>
      <c r="BU47" s="1388"/>
      <c r="BV47" s="1388"/>
      <c r="BW47" s="1388"/>
      <c r="BX47" s="1388"/>
      <c r="BY47" s="1388"/>
      <c r="BZ47" s="1388"/>
      <c r="CA47" s="1388"/>
      <c r="CB47" s="1388"/>
      <c r="CC47" s="1388"/>
      <c r="CD47" s="1388"/>
      <c r="CE47" s="1388"/>
      <c r="CF47" s="1388"/>
      <c r="CG47" s="1388"/>
      <c r="CH47" s="1388"/>
      <c r="CI47" s="1388"/>
      <c r="CJ47" s="1388"/>
      <c r="CK47" s="1388"/>
      <c r="CL47" s="1388"/>
      <c r="CM47" s="1388"/>
      <c r="CN47" s="1388"/>
      <c r="CO47" s="1388"/>
      <c r="CP47" s="1388"/>
      <c r="CQ47" s="1388"/>
      <c r="CR47" s="1388"/>
      <c r="CS47" s="1388"/>
      <c r="CT47" s="1388"/>
      <c r="CU47" s="1388"/>
      <c r="CV47" s="1388"/>
      <c r="CW47" s="1388"/>
      <c r="CX47" s="1388"/>
      <c r="CY47" s="1388"/>
      <c r="CZ47" s="1388"/>
      <c r="DA47" s="1388"/>
      <c r="DB47" s="1388"/>
      <c r="DC47" s="1388"/>
      <c r="DD47" s="1388"/>
      <c r="DE47" s="1388"/>
      <c r="DF47" s="1388"/>
      <c r="DG47" s="1388"/>
      <c r="DH47" s="1388"/>
      <c r="DI47" s="1388"/>
      <c r="DJ47" s="1388"/>
      <c r="DK47" s="1388"/>
      <c r="DL47" s="1388"/>
      <c r="DM47" s="1388"/>
      <c r="DN47" s="1388"/>
      <c r="DO47" s="1388"/>
      <c r="DP47" s="1388"/>
      <c r="DQ47" s="1388"/>
      <c r="DR47" s="1388"/>
      <c r="DS47" s="1388"/>
      <c r="DT47" s="1388"/>
      <c r="DU47" s="385" t="s">
        <v>557</v>
      </c>
      <c r="DV47" s="196"/>
    </row>
    <row r="48" spans="1:126" s="5" customFormat="1" ht="19" outlineLevel="1">
      <c r="A48" s="196"/>
      <c r="B48" s="383" t="s">
        <v>1074</v>
      </c>
      <c r="C48" s="1384"/>
      <c r="D48" s="1385"/>
      <c r="E48" s="1388">
        <f>IF(E$5&gt;=1,MIN((ROUNDUP(IFERROR('Monthly Cash Flow'!$D$45/'Inputs and Assumptions'!$D$14,0),0)),'Monthly Cash Flow'!$D$45),0)</f>
        <v>0</v>
      </c>
      <c r="F48" s="1388">
        <f>IF(F$5&gt;=1,MIN((ROUNDUP(IFERROR('Monthly Cash Flow'!$D$45/'Inputs and Assumptions'!$D$14,0),0)),'Monthly Cash Flow'!$D$45),0)</f>
        <v>0</v>
      </c>
      <c r="G48" s="1388">
        <f>IF(G$5&gt;=1,MIN((ROUNDUP(IFERROR('Monthly Cash Flow'!$D$45/'Inputs and Assumptions'!$D$14,0),0)),'Monthly Cash Flow'!$D$45),0)</f>
        <v>0</v>
      </c>
      <c r="H48" s="1388">
        <f>IF(H$5&gt;=1,MIN((ROUNDUP(IFERROR('Monthly Cash Flow'!$D$45/'Inputs and Assumptions'!$D$14,0),0)),'Monthly Cash Flow'!$D$45),0)</f>
        <v>0</v>
      </c>
      <c r="I48" s="1388">
        <f>IF(I$5&gt;=1,MIN((ROUNDUP(IFERROR('Monthly Cash Flow'!$D$45/'Inputs and Assumptions'!$D$14,0),0)),'Monthly Cash Flow'!$D$45),0)</f>
        <v>0</v>
      </c>
      <c r="J48" s="1388">
        <f>IF(J$5&gt;=1,MIN((ROUNDUP(IFERROR('Monthly Cash Flow'!$D$45/'Inputs and Assumptions'!$D$14,0),0)),'Monthly Cash Flow'!$D$45),0)</f>
        <v>0</v>
      </c>
      <c r="K48" s="1388">
        <f>IF(K$5&gt;=1,MIN((ROUNDUP(IFERROR('Monthly Cash Flow'!$D$45/'Inputs and Assumptions'!$D$14,0),0)),'Monthly Cash Flow'!$D$45),0)</f>
        <v>0</v>
      </c>
      <c r="L48" s="1388">
        <f>IF(L$5&gt;=1,MIN((ROUNDUP(IFERROR('Monthly Cash Flow'!$D$45/'Inputs and Assumptions'!$D$14,0),0)),'Monthly Cash Flow'!$D$45),0)</f>
        <v>0</v>
      </c>
      <c r="M48" s="1388">
        <f>IF(M$5&gt;=1,MIN((ROUNDUP(IFERROR('Monthly Cash Flow'!$D$45/'Inputs and Assumptions'!$D$14,0),0)),'Monthly Cash Flow'!$D$45),0)</f>
        <v>0</v>
      </c>
      <c r="N48" s="1388">
        <f>IF(N$5&gt;=1,MIN((ROUNDUP(IFERROR('Monthly Cash Flow'!$D$45/'Inputs and Assumptions'!$D$14,0),0)),'Monthly Cash Flow'!$D$45),0)</f>
        <v>0</v>
      </c>
      <c r="O48" s="1388">
        <f>IF(O$5&gt;=1,MIN((ROUNDUP(IFERROR('Monthly Cash Flow'!$D$45/'Inputs and Assumptions'!$D$14,0),0)),'Monthly Cash Flow'!$D$45),0)</f>
        <v>0</v>
      </c>
      <c r="P48" s="1388">
        <f>IF(P$5&gt;=1,MIN((ROUNDUP(IFERROR('Monthly Cash Flow'!$D$45/'Inputs and Assumptions'!$D$14,0),0)),'Monthly Cash Flow'!$D$45),0)</f>
        <v>0</v>
      </c>
      <c r="Q48" s="1388">
        <f>IF(Q$5&gt;=1,MIN((ROUNDUP(IFERROR('Monthly Cash Flow'!$D$45/'Inputs and Assumptions'!$D$14,0),0)),'Monthly Cash Flow'!$D$45),0)</f>
        <v>0</v>
      </c>
      <c r="R48" s="1388">
        <f>IF(R$5&gt;=1,MIN((ROUNDUP(IFERROR('Monthly Cash Flow'!$D$45/'Inputs and Assumptions'!$D$14,0),0)),'Monthly Cash Flow'!$D$45),0)</f>
        <v>0</v>
      </c>
      <c r="S48" s="1388">
        <f>IF(S$5&gt;=1,MIN((ROUNDUP(IFERROR('Monthly Cash Flow'!$D$45/'Inputs and Assumptions'!$D$14,0),0)),'Monthly Cash Flow'!$D$45),0)</f>
        <v>0</v>
      </c>
      <c r="T48" s="1388">
        <f>IF(T$5&gt;=1,MIN((ROUNDUP(IFERROR('Monthly Cash Flow'!$D$45/'Inputs and Assumptions'!$D$14,0),0)),'Monthly Cash Flow'!$D$45),0)</f>
        <v>0</v>
      </c>
      <c r="U48" s="1388">
        <f>IF(U$5&gt;=1,MIN((ROUNDUP(IFERROR('Monthly Cash Flow'!$D$45/'Inputs and Assumptions'!$D$14,0),0)),'Monthly Cash Flow'!$D$45),0)</f>
        <v>0</v>
      </c>
      <c r="V48" s="1388">
        <f>IF(V$5&gt;=1,MIN((ROUNDUP(IFERROR('Monthly Cash Flow'!$D$45/'Inputs and Assumptions'!$D$14,0),0)),'Monthly Cash Flow'!$D$45),0)</f>
        <v>0</v>
      </c>
      <c r="W48" s="1388">
        <f>IF(W$5&gt;=1,MIN((ROUNDUP(IFERROR('Monthly Cash Flow'!$D$45/'Inputs and Assumptions'!$D$14,0),0)),'Monthly Cash Flow'!$D$45),0)</f>
        <v>0</v>
      </c>
      <c r="X48" s="1388">
        <f>IF(X$5&gt;=1,MIN((ROUNDUP(IFERROR('Monthly Cash Flow'!$D$45/'Inputs and Assumptions'!$D$14,0),0)),'Monthly Cash Flow'!$D$45),0)</f>
        <v>0</v>
      </c>
      <c r="Y48" s="1388">
        <f>IF(Y$5&gt;=1,MIN((ROUNDUP(IFERROR('Monthly Cash Flow'!$D$45/'Inputs and Assumptions'!$D$14,0),0)),'Monthly Cash Flow'!$D$45),0)</f>
        <v>0</v>
      </c>
      <c r="Z48" s="1388">
        <f>IF(Z$5&gt;=1,MIN((ROUNDUP(IFERROR('Monthly Cash Flow'!$D$45/'Inputs and Assumptions'!$D$14,0),0)),'Monthly Cash Flow'!$D$45),0)</f>
        <v>0</v>
      </c>
      <c r="AA48" s="1388">
        <f>IF(AA$5&gt;=1,MIN((ROUNDUP(IFERROR('Monthly Cash Flow'!$D$45/'Inputs and Assumptions'!$D$14,0),0)),'Monthly Cash Flow'!$D$45),0)</f>
        <v>0</v>
      </c>
      <c r="AB48" s="1388">
        <f>IF(AB$5&gt;=1,MIN((ROUNDUP(IFERROR('Monthly Cash Flow'!$D$45/'Inputs and Assumptions'!$D$14,0),0)),'Monthly Cash Flow'!$D$45),0)</f>
        <v>0</v>
      </c>
      <c r="AC48" s="1388">
        <f>IF(AC$5&gt;=1,MIN((ROUNDUP(IFERROR('Monthly Cash Flow'!$D$45/'Inputs and Assumptions'!$D$14,0),0)),'Monthly Cash Flow'!$D$45),0)</f>
        <v>0</v>
      </c>
      <c r="AD48" s="1388">
        <f>IF(AD$5&gt;=1,MIN((ROUNDUP(IFERROR('Monthly Cash Flow'!$D$45/'Inputs and Assumptions'!$D$14,0),0)),'Monthly Cash Flow'!$D$45),0)</f>
        <v>0</v>
      </c>
      <c r="AE48" s="1388">
        <f>IF(AE$5&gt;=1,MIN((ROUNDUP(IFERROR('Monthly Cash Flow'!$D$45/'Inputs and Assumptions'!$D$14,0),0)),'Monthly Cash Flow'!$D$45),0)</f>
        <v>0</v>
      </c>
      <c r="AF48" s="1388">
        <f>IF(AF$5&gt;=1,MIN((ROUNDUP(IFERROR('Monthly Cash Flow'!$D$45/'Inputs and Assumptions'!$D$14,0),0)),'Monthly Cash Flow'!$D$45),0)</f>
        <v>0</v>
      </c>
      <c r="AG48" s="1388">
        <f>IF(AG$5&gt;=1,MIN((ROUNDUP(IFERROR('Monthly Cash Flow'!$D$45/'Inputs and Assumptions'!$D$14,0),0)),'Monthly Cash Flow'!$D$45),0)</f>
        <v>0</v>
      </c>
      <c r="AH48" s="1388">
        <f>IF(AH$5&gt;=1,MIN((ROUNDUP(IFERROR('Monthly Cash Flow'!$D$45/'Inputs and Assumptions'!$D$14,0),0)),'Monthly Cash Flow'!$D$45),0)</f>
        <v>0</v>
      </c>
      <c r="AI48" s="1388">
        <f>IF(AI$5&gt;=1,MIN((ROUNDUP(IFERROR('Monthly Cash Flow'!$D$45/'Inputs and Assumptions'!$D$14,0),0)),'Monthly Cash Flow'!$D$45),0)</f>
        <v>0</v>
      </c>
      <c r="AJ48" s="1388">
        <f>IF(AJ$5&gt;=1,MIN((ROUNDUP(IFERROR('Monthly Cash Flow'!$D$45/'Inputs and Assumptions'!$D$14,0),0)),'Monthly Cash Flow'!$D$45),0)</f>
        <v>0</v>
      </c>
      <c r="AK48" s="1388">
        <f>IF(AK$5&gt;=1,MIN((ROUNDUP(IFERROR('Monthly Cash Flow'!$D$45/'Inputs and Assumptions'!$D$14,0),0)),'Monthly Cash Flow'!$D$45),0)</f>
        <v>0</v>
      </c>
      <c r="AL48" s="1388">
        <f>IF(AL$5&gt;=1,MIN((ROUNDUP(IFERROR('Monthly Cash Flow'!$D$45/'Inputs and Assumptions'!$D$14,0),0)),'Monthly Cash Flow'!$D$45),0)</f>
        <v>0</v>
      </c>
      <c r="AM48" s="1388">
        <f>IF(AM$5&gt;=1,MIN((ROUNDUP(IFERROR('Monthly Cash Flow'!$D$45/'Inputs and Assumptions'!$D$14,0),0)),'Monthly Cash Flow'!$D$45),0)</f>
        <v>0</v>
      </c>
      <c r="AN48" s="1388">
        <f>IF(AN$5&gt;=1,MIN((ROUNDUP(IFERROR('Monthly Cash Flow'!$D$45/'Inputs and Assumptions'!$D$14,0),0)),'Monthly Cash Flow'!$D$45),0)</f>
        <v>0</v>
      </c>
      <c r="AO48" s="1388">
        <f>IF(AO$5&gt;=1,MIN((ROUNDUP(IFERROR('Monthly Cash Flow'!$D$45/'Inputs and Assumptions'!$D$14,0),0)),'Monthly Cash Flow'!$D$45),0)</f>
        <v>0</v>
      </c>
      <c r="AP48" s="1388">
        <f>IF(AP$5&gt;=1,MIN((ROUNDUP(IFERROR('Monthly Cash Flow'!$D$45/'Inputs and Assumptions'!$D$14,0),0)),'Monthly Cash Flow'!$D$45),0)</f>
        <v>0</v>
      </c>
      <c r="AQ48" s="1388">
        <f>IF(AQ$5&gt;=1,MIN((ROUNDUP(IFERROR('Monthly Cash Flow'!$D$45/'Inputs and Assumptions'!$D$14,0),0)),'Monthly Cash Flow'!$D$45),0)</f>
        <v>0</v>
      </c>
      <c r="AR48" s="1388">
        <f>IF(AR$5&gt;=1,MIN((ROUNDUP(IFERROR('Monthly Cash Flow'!$D$45/'Inputs and Assumptions'!$D$14,0),0)),'Monthly Cash Flow'!$D$45),0)</f>
        <v>0</v>
      </c>
      <c r="AS48" s="1388">
        <f>IF(AS$5&gt;=1,MIN((ROUNDUP(IFERROR('Monthly Cash Flow'!$D$45/'Inputs and Assumptions'!$D$14,0),0)),'Monthly Cash Flow'!$D$45),0)</f>
        <v>0</v>
      </c>
      <c r="AT48" s="1388">
        <f>IF(AT$5&gt;=1,MIN((ROUNDUP(IFERROR('Monthly Cash Flow'!$D$45/'Inputs and Assumptions'!$D$14,0),0)),'Monthly Cash Flow'!$D$45),0)</f>
        <v>0</v>
      </c>
      <c r="AU48" s="1388">
        <f>IF(AU$5&gt;=1,MIN((ROUNDUP(IFERROR('Monthly Cash Flow'!$D$45/'Inputs and Assumptions'!$D$14,0),0)),'Monthly Cash Flow'!$D$45),0)</f>
        <v>0</v>
      </c>
      <c r="AV48" s="1388">
        <f>IF(AV$5&gt;=1,MIN((ROUNDUP(IFERROR('Monthly Cash Flow'!$D$45/'Inputs and Assumptions'!$D$14,0),0)),'Monthly Cash Flow'!$D$45),0)</f>
        <v>0</v>
      </c>
      <c r="AW48" s="1388">
        <f>IF(AW$5&gt;=1,MIN((ROUNDUP(IFERROR('Monthly Cash Flow'!$D$45/'Inputs and Assumptions'!$D$14,0),0)),'Monthly Cash Flow'!$D$45),0)</f>
        <v>0</v>
      </c>
      <c r="AX48" s="1388">
        <f>IF(AX$5&gt;=1,MIN((ROUNDUP(IFERROR('Monthly Cash Flow'!$D$45/'Inputs and Assumptions'!$D$14,0),0)),'Monthly Cash Flow'!$D$45),0)</f>
        <v>0</v>
      </c>
      <c r="AY48" s="1388">
        <f>IF(AY$5&gt;=1,MIN((ROUNDUP(IFERROR('Monthly Cash Flow'!$D$45/'Inputs and Assumptions'!$D$14,0),0)),'Monthly Cash Flow'!$D$45),0)</f>
        <v>0</v>
      </c>
      <c r="AZ48" s="1388">
        <f>IF(AZ$5&gt;=1,MIN((ROUNDUP(IFERROR('Monthly Cash Flow'!$D$45/'Inputs and Assumptions'!$D$14,0),0)),'Monthly Cash Flow'!$D$45),0)</f>
        <v>0</v>
      </c>
      <c r="BA48" s="1388">
        <f>IF(BA$5&gt;=1,MIN((ROUNDUP(IFERROR('Monthly Cash Flow'!$D$45/'Inputs and Assumptions'!$D$14,0),0)),'Monthly Cash Flow'!$D$45),0)</f>
        <v>0</v>
      </c>
      <c r="BB48" s="1388">
        <f>IF(BB$5&gt;=1,MIN((ROUNDUP(IFERROR('Monthly Cash Flow'!$D$45/'Inputs and Assumptions'!$D$14,0),0)),'Monthly Cash Flow'!$D$45),0)</f>
        <v>0</v>
      </c>
      <c r="BC48" s="1388">
        <f>IF(BC$5&gt;=1,MIN((ROUNDUP(IFERROR('Monthly Cash Flow'!$D$45/'Inputs and Assumptions'!$D$14,0),0)),'Monthly Cash Flow'!$D$45),0)</f>
        <v>0</v>
      </c>
      <c r="BD48" s="1388">
        <f>IF(BD$5&gt;=1,MIN((ROUNDUP(IFERROR('Monthly Cash Flow'!$D$45/'Inputs and Assumptions'!$D$14,0),0)),'Monthly Cash Flow'!$D$45),0)</f>
        <v>0</v>
      </c>
      <c r="BE48" s="1388">
        <f>IF(BE$5&gt;=1,MIN((ROUNDUP(IFERROR('Monthly Cash Flow'!$D$45/'Inputs and Assumptions'!$D$14,0),0)),'Monthly Cash Flow'!$D$45),0)</f>
        <v>0</v>
      </c>
      <c r="BF48" s="1388">
        <f>IF(BF$5&gt;=1,MIN((ROUNDUP(IFERROR('Monthly Cash Flow'!$D$45/'Inputs and Assumptions'!$D$14,0),0)),'Monthly Cash Flow'!$D$45),0)</f>
        <v>0</v>
      </c>
      <c r="BG48" s="1388">
        <f>IF(BG$5&gt;=1,MIN((ROUNDUP(IFERROR('Monthly Cash Flow'!$D$45/'Inputs and Assumptions'!$D$14,0),0)),'Monthly Cash Flow'!$D$45),0)</f>
        <v>0</v>
      </c>
      <c r="BH48" s="1388">
        <f>IF(BH$5&gt;=1,MIN((ROUNDUP(IFERROR('Monthly Cash Flow'!$D$45/'Inputs and Assumptions'!$D$14,0),0)),'Monthly Cash Flow'!$D$45),0)</f>
        <v>0</v>
      </c>
      <c r="BI48" s="1388">
        <f>IF(BI$5&gt;=1,MIN((ROUNDUP(IFERROR('Monthly Cash Flow'!$D$45/'Inputs and Assumptions'!$D$14,0),0)),'Monthly Cash Flow'!$D$45),0)</f>
        <v>0</v>
      </c>
      <c r="BJ48" s="1388">
        <f>IF(BJ$5&gt;=1,MIN((ROUNDUP(IFERROR('Monthly Cash Flow'!$D$45/'Inputs and Assumptions'!$D$14,0),0)),'Monthly Cash Flow'!$D$45),0)</f>
        <v>0</v>
      </c>
      <c r="BK48" s="1388">
        <f>IF(BK$5&gt;=1,MIN((ROUNDUP(IFERROR('Monthly Cash Flow'!$D$45/'Inputs and Assumptions'!$D$14,0),0)),'Monthly Cash Flow'!$D$45),0)</f>
        <v>0</v>
      </c>
      <c r="BL48" s="1388">
        <f>IF(BL$5&gt;=1,MIN((ROUNDUP(IFERROR('Monthly Cash Flow'!$D$45/'Inputs and Assumptions'!$D$14,0),0)),'Monthly Cash Flow'!$D$45),0)</f>
        <v>0</v>
      </c>
      <c r="BM48" s="1388">
        <f>IF(BM$5&gt;=1,MIN((ROUNDUP(IFERROR('Monthly Cash Flow'!$D$45/'Inputs and Assumptions'!$D$14,0),0)),'Monthly Cash Flow'!$D$45),0)</f>
        <v>0</v>
      </c>
      <c r="BN48" s="1388">
        <f>IF(BN$5&gt;=1,MIN((ROUNDUP(IFERROR('Monthly Cash Flow'!$D$45/'Inputs and Assumptions'!$D$14,0),0)),'Monthly Cash Flow'!$D$45),0)</f>
        <v>0</v>
      </c>
      <c r="BO48" s="1388">
        <f>IF(BO$5&gt;=1,MIN((ROUNDUP(IFERROR('Monthly Cash Flow'!$D$45/'Inputs and Assumptions'!$D$14,0),0)),'Monthly Cash Flow'!$D$45),0)</f>
        <v>0</v>
      </c>
      <c r="BP48" s="1388">
        <f>IF(BP$5&gt;=1,MIN((ROUNDUP(IFERROR('Monthly Cash Flow'!$D$45/'Inputs and Assumptions'!$D$14,0),0)),'Monthly Cash Flow'!$D$45),0)</f>
        <v>0</v>
      </c>
      <c r="BQ48" s="1388">
        <f>IF(BQ$5&gt;=1,MIN((ROUNDUP(IFERROR('Monthly Cash Flow'!$D$45/'Inputs and Assumptions'!$D$14,0),0)),'Monthly Cash Flow'!$D$45),0)</f>
        <v>0</v>
      </c>
      <c r="BR48" s="1388">
        <f>IF(BR$5&gt;=1,MIN((ROUNDUP(IFERROR('Monthly Cash Flow'!$D$45/'Inputs and Assumptions'!$D$14,0),0)),'Monthly Cash Flow'!$D$45),0)</f>
        <v>0</v>
      </c>
      <c r="BS48" s="1388">
        <f>IF(BS$5&gt;=1,MIN((ROUNDUP(IFERROR('Monthly Cash Flow'!$D$45/'Inputs and Assumptions'!$D$14,0),0)),'Monthly Cash Flow'!$D$45),0)</f>
        <v>0</v>
      </c>
      <c r="BT48" s="1388">
        <f>IF(BT$5&gt;=1,MIN((ROUNDUP(IFERROR('Monthly Cash Flow'!$D$45/'Inputs and Assumptions'!$D$14,0),0)),'Monthly Cash Flow'!$D$45),0)</f>
        <v>0</v>
      </c>
      <c r="BU48" s="1388">
        <f>IF(BU$5&gt;=1,MIN((ROUNDUP(IFERROR('Monthly Cash Flow'!$D$45/'Inputs and Assumptions'!$D$14,0),0)),'Monthly Cash Flow'!$D$45),0)</f>
        <v>0</v>
      </c>
      <c r="BV48" s="1388">
        <f>IF(BV$5&gt;=1,MIN((ROUNDUP(IFERROR('Monthly Cash Flow'!$D$45/'Inputs and Assumptions'!$D$14,0),0)),'Monthly Cash Flow'!$D$45),0)</f>
        <v>0</v>
      </c>
      <c r="BW48" s="1388">
        <f>IF(BW$5&gt;=1,MIN((ROUNDUP(IFERROR('Monthly Cash Flow'!$D$45/'Inputs and Assumptions'!$D$14,0),0)),'Monthly Cash Flow'!$D$45),0)</f>
        <v>0</v>
      </c>
      <c r="BX48" s="1388">
        <f>IF(BX$5&gt;=1,MIN((ROUNDUP(IFERROR('Monthly Cash Flow'!$D$45/'Inputs and Assumptions'!$D$14,0),0)),'Monthly Cash Flow'!$D$45),0)</f>
        <v>0</v>
      </c>
      <c r="BY48" s="1388">
        <f>IF(BY$5&gt;=1,MIN((ROUNDUP(IFERROR('Monthly Cash Flow'!$D$45/'Inputs and Assumptions'!$D$14,0),0)),'Monthly Cash Flow'!$D$45),0)</f>
        <v>0</v>
      </c>
      <c r="BZ48" s="1388">
        <f>IF(BZ$5&gt;=1,MIN((ROUNDUP(IFERROR('Monthly Cash Flow'!$D$45/'Inputs and Assumptions'!$D$14,0),0)),'Monthly Cash Flow'!$D$45),0)</f>
        <v>0</v>
      </c>
      <c r="CA48" s="1388">
        <f>IF(CA$5&gt;=1,MIN((ROUNDUP(IFERROR('Monthly Cash Flow'!$D$45/'Inputs and Assumptions'!$D$14,0),0)),'Monthly Cash Flow'!$D$45),0)</f>
        <v>0</v>
      </c>
      <c r="CB48" s="1388">
        <f>IF(CB$5&gt;=1,MIN((ROUNDUP(IFERROR('Monthly Cash Flow'!$D$45/'Inputs and Assumptions'!$D$14,0),0)),'Monthly Cash Flow'!$D$45),0)</f>
        <v>0</v>
      </c>
      <c r="CC48" s="1388">
        <f>IF(CC$5&gt;=1,MIN((ROUNDUP(IFERROR('Monthly Cash Flow'!$D$45/'Inputs and Assumptions'!$D$14,0),0)),'Monthly Cash Flow'!$D$45),0)</f>
        <v>0</v>
      </c>
      <c r="CD48" s="1388">
        <f>IF(CD$5&gt;=1,MIN((ROUNDUP(IFERROR('Monthly Cash Flow'!$D$45/'Inputs and Assumptions'!$D$14,0),0)),'Monthly Cash Flow'!$D$45),0)</f>
        <v>0</v>
      </c>
      <c r="CE48" s="1388">
        <f>IF(CE$5&gt;=1,MIN((ROUNDUP(IFERROR('Monthly Cash Flow'!$D$45/'Inputs and Assumptions'!$D$14,0),0)),'Monthly Cash Flow'!$D$45),0)</f>
        <v>0</v>
      </c>
      <c r="CF48" s="1388">
        <f>IF(CF$5&gt;=1,MIN((ROUNDUP(IFERROR('Monthly Cash Flow'!$D$45/'Inputs and Assumptions'!$D$14,0),0)),'Monthly Cash Flow'!$D$45),0)</f>
        <v>0</v>
      </c>
      <c r="CG48" s="1388">
        <f>IF(CG$5&gt;=1,MIN((ROUNDUP(IFERROR('Monthly Cash Flow'!$D$45/'Inputs and Assumptions'!$D$14,0),0)),'Monthly Cash Flow'!$D$45),0)</f>
        <v>0</v>
      </c>
      <c r="CH48" s="1388">
        <f>IF(CH$5&gt;=1,MIN((ROUNDUP(IFERROR('Monthly Cash Flow'!$D$45/'Inputs and Assumptions'!$D$14,0),0)),'Monthly Cash Flow'!$D$45),0)</f>
        <v>0</v>
      </c>
      <c r="CI48" s="1388">
        <f>IF(CI$5&gt;=1,MIN((ROUNDUP(IFERROR('Monthly Cash Flow'!$D$45/'Inputs and Assumptions'!$D$14,0),0)),'Monthly Cash Flow'!$D$45),0)</f>
        <v>0</v>
      </c>
      <c r="CJ48" s="1388">
        <f>IF(CJ$5&gt;=1,MIN((ROUNDUP(IFERROR('Monthly Cash Flow'!$D$45/'Inputs and Assumptions'!$D$14,0),0)),'Monthly Cash Flow'!$D$45),0)</f>
        <v>0</v>
      </c>
      <c r="CK48" s="1388">
        <f>IF(CK$5&gt;=1,MIN((ROUNDUP(IFERROR('Monthly Cash Flow'!$D$45/'Inputs and Assumptions'!$D$14,0),0)),'Monthly Cash Flow'!$D$45),0)</f>
        <v>0</v>
      </c>
      <c r="CL48" s="1388">
        <f>IF(CL$5&gt;=1,MIN((ROUNDUP(IFERROR('Monthly Cash Flow'!$D$45/'Inputs and Assumptions'!$D$14,0),0)),'Monthly Cash Flow'!$D$45),0)</f>
        <v>0</v>
      </c>
      <c r="CM48" s="1388">
        <f>IF(CM$5&gt;=1,MIN((ROUNDUP(IFERROR('Monthly Cash Flow'!$D$45/'Inputs and Assumptions'!$D$14,0),0)),'Monthly Cash Flow'!$D$45),0)</f>
        <v>0</v>
      </c>
      <c r="CN48" s="1388">
        <f>IF(CN$5&gt;=1,MIN((ROUNDUP(IFERROR('Monthly Cash Flow'!$D$45/'Inputs and Assumptions'!$D$14,0),0)),'Monthly Cash Flow'!$D$45),0)</f>
        <v>0</v>
      </c>
      <c r="CO48" s="1388">
        <f>IF(CO$5&gt;=1,MIN((ROUNDUP(IFERROR('Monthly Cash Flow'!$D$45/'Inputs and Assumptions'!$D$14,0),0)),'Monthly Cash Flow'!$D$45),0)</f>
        <v>0</v>
      </c>
      <c r="CP48" s="1388">
        <f>IF(CP$5&gt;=1,MIN((ROUNDUP(IFERROR('Monthly Cash Flow'!$D$45/'Inputs and Assumptions'!$D$14,0),0)),'Monthly Cash Flow'!$D$45),0)</f>
        <v>0</v>
      </c>
      <c r="CQ48" s="1388">
        <f>IF(CQ$5&gt;=1,MIN((ROUNDUP(IFERROR('Monthly Cash Flow'!$D$45/'Inputs and Assumptions'!$D$14,0),0)),'Monthly Cash Flow'!$D$45),0)</f>
        <v>0</v>
      </c>
      <c r="CR48" s="1388">
        <f>IF(CR$5&gt;=1,MIN((ROUNDUP(IFERROR('Monthly Cash Flow'!$D$45/'Inputs and Assumptions'!$D$14,0),0)),'Monthly Cash Flow'!$D$45),0)</f>
        <v>0</v>
      </c>
      <c r="CS48" s="1388">
        <f>IF(CS$5&gt;=1,MIN((ROUNDUP(IFERROR('Monthly Cash Flow'!$D$45/'Inputs and Assumptions'!$D$14,0),0)),'Monthly Cash Flow'!$D$45),0)</f>
        <v>0</v>
      </c>
      <c r="CT48" s="1388">
        <f>IF(CT$5&gt;=1,MIN((ROUNDUP(IFERROR('Monthly Cash Flow'!$D$45/'Inputs and Assumptions'!$D$14,0),0)),'Monthly Cash Flow'!$D$45),0)</f>
        <v>0</v>
      </c>
      <c r="CU48" s="1388">
        <f>IF(CU$5&gt;=1,MIN((ROUNDUP(IFERROR('Monthly Cash Flow'!$D$45/'Inputs and Assumptions'!$D$14,0),0)),'Monthly Cash Flow'!$D$45),0)</f>
        <v>0</v>
      </c>
      <c r="CV48" s="1388">
        <f>IF(CV$5&gt;=1,MIN((ROUNDUP(IFERROR('Monthly Cash Flow'!$D$45/'Inputs and Assumptions'!$D$14,0),0)),'Monthly Cash Flow'!$D$45),0)</f>
        <v>0</v>
      </c>
      <c r="CW48" s="1388">
        <f>IF(CW$5&gt;=1,MIN((ROUNDUP(IFERROR('Monthly Cash Flow'!$D$45/'Inputs and Assumptions'!$D$14,0),0)),'Monthly Cash Flow'!$D$45),0)</f>
        <v>0</v>
      </c>
      <c r="CX48" s="1388">
        <f>IF(CX$5&gt;=1,MIN((ROUNDUP(IFERROR('Monthly Cash Flow'!$D$45/'Inputs and Assumptions'!$D$14,0),0)),'Monthly Cash Flow'!$D$45),0)</f>
        <v>0</v>
      </c>
      <c r="CY48" s="1388">
        <f>IF(CY$5&gt;=1,MIN((ROUNDUP(IFERROR('Monthly Cash Flow'!$D$45/'Inputs and Assumptions'!$D$14,0),0)),'Monthly Cash Flow'!$D$45),0)</f>
        <v>0</v>
      </c>
      <c r="CZ48" s="1388">
        <f>IF(CZ$5&gt;=1,MIN((ROUNDUP(IFERROR('Monthly Cash Flow'!$D$45/'Inputs and Assumptions'!$D$14,0),0)),'Monthly Cash Flow'!$D$45),0)</f>
        <v>0</v>
      </c>
      <c r="DA48" s="1388">
        <f>IF(DA$5&gt;=1,MIN((ROUNDUP(IFERROR('Monthly Cash Flow'!$D$45/'Inputs and Assumptions'!$D$14,0),0)),'Monthly Cash Flow'!$D$45),0)</f>
        <v>0</v>
      </c>
      <c r="DB48" s="1388">
        <f>IF(DB$5&gt;=1,MIN((ROUNDUP(IFERROR('Monthly Cash Flow'!$D$45/'Inputs and Assumptions'!$D$14,0),0)),'Monthly Cash Flow'!$D$45),0)</f>
        <v>0</v>
      </c>
      <c r="DC48" s="1388">
        <f>IF(DC$5&gt;=1,MIN((ROUNDUP(IFERROR('Monthly Cash Flow'!$D$45/'Inputs and Assumptions'!$D$14,0),0)),'Monthly Cash Flow'!$D$45),0)</f>
        <v>0</v>
      </c>
      <c r="DD48" s="1388">
        <f>IF(DD$5&gt;=1,MIN((ROUNDUP(IFERROR('Monthly Cash Flow'!$D$45/'Inputs and Assumptions'!$D$14,0),0)),'Monthly Cash Flow'!$D$45),0)</f>
        <v>0</v>
      </c>
      <c r="DE48" s="1388">
        <f>IF(DE$5&gt;=1,MIN((ROUNDUP(IFERROR('Monthly Cash Flow'!$D$45/'Inputs and Assumptions'!$D$14,0),0)),'Monthly Cash Flow'!$D$45),0)</f>
        <v>0</v>
      </c>
      <c r="DF48" s="1388">
        <f>IF(DF$5&gt;=1,MIN((ROUNDUP(IFERROR('Monthly Cash Flow'!$D$45/'Inputs and Assumptions'!$D$14,0),0)),'Monthly Cash Flow'!$D$45),0)</f>
        <v>0</v>
      </c>
      <c r="DG48" s="1388">
        <f>IF(DG$5&gt;=1,MIN((ROUNDUP(IFERROR('Monthly Cash Flow'!$D$45/'Inputs and Assumptions'!$D$14,0),0)),'Monthly Cash Flow'!$D$45),0)</f>
        <v>0</v>
      </c>
      <c r="DH48" s="1388">
        <f>IF(DH$5&gt;=1,MIN((ROUNDUP(IFERROR('Monthly Cash Flow'!$D$45/'Inputs and Assumptions'!$D$14,0),0)),'Monthly Cash Flow'!$D$45),0)</f>
        <v>0</v>
      </c>
      <c r="DI48" s="1388">
        <f>IF(DI$5&gt;=1,MIN((ROUNDUP(IFERROR('Monthly Cash Flow'!$D$45/'Inputs and Assumptions'!$D$14,0),0)),'Monthly Cash Flow'!$D$45),0)</f>
        <v>0</v>
      </c>
      <c r="DJ48" s="1388">
        <f>IF(DJ$5&gt;=1,MIN((ROUNDUP(IFERROR('Monthly Cash Flow'!$D$45/'Inputs and Assumptions'!$D$14,0),0)),'Monthly Cash Flow'!$D$45),0)</f>
        <v>0</v>
      </c>
      <c r="DK48" s="1388">
        <f>IF(DK$5&gt;=1,MIN((ROUNDUP(IFERROR('Monthly Cash Flow'!$D$45/'Inputs and Assumptions'!$D$14,0),0)),'Monthly Cash Flow'!$D$45),0)</f>
        <v>0</v>
      </c>
      <c r="DL48" s="1388">
        <f>IF(DL$5&gt;=1,MIN((ROUNDUP(IFERROR('Monthly Cash Flow'!$D$45/'Inputs and Assumptions'!$D$14,0),0)),'Monthly Cash Flow'!$D$45),0)</f>
        <v>0</v>
      </c>
      <c r="DM48" s="1388">
        <f>IF(DM$5&gt;=1,MIN((ROUNDUP(IFERROR('Monthly Cash Flow'!$D$45/'Inputs and Assumptions'!$D$14,0),0)),'Monthly Cash Flow'!$D$45),0)</f>
        <v>0</v>
      </c>
      <c r="DN48" s="1388">
        <f>IF(DN$5&gt;=1,MIN((ROUNDUP(IFERROR('Monthly Cash Flow'!$D$45/'Inputs and Assumptions'!$D$14,0),0)),'Monthly Cash Flow'!$D$45),0)</f>
        <v>0</v>
      </c>
      <c r="DO48" s="1388">
        <f>IF(DO$5&gt;=1,MIN((ROUNDUP(IFERROR('Monthly Cash Flow'!$D$45/'Inputs and Assumptions'!$D$14,0),0)),'Monthly Cash Flow'!$D$45),0)</f>
        <v>0</v>
      </c>
      <c r="DP48" s="1388">
        <f>IF(DP$5&gt;=1,MIN((ROUNDUP(IFERROR('Monthly Cash Flow'!$D$45/'Inputs and Assumptions'!$D$14,0),0)),'Monthly Cash Flow'!$D$45),0)</f>
        <v>0</v>
      </c>
      <c r="DQ48" s="1388">
        <f>IF(DQ$5&gt;=1,MIN((ROUNDUP(IFERROR('Monthly Cash Flow'!$D$45/'Inputs and Assumptions'!$D$14,0),0)),'Monthly Cash Flow'!$D$45),0)</f>
        <v>0</v>
      </c>
      <c r="DR48" s="1388">
        <f>IF(DR$5&gt;=1,MIN((ROUNDUP(IFERROR('Monthly Cash Flow'!$D$45/'Inputs and Assumptions'!$D$14,0),0)),'Monthly Cash Flow'!$D$45),0)</f>
        <v>0</v>
      </c>
      <c r="DS48" s="1388">
        <f>IF(DS$5&gt;=1,MIN((ROUNDUP(IFERROR('Monthly Cash Flow'!$D$45/'Inputs and Assumptions'!$D$14,0),0)),'Monthly Cash Flow'!$D$45),0)</f>
        <v>0</v>
      </c>
      <c r="DT48" s="1388">
        <f>IF(DT$5&gt;=1,MIN((ROUNDUP(IFERROR('Monthly Cash Flow'!$D$45/'Inputs and Assumptions'!$D$14,0),0)),'Monthly Cash Flow'!$D$45),0)</f>
        <v>0</v>
      </c>
      <c r="DU48" s="385" t="s">
        <v>557</v>
      </c>
      <c r="DV48" s="196"/>
    </row>
    <row r="49" spans="1:126" s="5" customFormat="1" ht="19" outlineLevel="1">
      <c r="A49" s="196"/>
      <c r="B49" s="383" t="s">
        <v>1075</v>
      </c>
      <c r="C49" s="1384"/>
      <c r="D49" s="1385"/>
      <c r="E49" s="1388" cm="1">
        <f t="array" ref="E49">(E$4&lt;2)*('Sponsor Pro Forma'!$R$9="Override")*IFERROR(($D$45*INDEX('Sponsor Pro Forma'!$S$9:$AD$9,,MATCH('Monthly Cash Flow'!E$5,'Sponsor Pro Forma'!$S$7:$AD$7,0))),0)+(E$4&lt;2)*('Sponsor Pro Forma'!$R$9="")*($D$45*'Sponsor Pro Forma'!$M$9)+(E$4=2)*($D$45*'Sponsor Pro Forma'!$N$9)+('Monthly Cash Flow'!E$4&gt;2)*('Monthly Cash Flow'!$D$45*'Sponsor Pro Forma'!$O$9)-E48</f>
        <v>13.200000000000001</v>
      </c>
      <c r="F49" s="1388" cm="1">
        <f t="array" ref="F49">(F$4&lt;2)*('Sponsor Pro Forma'!$R$9="Override")*IFERROR(($D$45*INDEX('Sponsor Pro Forma'!$S$9:$AD$9,,MATCH('Monthly Cash Flow'!F$5,'Sponsor Pro Forma'!$S$7:$AD$7,0))),0)+(F$4&lt;2)*('Sponsor Pro Forma'!$R$9="")*($D$45*'Sponsor Pro Forma'!$M$9)+(F$4=2)*($D$45*'Sponsor Pro Forma'!$N$9)+('Monthly Cash Flow'!F$4&gt;2)*('Monthly Cash Flow'!$D$45*'Sponsor Pro Forma'!$O$9)-F48</f>
        <v>13.200000000000001</v>
      </c>
      <c r="G49" s="1388" cm="1">
        <f t="array" ref="G49">(G$4&lt;2)*('Sponsor Pro Forma'!$R$9="Override")*IFERROR(($D$45*INDEX('Sponsor Pro Forma'!$S$9:$AD$9,,MATCH('Monthly Cash Flow'!G$5,'Sponsor Pro Forma'!$S$7:$AD$7,0))),0)+(G$4&lt;2)*('Sponsor Pro Forma'!$R$9="")*($D$45*'Sponsor Pro Forma'!$M$9)+(G$4=2)*($D$45*'Sponsor Pro Forma'!$N$9)+('Monthly Cash Flow'!G$4&gt;2)*('Monthly Cash Flow'!$D$45*'Sponsor Pro Forma'!$O$9)-G48</f>
        <v>13.200000000000001</v>
      </c>
      <c r="H49" s="1388" cm="1">
        <f t="array" ref="H49">(H$4&lt;2)*('Sponsor Pro Forma'!$R$9="Override")*IFERROR(($D$45*INDEX('Sponsor Pro Forma'!$S$9:$AD$9,,MATCH('Monthly Cash Flow'!H$5,'Sponsor Pro Forma'!$S$7:$AD$7,0))),0)+(H$4&lt;2)*('Sponsor Pro Forma'!$R$9="")*($D$45*'Sponsor Pro Forma'!$M$9)+(H$4=2)*($D$45*'Sponsor Pro Forma'!$N$9)+('Monthly Cash Flow'!H$4&gt;2)*('Monthly Cash Flow'!$D$45*'Sponsor Pro Forma'!$O$9)-H48</f>
        <v>13.200000000000001</v>
      </c>
      <c r="I49" s="1388" cm="1">
        <f t="array" ref="I49">(I$4&lt;2)*('Sponsor Pro Forma'!$R$9="Override")*IFERROR(($D$45*INDEX('Sponsor Pro Forma'!$S$9:$AD$9,,MATCH('Monthly Cash Flow'!I$5,'Sponsor Pro Forma'!$S$7:$AD$7,0))),0)+(I$4&lt;2)*('Sponsor Pro Forma'!$R$9="")*($D$45*'Sponsor Pro Forma'!$M$9)+(I$4=2)*($D$45*'Sponsor Pro Forma'!$N$9)+('Monthly Cash Flow'!I$4&gt;2)*('Monthly Cash Flow'!$D$45*'Sponsor Pro Forma'!$O$9)-I48</f>
        <v>13.200000000000001</v>
      </c>
      <c r="J49" s="1388" cm="1">
        <f t="array" ref="J49">(J$4&lt;2)*('Sponsor Pro Forma'!$R$9="Override")*IFERROR(($D$45*INDEX('Sponsor Pro Forma'!$S$9:$AD$9,,MATCH('Monthly Cash Flow'!J$5,'Sponsor Pro Forma'!$S$7:$AD$7,0))),0)+(J$4&lt;2)*('Sponsor Pro Forma'!$R$9="")*($D$45*'Sponsor Pro Forma'!$M$9)+(J$4=2)*($D$45*'Sponsor Pro Forma'!$N$9)+('Monthly Cash Flow'!J$4&gt;2)*('Monthly Cash Flow'!$D$45*'Sponsor Pro Forma'!$O$9)-J48</f>
        <v>13.200000000000001</v>
      </c>
      <c r="K49" s="1388" cm="1">
        <f t="array" ref="K49">(K$4&lt;2)*('Sponsor Pro Forma'!$R$9="Override")*IFERROR(($D$45*INDEX('Sponsor Pro Forma'!$S$9:$AD$9,,MATCH('Monthly Cash Flow'!K$5,'Sponsor Pro Forma'!$S$7:$AD$7,0))),0)+(K$4&lt;2)*('Sponsor Pro Forma'!$R$9="")*($D$45*'Sponsor Pro Forma'!$M$9)+(K$4=2)*($D$45*'Sponsor Pro Forma'!$N$9)+('Monthly Cash Flow'!K$4&gt;2)*('Monthly Cash Flow'!$D$45*'Sponsor Pro Forma'!$O$9)-K48</f>
        <v>13.200000000000001</v>
      </c>
      <c r="L49" s="1388" cm="1">
        <f t="array" ref="L49">(L$4&lt;2)*('Sponsor Pro Forma'!$R$9="Override")*IFERROR(($D$45*INDEX('Sponsor Pro Forma'!$S$9:$AD$9,,MATCH('Monthly Cash Flow'!L$5,'Sponsor Pro Forma'!$S$7:$AD$7,0))),0)+(L$4&lt;2)*('Sponsor Pro Forma'!$R$9="")*($D$45*'Sponsor Pro Forma'!$M$9)+(L$4=2)*($D$45*'Sponsor Pro Forma'!$N$9)+('Monthly Cash Flow'!L$4&gt;2)*('Monthly Cash Flow'!$D$45*'Sponsor Pro Forma'!$O$9)-L48</f>
        <v>13.200000000000001</v>
      </c>
      <c r="M49" s="1388" cm="1">
        <f t="array" ref="M49">(M$4&lt;2)*('Sponsor Pro Forma'!$R$9="Override")*IFERROR(($D$45*INDEX('Sponsor Pro Forma'!$S$9:$AD$9,,MATCH('Monthly Cash Flow'!M$5,'Sponsor Pro Forma'!$S$7:$AD$7,0))),0)+(M$4&lt;2)*('Sponsor Pro Forma'!$R$9="")*($D$45*'Sponsor Pro Forma'!$M$9)+(M$4=2)*($D$45*'Sponsor Pro Forma'!$N$9)+('Monthly Cash Flow'!M$4&gt;2)*('Monthly Cash Flow'!$D$45*'Sponsor Pro Forma'!$O$9)-M48</f>
        <v>13.200000000000001</v>
      </c>
      <c r="N49" s="1388" cm="1">
        <f t="array" ref="N49">(N$4&lt;2)*('Sponsor Pro Forma'!$R$9="Override")*IFERROR(($D$45*INDEX('Sponsor Pro Forma'!$S$9:$AD$9,,MATCH('Monthly Cash Flow'!N$5,'Sponsor Pro Forma'!$S$7:$AD$7,0))),0)+(N$4&lt;2)*('Sponsor Pro Forma'!$R$9="")*($D$45*'Sponsor Pro Forma'!$M$9)+(N$4=2)*($D$45*'Sponsor Pro Forma'!$N$9)+('Monthly Cash Flow'!N$4&gt;2)*('Monthly Cash Flow'!$D$45*'Sponsor Pro Forma'!$O$9)-N48</f>
        <v>13.200000000000001</v>
      </c>
      <c r="O49" s="1388" cm="1">
        <f t="array" ref="O49">(O$4&lt;2)*('Sponsor Pro Forma'!$R$9="Override")*IFERROR(($D$45*INDEX('Sponsor Pro Forma'!$S$9:$AD$9,,MATCH('Monthly Cash Flow'!O$5,'Sponsor Pro Forma'!$S$7:$AD$7,0))),0)+(O$4&lt;2)*('Sponsor Pro Forma'!$R$9="")*($D$45*'Sponsor Pro Forma'!$M$9)+(O$4=2)*($D$45*'Sponsor Pro Forma'!$N$9)+('Monthly Cash Flow'!O$4&gt;2)*('Monthly Cash Flow'!$D$45*'Sponsor Pro Forma'!$O$9)-O48</f>
        <v>13.200000000000001</v>
      </c>
      <c r="P49" s="1388" cm="1">
        <f t="array" ref="P49">(P$4&lt;2)*('Sponsor Pro Forma'!$R$9="Override")*IFERROR(($D$45*INDEX('Sponsor Pro Forma'!$S$9:$AD$9,,MATCH('Monthly Cash Flow'!P$5,'Sponsor Pro Forma'!$S$7:$AD$7,0))),0)+(P$4&lt;2)*('Sponsor Pro Forma'!$R$9="")*($D$45*'Sponsor Pro Forma'!$M$9)+(P$4=2)*($D$45*'Sponsor Pro Forma'!$N$9)+('Monthly Cash Flow'!P$4&gt;2)*('Monthly Cash Flow'!$D$45*'Sponsor Pro Forma'!$O$9)-P48</f>
        <v>13.200000000000001</v>
      </c>
      <c r="Q49" s="1388" cm="1">
        <f t="array" ref="Q49">(Q$4&lt;2)*('Sponsor Pro Forma'!$R$9="Override")*IFERROR(($D$45*INDEX('Sponsor Pro Forma'!$S$9:$AD$9,,MATCH('Monthly Cash Flow'!Q$5,'Sponsor Pro Forma'!$S$7:$AD$7,0))),0)+(Q$4&lt;2)*('Sponsor Pro Forma'!$R$9="")*($D$45*'Sponsor Pro Forma'!$M$9)+(Q$4=2)*($D$45*'Sponsor Pro Forma'!$N$9)+('Monthly Cash Flow'!Q$4&gt;2)*('Monthly Cash Flow'!$D$45*'Sponsor Pro Forma'!$O$9)-Q48</f>
        <v>13.200000000000001</v>
      </c>
      <c r="R49" s="1388" cm="1">
        <f t="array" ref="R49">(R$4&lt;2)*('Sponsor Pro Forma'!$R$9="Override")*IFERROR(($D$45*INDEX('Sponsor Pro Forma'!$S$9:$AD$9,,MATCH('Monthly Cash Flow'!R$5,'Sponsor Pro Forma'!$S$7:$AD$7,0))),0)+(R$4&lt;2)*('Sponsor Pro Forma'!$R$9="")*($D$45*'Sponsor Pro Forma'!$M$9)+(R$4=2)*($D$45*'Sponsor Pro Forma'!$N$9)+('Monthly Cash Flow'!R$4&gt;2)*('Monthly Cash Flow'!$D$45*'Sponsor Pro Forma'!$O$9)-R48</f>
        <v>13.200000000000001</v>
      </c>
      <c r="S49" s="1388" cm="1">
        <f t="array" ref="S49">(S$4&lt;2)*('Sponsor Pro Forma'!$R$9="Override")*IFERROR(($D$45*INDEX('Sponsor Pro Forma'!$S$9:$AD$9,,MATCH('Monthly Cash Flow'!S$5,'Sponsor Pro Forma'!$S$7:$AD$7,0))),0)+(S$4&lt;2)*('Sponsor Pro Forma'!$R$9="")*($D$45*'Sponsor Pro Forma'!$M$9)+(S$4=2)*($D$45*'Sponsor Pro Forma'!$N$9)+('Monthly Cash Flow'!S$4&gt;2)*('Monthly Cash Flow'!$D$45*'Sponsor Pro Forma'!$O$9)-S48</f>
        <v>13.200000000000001</v>
      </c>
      <c r="T49" s="1388" cm="1">
        <f t="array" ref="T49">(T$4&lt;2)*('Sponsor Pro Forma'!$R$9="Override")*IFERROR(($D$45*INDEX('Sponsor Pro Forma'!$S$9:$AD$9,,MATCH('Monthly Cash Flow'!T$5,'Sponsor Pro Forma'!$S$7:$AD$7,0))),0)+(T$4&lt;2)*('Sponsor Pro Forma'!$R$9="")*($D$45*'Sponsor Pro Forma'!$M$9)+(T$4=2)*($D$45*'Sponsor Pro Forma'!$N$9)+('Monthly Cash Flow'!T$4&gt;2)*('Monthly Cash Flow'!$D$45*'Sponsor Pro Forma'!$O$9)-T48</f>
        <v>13.200000000000001</v>
      </c>
      <c r="U49" s="1388" cm="1">
        <f t="array" ref="U49">(U$4&lt;2)*('Sponsor Pro Forma'!$R$9="Override")*IFERROR(($D$45*INDEX('Sponsor Pro Forma'!$S$9:$AD$9,,MATCH('Monthly Cash Flow'!U$5,'Sponsor Pro Forma'!$S$7:$AD$7,0))),0)+(U$4&lt;2)*('Sponsor Pro Forma'!$R$9="")*($D$45*'Sponsor Pro Forma'!$M$9)+(U$4=2)*($D$45*'Sponsor Pro Forma'!$N$9)+('Monthly Cash Flow'!U$4&gt;2)*('Monthly Cash Flow'!$D$45*'Sponsor Pro Forma'!$O$9)-U48</f>
        <v>13.200000000000001</v>
      </c>
      <c r="V49" s="1388" cm="1">
        <f t="array" ref="V49">(V$4&lt;2)*('Sponsor Pro Forma'!$R$9="Override")*IFERROR(($D$45*INDEX('Sponsor Pro Forma'!$S$9:$AD$9,,MATCH('Monthly Cash Flow'!V$5,'Sponsor Pro Forma'!$S$7:$AD$7,0))),0)+(V$4&lt;2)*('Sponsor Pro Forma'!$R$9="")*($D$45*'Sponsor Pro Forma'!$M$9)+(V$4=2)*($D$45*'Sponsor Pro Forma'!$N$9)+('Monthly Cash Flow'!V$4&gt;2)*('Monthly Cash Flow'!$D$45*'Sponsor Pro Forma'!$O$9)-V48</f>
        <v>13.200000000000001</v>
      </c>
      <c r="W49" s="1388" cm="1">
        <f t="array" ref="W49">(W$4&lt;2)*('Sponsor Pro Forma'!$R$9="Override")*IFERROR(($D$45*INDEX('Sponsor Pro Forma'!$S$9:$AD$9,,MATCH('Monthly Cash Flow'!W$5,'Sponsor Pro Forma'!$S$7:$AD$7,0))),0)+(W$4&lt;2)*('Sponsor Pro Forma'!$R$9="")*($D$45*'Sponsor Pro Forma'!$M$9)+(W$4=2)*($D$45*'Sponsor Pro Forma'!$N$9)+('Monthly Cash Flow'!W$4&gt;2)*('Monthly Cash Flow'!$D$45*'Sponsor Pro Forma'!$O$9)-W48</f>
        <v>13.200000000000001</v>
      </c>
      <c r="X49" s="1388" cm="1">
        <f t="array" ref="X49">(X$4&lt;2)*('Sponsor Pro Forma'!$R$9="Override")*IFERROR(($D$45*INDEX('Sponsor Pro Forma'!$S$9:$AD$9,,MATCH('Monthly Cash Flow'!X$5,'Sponsor Pro Forma'!$S$7:$AD$7,0))),0)+(X$4&lt;2)*('Sponsor Pro Forma'!$R$9="")*($D$45*'Sponsor Pro Forma'!$M$9)+(X$4=2)*($D$45*'Sponsor Pro Forma'!$N$9)+('Monthly Cash Flow'!X$4&gt;2)*('Monthly Cash Flow'!$D$45*'Sponsor Pro Forma'!$O$9)-X48</f>
        <v>13.200000000000001</v>
      </c>
      <c r="Y49" s="1388" cm="1">
        <f t="array" ref="Y49">(Y$4&lt;2)*('Sponsor Pro Forma'!$R$9="Override")*IFERROR(($D$45*INDEX('Sponsor Pro Forma'!$S$9:$AD$9,,MATCH('Monthly Cash Flow'!Y$5,'Sponsor Pro Forma'!$S$7:$AD$7,0))),0)+(Y$4&lt;2)*('Sponsor Pro Forma'!$R$9="")*($D$45*'Sponsor Pro Forma'!$M$9)+(Y$4=2)*($D$45*'Sponsor Pro Forma'!$N$9)+('Monthly Cash Flow'!Y$4&gt;2)*('Monthly Cash Flow'!$D$45*'Sponsor Pro Forma'!$O$9)-Y48</f>
        <v>13.200000000000001</v>
      </c>
      <c r="Z49" s="1388" cm="1">
        <f t="array" ref="Z49">(Z$4&lt;2)*('Sponsor Pro Forma'!$R$9="Override")*IFERROR(($D$45*INDEX('Sponsor Pro Forma'!$S$9:$AD$9,,MATCH('Monthly Cash Flow'!Z$5,'Sponsor Pro Forma'!$S$7:$AD$7,0))),0)+(Z$4&lt;2)*('Sponsor Pro Forma'!$R$9="")*($D$45*'Sponsor Pro Forma'!$M$9)+(Z$4=2)*($D$45*'Sponsor Pro Forma'!$N$9)+('Monthly Cash Flow'!Z$4&gt;2)*('Monthly Cash Flow'!$D$45*'Sponsor Pro Forma'!$O$9)-Z48</f>
        <v>13.200000000000001</v>
      </c>
      <c r="AA49" s="1388" cm="1">
        <f t="array" ref="AA49">(AA$4&lt;2)*('Sponsor Pro Forma'!$R$9="Override")*IFERROR(($D$45*INDEX('Sponsor Pro Forma'!$S$9:$AD$9,,MATCH('Monthly Cash Flow'!AA$5,'Sponsor Pro Forma'!$S$7:$AD$7,0))),0)+(AA$4&lt;2)*('Sponsor Pro Forma'!$R$9="")*($D$45*'Sponsor Pro Forma'!$M$9)+(AA$4=2)*($D$45*'Sponsor Pro Forma'!$N$9)+('Monthly Cash Flow'!AA$4&gt;2)*('Monthly Cash Flow'!$D$45*'Sponsor Pro Forma'!$O$9)-AA48</f>
        <v>13.200000000000001</v>
      </c>
      <c r="AB49" s="1388" cm="1">
        <f t="array" ref="AB49">(AB$4&lt;2)*('Sponsor Pro Forma'!$R$9="Override")*IFERROR(($D$45*INDEX('Sponsor Pro Forma'!$S$9:$AD$9,,MATCH('Monthly Cash Flow'!AB$5,'Sponsor Pro Forma'!$S$7:$AD$7,0))),0)+(AB$4&lt;2)*('Sponsor Pro Forma'!$R$9="")*($D$45*'Sponsor Pro Forma'!$M$9)+(AB$4=2)*($D$45*'Sponsor Pro Forma'!$N$9)+('Monthly Cash Flow'!AB$4&gt;2)*('Monthly Cash Flow'!$D$45*'Sponsor Pro Forma'!$O$9)-AB48</f>
        <v>13.200000000000001</v>
      </c>
      <c r="AC49" s="1388" cm="1">
        <f t="array" ref="AC49">(AC$4&lt;2)*('Sponsor Pro Forma'!$R$9="Override")*IFERROR(($D$45*INDEX('Sponsor Pro Forma'!$S$9:$AD$9,,MATCH('Monthly Cash Flow'!AC$5,'Sponsor Pro Forma'!$S$7:$AD$7,0))),0)+(AC$4&lt;2)*('Sponsor Pro Forma'!$R$9="")*($D$45*'Sponsor Pro Forma'!$M$9)+(AC$4=2)*($D$45*'Sponsor Pro Forma'!$N$9)+('Monthly Cash Flow'!AC$4&gt;2)*('Monthly Cash Flow'!$D$45*'Sponsor Pro Forma'!$O$9)-AC48</f>
        <v>13.200000000000001</v>
      </c>
      <c r="AD49" s="1388" cm="1">
        <f t="array" ref="AD49">(AD$4&lt;2)*('Sponsor Pro Forma'!$R$9="Override")*IFERROR(($D$45*INDEX('Sponsor Pro Forma'!$S$9:$AD$9,,MATCH('Monthly Cash Flow'!AD$5,'Sponsor Pro Forma'!$S$7:$AD$7,0))),0)+(AD$4&lt;2)*('Sponsor Pro Forma'!$R$9="")*($D$45*'Sponsor Pro Forma'!$M$9)+(AD$4=2)*($D$45*'Sponsor Pro Forma'!$N$9)+('Monthly Cash Flow'!AD$4&gt;2)*('Monthly Cash Flow'!$D$45*'Sponsor Pro Forma'!$O$9)-AD48</f>
        <v>13.200000000000001</v>
      </c>
      <c r="AE49" s="1388" cm="1">
        <f t="array" ref="AE49">(AE$4&lt;2)*('Sponsor Pro Forma'!$R$9="Override")*IFERROR(($D$45*INDEX('Sponsor Pro Forma'!$S$9:$AD$9,,MATCH('Monthly Cash Flow'!AE$5,'Sponsor Pro Forma'!$S$7:$AD$7,0))),0)+(AE$4&lt;2)*('Sponsor Pro Forma'!$R$9="")*($D$45*'Sponsor Pro Forma'!$M$9)+(AE$4=2)*($D$45*'Sponsor Pro Forma'!$N$9)+('Monthly Cash Flow'!AE$4&gt;2)*('Monthly Cash Flow'!$D$45*'Sponsor Pro Forma'!$O$9)-AE48</f>
        <v>13.200000000000001</v>
      </c>
      <c r="AF49" s="1388" cm="1">
        <f t="array" ref="AF49">(AF$4&lt;2)*('Sponsor Pro Forma'!$R$9="Override")*IFERROR(($D$45*INDEX('Sponsor Pro Forma'!$S$9:$AD$9,,MATCH('Monthly Cash Flow'!AF$5,'Sponsor Pro Forma'!$S$7:$AD$7,0))),0)+(AF$4&lt;2)*('Sponsor Pro Forma'!$R$9="")*($D$45*'Sponsor Pro Forma'!$M$9)+(AF$4=2)*($D$45*'Sponsor Pro Forma'!$N$9)+('Monthly Cash Flow'!AF$4&gt;2)*('Monthly Cash Flow'!$D$45*'Sponsor Pro Forma'!$O$9)-AF48</f>
        <v>13.200000000000001</v>
      </c>
      <c r="AG49" s="1388" cm="1">
        <f t="array" ref="AG49">(AG$4&lt;2)*('Sponsor Pro Forma'!$R$9="Override")*IFERROR(($D$45*INDEX('Sponsor Pro Forma'!$S$9:$AD$9,,MATCH('Monthly Cash Flow'!AG$5,'Sponsor Pro Forma'!$S$7:$AD$7,0))),0)+(AG$4&lt;2)*('Sponsor Pro Forma'!$R$9="")*($D$45*'Sponsor Pro Forma'!$M$9)+(AG$4=2)*($D$45*'Sponsor Pro Forma'!$N$9)+('Monthly Cash Flow'!AG$4&gt;2)*('Monthly Cash Flow'!$D$45*'Sponsor Pro Forma'!$O$9)-AG48</f>
        <v>13.200000000000001</v>
      </c>
      <c r="AH49" s="1388" cm="1">
        <f t="array" ref="AH49">(AH$4&lt;2)*('Sponsor Pro Forma'!$R$9="Override")*IFERROR(($D$45*INDEX('Sponsor Pro Forma'!$S$9:$AD$9,,MATCH('Monthly Cash Flow'!AH$5,'Sponsor Pro Forma'!$S$7:$AD$7,0))),0)+(AH$4&lt;2)*('Sponsor Pro Forma'!$R$9="")*($D$45*'Sponsor Pro Forma'!$M$9)+(AH$4=2)*($D$45*'Sponsor Pro Forma'!$N$9)+('Monthly Cash Flow'!AH$4&gt;2)*('Monthly Cash Flow'!$D$45*'Sponsor Pro Forma'!$O$9)-AH48</f>
        <v>13.200000000000001</v>
      </c>
      <c r="AI49" s="1388" cm="1">
        <f t="array" ref="AI49">(AI$4&lt;2)*('Sponsor Pro Forma'!$R$9="Override")*IFERROR(($D$45*INDEX('Sponsor Pro Forma'!$S$9:$AD$9,,MATCH('Monthly Cash Flow'!AI$5,'Sponsor Pro Forma'!$S$7:$AD$7,0))),0)+(AI$4&lt;2)*('Sponsor Pro Forma'!$R$9="")*($D$45*'Sponsor Pro Forma'!$M$9)+(AI$4=2)*($D$45*'Sponsor Pro Forma'!$N$9)+('Monthly Cash Flow'!AI$4&gt;2)*('Monthly Cash Flow'!$D$45*'Sponsor Pro Forma'!$O$9)-AI48</f>
        <v>13.200000000000001</v>
      </c>
      <c r="AJ49" s="1388" cm="1">
        <f t="array" ref="AJ49">(AJ$4&lt;2)*('Sponsor Pro Forma'!$R$9="Override")*IFERROR(($D$45*INDEX('Sponsor Pro Forma'!$S$9:$AD$9,,MATCH('Monthly Cash Flow'!AJ$5,'Sponsor Pro Forma'!$S$7:$AD$7,0))),0)+(AJ$4&lt;2)*('Sponsor Pro Forma'!$R$9="")*($D$45*'Sponsor Pro Forma'!$M$9)+(AJ$4=2)*($D$45*'Sponsor Pro Forma'!$N$9)+('Monthly Cash Flow'!AJ$4&gt;2)*('Monthly Cash Flow'!$D$45*'Sponsor Pro Forma'!$O$9)-AJ48</f>
        <v>13.200000000000001</v>
      </c>
      <c r="AK49" s="1388" cm="1">
        <f t="array" ref="AK49">(AK$4&lt;2)*('Sponsor Pro Forma'!$R$9="Override")*IFERROR(($D$45*INDEX('Sponsor Pro Forma'!$S$9:$AD$9,,MATCH('Monthly Cash Flow'!AK$5,'Sponsor Pro Forma'!$S$7:$AD$7,0))),0)+(AK$4&lt;2)*('Sponsor Pro Forma'!$R$9="")*($D$45*'Sponsor Pro Forma'!$M$9)+(AK$4=2)*($D$45*'Sponsor Pro Forma'!$N$9)+('Monthly Cash Flow'!AK$4&gt;2)*('Monthly Cash Flow'!$D$45*'Sponsor Pro Forma'!$O$9)-AK48</f>
        <v>13.200000000000001</v>
      </c>
      <c r="AL49" s="1388" cm="1">
        <f t="array" ref="AL49">(AL$4&lt;2)*('Sponsor Pro Forma'!$R$9="Override")*IFERROR(($D$45*INDEX('Sponsor Pro Forma'!$S$9:$AD$9,,MATCH('Monthly Cash Flow'!AL$5,'Sponsor Pro Forma'!$S$7:$AD$7,0))),0)+(AL$4&lt;2)*('Sponsor Pro Forma'!$R$9="")*($D$45*'Sponsor Pro Forma'!$M$9)+(AL$4=2)*($D$45*'Sponsor Pro Forma'!$N$9)+('Monthly Cash Flow'!AL$4&gt;2)*('Monthly Cash Flow'!$D$45*'Sponsor Pro Forma'!$O$9)-AL48</f>
        <v>13.200000000000001</v>
      </c>
      <c r="AM49" s="1388" cm="1">
        <f t="array" ref="AM49">(AM$4&lt;2)*('Sponsor Pro Forma'!$R$9="Override")*IFERROR(($D$45*INDEX('Sponsor Pro Forma'!$S$9:$AD$9,,MATCH('Monthly Cash Flow'!AM$5,'Sponsor Pro Forma'!$S$7:$AD$7,0))),0)+(AM$4&lt;2)*('Sponsor Pro Forma'!$R$9="")*($D$45*'Sponsor Pro Forma'!$M$9)+(AM$4=2)*($D$45*'Sponsor Pro Forma'!$N$9)+('Monthly Cash Flow'!AM$4&gt;2)*('Monthly Cash Flow'!$D$45*'Sponsor Pro Forma'!$O$9)-AM48</f>
        <v>13.200000000000001</v>
      </c>
      <c r="AN49" s="1388" cm="1">
        <f t="array" ref="AN49">(AN$4&lt;2)*('Sponsor Pro Forma'!$R$9="Override")*IFERROR(($D$45*INDEX('Sponsor Pro Forma'!$S$9:$AD$9,,MATCH('Monthly Cash Flow'!AN$5,'Sponsor Pro Forma'!$S$7:$AD$7,0))),0)+(AN$4&lt;2)*('Sponsor Pro Forma'!$R$9="")*($D$45*'Sponsor Pro Forma'!$M$9)+(AN$4=2)*($D$45*'Sponsor Pro Forma'!$N$9)+('Monthly Cash Flow'!AN$4&gt;2)*('Monthly Cash Flow'!$D$45*'Sponsor Pro Forma'!$O$9)-AN48</f>
        <v>13.200000000000001</v>
      </c>
      <c r="AO49" s="1388" cm="1">
        <f t="array" ref="AO49">(AO$4&lt;2)*('Sponsor Pro Forma'!$R$9="Override")*IFERROR(($D$45*INDEX('Sponsor Pro Forma'!$S$9:$AD$9,,MATCH('Monthly Cash Flow'!AO$5,'Sponsor Pro Forma'!$S$7:$AD$7,0))),0)+(AO$4&lt;2)*('Sponsor Pro Forma'!$R$9="")*($D$45*'Sponsor Pro Forma'!$M$9)+(AO$4=2)*($D$45*'Sponsor Pro Forma'!$N$9)+('Monthly Cash Flow'!AO$4&gt;2)*('Monthly Cash Flow'!$D$45*'Sponsor Pro Forma'!$O$9)-AO48</f>
        <v>13.200000000000001</v>
      </c>
      <c r="AP49" s="1388" cm="1">
        <f t="array" ref="AP49">(AP$4&lt;2)*('Sponsor Pro Forma'!$R$9="Override")*IFERROR(($D$45*INDEX('Sponsor Pro Forma'!$S$9:$AD$9,,MATCH('Monthly Cash Flow'!AP$5,'Sponsor Pro Forma'!$S$7:$AD$7,0))),0)+(AP$4&lt;2)*('Sponsor Pro Forma'!$R$9="")*($D$45*'Sponsor Pro Forma'!$M$9)+(AP$4=2)*($D$45*'Sponsor Pro Forma'!$N$9)+('Monthly Cash Flow'!AP$4&gt;2)*('Monthly Cash Flow'!$D$45*'Sponsor Pro Forma'!$O$9)-AP48</f>
        <v>13.200000000000001</v>
      </c>
      <c r="AQ49" s="1388" cm="1">
        <f t="array" ref="AQ49">(AQ$4&lt;2)*('Sponsor Pro Forma'!$R$9="Override")*IFERROR(($D$45*INDEX('Sponsor Pro Forma'!$S$9:$AD$9,,MATCH('Monthly Cash Flow'!AQ$5,'Sponsor Pro Forma'!$S$7:$AD$7,0))),0)+(AQ$4&lt;2)*('Sponsor Pro Forma'!$R$9="")*($D$45*'Sponsor Pro Forma'!$M$9)+(AQ$4=2)*($D$45*'Sponsor Pro Forma'!$N$9)+('Monthly Cash Flow'!AQ$4&gt;2)*('Monthly Cash Flow'!$D$45*'Sponsor Pro Forma'!$O$9)-AQ48</f>
        <v>13.200000000000001</v>
      </c>
      <c r="AR49" s="1388" cm="1">
        <f t="array" ref="AR49">(AR$4&lt;2)*('Sponsor Pro Forma'!$R$9="Override")*IFERROR(($D$45*INDEX('Sponsor Pro Forma'!$S$9:$AD$9,,MATCH('Monthly Cash Flow'!AR$5,'Sponsor Pro Forma'!$S$7:$AD$7,0))),0)+(AR$4&lt;2)*('Sponsor Pro Forma'!$R$9="")*($D$45*'Sponsor Pro Forma'!$M$9)+(AR$4=2)*($D$45*'Sponsor Pro Forma'!$N$9)+('Monthly Cash Flow'!AR$4&gt;2)*('Monthly Cash Flow'!$D$45*'Sponsor Pro Forma'!$O$9)-AR48</f>
        <v>13.200000000000001</v>
      </c>
      <c r="AS49" s="1388" cm="1">
        <f t="array" ref="AS49">(AS$4&lt;2)*('Sponsor Pro Forma'!$R$9="Override")*IFERROR(($D$45*INDEX('Sponsor Pro Forma'!$S$9:$AD$9,,MATCH('Monthly Cash Flow'!AS$5,'Sponsor Pro Forma'!$S$7:$AD$7,0))),0)+(AS$4&lt;2)*('Sponsor Pro Forma'!$R$9="")*($D$45*'Sponsor Pro Forma'!$M$9)+(AS$4=2)*($D$45*'Sponsor Pro Forma'!$N$9)+('Monthly Cash Flow'!AS$4&gt;2)*('Monthly Cash Flow'!$D$45*'Sponsor Pro Forma'!$O$9)-AS48</f>
        <v>13.200000000000001</v>
      </c>
      <c r="AT49" s="1388" cm="1">
        <f t="array" ref="AT49">(AT$4&lt;2)*('Sponsor Pro Forma'!$R$9="Override")*IFERROR(($D$45*INDEX('Sponsor Pro Forma'!$S$9:$AD$9,,MATCH('Monthly Cash Flow'!AT$5,'Sponsor Pro Forma'!$S$7:$AD$7,0))),0)+(AT$4&lt;2)*('Sponsor Pro Forma'!$R$9="")*($D$45*'Sponsor Pro Forma'!$M$9)+(AT$4=2)*($D$45*'Sponsor Pro Forma'!$N$9)+('Monthly Cash Flow'!AT$4&gt;2)*('Monthly Cash Flow'!$D$45*'Sponsor Pro Forma'!$O$9)-AT48</f>
        <v>13.200000000000001</v>
      </c>
      <c r="AU49" s="1388" cm="1">
        <f t="array" ref="AU49">(AU$4&lt;2)*('Sponsor Pro Forma'!$R$9="Override")*IFERROR(($D$45*INDEX('Sponsor Pro Forma'!$S$9:$AD$9,,MATCH('Monthly Cash Flow'!AU$5,'Sponsor Pro Forma'!$S$7:$AD$7,0))),0)+(AU$4&lt;2)*('Sponsor Pro Forma'!$R$9="")*($D$45*'Sponsor Pro Forma'!$M$9)+(AU$4=2)*($D$45*'Sponsor Pro Forma'!$N$9)+('Monthly Cash Flow'!AU$4&gt;2)*('Monthly Cash Flow'!$D$45*'Sponsor Pro Forma'!$O$9)-AU48</f>
        <v>13.200000000000001</v>
      </c>
      <c r="AV49" s="1388" cm="1">
        <f t="array" ref="AV49">(AV$4&lt;2)*('Sponsor Pro Forma'!$R$9="Override")*IFERROR(($D$45*INDEX('Sponsor Pro Forma'!$S$9:$AD$9,,MATCH('Monthly Cash Flow'!AV$5,'Sponsor Pro Forma'!$S$7:$AD$7,0))),0)+(AV$4&lt;2)*('Sponsor Pro Forma'!$R$9="")*($D$45*'Sponsor Pro Forma'!$M$9)+(AV$4=2)*($D$45*'Sponsor Pro Forma'!$N$9)+('Monthly Cash Flow'!AV$4&gt;2)*('Monthly Cash Flow'!$D$45*'Sponsor Pro Forma'!$O$9)-AV48</f>
        <v>13.200000000000001</v>
      </c>
      <c r="AW49" s="1388" cm="1">
        <f t="array" ref="AW49">(AW$4&lt;2)*('Sponsor Pro Forma'!$R$9="Override")*IFERROR(($D$45*INDEX('Sponsor Pro Forma'!$S$9:$AD$9,,MATCH('Monthly Cash Flow'!AW$5,'Sponsor Pro Forma'!$S$7:$AD$7,0))),0)+(AW$4&lt;2)*('Sponsor Pro Forma'!$R$9="")*($D$45*'Sponsor Pro Forma'!$M$9)+(AW$4=2)*($D$45*'Sponsor Pro Forma'!$N$9)+('Monthly Cash Flow'!AW$4&gt;2)*('Monthly Cash Flow'!$D$45*'Sponsor Pro Forma'!$O$9)-AW48</f>
        <v>13.200000000000001</v>
      </c>
      <c r="AX49" s="1388" cm="1">
        <f t="array" ref="AX49">(AX$4&lt;2)*('Sponsor Pro Forma'!$R$9="Override")*IFERROR(($D$45*INDEX('Sponsor Pro Forma'!$S$9:$AD$9,,MATCH('Monthly Cash Flow'!AX$5,'Sponsor Pro Forma'!$S$7:$AD$7,0))),0)+(AX$4&lt;2)*('Sponsor Pro Forma'!$R$9="")*($D$45*'Sponsor Pro Forma'!$M$9)+(AX$4=2)*($D$45*'Sponsor Pro Forma'!$N$9)+('Monthly Cash Flow'!AX$4&gt;2)*('Monthly Cash Flow'!$D$45*'Sponsor Pro Forma'!$O$9)-AX48</f>
        <v>13.200000000000001</v>
      </c>
      <c r="AY49" s="1388" cm="1">
        <f t="array" ref="AY49">(AY$4&lt;2)*('Sponsor Pro Forma'!$R$9="Override")*IFERROR(($D$45*INDEX('Sponsor Pro Forma'!$S$9:$AD$9,,MATCH('Monthly Cash Flow'!AY$5,'Sponsor Pro Forma'!$S$7:$AD$7,0))),0)+(AY$4&lt;2)*('Sponsor Pro Forma'!$R$9="")*($D$45*'Sponsor Pro Forma'!$M$9)+(AY$4=2)*($D$45*'Sponsor Pro Forma'!$N$9)+('Monthly Cash Flow'!AY$4&gt;2)*('Monthly Cash Flow'!$D$45*'Sponsor Pro Forma'!$O$9)-AY48</f>
        <v>13.200000000000001</v>
      </c>
      <c r="AZ49" s="1388" cm="1">
        <f t="array" ref="AZ49">(AZ$4&lt;2)*('Sponsor Pro Forma'!$R$9="Override")*IFERROR(($D$45*INDEX('Sponsor Pro Forma'!$S$9:$AD$9,,MATCH('Monthly Cash Flow'!AZ$5,'Sponsor Pro Forma'!$S$7:$AD$7,0))),0)+(AZ$4&lt;2)*('Sponsor Pro Forma'!$R$9="")*($D$45*'Sponsor Pro Forma'!$M$9)+(AZ$4=2)*($D$45*'Sponsor Pro Forma'!$N$9)+('Monthly Cash Flow'!AZ$4&gt;2)*('Monthly Cash Flow'!$D$45*'Sponsor Pro Forma'!$O$9)-AZ48</f>
        <v>13.200000000000001</v>
      </c>
      <c r="BA49" s="1388" cm="1">
        <f t="array" ref="BA49">(BA$4&lt;2)*('Sponsor Pro Forma'!$R$9="Override")*IFERROR(($D$45*INDEX('Sponsor Pro Forma'!$S$9:$AD$9,,MATCH('Monthly Cash Flow'!BA$5,'Sponsor Pro Forma'!$S$7:$AD$7,0))),0)+(BA$4&lt;2)*('Sponsor Pro Forma'!$R$9="")*($D$45*'Sponsor Pro Forma'!$M$9)+(BA$4=2)*($D$45*'Sponsor Pro Forma'!$N$9)+('Monthly Cash Flow'!BA$4&gt;2)*('Monthly Cash Flow'!$D$45*'Sponsor Pro Forma'!$O$9)-BA48</f>
        <v>13.200000000000001</v>
      </c>
      <c r="BB49" s="1388" cm="1">
        <f t="array" ref="BB49">(BB$4&lt;2)*('Sponsor Pro Forma'!$R$9="Override")*IFERROR(($D$45*INDEX('Sponsor Pro Forma'!$S$9:$AD$9,,MATCH('Monthly Cash Flow'!BB$5,'Sponsor Pro Forma'!$S$7:$AD$7,0))),0)+(BB$4&lt;2)*('Sponsor Pro Forma'!$R$9="")*($D$45*'Sponsor Pro Forma'!$M$9)+(BB$4=2)*($D$45*'Sponsor Pro Forma'!$N$9)+('Monthly Cash Flow'!BB$4&gt;2)*('Monthly Cash Flow'!$D$45*'Sponsor Pro Forma'!$O$9)-BB48</f>
        <v>13.200000000000001</v>
      </c>
      <c r="BC49" s="1388" cm="1">
        <f t="array" ref="BC49">(BC$4&lt;2)*('Sponsor Pro Forma'!$R$9="Override")*IFERROR(($D$45*INDEX('Sponsor Pro Forma'!$S$9:$AD$9,,MATCH('Monthly Cash Flow'!BC$5,'Sponsor Pro Forma'!$S$7:$AD$7,0))),0)+(BC$4&lt;2)*('Sponsor Pro Forma'!$R$9="")*($D$45*'Sponsor Pro Forma'!$M$9)+(BC$4=2)*($D$45*'Sponsor Pro Forma'!$N$9)+('Monthly Cash Flow'!BC$4&gt;2)*('Monthly Cash Flow'!$D$45*'Sponsor Pro Forma'!$O$9)-BC48</f>
        <v>13.200000000000001</v>
      </c>
      <c r="BD49" s="1388" cm="1">
        <f t="array" ref="BD49">(BD$4&lt;2)*('Sponsor Pro Forma'!$R$9="Override")*IFERROR(($D$45*INDEX('Sponsor Pro Forma'!$S$9:$AD$9,,MATCH('Monthly Cash Flow'!BD$5,'Sponsor Pro Forma'!$S$7:$AD$7,0))),0)+(BD$4&lt;2)*('Sponsor Pro Forma'!$R$9="")*($D$45*'Sponsor Pro Forma'!$M$9)+(BD$4=2)*($D$45*'Sponsor Pro Forma'!$N$9)+('Monthly Cash Flow'!BD$4&gt;2)*('Monthly Cash Flow'!$D$45*'Sponsor Pro Forma'!$O$9)-BD48</f>
        <v>13.200000000000001</v>
      </c>
      <c r="BE49" s="1388" cm="1">
        <f t="array" ref="BE49">(BE$4&lt;2)*('Sponsor Pro Forma'!$R$9="Override")*IFERROR(($D$45*INDEX('Sponsor Pro Forma'!$S$9:$AD$9,,MATCH('Monthly Cash Flow'!BE$5,'Sponsor Pro Forma'!$S$7:$AD$7,0))),0)+(BE$4&lt;2)*('Sponsor Pro Forma'!$R$9="")*($D$45*'Sponsor Pro Forma'!$M$9)+(BE$4=2)*($D$45*'Sponsor Pro Forma'!$N$9)+('Monthly Cash Flow'!BE$4&gt;2)*('Monthly Cash Flow'!$D$45*'Sponsor Pro Forma'!$O$9)-BE48</f>
        <v>13.200000000000001</v>
      </c>
      <c r="BF49" s="1388" cm="1">
        <f t="array" ref="BF49">(BF$4&lt;2)*('Sponsor Pro Forma'!$R$9="Override")*IFERROR(($D$45*INDEX('Sponsor Pro Forma'!$S$9:$AD$9,,MATCH('Monthly Cash Flow'!BF$5,'Sponsor Pro Forma'!$S$7:$AD$7,0))),0)+(BF$4&lt;2)*('Sponsor Pro Forma'!$R$9="")*($D$45*'Sponsor Pro Forma'!$M$9)+(BF$4=2)*($D$45*'Sponsor Pro Forma'!$N$9)+('Monthly Cash Flow'!BF$4&gt;2)*('Monthly Cash Flow'!$D$45*'Sponsor Pro Forma'!$O$9)-BF48</f>
        <v>13.200000000000001</v>
      </c>
      <c r="BG49" s="1388" cm="1">
        <f t="array" ref="BG49">(BG$4&lt;2)*('Sponsor Pro Forma'!$R$9="Override")*IFERROR(($D$45*INDEX('Sponsor Pro Forma'!$S$9:$AD$9,,MATCH('Monthly Cash Flow'!BG$5,'Sponsor Pro Forma'!$S$7:$AD$7,0))),0)+(BG$4&lt;2)*('Sponsor Pro Forma'!$R$9="")*($D$45*'Sponsor Pro Forma'!$M$9)+(BG$4=2)*($D$45*'Sponsor Pro Forma'!$N$9)+('Monthly Cash Flow'!BG$4&gt;2)*('Monthly Cash Flow'!$D$45*'Sponsor Pro Forma'!$O$9)-BG48</f>
        <v>13.200000000000001</v>
      </c>
      <c r="BH49" s="1388" cm="1">
        <f t="array" ref="BH49">(BH$4&lt;2)*('Sponsor Pro Forma'!$R$9="Override")*IFERROR(($D$45*INDEX('Sponsor Pro Forma'!$S$9:$AD$9,,MATCH('Monthly Cash Flow'!BH$5,'Sponsor Pro Forma'!$S$7:$AD$7,0))),0)+(BH$4&lt;2)*('Sponsor Pro Forma'!$R$9="")*($D$45*'Sponsor Pro Forma'!$M$9)+(BH$4=2)*($D$45*'Sponsor Pro Forma'!$N$9)+('Monthly Cash Flow'!BH$4&gt;2)*('Monthly Cash Flow'!$D$45*'Sponsor Pro Forma'!$O$9)-BH48</f>
        <v>13.200000000000001</v>
      </c>
      <c r="BI49" s="1388" cm="1">
        <f t="array" ref="BI49">(BI$4&lt;2)*('Sponsor Pro Forma'!$R$9="Override")*IFERROR(($D$45*INDEX('Sponsor Pro Forma'!$S$9:$AD$9,,MATCH('Monthly Cash Flow'!BI$5,'Sponsor Pro Forma'!$S$7:$AD$7,0))),0)+(BI$4&lt;2)*('Sponsor Pro Forma'!$R$9="")*($D$45*'Sponsor Pro Forma'!$M$9)+(BI$4=2)*($D$45*'Sponsor Pro Forma'!$N$9)+('Monthly Cash Flow'!BI$4&gt;2)*('Monthly Cash Flow'!$D$45*'Sponsor Pro Forma'!$O$9)-BI48</f>
        <v>13.200000000000001</v>
      </c>
      <c r="BJ49" s="1388" cm="1">
        <f t="array" ref="BJ49">(BJ$4&lt;2)*('Sponsor Pro Forma'!$R$9="Override")*IFERROR(($D$45*INDEX('Sponsor Pro Forma'!$S$9:$AD$9,,MATCH('Monthly Cash Flow'!BJ$5,'Sponsor Pro Forma'!$S$7:$AD$7,0))),0)+(BJ$4&lt;2)*('Sponsor Pro Forma'!$R$9="")*($D$45*'Sponsor Pro Forma'!$M$9)+(BJ$4=2)*($D$45*'Sponsor Pro Forma'!$N$9)+('Monthly Cash Flow'!BJ$4&gt;2)*('Monthly Cash Flow'!$D$45*'Sponsor Pro Forma'!$O$9)-BJ48</f>
        <v>13.200000000000001</v>
      </c>
      <c r="BK49" s="1388" cm="1">
        <f t="array" ref="BK49">(BK$4&lt;2)*('Sponsor Pro Forma'!$R$9="Override")*IFERROR(($D$45*INDEX('Sponsor Pro Forma'!$S$9:$AD$9,,MATCH('Monthly Cash Flow'!BK$5,'Sponsor Pro Forma'!$S$7:$AD$7,0))),0)+(BK$4&lt;2)*('Sponsor Pro Forma'!$R$9="")*($D$45*'Sponsor Pro Forma'!$M$9)+(BK$4=2)*($D$45*'Sponsor Pro Forma'!$N$9)+('Monthly Cash Flow'!BK$4&gt;2)*('Monthly Cash Flow'!$D$45*'Sponsor Pro Forma'!$O$9)-BK48</f>
        <v>13.200000000000001</v>
      </c>
      <c r="BL49" s="1388" cm="1">
        <f t="array" ref="BL49">(BL$4&lt;2)*('Sponsor Pro Forma'!$R$9="Override")*IFERROR(($D$45*INDEX('Sponsor Pro Forma'!$S$9:$AD$9,,MATCH('Monthly Cash Flow'!BL$5,'Sponsor Pro Forma'!$S$7:$AD$7,0))),0)+(BL$4&lt;2)*('Sponsor Pro Forma'!$R$9="")*($D$45*'Sponsor Pro Forma'!$M$9)+(BL$4=2)*($D$45*'Sponsor Pro Forma'!$N$9)+('Monthly Cash Flow'!BL$4&gt;2)*('Monthly Cash Flow'!$D$45*'Sponsor Pro Forma'!$O$9)-BL48</f>
        <v>13.200000000000001</v>
      </c>
      <c r="BM49" s="1388" cm="1">
        <f t="array" ref="BM49">(BM$4&lt;2)*('Sponsor Pro Forma'!$R$9="Override")*IFERROR(($D$45*INDEX('Sponsor Pro Forma'!$S$9:$AD$9,,MATCH('Monthly Cash Flow'!BM$5,'Sponsor Pro Forma'!$S$7:$AD$7,0))),0)+(BM$4&lt;2)*('Sponsor Pro Forma'!$R$9="")*($D$45*'Sponsor Pro Forma'!$M$9)+(BM$4=2)*($D$45*'Sponsor Pro Forma'!$N$9)+('Monthly Cash Flow'!BM$4&gt;2)*('Monthly Cash Flow'!$D$45*'Sponsor Pro Forma'!$O$9)-BM48</f>
        <v>13.200000000000001</v>
      </c>
      <c r="BN49" s="1388" cm="1">
        <f t="array" ref="BN49">(BN$4&lt;2)*('Sponsor Pro Forma'!$R$9="Override")*IFERROR(($D$45*INDEX('Sponsor Pro Forma'!$S$9:$AD$9,,MATCH('Monthly Cash Flow'!BN$5,'Sponsor Pro Forma'!$S$7:$AD$7,0))),0)+(BN$4&lt;2)*('Sponsor Pro Forma'!$R$9="")*($D$45*'Sponsor Pro Forma'!$M$9)+(BN$4=2)*($D$45*'Sponsor Pro Forma'!$N$9)+('Monthly Cash Flow'!BN$4&gt;2)*('Monthly Cash Flow'!$D$45*'Sponsor Pro Forma'!$O$9)-BN48</f>
        <v>13.200000000000001</v>
      </c>
      <c r="BO49" s="1388" cm="1">
        <f t="array" ref="BO49">(BO$4&lt;2)*('Sponsor Pro Forma'!$R$9="Override")*IFERROR(($D$45*INDEX('Sponsor Pro Forma'!$S$9:$AD$9,,MATCH('Monthly Cash Flow'!BO$5,'Sponsor Pro Forma'!$S$7:$AD$7,0))),0)+(BO$4&lt;2)*('Sponsor Pro Forma'!$R$9="")*($D$45*'Sponsor Pro Forma'!$M$9)+(BO$4=2)*($D$45*'Sponsor Pro Forma'!$N$9)+('Monthly Cash Flow'!BO$4&gt;2)*('Monthly Cash Flow'!$D$45*'Sponsor Pro Forma'!$O$9)-BO48</f>
        <v>13.200000000000001</v>
      </c>
      <c r="BP49" s="1388" cm="1">
        <f t="array" ref="BP49">(BP$4&lt;2)*('Sponsor Pro Forma'!$R$9="Override")*IFERROR(($D$45*INDEX('Sponsor Pro Forma'!$S$9:$AD$9,,MATCH('Monthly Cash Flow'!BP$5,'Sponsor Pro Forma'!$S$7:$AD$7,0))),0)+(BP$4&lt;2)*('Sponsor Pro Forma'!$R$9="")*($D$45*'Sponsor Pro Forma'!$M$9)+(BP$4=2)*($D$45*'Sponsor Pro Forma'!$N$9)+('Monthly Cash Flow'!BP$4&gt;2)*('Monthly Cash Flow'!$D$45*'Sponsor Pro Forma'!$O$9)-BP48</f>
        <v>13.200000000000001</v>
      </c>
      <c r="BQ49" s="1388" cm="1">
        <f t="array" ref="BQ49">(BQ$4&lt;2)*('Sponsor Pro Forma'!$R$9="Override")*IFERROR(($D$45*INDEX('Sponsor Pro Forma'!$S$9:$AD$9,,MATCH('Monthly Cash Flow'!BQ$5,'Sponsor Pro Forma'!$S$7:$AD$7,0))),0)+(BQ$4&lt;2)*('Sponsor Pro Forma'!$R$9="")*($D$45*'Sponsor Pro Forma'!$M$9)+(BQ$4=2)*($D$45*'Sponsor Pro Forma'!$N$9)+('Monthly Cash Flow'!BQ$4&gt;2)*('Monthly Cash Flow'!$D$45*'Sponsor Pro Forma'!$O$9)-BQ48</f>
        <v>13.200000000000001</v>
      </c>
      <c r="BR49" s="1388" cm="1">
        <f t="array" ref="BR49">(BR$4&lt;2)*('Sponsor Pro Forma'!$R$9="Override")*IFERROR(($D$45*INDEX('Sponsor Pro Forma'!$S$9:$AD$9,,MATCH('Monthly Cash Flow'!BR$5,'Sponsor Pro Forma'!$S$7:$AD$7,0))),0)+(BR$4&lt;2)*('Sponsor Pro Forma'!$R$9="")*($D$45*'Sponsor Pro Forma'!$M$9)+(BR$4=2)*($D$45*'Sponsor Pro Forma'!$N$9)+('Monthly Cash Flow'!BR$4&gt;2)*('Monthly Cash Flow'!$D$45*'Sponsor Pro Forma'!$O$9)-BR48</f>
        <v>13.200000000000001</v>
      </c>
      <c r="BS49" s="1388" cm="1">
        <f t="array" ref="BS49">(BS$4&lt;2)*('Sponsor Pro Forma'!$R$9="Override")*IFERROR(($D$45*INDEX('Sponsor Pro Forma'!$S$9:$AD$9,,MATCH('Monthly Cash Flow'!BS$5,'Sponsor Pro Forma'!$S$7:$AD$7,0))),0)+(BS$4&lt;2)*('Sponsor Pro Forma'!$R$9="")*($D$45*'Sponsor Pro Forma'!$M$9)+(BS$4=2)*($D$45*'Sponsor Pro Forma'!$N$9)+('Monthly Cash Flow'!BS$4&gt;2)*('Monthly Cash Flow'!$D$45*'Sponsor Pro Forma'!$O$9)-BS48</f>
        <v>13.200000000000001</v>
      </c>
      <c r="BT49" s="1388" cm="1">
        <f t="array" ref="BT49">(BT$4&lt;2)*('Sponsor Pro Forma'!$R$9="Override")*IFERROR(($D$45*INDEX('Sponsor Pro Forma'!$S$9:$AD$9,,MATCH('Monthly Cash Flow'!BT$5,'Sponsor Pro Forma'!$S$7:$AD$7,0))),0)+(BT$4&lt;2)*('Sponsor Pro Forma'!$R$9="")*($D$45*'Sponsor Pro Forma'!$M$9)+(BT$4=2)*($D$45*'Sponsor Pro Forma'!$N$9)+('Monthly Cash Flow'!BT$4&gt;2)*('Monthly Cash Flow'!$D$45*'Sponsor Pro Forma'!$O$9)-BT48</f>
        <v>13.200000000000001</v>
      </c>
      <c r="BU49" s="1388" cm="1">
        <f t="array" ref="BU49">(BU$4&lt;2)*('Sponsor Pro Forma'!$R$9="Override")*IFERROR(($D$45*INDEX('Sponsor Pro Forma'!$S$9:$AD$9,,MATCH('Monthly Cash Flow'!BU$5,'Sponsor Pro Forma'!$S$7:$AD$7,0))),0)+(BU$4&lt;2)*('Sponsor Pro Forma'!$R$9="")*($D$45*'Sponsor Pro Forma'!$M$9)+(BU$4=2)*($D$45*'Sponsor Pro Forma'!$N$9)+('Monthly Cash Flow'!BU$4&gt;2)*('Monthly Cash Flow'!$D$45*'Sponsor Pro Forma'!$O$9)-BU48</f>
        <v>13.200000000000001</v>
      </c>
      <c r="BV49" s="1388" cm="1">
        <f t="array" ref="BV49">(BV$4&lt;2)*('Sponsor Pro Forma'!$R$9="Override")*IFERROR(($D$45*INDEX('Sponsor Pro Forma'!$S$9:$AD$9,,MATCH('Monthly Cash Flow'!BV$5,'Sponsor Pro Forma'!$S$7:$AD$7,0))),0)+(BV$4&lt;2)*('Sponsor Pro Forma'!$R$9="")*($D$45*'Sponsor Pro Forma'!$M$9)+(BV$4=2)*($D$45*'Sponsor Pro Forma'!$N$9)+('Monthly Cash Flow'!BV$4&gt;2)*('Monthly Cash Flow'!$D$45*'Sponsor Pro Forma'!$O$9)-BV48</f>
        <v>13.200000000000001</v>
      </c>
      <c r="BW49" s="1388" cm="1">
        <f t="array" ref="BW49">(BW$4&lt;2)*('Sponsor Pro Forma'!$R$9="Override")*IFERROR(($D$45*INDEX('Sponsor Pro Forma'!$S$9:$AD$9,,MATCH('Monthly Cash Flow'!BW$5,'Sponsor Pro Forma'!$S$7:$AD$7,0))),0)+(BW$4&lt;2)*('Sponsor Pro Forma'!$R$9="")*($D$45*'Sponsor Pro Forma'!$M$9)+(BW$4=2)*($D$45*'Sponsor Pro Forma'!$N$9)+('Monthly Cash Flow'!BW$4&gt;2)*('Monthly Cash Flow'!$D$45*'Sponsor Pro Forma'!$O$9)-BW48</f>
        <v>13.200000000000001</v>
      </c>
      <c r="BX49" s="1388" cm="1">
        <f t="array" ref="BX49">(BX$4&lt;2)*('Sponsor Pro Forma'!$R$9="Override")*IFERROR(($D$45*INDEX('Sponsor Pro Forma'!$S$9:$AD$9,,MATCH('Monthly Cash Flow'!BX$5,'Sponsor Pro Forma'!$S$7:$AD$7,0))),0)+(BX$4&lt;2)*('Sponsor Pro Forma'!$R$9="")*($D$45*'Sponsor Pro Forma'!$M$9)+(BX$4=2)*($D$45*'Sponsor Pro Forma'!$N$9)+('Monthly Cash Flow'!BX$4&gt;2)*('Monthly Cash Flow'!$D$45*'Sponsor Pro Forma'!$O$9)-BX48</f>
        <v>13.200000000000001</v>
      </c>
      <c r="BY49" s="1388" cm="1">
        <f t="array" ref="BY49">(BY$4&lt;2)*('Sponsor Pro Forma'!$R$9="Override")*IFERROR(($D$45*INDEX('Sponsor Pro Forma'!$S$9:$AD$9,,MATCH('Monthly Cash Flow'!BY$5,'Sponsor Pro Forma'!$S$7:$AD$7,0))),0)+(BY$4&lt;2)*('Sponsor Pro Forma'!$R$9="")*($D$45*'Sponsor Pro Forma'!$M$9)+(BY$4=2)*($D$45*'Sponsor Pro Forma'!$N$9)+('Monthly Cash Flow'!BY$4&gt;2)*('Monthly Cash Flow'!$D$45*'Sponsor Pro Forma'!$O$9)-BY48</f>
        <v>13.200000000000001</v>
      </c>
      <c r="BZ49" s="1388" cm="1">
        <f t="array" ref="BZ49">(BZ$4&lt;2)*('Sponsor Pro Forma'!$R$9="Override")*IFERROR(($D$45*INDEX('Sponsor Pro Forma'!$S$9:$AD$9,,MATCH('Monthly Cash Flow'!BZ$5,'Sponsor Pro Forma'!$S$7:$AD$7,0))),0)+(BZ$4&lt;2)*('Sponsor Pro Forma'!$R$9="")*($D$45*'Sponsor Pro Forma'!$M$9)+(BZ$4=2)*($D$45*'Sponsor Pro Forma'!$N$9)+('Monthly Cash Flow'!BZ$4&gt;2)*('Monthly Cash Flow'!$D$45*'Sponsor Pro Forma'!$O$9)-BZ48</f>
        <v>13.200000000000001</v>
      </c>
      <c r="CA49" s="1388" cm="1">
        <f t="array" ref="CA49">(CA$4&lt;2)*('Sponsor Pro Forma'!$R$9="Override")*IFERROR(($D$45*INDEX('Sponsor Pro Forma'!$S$9:$AD$9,,MATCH('Monthly Cash Flow'!CA$5,'Sponsor Pro Forma'!$S$7:$AD$7,0))),0)+(CA$4&lt;2)*('Sponsor Pro Forma'!$R$9="")*($D$45*'Sponsor Pro Forma'!$M$9)+(CA$4=2)*($D$45*'Sponsor Pro Forma'!$N$9)+('Monthly Cash Flow'!CA$4&gt;2)*('Monthly Cash Flow'!$D$45*'Sponsor Pro Forma'!$O$9)-CA48</f>
        <v>13.200000000000001</v>
      </c>
      <c r="CB49" s="1388" cm="1">
        <f t="array" ref="CB49">(CB$4&lt;2)*('Sponsor Pro Forma'!$R$9="Override")*IFERROR(($D$45*INDEX('Sponsor Pro Forma'!$S$9:$AD$9,,MATCH('Monthly Cash Flow'!CB$5,'Sponsor Pro Forma'!$S$7:$AD$7,0))),0)+(CB$4&lt;2)*('Sponsor Pro Forma'!$R$9="")*($D$45*'Sponsor Pro Forma'!$M$9)+(CB$4=2)*($D$45*'Sponsor Pro Forma'!$N$9)+('Monthly Cash Flow'!CB$4&gt;2)*('Monthly Cash Flow'!$D$45*'Sponsor Pro Forma'!$O$9)-CB48</f>
        <v>13.200000000000001</v>
      </c>
      <c r="CC49" s="1388" cm="1">
        <f t="array" ref="CC49">(CC$4&lt;2)*('Sponsor Pro Forma'!$R$9="Override")*IFERROR(($D$45*INDEX('Sponsor Pro Forma'!$S$9:$AD$9,,MATCH('Monthly Cash Flow'!CC$5,'Sponsor Pro Forma'!$S$7:$AD$7,0))),0)+(CC$4&lt;2)*('Sponsor Pro Forma'!$R$9="")*($D$45*'Sponsor Pro Forma'!$M$9)+(CC$4=2)*($D$45*'Sponsor Pro Forma'!$N$9)+('Monthly Cash Flow'!CC$4&gt;2)*('Monthly Cash Flow'!$D$45*'Sponsor Pro Forma'!$O$9)-CC48</f>
        <v>13.200000000000001</v>
      </c>
      <c r="CD49" s="1388" cm="1">
        <f t="array" ref="CD49">(CD$4&lt;2)*('Sponsor Pro Forma'!$R$9="Override")*IFERROR(($D$45*INDEX('Sponsor Pro Forma'!$S$9:$AD$9,,MATCH('Monthly Cash Flow'!CD$5,'Sponsor Pro Forma'!$S$7:$AD$7,0))),0)+(CD$4&lt;2)*('Sponsor Pro Forma'!$R$9="")*($D$45*'Sponsor Pro Forma'!$M$9)+(CD$4=2)*($D$45*'Sponsor Pro Forma'!$N$9)+('Monthly Cash Flow'!CD$4&gt;2)*('Monthly Cash Flow'!$D$45*'Sponsor Pro Forma'!$O$9)-CD48</f>
        <v>13.200000000000001</v>
      </c>
      <c r="CE49" s="1388" cm="1">
        <f t="array" ref="CE49">(CE$4&lt;2)*('Sponsor Pro Forma'!$R$9="Override")*IFERROR(($D$45*INDEX('Sponsor Pro Forma'!$S$9:$AD$9,,MATCH('Monthly Cash Flow'!CE$5,'Sponsor Pro Forma'!$S$7:$AD$7,0))),0)+(CE$4&lt;2)*('Sponsor Pro Forma'!$R$9="")*($D$45*'Sponsor Pro Forma'!$M$9)+(CE$4=2)*($D$45*'Sponsor Pro Forma'!$N$9)+('Monthly Cash Flow'!CE$4&gt;2)*('Monthly Cash Flow'!$D$45*'Sponsor Pro Forma'!$O$9)-CE48</f>
        <v>13.200000000000001</v>
      </c>
      <c r="CF49" s="1388" cm="1">
        <f t="array" ref="CF49">(CF$4&lt;2)*('Sponsor Pro Forma'!$R$9="Override")*IFERROR(($D$45*INDEX('Sponsor Pro Forma'!$S$9:$AD$9,,MATCH('Monthly Cash Flow'!CF$5,'Sponsor Pro Forma'!$S$7:$AD$7,0))),0)+(CF$4&lt;2)*('Sponsor Pro Forma'!$R$9="")*($D$45*'Sponsor Pro Forma'!$M$9)+(CF$4=2)*($D$45*'Sponsor Pro Forma'!$N$9)+('Monthly Cash Flow'!CF$4&gt;2)*('Monthly Cash Flow'!$D$45*'Sponsor Pro Forma'!$O$9)-CF48</f>
        <v>13.200000000000001</v>
      </c>
      <c r="CG49" s="1388" cm="1">
        <f t="array" ref="CG49">(CG$4&lt;2)*('Sponsor Pro Forma'!$R$9="Override")*IFERROR(($D$45*INDEX('Sponsor Pro Forma'!$S$9:$AD$9,,MATCH('Monthly Cash Flow'!CG$5,'Sponsor Pro Forma'!$S$7:$AD$7,0))),0)+(CG$4&lt;2)*('Sponsor Pro Forma'!$R$9="")*($D$45*'Sponsor Pro Forma'!$M$9)+(CG$4=2)*($D$45*'Sponsor Pro Forma'!$N$9)+('Monthly Cash Flow'!CG$4&gt;2)*('Monthly Cash Flow'!$D$45*'Sponsor Pro Forma'!$O$9)-CG48</f>
        <v>13.200000000000001</v>
      </c>
      <c r="CH49" s="1388" cm="1">
        <f t="array" ref="CH49">(CH$4&lt;2)*('Sponsor Pro Forma'!$R$9="Override")*IFERROR(($D$45*INDEX('Sponsor Pro Forma'!$S$9:$AD$9,,MATCH('Monthly Cash Flow'!CH$5,'Sponsor Pro Forma'!$S$7:$AD$7,0))),0)+(CH$4&lt;2)*('Sponsor Pro Forma'!$R$9="")*($D$45*'Sponsor Pro Forma'!$M$9)+(CH$4=2)*($D$45*'Sponsor Pro Forma'!$N$9)+('Monthly Cash Flow'!CH$4&gt;2)*('Monthly Cash Flow'!$D$45*'Sponsor Pro Forma'!$O$9)-CH48</f>
        <v>13.200000000000001</v>
      </c>
      <c r="CI49" s="1388" cm="1">
        <f t="array" ref="CI49">(CI$4&lt;2)*('Sponsor Pro Forma'!$R$9="Override")*IFERROR(($D$45*INDEX('Sponsor Pro Forma'!$S$9:$AD$9,,MATCH('Monthly Cash Flow'!CI$5,'Sponsor Pro Forma'!$S$7:$AD$7,0))),0)+(CI$4&lt;2)*('Sponsor Pro Forma'!$R$9="")*($D$45*'Sponsor Pro Forma'!$M$9)+(CI$4=2)*($D$45*'Sponsor Pro Forma'!$N$9)+('Monthly Cash Flow'!CI$4&gt;2)*('Monthly Cash Flow'!$D$45*'Sponsor Pro Forma'!$O$9)-CI48</f>
        <v>13.200000000000001</v>
      </c>
      <c r="CJ49" s="1388" cm="1">
        <f t="array" ref="CJ49">(CJ$4&lt;2)*('Sponsor Pro Forma'!$R$9="Override")*IFERROR(($D$45*INDEX('Sponsor Pro Forma'!$S$9:$AD$9,,MATCH('Monthly Cash Flow'!CJ$5,'Sponsor Pro Forma'!$S$7:$AD$7,0))),0)+(CJ$4&lt;2)*('Sponsor Pro Forma'!$R$9="")*($D$45*'Sponsor Pro Forma'!$M$9)+(CJ$4=2)*($D$45*'Sponsor Pro Forma'!$N$9)+('Monthly Cash Flow'!CJ$4&gt;2)*('Monthly Cash Flow'!$D$45*'Sponsor Pro Forma'!$O$9)-CJ48</f>
        <v>13.200000000000001</v>
      </c>
      <c r="CK49" s="1388" cm="1">
        <f t="array" ref="CK49">(CK$4&lt;2)*('Sponsor Pro Forma'!$R$9="Override")*IFERROR(($D$45*INDEX('Sponsor Pro Forma'!$S$9:$AD$9,,MATCH('Monthly Cash Flow'!CK$5,'Sponsor Pro Forma'!$S$7:$AD$7,0))),0)+(CK$4&lt;2)*('Sponsor Pro Forma'!$R$9="")*($D$45*'Sponsor Pro Forma'!$M$9)+(CK$4=2)*($D$45*'Sponsor Pro Forma'!$N$9)+('Monthly Cash Flow'!CK$4&gt;2)*('Monthly Cash Flow'!$D$45*'Sponsor Pro Forma'!$O$9)-CK48</f>
        <v>13.200000000000001</v>
      </c>
      <c r="CL49" s="1388" cm="1">
        <f t="array" ref="CL49">(CL$4&lt;2)*('Sponsor Pro Forma'!$R$9="Override")*IFERROR(($D$45*INDEX('Sponsor Pro Forma'!$S$9:$AD$9,,MATCH('Monthly Cash Flow'!CL$5,'Sponsor Pro Forma'!$S$7:$AD$7,0))),0)+(CL$4&lt;2)*('Sponsor Pro Forma'!$R$9="")*($D$45*'Sponsor Pro Forma'!$M$9)+(CL$4=2)*($D$45*'Sponsor Pro Forma'!$N$9)+('Monthly Cash Flow'!CL$4&gt;2)*('Monthly Cash Flow'!$D$45*'Sponsor Pro Forma'!$O$9)-CL48</f>
        <v>13.200000000000001</v>
      </c>
      <c r="CM49" s="1388" cm="1">
        <f t="array" ref="CM49">(CM$4&lt;2)*('Sponsor Pro Forma'!$R$9="Override")*IFERROR(($D$45*INDEX('Sponsor Pro Forma'!$S$9:$AD$9,,MATCH('Monthly Cash Flow'!CM$5,'Sponsor Pro Forma'!$S$7:$AD$7,0))),0)+(CM$4&lt;2)*('Sponsor Pro Forma'!$R$9="")*($D$45*'Sponsor Pro Forma'!$M$9)+(CM$4=2)*($D$45*'Sponsor Pro Forma'!$N$9)+('Monthly Cash Flow'!CM$4&gt;2)*('Monthly Cash Flow'!$D$45*'Sponsor Pro Forma'!$O$9)-CM48</f>
        <v>13.200000000000001</v>
      </c>
      <c r="CN49" s="1388" cm="1">
        <f t="array" ref="CN49">(CN$4&lt;2)*('Sponsor Pro Forma'!$R$9="Override")*IFERROR(($D$45*INDEX('Sponsor Pro Forma'!$S$9:$AD$9,,MATCH('Monthly Cash Flow'!CN$5,'Sponsor Pro Forma'!$S$7:$AD$7,0))),0)+(CN$4&lt;2)*('Sponsor Pro Forma'!$R$9="")*($D$45*'Sponsor Pro Forma'!$M$9)+(CN$4=2)*($D$45*'Sponsor Pro Forma'!$N$9)+('Monthly Cash Flow'!CN$4&gt;2)*('Monthly Cash Flow'!$D$45*'Sponsor Pro Forma'!$O$9)-CN48</f>
        <v>13.200000000000001</v>
      </c>
      <c r="CO49" s="1388" cm="1">
        <f t="array" ref="CO49">(CO$4&lt;2)*('Sponsor Pro Forma'!$R$9="Override")*IFERROR(($D$45*INDEX('Sponsor Pro Forma'!$S$9:$AD$9,,MATCH('Monthly Cash Flow'!CO$5,'Sponsor Pro Forma'!$S$7:$AD$7,0))),0)+(CO$4&lt;2)*('Sponsor Pro Forma'!$R$9="")*($D$45*'Sponsor Pro Forma'!$M$9)+(CO$4=2)*($D$45*'Sponsor Pro Forma'!$N$9)+('Monthly Cash Flow'!CO$4&gt;2)*('Monthly Cash Flow'!$D$45*'Sponsor Pro Forma'!$O$9)-CO48</f>
        <v>13.200000000000001</v>
      </c>
      <c r="CP49" s="1388" cm="1">
        <f t="array" ref="CP49">(CP$4&lt;2)*('Sponsor Pro Forma'!$R$9="Override")*IFERROR(($D$45*INDEX('Sponsor Pro Forma'!$S$9:$AD$9,,MATCH('Monthly Cash Flow'!CP$5,'Sponsor Pro Forma'!$S$7:$AD$7,0))),0)+(CP$4&lt;2)*('Sponsor Pro Forma'!$R$9="")*($D$45*'Sponsor Pro Forma'!$M$9)+(CP$4=2)*($D$45*'Sponsor Pro Forma'!$N$9)+('Monthly Cash Flow'!CP$4&gt;2)*('Monthly Cash Flow'!$D$45*'Sponsor Pro Forma'!$O$9)-CP48</f>
        <v>13.200000000000001</v>
      </c>
      <c r="CQ49" s="1388" cm="1">
        <f t="array" ref="CQ49">(CQ$4&lt;2)*('Sponsor Pro Forma'!$R$9="Override")*IFERROR(($D$45*INDEX('Sponsor Pro Forma'!$S$9:$AD$9,,MATCH('Monthly Cash Flow'!CQ$5,'Sponsor Pro Forma'!$S$7:$AD$7,0))),0)+(CQ$4&lt;2)*('Sponsor Pro Forma'!$R$9="")*($D$45*'Sponsor Pro Forma'!$M$9)+(CQ$4=2)*($D$45*'Sponsor Pro Forma'!$N$9)+('Monthly Cash Flow'!CQ$4&gt;2)*('Monthly Cash Flow'!$D$45*'Sponsor Pro Forma'!$O$9)-CQ48</f>
        <v>13.200000000000001</v>
      </c>
      <c r="CR49" s="1388" cm="1">
        <f t="array" ref="CR49">(CR$4&lt;2)*('Sponsor Pro Forma'!$R$9="Override")*IFERROR(($D$45*INDEX('Sponsor Pro Forma'!$S$9:$AD$9,,MATCH('Monthly Cash Flow'!CR$5,'Sponsor Pro Forma'!$S$7:$AD$7,0))),0)+(CR$4&lt;2)*('Sponsor Pro Forma'!$R$9="")*($D$45*'Sponsor Pro Forma'!$M$9)+(CR$4=2)*($D$45*'Sponsor Pro Forma'!$N$9)+('Monthly Cash Flow'!CR$4&gt;2)*('Monthly Cash Flow'!$D$45*'Sponsor Pro Forma'!$O$9)-CR48</f>
        <v>13.200000000000001</v>
      </c>
      <c r="CS49" s="1388" cm="1">
        <f t="array" ref="CS49">(CS$4&lt;2)*('Sponsor Pro Forma'!$R$9="Override")*IFERROR(($D$45*INDEX('Sponsor Pro Forma'!$S$9:$AD$9,,MATCH('Monthly Cash Flow'!CS$5,'Sponsor Pro Forma'!$S$7:$AD$7,0))),0)+(CS$4&lt;2)*('Sponsor Pro Forma'!$R$9="")*($D$45*'Sponsor Pro Forma'!$M$9)+(CS$4=2)*($D$45*'Sponsor Pro Forma'!$N$9)+('Monthly Cash Flow'!CS$4&gt;2)*('Monthly Cash Flow'!$D$45*'Sponsor Pro Forma'!$O$9)-CS48</f>
        <v>13.200000000000001</v>
      </c>
      <c r="CT49" s="1388" cm="1">
        <f t="array" ref="CT49">(CT$4&lt;2)*('Sponsor Pro Forma'!$R$9="Override")*IFERROR(($D$45*INDEX('Sponsor Pro Forma'!$S$9:$AD$9,,MATCH('Monthly Cash Flow'!CT$5,'Sponsor Pro Forma'!$S$7:$AD$7,0))),0)+(CT$4&lt;2)*('Sponsor Pro Forma'!$R$9="")*($D$45*'Sponsor Pro Forma'!$M$9)+(CT$4=2)*($D$45*'Sponsor Pro Forma'!$N$9)+('Monthly Cash Flow'!CT$4&gt;2)*('Monthly Cash Flow'!$D$45*'Sponsor Pro Forma'!$O$9)-CT48</f>
        <v>13.200000000000001</v>
      </c>
      <c r="CU49" s="1388" cm="1">
        <f t="array" ref="CU49">(CU$4&lt;2)*('Sponsor Pro Forma'!$R$9="Override")*IFERROR(($D$45*INDEX('Sponsor Pro Forma'!$S$9:$AD$9,,MATCH('Monthly Cash Flow'!CU$5,'Sponsor Pro Forma'!$S$7:$AD$7,0))),0)+(CU$4&lt;2)*('Sponsor Pro Forma'!$R$9="")*($D$45*'Sponsor Pro Forma'!$M$9)+(CU$4=2)*($D$45*'Sponsor Pro Forma'!$N$9)+('Monthly Cash Flow'!CU$4&gt;2)*('Monthly Cash Flow'!$D$45*'Sponsor Pro Forma'!$O$9)-CU48</f>
        <v>13.200000000000001</v>
      </c>
      <c r="CV49" s="1388" cm="1">
        <f t="array" ref="CV49">(CV$4&lt;2)*('Sponsor Pro Forma'!$R$9="Override")*IFERROR(($D$45*INDEX('Sponsor Pro Forma'!$S$9:$AD$9,,MATCH('Monthly Cash Flow'!CV$5,'Sponsor Pro Forma'!$S$7:$AD$7,0))),0)+(CV$4&lt;2)*('Sponsor Pro Forma'!$R$9="")*($D$45*'Sponsor Pro Forma'!$M$9)+(CV$4=2)*($D$45*'Sponsor Pro Forma'!$N$9)+('Monthly Cash Flow'!CV$4&gt;2)*('Monthly Cash Flow'!$D$45*'Sponsor Pro Forma'!$O$9)-CV48</f>
        <v>13.200000000000001</v>
      </c>
      <c r="CW49" s="1388" cm="1">
        <f t="array" ref="CW49">(CW$4&lt;2)*('Sponsor Pro Forma'!$R$9="Override")*IFERROR(($D$45*INDEX('Sponsor Pro Forma'!$S$9:$AD$9,,MATCH('Monthly Cash Flow'!CW$5,'Sponsor Pro Forma'!$S$7:$AD$7,0))),0)+(CW$4&lt;2)*('Sponsor Pro Forma'!$R$9="")*($D$45*'Sponsor Pro Forma'!$M$9)+(CW$4=2)*($D$45*'Sponsor Pro Forma'!$N$9)+('Monthly Cash Flow'!CW$4&gt;2)*('Monthly Cash Flow'!$D$45*'Sponsor Pro Forma'!$O$9)-CW48</f>
        <v>13.200000000000001</v>
      </c>
      <c r="CX49" s="1388" cm="1">
        <f t="array" ref="CX49">(CX$4&lt;2)*('Sponsor Pro Forma'!$R$9="Override")*IFERROR(($D$45*INDEX('Sponsor Pro Forma'!$S$9:$AD$9,,MATCH('Monthly Cash Flow'!CX$5,'Sponsor Pro Forma'!$S$7:$AD$7,0))),0)+(CX$4&lt;2)*('Sponsor Pro Forma'!$R$9="")*($D$45*'Sponsor Pro Forma'!$M$9)+(CX$4=2)*($D$45*'Sponsor Pro Forma'!$N$9)+('Monthly Cash Flow'!CX$4&gt;2)*('Monthly Cash Flow'!$D$45*'Sponsor Pro Forma'!$O$9)-CX48</f>
        <v>13.200000000000001</v>
      </c>
      <c r="CY49" s="1388" cm="1">
        <f t="array" ref="CY49">(CY$4&lt;2)*('Sponsor Pro Forma'!$R$9="Override")*IFERROR(($D$45*INDEX('Sponsor Pro Forma'!$S$9:$AD$9,,MATCH('Monthly Cash Flow'!CY$5,'Sponsor Pro Forma'!$S$7:$AD$7,0))),0)+(CY$4&lt;2)*('Sponsor Pro Forma'!$R$9="")*($D$45*'Sponsor Pro Forma'!$M$9)+(CY$4=2)*($D$45*'Sponsor Pro Forma'!$N$9)+('Monthly Cash Flow'!CY$4&gt;2)*('Monthly Cash Flow'!$D$45*'Sponsor Pro Forma'!$O$9)-CY48</f>
        <v>13.200000000000001</v>
      </c>
      <c r="CZ49" s="1388" cm="1">
        <f t="array" ref="CZ49">(CZ$4&lt;2)*('Sponsor Pro Forma'!$R$9="Override")*IFERROR(($D$45*INDEX('Sponsor Pro Forma'!$S$9:$AD$9,,MATCH('Monthly Cash Flow'!CZ$5,'Sponsor Pro Forma'!$S$7:$AD$7,0))),0)+(CZ$4&lt;2)*('Sponsor Pro Forma'!$R$9="")*($D$45*'Sponsor Pro Forma'!$M$9)+(CZ$4=2)*($D$45*'Sponsor Pro Forma'!$N$9)+('Monthly Cash Flow'!CZ$4&gt;2)*('Monthly Cash Flow'!$D$45*'Sponsor Pro Forma'!$O$9)-CZ48</f>
        <v>13.200000000000001</v>
      </c>
      <c r="DA49" s="1388" cm="1">
        <f t="array" ref="DA49">(DA$4&lt;2)*('Sponsor Pro Forma'!$R$9="Override")*IFERROR(($D$45*INDEX('Sponsor Pro Forma'!$S$9:$AD$9,,MATCH('Monthly Cash Flow'!DA$5,'Sponsor Pro Forma'!$S$7:$AD$7,0))),0)+(DA$4&lt;2)*('Sponsor Pro Forma'!$R$9="")*($D$45*'Sponsor Pro Forma'!$M$9)+(DA$4=2)*($D$45*'Sponsor Pro Forma'!$N$9)+('Monthly Cash Flow'!DA$4&gt;2)*('Monthly Cash Flow'!$D$45*'Sponsor Pro Forma'!$O$9)-DA48</f>
        <v>13.200000000000001</v>
      </c>
      <c r="DB49" s="1388" cm="1">
        <f t="array" ref="DB49">(DB$4&lt;2)*('Sponsor Pro Forma'!$R$9="Override")*IFERROR(($D$45*INDEX('Sponsor Pro Forma'!$S$9:$AD$9,,MATCH('Monthly Cash Flow'!DB$5,'Sponsor Pro Forma'!$S$7:$AD$7,0))),0)+(DB$4&lt;2)*('Sponsor Pro Forma'!$R$9="")*($D$45*'Sponsor Pro Forma'!$M$9)+(DB$4=2)*($D$45*'Sponsor Pro Forma'!$N$9)+('Monthly Cash Flow'!DB$4&gt;2)*('Monthly Cash Flow'!$D$45*'Sponsor Pro Forma'!$O$9)-DB48</f>
        <v>13.200000000000001</v>
      </c>
      <c r="DC49" s="1388" cm="1">
        <f t="array" ref="DC49">(DC$4&lt;2)*('Sponsor Pro Forma'!$R$9="Override")*IFERROR(($D$45*INDEX('Sponsor Pro Forma'!$S$9:$AD$9,,MATCH('Monthly Cash Flow'!DC$5,'Sponsor Pro Forma'!$S$7:$AD$7,0))),0)+(DC$4&lt;2)*('Sponsor Pro Forma'!$R$9="")*($D$45*'Sponsor Pro Forma'!$M$9)+(DC$4=2)*($D$45*'Sponsor Pro Forma'!$N$9)+('Monthly Cash Flow'!DC$4&gt;2)*('Monthly Cash Flow'!$D$45*'Sponsor Pro Forma'!$O$9)-DC48</f>
        <v>13.200000000000001</v>
      </c>
      <c r="DD49" s="1388" cm="1">
        <f t="array" ref="DD49">(DD$4&lt;2)*('Sponsor Pro Forma'!$R$9="Override")*IFERROR(($D$45*INDEX('Sponsor Pro Forma'!$S$9:$AD$9,,MATCH('Monthly Cash Flow'!DD$5,'Sponsor Pro Forma'!$S$7:$AD$7,0))),0)+(DD$4&lt;2)*('Sponsor Pro Forma'!$R$9="")*($D$45*'Sponsor Pro Forma'!$M$9)+(DD$4=2)*($D$45*'Sponsor Pro Forma'!$N$9)+('Monthly Cash Flow'!DD$4&gt;2)*('Monthly Cash Flow'!$D$45*'Sponsor Pro Forma'!$O$9)-DD48</f>
        <v>13.200000000000001</v>
      </c>
      <c r="DE49" s="1388" cm="1">
        <f t="array" ref="DE49">(DE$4&lt;2)*('Sponsor Pro Forma'!$R$9="Override")*IFERROR(($D$45*INDEX('Sponsor Pro Forma'!$S$9:$AD$9,,MATCH('Monthly Cash Flow'!DE$5,'Sponsor Pro Forma'!$S$7:$AD$7,0))),0)+(DE$4&lt;2)*('Sponsor Pro Forma'!$R$9="")*($D$45*'Sponsor Pro Forma'!$M$9)+(DE$4=2)*($D$45*'Sponsor Pro Forma'!$N$9)+('Monthly Cash Flow'!DE$4&gt;2)*('Monthly Cash Flow'!$D$45*'Sponsor Pro Forma'!$O$9)-DE48</f>
        <v>13.200000000000001</v>
      </c>
      <c r="DF49" s="1388" cm="1">
        <f t="array" ref="DF49">(DF$4&lt;2)*('Sponsor Pro Forma'!$R$9="Override")*IFERROR(($D$45*INDEX('Sponsor Pro Forma'!$S$9:$AD$9,,MATCH('Monthly Cash Flow'!DF$5,'Sponsor Pro Forma'!$S$7:$AD$7,0))),0)+(DF$4&lt;2)*('Sponsor Pro Forma'!$R$9="")*($D$45*'Sponsor Pro Forma'!$M$9)+(DF$4=2)*($D$45*'Sponsor Pro Forma'!$N$9)+('Monthly Cash Flow'!DF$4&gt;2)*('Monthly Cash Flow'!$D$45*'Sponsor Pro Forma'!$O$9)-DF48</f>
        <v>13.200000000000001</v>
      </c>
      <c r="DG49" s="1388" cm="1">
        <f t="array" ref="DG49">(DG$4&lt;2)*('Sponsor Pro Forma'!$R$9="Override")*IFERROR(($D$45*INDEX('Sponsor Pro Forma'!$S$9:$AD$9,,MATCH('Monthly Cash Flow'!DG$5,'Sponsor Pro Forma'!$S$7:$AD$7,0))),0)+(DG$4&lt;2)*('Sponsor Pro Forma'!$R$9="")*($D$45*'Sponsor Pro Forma'!$M$9)+(DG$4=2)*($D$45*'Sponsor Pro Forma'!$N$9)+('Monthly Cash Flow'!DG$4&gt;2)*('Monthly Cash Flow'!$D$45*'Sponsor Pro Forma'!$O$9)-DG48</f>
        <v>13.200000000000001</v>
      </c>
      <c r="DH49" s="1388" cm="1">
        <f t="array" ref="DH49">(DH$4&lt;2)*('Sponsor Pro Forma'!$R$9="Override")*IFERROR(($D$45*INDEX('Sponsor Pro Forma'!$S$9:$AD$9,,MATCH('Monthly Cash Flow'!DH$5,'Sponsor Pro Forma'!$S$7:$AD$7,0))),0)+(DH$4&lt;2)*('Sponsor Pro Forma'!$R$9="")*($D$45*'Sponsor Pro Forma'!$M$9)+(DH$4=2)*($D$45*'Sponsor Pro Forma'!$N$9)+('Monthly Cash Flow'!DH$4&gt;2)*('Monthly Cash Flow'!$D$45*'Sponsor Pro Forma'!$O$9)-DH48</f>
        <v>13.200000000000001</v>
      </c>
      <c r="DI49" s="1388" cm="1">
        <f t="array" ref="DI49">(DI$4&lt;2)*('Sponsor Pro Forma'!$R$9="Override")*IFERROR(($D$45*INDEX('Sponsor Pro Forma'!$S$9:$AD$9,,MATCH('Monthly Cash Flow'!DI$5,'Sponsor Pro Forma'!$S$7:$AD$7,0))),0)+(DI$4&lt;2)*('Sponsor Pro Forma'!$R$9="")*($D$45*'Sponsor Pro Forma'!$M$9)+(DI$4=2)*($D$45*'Sponsor Pro Forma'!$N$9)+('Monthly Cash Flow'!DI$4&gt;2)*('Monthly Cash Flow'!$D$45*'Sponsor Pro Forma'!$O$9)-DI48</f>
        <v>13.200000000000001</v>
      </c>
      <c r="DJ49" s="1388" cm="1">
        <f t="array" ref="DJ49">(DJ$4&lt;2)*('Sponsor Pro Forma'!$R$9="Override")*IFERROR(($D$45*INDEX('Sponsor Pro Forma'!$S$9:$AD$9,,MATCH('Monthly Cash Flow'!DJ$5,'Sponsor Pro Forma'!$S$7:$AD$7,0))),0)+(DJ$4&lt;2)*('Sponsor Pro Forma'!$R$9="")*($D$45*'Sponsor Pro Forma'!$M$9)+(DJ$4=2)*($D$45*'Sponsor Pro Forma'!$N$9)+('Monthly Cash Flow'!DJ$4&gt;2)*('Monthly Cash Flow'!$D$45*'Sponsor Pro Forma'!$O$9)-DJ48</f>
        <v>13.200000000000001</v>
      </c>
      <c r="DK49" s="1388" cm="1">
        <f t="array" ref="DK49">(DK$4&lt;2)*('Sponsor Pro Forma'!$R$9="Override")*IFERROR(($D$45*INDEX('Sponsor Pro Forma'!$S$9:$AD$9,,MATCH('Monthly Cash Flow'!DK$5,'Sponsor Pro Forma'!$S$7:$AD$7,0))),0)+(DK$4&lt;2)*('Sponsor Pro Forma'!$R$9="")*($D$45*'Sponsor Pro Forma'!$M$9)+(DK$4=2)*($D$45*'Sponsor Pro Forma'!$N$9)+('Monthly Cash Flow'!DK$4&gt;2)*('Monthly Cash Flow'!$D$45*'Sponsor Pro Forma'!$O$9)-DK48</f>
        <v>13.200000000000001</v>
      </c>
      <c r="DL49" s="1388" cm="1">
        <f t="array" ref="DL49">(DL$4&lt;2)*('Sponsor Pro Forma'!$R$9="Override")*IFERROR(($D$45*INDEX('Sponsor Pro Forma'!$S$9:$AD$9,,MATCH('Monthly Cash Flow'!DL$5,'Sponsor Pro Forma'!$S$7:$AD$7,0))),0)+(DL$4&lt;2)*('Sponsor Pro Forma'!$R$9="")*($D$45*'Sponsor Pro Forma'!$M$9)+(DL$4=2)*($D$45*'Sponsor Pro Forma'!$N$9)+('Monthly Cash Flow'!DL$4&gt;2)*('Monthly Cash Flow'!$D$45*'Sponsor Pro Forma'!$O$9)-DL48</f>
        <v>13.200000000000001</v>
      </c>
      <c r="DM49" s="1388" cm="1">
        <f t="array" ref="DM49">(DM$4&lt;2)*('Sponsor Pro Forma'!$R$9="Override")*IFERROR(($D$45*INDEX('Sponsor Pro Forma'!$S$9:$AD$9,,MATCH('Monthly Cash Flow'!DM$5,'Sponsor Pro Forma'!$S$7:$AD$7,0))),0)+(DM$4&lt;2)*('Sponsor Pro Forma'!$R$9="")*($D$45*'Sponsor Pro Forma'!$M$9)+(DM$4=2)*($D$45*'Sponsor Pro Forma'!$N$9)+('Monthly Cash Flow'!DM$4&gt;2)*('Monthly Cash Flow'!$D$45*'Sponsor Pro Forma'!$O$9)-DM48</f>
        <v>13.200000000000001</v>
      </c>
      <c r="DN49" s="1388" cm="1">
        <f t="array" ref="DN49">(DN$4&lt;2)*('Sponsor Pro Forma'!$R$9="Override")*IFERROR(($D$45*INDEX('Sponsor Pro Forma'!$S$9:$AD$9,,MATCH('Monthly Cash Flow'!DN$5,'Sponsor Pro Forma'!$S$7:$AD$7,0))),0)+(DN$4&lt;2)*('Sponsor Pro Forma'!$R$9="")*($D$45*'Sponsor Pro Forma'!$M$9)+(DN$4=2)*($D$45*'Sponsor Pro Forma'!$N$9)+('Monthly Cash Flow'!DN$4&gt;2)*('Monthly Cash Flow'!$D$45*'Sponsor Pro Forma'!$O$9)-DN48</f>
        <v>13.200000000000001</v>
      </c>
      <c r="DO49" s="1388" cm="1">
        <f t="array" ref="DO49">(DO$4&lt;2)*('Sponsor Pro Forma'!$R$9="Override")*IFERROR(($D$45*INDEX('Sponsor Pro Forma'!$S$9:$AD$9,,MATCH('Monthly Cash Flow'!DO$5,'Sponsor Pro Forma'!$S$7:$AD$7,0))),0)+(DO$4&lt;2)*('Sponsor Pro Forma'!$R$9="")*($D$45*'Sponsor Pro Forma'!$M$9)+(DO$4=2)*($D$45*'Sponsor Pro Forma'!$N$9)+('Monthly Cash Flow'!DO$4&gt;2)*('Monthly Cash Flow'!$D$45*'Sponsor Pro Forma'!$O$9)-DO48</f>
        <v>13.200000000000001</v>
      </c>
      <c r="DP49" s="1388" cm="1">
        <f t="array" ref="DP49">(DP$4&lt;2)*('Sponsor Pro Forma'!$R$9="Override")*IFERROR(($D$45*INDEX('Sponsor Pro Forma'!$S$9:$AD$9,,MATCH('Monthly Cash Flow'!DP$5,'Sponsor Pro Forma'!$S$7:$AD$7,0))),0)+(DP$4&lt;2)*('Sponsor Pro Forma'!$R$9="")*($D$45*'Sponsor Pro Forma'!$M$9)+(DP$4=2)*($D$45*'Sponsor Pro Forma'!$N$9)+('Monthly Cash Flow'!DP$4&gt;2)*('Monthly Cash Flow'!$D$45*'Sponsor Pro Forma'!$O$9)-DP48</f>
        <v>13.200000000000001</v>
      </c>
      <c r="DQ49" s="1388" cm="1">
        <f t="array" ref="DQ49">(DQ$4&lt;2)*('Sponsor Pro Forma'!$R$9="Override")*IFERROR(($D$45*INDEX('Sponsor Pro Forma'!$S$9:$AD$9,,MATCH('Monthly Cash Flow'!DQ$5,'Sponsor Pro Forma'!$S$7:$AD$7,0))),0)+(DQ$4&lt;2)*('Sponsor Pro Forma'!$R$9="")*($D$45*'Sponsor Pro Forma'!$M$9)+(DQ$4=2)*($D$45*'Sponsor Pro Forma'!$N$9)+('Monthly Cash Flow'!DQ$4&gt;2)*('Monthly Cash Flow'!$D$45*'Sponsor Pro Forma'!$O$9)-DQ48</f>
        <v>13.200000000000001</v>
      </c>
      <c r="DR49" s="1388" cm="1">
        <f t="array" ref="DR49">(DR$4&lt;2)*('Sponsor Pro Forma'!$R$9="Override")*IFERROR(($D$45*INDEX('Sponsor Pro Forma'!$S$9:$AD$9,,MATCH('Monthly Cash Flow'!DR$5,'Sponsor Pro Forma'!$S$7:$AD$7,0))),0)+(DR$4&lt;2)*('Sponsor Pro Forma'!$R$9="")*($D$45*'Sponsor Pro Forma'!$M$9)+(DR$4=2)*($D$45*'Sponsor Pro Forma'!$N$9)+('Monthly Cash Flow'!DR$4&gt;2)*('Monthly Cash Flow'!$D$45*'Sponsor Pro Forma'!$O$9)-DR48</f>
        <v>13.200000000000001</v>
      </c>
      <c r="DS49" s="1388" cm="1">
        <f t="array" ref="DS49">(DS$4&lt;2)*('Sponsor Pro Forma'!$R$9="Override")*IFERROR(($D$45*INDEX('Sponsor Pro Forma'!$S$9:$AD$9,,MATCH('Monthly Cash Flow'!DS$5,'Sponsor Pro Forma'!$S$7:$AD$7,0))),0)+(DS$4&lt;2)*('Sponsor Pro Forma'!$R$9="")*($D$45*'Sponsor Pro Forma'!$M$9)+(DS$4=2)*($D$45*'Sponsor Pro Forma'!$N$9)+('Monthly Cash Flow'!DS$4&gt;2)*('Monthly Cash Flow'!$D$45*'Sponsor Pro Forma'!$O$9)-DS48</f>
        <v>13.200000000000001</v>
      </c>
      <c r="DT49" s="1388" cm="1">
        <f t="array" ref="DT49">(DT$4&lt;2)*('Sponsor Pro Forma'!$R$9="Override")*IFERROR(($D$45*INDEX('Sponsor Pro Forma'!$S$9:$AD$9,,MATCH('Monthly Cash Flow'!DT$5,'Sponsor Pro Forma'!$S$7:$AD$7,0))),0)+(DT$4&lt;2)*('Sponsor Pro Forma'!$R$9="")*($D$45*'Sponsor Pro Forma'!$M$9)+(DT$4=2)*($D$45*'Sponsor Pro Forma'!$N$9)+('Monthly Cash Flow'!DT$4&gt;2)*('Monthly Cash Flow'!$D$45*'Sponsor Pro Forma'!$O$9)-DT48</f>
        <v>13.200000000000001</v>
      </c>
      <c r="DU49" s="385" t="s">
        <v>557</v>
      </c>
      <c r="DV49" s="196"/>
    </row>
    <row r="50" spans="1:126" s="5" customFormat="1" ht="19" outlineLevel="1">
      <c r="A50" s="196"/>
      <c r="B50" s="383" t="s">
        <v>1076</v>
      </c>
      <c r="C50" s="1384"/>
      <c r="D50" s="1385"/>
      <c r="E50" s="1388">
        <f>$D$45-SUM(E48:E49)</f>
        <v>250.8</v>
      </c>
      <c r="F50" s="1388">
        <f t="shared" ref="F50:BQ50" si="116">$D$45-SUM(F48:F49)</f>
        <v>250.8</v>
      </c>
      <c r="G50" s="1388">
        <f t="shared" si="116"/>
        <v>250.8</v>
      </c>
      <c r="H50" s="1388">
        <f t="shared" si="116"/>
        <v>250.8</v>
      </c>
      <c r="I50" s="1388">
        <f t="shared" si="116"/>
        <v>250.8</v>
      </c>
      <c r="J50" s="1388">
        <f t="shared" si="116"/>
        <v>250.8</v>
      </c>
      <c r="K50" s="1388">
        <f t="shared" si="116"/>
        <v>250.8</v>
      </c>
      <c r="L50" s="1388">
        <f t="shared" si="116"/>
        <v>250.8</v>
      </c>
      <c r="M50" s="1388">
        <f t="shared" si="116"/>
        <v>250.8</v>
      </c>
      <c r="N50" s="1388">
        <f t="shared" si="116"/>
        <v>250.8</v>
      </c>
      <c r="O50" s="1388">
        <f t="shared" si="116"/>
        <v>250.8</v>
      </c>
      <c r="P50" s="1388">
        <f t="shared" si="116"/>
        <v>250.8</v>
      </c>
      <c r="Q50" s="1388">
        <f t="shared" si="116"/>
        <v>250.8</v>
      </c>
      <c r="R50" s="1388">
        <f t="shared" si="116"/>
        <v>250.8</v>
      </c>
      <c r="S50" s="1388">
        <f t="shared" si="116"/>
        <v>250.8</v>
      </c>
      <c r="T50" s="1388">
        <f t="shared" si="116"/>
        <v>250.8</v>
      </c>
      <c r="U50" s="1388">
        <f t="shared" si="116"/>
        <v>250.8</v>
      </c>
      <c r="V50" s="1388">
        <f t="shared" si="116"/>
        <v>250.8</v>
      </c>
      <c r="W50" s="1388">
        <f t="shared" si="116"/>
        <v>250.8</v>
      </c>
      <c r="X50" s="1388">
        <f t="shared" si="116"/>
        <v>250.8</v>
      </c>
      <c r="Y50" s="1388">
        <f t="shared" si="116"/>
        <v>250.8</v>
      </c>
      <c r="Z50" s="1388">
        <f t="shared" si="116"/>
        <v>250.8</v>
      </c>
      <c r="AA50" s="1388">
        <f t="shared" si="116"/>
        <v>250.8</v>
      </c>
      <c r="AB50" s="1388">
        <f t="shared" si="116"/>
        <v>250.8</v>
      </c>
      <c r="AC50" s="1388">
        <f t="shared" si="116"/>
        <v>250.8</v>
      </c>
      <c r="AD50" s="1388">
        <f t="shared" si="116"/>
        <v>250.8</v>
      </c>
      <c r="AE50" s="1388">
        <f t="shared" si="116"/>
        <v>250.8</v>
      </c>
      <c r="AF50" s="1388">
        <f t="shared" si="116"/>
        <v>250.8</v>
      </c>
      <c r="AG50" s="1388">
        <f t="shared" si="116"/>
        <v>250.8</v>
      </c>
      <c r="AH50" s="1388">
        <f t="shared" si="116"/>
        <v>250.8</v>
      </c>
      <c r="AI50" s="1388">
        <f t="shared" si="116"/>
        <v>250.8</v>
      </c>
      <c r="AJ50" s="1388">
        <f t="shared" si="116"/>
        <v>250.8</v>
      </c>
      <c r="AK50" s="1388">
        <f t="shared" si="116"/>
        <v>250.8</v>
      </c>
      <c r="AL50" s="1388">
        <f t="shared" si="116"/>
        <v>250.8</v>
      </c>
      <c r="AM50" s="1388">
        <f t="shared" si="116"/>
        <v>250.8</v>
      </c>
      <c r="AN50" s="1388">
        <f t="shared" si="116"/>
        <v>250.8</v>
      </c>
      <c r="AO50" s="1388">
        <f t="shared" si="116"/>
        <v>250.8</v>
      </c>
      <c r="AP50" s="1388">
        <f t="shared" si="116"/>
        <v>250.8</v>
      </c>
      <c r="AQ50" s="1388">
        <f t="shared" si="116"/>
        <v>250.8</v>
      </c>
      <c r="AR50" s="1388">
        <f t="shared" si="116"/>
        <v>250.8</v>
      </c>
      <c r="AS50" s="1388">
        <f t="shared" si="116"/>
        <v>250.8</v>
      </c>
      <c r="AT50" s="1388">
        <f t="shared" si="116"/>
        <v>250.8</v>
      </c>
      <c r="AU50" s="1388">
        <f t="shared" si="116"/>
        <v>250.8</v>
      </c>
      <c r="AV50" s="1388">
        <f t="shared" si="116"/>
        <v>250.8</v>
      </c>
      <c r="AW50" s="1388">
        <f t="shared" si="116"/>
        <v>250.8</v>
      </c>
      <c r="AX50" s="1388">
        <f t="shared" si="116"/>
        <v>250.8</v>
      </c>
      <c r="AY50" s="1388">
        <f t="shared" si="116"/>
        <v>250.8</v>
      </c>
      <c r="AZ50" s="1388">
        <f t="shared" si="116"/>
        <v>250.8</v>
      </c>
      <c r="BA50" s="1388">
        <f t="shared" si="116"/>
        <v>250.8</v>
      </c>
      <c r="BB50" s="1388">
        <f t="shared" si="116"/>
        <v>250.8</v>
      </c>
      <c r="BC50" s="1388">
        <f t="shared" si="116"/>
        <v>250.8</v>
      </c>
      <c r="BD50" s="1388">
        <f t="shared" si="116"/>
        <v>250.8</v>
      </c>
      <c r="BE50" s="1388">
        <f t="shared" si="116"/>
        <v>250.8</v>
      </c>
      <c r="BF50" s="1388">
        <f t="shared" si="116"/>
        <v>250.8</v>
      </c>
      <c r="BG50" s="1388">
        <f t="shared" si="116"/>
        <v>250.8</v>
      </c>
      <c r="BH50" s="1388">
        <f t="shared" si="116"/>
        <v>250.8</v>
      </c>
      <c r="BI50" s="1388">
        <f t="shared" si="116"/>
        <v>250.8</v>
      </c>
      <c r="BJ50" s="1388">
        <f t="shared" si="116"/>
        <v>250.8</v>
      </c>
      <c r="BK50" s="1388">
        <f t="shared" si="116"/>
        <v>250.8</v>
      </c>
      <c r="BL50" s="1388">
        <f t="shared" si="116"/>
        <v>250.8</v>
      </c>
      <c r="BM50" s="1388">
        <f t="shared" si="116"/>
        <v>250.8</v>
      </c>
      <c r="BN50" s="1388">
        <f t="shared" si="116"/>
        <v>250.8</v>
      </c>
      <c r="BO50" s="1388">
        <f t="shared" si="116"/>
        <v>250.8</v>
      </c>
      <c r="BP50" s="1388">
        <f t="shared" si="116"/>
        <v>250.8</v>
      </c>
      <c r="BQ50" s="1388">
        <f t="shared" si="116"/>
        <v>250.8</v>
      </c>
      <c r="BR50" s="1388">
        <f t="shared" ref="BR50:DT50" si="117">$D$45-SUM(BR48:BR49)</f>
        <v>250.8</v>
      </c>
      <c r="BS50" s="1388">
        <f t="shared" si="117"/>
        <v>250.8</v>
      </c>
      <c r="BT50" s="1388">
        <f t="shared" si="117"/>
        <v>250.8</v>
      </c>
      <c r="BU50" s="1388">
        <f t="shared" si="117"/>
        <v>250.8</v>
      </c>
      <c r="BV50" s="1388">
        <f t="shared" si="117"/>
        <v>250.8</v>
      </c>
      <c r="BW50" s="1388">
        <f t="shared" si="117"/>
        <v>250.8</v>
      </c>
      <c r="BX50" s="1388">
        <f t="shared" si="117"/>
        <v>250.8</v>
      </c>
      <c r="BY50" s="1388">
        <f t="shared" si="117"/>
        <v>250.8</v>
      </c>
      <c r="BZ50" s="1388">
        <f t="shared" si="117"/>
        <v>250.8</v>
      </c>
      <c r="CA50" s="1388">
        <f t="shared" si="117"/>
        <v>250.8</v>
      </c>
      <c r="CB50" s="1388">
        <f t="shared" si="117"/>
        <v>250.8</v>
      </c>
      <c r="CC50" s="1388">
        <f t="shared" si="117"/>
        <v>250.8</v>
      </c>
      <c r="CD50" s="1388">
        <f t="shared" si="117"/>
        <v>250.8</v>
      </c>
      <c r="CE50" s="1388">
        <f t="shared" si="117"/>
        <v>250.8</v>
      </c>
      <c r="CF50" s="1388">
        <f t="shared" si="117"/>
        <v>250.8</v>
      </c>
      <c r="CG50" s="1388">
        <f t="shared" si="117"/>
        <v>250.8</v>
      </c>
      <c r="CH50" s="1388">
        <f t="shared" si="117"/>
        <v>250.8</v>
      </c>
      <c r="CI50" s="1388">
        <f t="shared" si="117"/>
        <v>250.8</v>
      </c>
      <c r="CJ50" s="1388">
        <f t="shared" si="117"/>
        <v>250.8</v>
      </c>
      <c r="CK50" s="1388">
        <f t="shared" si="117"/>
        <v>250.8</v>
      </c>
      <c r="CL50" s="1388">
        <f t="shared" si="117"/>
        <v>250.8</v>
      </c>
      <c r="CM50" s="1388">
        <f t="shared" si="117"/>
        <v>250.8</v>
      </c>
      <c r="CN50" s="1388">
        <f t="shared" si="117"/>
        <v>250.8</v>
      </c>
      <c r="CO50" s="1388">
        <f t="shared" si="117"/>
        <v>250.8</v>
      </c>
      <c r="CP50" s="1388">
        <f t="shared" si="117"/>
        <v>250.8</v>
      </c>
      <c r="CQ50" s="1388">
        <f t="shared" si="117"/>
        <v>250.8</v>
      </c>
      <c r="CR50" s="1388">
        <f t="shared" si="117"/>
        <v>250.8</v>
      </c>
      <c r="CS50" s="1388">
        <f t="shared" si="117"/>
        <v>250.8</v>
      </c>
      <c r="CT50" s="1388">
        <f t="shared" si="117"/>
        <v>250.8</v>
      </c>
      <c r="CU50" s="1388">
        <f t="shared" si="117"/>
        <v>250.8</v>
      </c>
      <c r="CV50" s="1388">
        <f t="shared" si="117"/>
        <v>250.8</v>
      </c>
      <c r="CW50" s="1388">
        <f t="shared" si="117"/>
        <v>250.8</v>
      </c>
      <c r="CX50" s="1388">
        <f t="shared" si="117"/>
        <v>250.8</v>
      </c>
      <c r="CY50" s="1388">
        <f t="shared" si="117"/>
        <v>250.8</v>
      </c>
      <c r="CZ50" s="1388">
        <f t="shared" si="117"/>
        <v>250.8</v>
      </c>
      <c r="DA50" s="1388">
        <f t="shared" si="117"/>
        <v>250.8</v>
      </c>
      <c r="DB50" s="1388">
        <f t="shared" si="117"/>
        <v>250.8</v>
      </c>
      <c r="DC50" s="1388">
        <f t="shared" si="117"/>
        <v>250.8</v>
      </c>
      <c r="DD50" s="1388">
        <f t="shared" si="117"/>
        <v>250.8</v>
      </c>
      <c r="DE50" s="1388">
        <f t="shared" si="117"/>
        <v>250.8</v>
      </c>
      <c r="DF50" s="1388">
        <f t="shared" si="117"/>
        <v>250.8</v>
      </c>
      <c r="DG50" s="1388">
        <f t="shared" si="117"/>
        <v>250.8</v>
      </c>
      <c r="DH50" s="1388">
        <f t="shared" si="117"/>
        <v>250.8</v>
      </c>
      <c r="DI50" s="1388">
        <f t="shared" si="117"/>
        <v>250.8</v>
      </c>
      <c r="DJ50" s="1388">
        <f t="shared" si="117"/>
        <v>250.8</v>
      </c>
      <c r="DK50" s="1388">
        <f t="shared" si="117"/>
        <v>250.8</v>
      </c>
      <c r="DL50" s="1388">
        <f t="shared" si="117"/>
        <v>250.8</v>
      </c>
      <c r="DM50" s="1388">
        <f t="shared" si="117"/>
        <v>250.8</v>
      </c>
      <c r="DN50" s="1388">
        <f t="shared" si="117"/>
        <v>250.8</v>
      </c>
      <c r="DO50" s="1388">
        <f t="shared" si="117"/>
        <v>250.8</v>
      </c>
      <c r="DP50" s="1388">
        <f t="shared" si="117"/>
        <v>250.8</v>
      </c>
      <c r="DQ50" s="1388">
        <f t="shared" si="117"/>
        <v>250.8</v>
      </c>
      <c r="DR50" s="1388">
        <f t="shared" si="117"/>
        <v>250.8</v>
      </c>
      <c r="DS50" s="1388">
        <f t="shared" si="117"/>
        <v>250.8</v>
      </c>
      <c r="DT50" s="1388">
        <f t="shared" si="117"/>
        <v>250.8</v>
      </c>
      <c r="DU50" s="385" t="s">
        <v>557</v>
      </c>
      <c r="DV50" s="196"/>
    </row>
    <row r="51" spans="1:126" s="5" customFormat="1" ht="19" outlineLevel="1">
      <c r="A51" s="196"/>
      <c r="B51" s="383"/>
      <c r="C51" s="1384"/>
      <c r="D51" s="1385"/>
      <c r="E51" s="1388"/>
      <c r="F51" s="1388"/>
      <c r="G51" s="1388"/>
      <c r="H51" s="1388"/>
      <c r="I51" s="1388"/>
      <c r="J51" s="1388"/>
      <c r="K51" s="1388"/>
      <c r="L51" s="1388"/>
      <c r="M51" s="1388"/>
      <c r="N51" s="1388"/>
      <c r="O51" s="1388"/>
      <c r="P51" s="1388"/>
      <c r="Q51" s="1388"/>
      <c r="R51" s="1388"/>
      <c r="S51" s="1388"/>
      <c r="T51" s="1388"/>
      <c r="U51" s="1388"/>
      <c r="V51" s="1388"/>
      <c r="W51" s="1388"/>
      <c r="X51" s="1388"/>
      <c r="Y51" s="1388"/>
      <c r="Z51" s="1388"/>
      <c r="AA51" s="1388"/>
      <c r="AB51" s="1388"/>
      <c r="AC51" s="1388"/>
      <c r="AD51" s="1388"/>
      <c r="AE51" s="1388"/>
      <c r="AF51" s="1388"/>
      <c r="AG51" s="1388"/>
      <c r="AH51" s="1388"/>
      <c r="AI51" s="1388"/>
      <c r="AJ51" s="1388"/>
      <c r="AK51" s="1388"/>
      <c r="AL51" s="1388"/>
      <c r="AM51" s="1388"/>
      <c r="AN51" s="1388"/>
      <c r="AO51" s="1388"/>
      <c r="AP51" s="1388"/>
      <c r="AQ51" s="1388"/>
      <c r="AR51" s="1388"/>
      <c r="AS51" s="1388"/>
      <c r="AT51" s="1388"/>
      <c r="AU51" s="1388"/>
      <c r="AV51" s="1388"/>
      <c r="AW51" s="1388"/>
      <c r="AX51" s="1388"/>
      <c r="AY51" s="1388"/>
      <c r="AZ51" s="1388"/>
      <c r="BA51" s="1388"/>
      <c r="BB51" s="1388"/>
      <c r="BC51" s="1388"/>
      <c r="BD51" s="1388"/>
      <c r="BE51" s="1388"/>
      <c r="BF51" s="1388"/>
      <c r="BG51" s="1388"/>
      <c r="BH51" s="1388"/>
      <c r="BI51" s="1388"/>
      <c r="BJ51" s="1388"/>
      <c r="BK51" s="1388"/>
      <c r="BL51" s="1388"/>
      <c r="BM51" s="1388"/>
      <c r="BN51" s="1388"/>
      <c r="BO51" s="1388"/>
      <c r="BP51" s="1388"/>
      <c r="BQ51" s="1388"/>
      <c r="BR51" s="1388"/>
      <c r="BS51" s="1388"/>
      <c r="BT51" s="1388"/>
      <c r="BU51" s="1388"/>
      <c r="BV51" s="1388"/>
      <c r="BW51" s="1388"/>
      <c r="BX51" s="1388"/>
      <c r="BY51" s="1388"/>
      <c r="BZ51" s="1388"/>
      <c r="CA51" s="1388"/>
      <c r="CB51" s="1388"/>
      <c r="CC51" s="1388"/>
      <c r="CD51" s="1388"/>
      <c r="CE51" s="1388"/>
      <c r="CF51" s="1388"/>
      <c r="CG51" s="1388"/>
      <c r="CH51" s="1388"/>
      <c r="CI51" s="1388"/>
      <c r="CJ51" s="1388"/>
      <c r="CK51" s="1388"/>
      <c r="CL51" s="1388"/>
      <c r="CM51" s="1388"/>
      <c r="CN51" s="1388"/>
      <c r="CO51" s="1388"/>
      <c r="CP51" s="1388"/>
      <c r="CQ51" s="1388"/>
      <c r="CR51" s="1388"/>
      <c r="CS51" s="1388"/>
      <c r="CT51" s="1388"/>
      <c r="CU51" s="1388"/>
      <c r="CV51" s="1388"/>
      <c r="CW51" s="1388"/>
      <c r="CX51" s="1388"/>
      <c r="CY51" s="1388"/>
      <c r="CZ51" s="1388"/>
      <c r="DA51" s="1388"/>
      <c r="DB51" s="1388"/>
      <c r="DC51" s="1388"/>
      <c r="DD51" s="1388"/>
      <c r="DE51" s="1388"/>
      <c r="DF51" s="1388"/>
      <c r="DG51" s="1388"/>
      <c r="DH51" s="1388"/>
      <c r="DI51" s="1388"/>
      <c r="DJ51" s="1388"/>
      <c r="DK51" s="1388"/>
      <c r="DL51" s="1388"/>
      <c r="DM51" s="1388"/>
      <c r="DN51" s="1388"/>
      <c r="DO51" s="1388"/>
      <c r="DP51" s="1388"/>
      <c r="DQ51" s="1388"/>
      <c r="DR51" s="1388"/>
      <c r="DS51" s="1388"/>
      <c r="DT51" s="1388"/>
      <c r="DU51" s="385" t="s">
        <v>557</v>
      </c>
      <c r="DV51" s="196"/>
    </row>
    <row r="52" spans="1:126" s="5" customFormat="1" ht="19" outlineLevel="1">
      <c r="A52" s="196"/>
      <c r="B52" s="383" t="s">
        <v>1077</v>
      </c>
      <c r="C52" s="1384"/>
      <c r="D52" s="1385"/>
      <c r="E52" s="1388">
        <f t="shared" ref="E52:AJ52" si="118">MAX(D45-E45,0)</f>
        <v>0</v>
      </c>
      <c r="F52" s="1388">
        <f t="shared" si="118"/>
        <v>0</v>
      </c>
      <c r="G52" s="1388">
        <f t="shared" si="118"/>
        <v>0</v>
      </c>
      <c r="H52" s="1388">
        <f t="shared" si="118"/>
        <v>0</v>
      </c>
      <c r="I52" s="1388">
        <f t="shared" si="118"/>
        <v>0</v>
      </c>
      <c r="J52" s="1388">
        <f t="shared" si="118"/>
        <v>0</v>
      </c>
      <c r="K52" s="1388">
        <f t="shared" si="118"/>
        <v>0</v>
      </c>
      <c r="L52" s="1388">
        <f t="shared" si="118"/>
        <v>0</v>
      </c>
      <c r="M52" s="1388">
        <f t="shared" si="118"/>
        <v>0</v>
      </c>
      <c r="N52" s="1388">
        <f t="shared" si="118"/>
        <v>0</v>
      </c>
      <c r="O52" s="1388">
        <f t="shared" si="118"/>
        <v>0</v>
      </c>
      <c r="P52" s="1388">
        <f t="shared" si="118"/>
        <v>0</v>
      </c>
      <c r="Q52" s="1388">
        <f t="shared" si="118"/>
        <v>0</v>
      </c>
      <c r="R52" s="1388">
        <f t="shared" si="118"/>
        <v>0</v>
      </c>
      <c r="S52" s="1388">
        <f t="shared" si="118"/>
        <v>0</v>
      </c>
      <c r="T52" s="1388">
        <f t="shared" si="118"/>
        <v>0</v>
      </c>
      <c r="U52" s="1388">
        <f t="shared" si="118"/>
        <v>0</v>
      </c>
      <c r="V52" s="1388">
        <f t="shared" si="118"/>
        <v>0</v>
      </c>
      <c r="W52" s="1388">
        <f t="shared" si="118"/>
        <v>0</v>
      </c>
      <c r="X52" s="1388">
        <f t="shared" si="118"/>
        <v>0</v>
      </c>
      <c r="Y52" s="1388">
        <f t="shared" si="118"/>
        <v>0</v>
      </c>
      <c r="Z52" s="1388">
        <f t="shared" si="118"/>
        <v>0</v>
      </c>
      <c r="AA52" s="1388">
        <f t="shared" si="118"/>
        <v>0</v>
      </c>
      <c r="AB52" s="1388">
        <f t="shared" si="118"/>
        <v>0</v>
      </c>
      <c r="AC52" s="1388">
        <f t="shared" si="118"/>
        <v>0</v>
      </c>
      <c r="AD52" s="1388">
        <f t="shared" si="118"/>
        <v>0</v>
      </c>
      <c r="AE52" s="1388">
        <f t="shared" si="118"/>
        <v>0</v>
      </c>
      <c r="AF52" s="1388">
        <f t="shared" si="118"/>
        <v>0</v>
      </c>
      <c r="AG52" s="1388">
        <f t="shared" si="118"/>
        <v>0</v>
      </c>
      <c r="AH52" s="1388">
        <f t="shared" si="118"/>
        <v>0</v>
      </c>
      <c r="AI52" s="1388">
        <f t="shared" si="118"/>
        <v>0</v>
      </c>
      <c r="AJ52" s="1388">
        <f t="shared" si="118"/>
        <v>0</v>
      </c>
      <c r="AK52" s="1388">
        <f t="shared" ref="AK52:BP52" si="119">MAX(AJ45-AK45,0)</f>
        <v>0</v>
      </c>
      <c r="AL52" s="1388">
        <f t="shared" si="119"/>
        <v>0</v>
      </c>
      <c r="AM52" s="1388">
        <f t="shared" si="119"/>
        <v>0</v>
      </c>
      <c r="AN52" s="1388">
        <f t="shared" si="119"/>
        <v>0</v>
      </c>
      <c r="AO52" s="1388">
        <f t="shared" si="119"/>
        <v>0</v>
      </c>
      <c r="AP52" s="1388">
        <f t="shared" si="119"/>
        <v>0</v>
      </c>
      <c r="AQ52" s="1388">
        <f t="shared" si="119"/>
        <v>0</v>
      </c>
      <c r="AR52" s="1388">
        <f t="shared" si="119"/>
        <v>0</v>
      </c>
      <c r="AS52" s="1388">
        <f t="shared" si="119"/>
        <v>0</v>
      </c>
      <c r="AT52" s="1388">
        <f t="shared" si="119"/>
        <v>0</v>
      </c>
      <c r="AU52" s="1388">
        <f t="shared" si="119"/>
        <v>0</v>
      </c>
      <c r="AV52" s="1388">
        <f t="shared" si="119"/>
        <v>0</v>
      </c>
      <c r="AW52" s="1388">
        <f t="shared" si="119"/>
        <v>0</v>
      </c>
      <c r="AX52" s="1388">
        <f t="shared" si="119"/>
        <v>0</v>
      </c>
      <c r="AY52" s="1388">
        <f t="shared" si="119"/>
        <v>0</v>
      </c>
      <c r="AZ52" s="1388">
        <f t="shared" si="119"/>
        <v>0</v>
      </c>
      <c r="BA52" s="1388">
        <f t="shared" si="119"/>
        <v>0</v>
      </c>
      <c r="BB52" s="1388">
        <f t="shared" si="119"/>
        <v>0</v>
      </c>
      <c r="BC52" s="1388">
        <f t="shared" si="119"/>
        <v>0</v>
      </c>
      <c r="BD52" s="1388">
        <f t="shared" si="119"/>
        <v>0</v>
      </c>
      <c r="BE52" s="1388">
        <f t="shared" si="119"/>
        <v>0</v>
      </c>
      <c r="BF52" s="1388">
        <f t="shared" si="119"/>
        <v>0</v>
      </c>
      <c r="BG52" s="1388">
        <f t="shared" si="119"/>
        <v>0</v>
      </c>
      <c r="BH52" s="1388">
        <f t="shared" si="119"/>
        <v>0</v>
      </c>
      <c r="BI52" s="1388">
        <f t="shared" si="119"/>
        <v>0</v>
      </c>
      <c r="BJ52" s="1388">
        <f t="shared" si="119"/>
        <v>0</v>
      </c>
      <c r="BK52" s="1388">
        <f t="shared" si="119"/>
        <v>0</v>
      </c>
      <c r="BL52" s="1388">
        <f t="shared" si="119"/>
        <v>0</v>
      </c>
      <c r="BM52" s="1388">
        <f t="shared" si="119"/>
        <v>0</v>
      </c>
      <c r="BN52" s="1388">
        <f t="shared" si="119"/>
        <v>0</v>
      </c>
      <c r="BO52" s="1388">
        <f t="shared" si="119"/>
        <v>0</v>
      </c>
      <c r="BP52" s="1388">
        <f t="shared" si="119"/>
        <v>0</v>
      </c>
      <c r="BQ52" s="1388">
        <f t="shared" ref="BQ52:CV52" si="120">MAX(BP45-BQ45,0)</f>
        <v>0</v>
      </c>
      <c r="BR52" s="1388">
        <f t="shared" si="120"/>
        <v>0</v>
      </c>
      <c r="BS52" s="1388">
        <f t="shared" si="120"/>
        <v>0</v>
      </c>
      <c r="BT52" s="1388">
        <f t="shared" si="120"/>
        <v>0</v>
      </c>
      <c r="BU52" s="1388">
        <f t="shared" si="120"/>
        <v>0</v>
      </c>
      <c r="BV52" s="1388">
        <f t="shared" si="120"/>
        <v>0</v>
      </c>
      <c r="BW52" s="1388">
        <f t="shared" si="120"/>
        <v>0</v>
      </c>
      <c r="BX52" s="1388">
        <f t="shared" si="120"/>
        <v>0</v>
      </c>
      <c r="BY52" s="1388">
        <f t="shared" si="120"/>
        <v>0</v>
      </c>
      <c r="BZ52" s="1388">
        <f t="shared" si="120"/>
        <v>0</v>
      </c>
      <c r="CA52" s="1388">
        <f t="shared" si="120"/>
        <v>0</v>
      </c>
      <c r="CB52" s="1388">
        <f t="shared" si="120"/>
        <v>0</v>
      </c>
      <c r="CC52" s="1388">
        <f t="shared" si="120"/>
        <v>0</v>
      </c>
      <c r="CD52" s="1388">
        <f t="shared" si="120"/>
        <v>0</v>
      </c>
      <c r="CE52" s="1388">
        <f t="shared" si="120"/>
        <v>0</v>
      </c>
      <c r="CF52" s="1388">
        <f t="shared" si="120"/>
        <v>0</v>
      </c>
      <c r="CG52" s="1388">
        <f t="shared" si="120"/>
        <v>0</v>
      </c>
      <c r="CH52" s="1388">
        <f t="shared" si="120"/>
        <v>0</v>
      </c>
      <c r="CI52" s="1388">
        <f t="shared" si="120"/>
        <v>0</v>
      </c>
      <c r="CJ52" s="1388">
        <f t="shared" si="120"/>
        <v>0</v>
      </c>
      <c r="CK52" s="1388">
        <f t="shared" si="120"/>
        <v>0</v>
      </c>
      <c r="CL52" s="1388">
        <f t="shared" si="120"/>
        <v>0</v>
      </c>
      <c r="CM52" s="1388">
        <f t="shared" si="120"/>
        <v>0</v>
      </c>
      <c r="CN52" s="1388">
        <f t="shared" si="120"/>
        <v>0</v>
      </c>
      <c r="CO52" s="1388">
        <f t="shared" si="120"/>
        <v>0</v>
      </c>
      <c r="CP52" s="1388">
        <f t="shared" si="120"/>
        <v>0</v>
      </c>
      <c r="CQ52" s="1388">
        <f t="shared" si="120"/>
        <v>0</v>
      </c>
      <c r="CR52" s="1388">
        <f t="shared" si="120"/>
        <v>0</v>
      </c>
      <c r="CS52" s="1388">
        <f t="shared" si="120"/>
        <v>0</v>
      </c>
      <c r="CT52" s="1388">
        <f t="shared" si="120"/>
        <v>0</v>
      </c>
      <c r="CU52" s="1388">
        <f t="shared" si="120"/>
        <v>0</v>
      </c>
      <c r="CV52" s="1388">
        <f t="shared" si="120"/>
        <v>0</v>
      </c>
      <c r="CW52" s="1388">
        <f t="shared" ref="CW52:DT52" si="121">MAX(CV45-CW45,0)</f>
        <v>0</v>
      </c>
      <c r="CX52" s="1388">
        <f t="shared" si="121"/>
        <v>0</v>
      </c>
      <c r="CY52" s="1388">
        <f t="shared" si="121"/>
        <v>0</v>
      </c>
      <c r="CZ52" s="1388">
        <f t="shared" si="121"/>
        <v>0</v>
      </c>
      <c r="DA52" s="1388">
        <f t="shared" si="121"/>
        <v>0</v>
      </c>
      <c r="DB52" s="1388">
        <f t="shared" si="121"/>
        <v>0</v>
      </c>
      <c r="DC52" s="1388">
        <f t="shared" si="121"/>
        <v>0</v>
      </c>
      <c r="DD52" s="1388">
        <f t="shared" si="121"/>
        <v>0</v>
      </c>
      <c r="DE52" s="1388">
        <f t="shared" si="121"/>
        <v>0</v>
      </c>
      <c r="DF52" s="1388">
        <f t="shared" si="121"/>
        <v>0</v>
      </c>
      <c r="DG52" s="1388">
        <f t="shared" si="121"/>
        <v>0</v>
      </c>
      <c r="DH52" s="1388">
        <f t="shared" si="121"/>
        <v>0</v>
      </c>
      <c r="DI52" s="1388">
        <f t="shared" si="121"/>
        <v>0</v>
      </c>
      <c r="DJ52" s="1388">
        <f t="shared" si="121"/>
        <v>0</v>
      </c>
      <c r="DK52" s="1388">
        <f t="shared" si="121"/>
        <v>0</v>
      </c>
      <c r="DL52" s="1388">
        <f t="shared" si="121"/>
        <v>0</v>
      </c>
      <c r="DM52" s="1388">
        <f t="shared" si="121"/>
        <v>0</v>
      </c>
      <c r="DN52" s="1388">
        <f t="shared" si="121"/>
        <v>0</v>
      </c>
      <c r="DO52" s="1388">
        <f t="shared" si="121"/>
        <v>0</v>
      </c>
      <c r="DP52" s="1388">
        <f t="shared" si="121"/>
        <v>0</v>
      </c>
      <c r="DQ52" s="1388">
        <f t="shared" si="121"/>
        <v>0</v>
      </c>
      <c r="DR52" s="1388">
        <f t="shared" si="121"/>
        <v>0</v>
      </c>
      <c r="DS52" s="1388">
        <f t="shared" si="121"/>
        <v>0</v>
      </c>
      <c r="DT52" s="1388">
        <f t="shared" si="121"/>
        <v>0</v>
      </c>
      <c r="DU52" s="385" t="s">
        <v>557</v>
      </c>
      <c r="DV52" s="196"/>
    </row>
    <row r="53" spans="1:126" s="5" customFormat="1" ht="19" outlineLevel="1">
      <c r="A53" s="196"/>
      <c r="B53" s="383" t="s">
        <v>1078</v>
      </c>
      <c r="C53" s="1384"/>
      <c r="D53" s="1385"/>
      <c r="E53" s="1388">
        <f t="shared" ref="E53:AJ53" si="122">E46</f>
        <v>0</v>
      </c>
      <c r="F53" s="1388">
        <f t="shared" si="122"/>
        <v>0</v>
      </c>
      <c r="G53" s="1388">
        <f t="shared" si="122"/>
        <v>0</v>
      </c>
      <c r="H53" s="1388">
        <f t="shared" si="122"/>
        <v>0</v>
      </c>
      <c r="I53" s="1388">
        <f t="shared" si="122"/>
        <v>0</v>
      </c>
      <c r="J53" s="1388">
        <f t="shared" si="122"/>
        <v>0</v>
      </c>
      <c r="K53" s="1388">
        <f t="shared" si="122"/>
        <v>0</v>
      </c>
      <c r="L53" s="1388">
        <f t="shared" si="122"/>
        <v>0</v>
      </c>
      <c r="M53" s="1388">
        <f t="shared" si="122"/>
        <v>0</v>
      </c>
      <c r="N53" s="1388">
        <f t="shared" si="122"/>
        <v>0</v>
      </c>
      <c r="O53" s="1388">
        <f t="shared" si="122"/>
        <v>0</v>
      </c>
      <c r="P53" s="1388">
        <f t="shared" si="122"/>
        <v>0</v>
      </c>
      <c r="Q53" s="1388">
        <f t="shared" si="122"/>
        <v>0</v>
      </c>
      <c r="R53" s="1388">
        <f t="shared" si="122"/>
        <v>0</v>
      </c>
      <c r="S53" s="1388">
        <f t="shared" si="122"/>
        <v>0</v>
      </c>
      <c r="T53" s="1388">
        <f t="shared" si="122"/>
        <v>0</v>
      </c>
      <c r="U53" s="1388">
        <f t="shared" si="122"/>
        <v>0</v>
      </c>
      <c r="V53" s="1388">
        <f t="shared" si="122"/>
        <v>0</v>
      </c>
      <c r="W53" s="1388">
        <f t="shared" si="122"/>
        <v>0</v>
      </c>
      <c r="X53" s="1388">
        <f t="shared" si="122"/>
        <v>0</v>
      </c>
      <c r="Y53" s="1388">
        <f t="shared" si="122"/>
        <v>0</v>
      </c>
      <c r="Z53" s="1388">
        <f t="shared" si="122"/>
        <v>0</v>
      </c>
      <c r="AA53" s="1388">
        <f t="shared" si="122"/>
        <v>0</v>
      </c>
      <c r="AB53" s="1388">
        <f t="shared" si="122"/>
        <v>0</v>
      </c>
      <c r="AC53" s="1388">
        <f t="shared" si="122"/>
        <v>0</v>
      </c>
      <c r="AD53" s="1388">
        <f t="shared" si="122"/>
        <v>0</v>
      </c>
      <c r="AE53" s="1388">
        <f t="shared" si="122"/>
        <v>0</v>
      </c>
      <c r="AF53" s="1388">
        <f t="shared" si="122"/>
        <v>0</v>
      </c>
      <c r="AG53" s="1388">
        <f t="shared" si="122"/>
        <v>0</v>
      </c>
      <c r="AH53" s="1388">
        <f t="shared" si="122"/>
        <v>0</v>
      </c>
      <c r="AI53" s="1388">
        <f t="shared" si="122"/>
        <v>0</v>
      </c>
      <c r="AJ53" s="1388">
        <f t="shared" si="122"/>
        <v>0</v>
      </c>
      <c r="AK53" s="1388">
        <f t="shared" ref="AK53:BP53" si="123">AK46</f>
        <v>0</v>
      </c>
      <c r="AL53" s="1388">
        <f t="shared" si="123"/>
        <v>0</v>
      </c>
      <c r="AM53" s="1388">
        <f t="shared" si="123"/>
        <v>0</v>
      </c>
      <c r="AN53" s="1388">
        <f t="shared" si="123"/>
        <v>0</v>
      </c>
      <c r="AO53" s="1388">
        <f t="shared" si="123"/>
        <v>0</v>
      </c>
      <c r="AP53" s="1388">
        <f t="shared" si="123"/>
        <v>0</v>
      </c>
      <c r="AQ53" s="1388">
        <f t="shared" si="123"/>
        <v>0</v>
      </c>
      <c r="AR53" s="1388">
        <f t="shared" si="123"/>
        <v>0</v>
      </c>
      <c r="AS53" s="1388">
        <f t="shared" si="123"/>
        <v>0</v>
      </c>
      <c r="AT53" s="1388">
        <f t="shared" si="123"/>
        <v>0</v>
      </c>
      <c r="AU53" s="1388">
        <f t="shared" si="123"/>
        <v>0</v>
      </c>
      <c r="AV53" s="1388">
        <f t="shared" si="123"/>
        <v>0</v>
      </c>
      <c r="AW53" s="1388">
        <f t="shared" si="123"/>
        <v>0</v>
      </c>
      <c r="AX53" s="1388">
        <f t="shared" si="123"/>
        <v>0</v>
      </c>
      <c r="AY53" s="1388">
        <f t="shared" si="123"/>
        <v>0</v>
      </c>
      <c r="AZ53" s="1388">
        <f t="shared" si="123"/>
        <v>0</v>
      </c>
      <c r="BA53" s="1388">
        <f t="shared" si="123"/>
        <v>0</v>
      </c>
      <c r="BB53" s="1388">
        <f t="shared" si="123"/>
        <v>0</v>
      </c>
      <c r="BC53" s="1388">
        <f t="shared" si="123"/>
        <v>0</v>
      </c>
      <c r="BD53" s="1388">
        <f t="shared" si="123"/>
        <v>0</v>
      </c>
      <c r="BE53" s="1388">
        <f t="shared" si="123"/>
        <v>0</v>
      </c>
      <c r="BF53" s="1388">
        <f t="shared" si="123"/>
        <v>0</v>
      </c>
      <c r="BG53" s="1388">
        <f t="shared" si="123"/>
        <v>0</v>
      </c>
      <c r="BH53" s="1388">
        <f t="shared" si="123"/>
        <v>0</v>
      </c>
      <c r="BI53" s="1388">
        <f t="shared" si="123"/>
        <v>0</v>
      </c>
      <c r="BJ53" s="1388">
        <f t="shared" si="123"/>
        <v>0</v>
      </c>
      <c r="BK53" s="1388">
        <f t="shared" si="123"/>
        <v>0</v>
      </c>
      <c r="BL53" s="1388">
        <f t="shared" si="123"/>
        <v>0</v>
      </c>
      <c r="BM53" s="1388">
        <f t="shared" si="123"/>
        <v>0</v>
      </c>
      <c r="BN53" s="1388">
        <f t="shared" si="123"/>
        <v>0</v>
      </c>
      <c r="BO53" s="1388">
        <f t="shared" si="123"/>
        <v>0</v>
      </c>
      <c r="BP53" s="1388">
        <f t="shared" si="123"/>
        <v>0</v>
      </c>
      <c r="BQ53" s="1388">
        <f t="shared" ref="BQ53:CV53" si="124">BQ46</f>
        <v>0</v>
      </c>
      <c r="BR53" s="1388">
        <f t="shared" si="124"/>
        <v>0</v>
      </c>
      <c r="BS53" s="1388">
        <f t="shared" si="124"/>
        <v>0</v>
      </c>
      <c r="BT53" s="1388">
        <f t="shared" si="124"/>
        <v>0</v>
      </c>
      <c r="BU53" s="1388">
        <f t="shared" si="124"/>
        <v>0</v>
      </c>
      <c r="BV53" s="1388">
        <f t="shared" si="124"/>
        <v>0</v>
      </c>
      <c r="BW53" s="1388">
        <f t="shared" si="124"/>
        <v>0</v>
      </c>
      <c r="BX53" s="1388">
        <f t="shared" si="124"/>
        <v>0</v>
      </c>
      <c r="BY53" s="1388">
        <f t="shared" si="124"/>
        <v>0</v>
      </c>
      <c r="BZ53" s="1388">
        <f t="shared" si="124"/>
        <v>0</v>
      </c>
      <c r="CA53" s="1388">
        <f t="shared" si="124"/>
        <v>0</v>
      </c>
      <c r="CB53" s="1388">
        <f t="shared" si="124"/>
        <v>0</v>
      </c>
      <c r="CC53" s="1388">
        <f t="shared" si="124"/>
        <v>0</v>
      </c>
      <c r="CD53" s="1388">
        <f t="shared" si="124"/>
        <v>0</v>
      </c>
      <c r="CE53" s="1388">
        <f t="shared" si="124"/>
        <v>0</v>
      </c>
      <c r="CF53" s="1388">
        <f t="shared" si="124"/>
        <v>0</v>
      </c>
      <c r="CG53" s="1388">
        <f t="shared" si="124"/>
        <v>0</v>
      </c>
      <c r="CH53" s="1388">
        <f t="shared" si="124"/>
        <v>0</v>
      </c>
      <c r="CI53" s="1388">
        <f t="shared" si="124"/>
        <v>0</v>
      </c>
      <c r="CJ53" s="1388">
        <f t="shared" si="124"/>
        <v>0</v>
      </c>
      <c r="CK53" s="1388">
        <f t="shared" si="124"/>
        <v>0</v>
      </c>
      <c r="CL53" s="1388">
        <f t="shared" si="124"/>
        <v>0</v>
      </c>
      <c r="CM53" s="1388">
        <f t="shared" si="124"/>
        <v>0</v>
      </c>
      <c r="CN53" s="1388">
        <f t="shared" si="124"/>
        <v>0</v>
      </c>
      <c r="CO53" s="1388">
        <f t="shared" si="124"/>
        <v>0</v>
      </c>
      <c r="CP53" s="1388">
        <f t="shared" si="124"/>
        <v>0</v>
      </c>
      <c r="CQ53" s="1388">
        <f t="shared" si="124"/>
        <v>0</v>
      </c>
      <c r="CR53" s="1388">
        <f t="shared" si="124"/>
        <v>0</v>
      </c>
      <c r="CS53" s="1388">
        <f t="shared" si="124"/>
        <v>0</v>
      </c>
      <c r="CT53" s="1388">
        <f t="shared" si="124"/>
        <v>0</v>
      </c>
      <c r="CU53" s="1388">
        <f t="shared" si="124"/>
        <v>0</v>
      </c>
      <c r="CV53" s="1388">
        <f t="shared" si="124"/>
        <v>0</v>
      </c>
      <c r="CW53" s="1388">
        <f t="shared" ref="CW53:DT53" si="125">CW46</f>
        <v>0</v>
      </c>
      <c r="CX53" s="1388">
        <f t="shared" si="125"/>
        <v>0</v>
      </c>
      <c r="CY53" s="1388">
        <f t="shared" si="125"/>
        <v>0</v>
      </c>
      <c r="CZ53" s="1388">
        <f t="shared" si="125"/>
        <v>0</v>
      </c>
      <c r="DA53" s="1388">
        <f t="shared" si="125"/>
        <v>0</v>
      </c>
      <c r="DB53" s="1388">
        <f t="shared" si="125"/>
        <v>0</v>
      </c>
      <c r="DC53" s="1388">
        <f t="shared" si="125"/>
        <v>0</v>
      </c>
      <c r="DD53" s="1388">
        <f t="shared" si="125"/>
        <v>0</v>
      </c>
      <c r="DE53" s="1388">
        <f t="shared" si="125"/>
        <v>0</v>
      </c>
      <c r="DF53" s="1388">
        <f t="shared" si="125"/>
        <v>0</v>
      </c>
      <c r="DG53" s="1388">
        <f t="shared" si="125"/>
        <v>0</v>
      </c>
      <c r="DH53" s="1388">
        <f t="shared" si="125"/>
        <v>0</v>
      </c>
      <c r="DI53" s="1388">
        <f t="shared" si="125"/>
        <v>0</v>
      </c>
      <c r="DJ53" s="1388">
        <f t="shared" si="125"/>
        <v>0</v>
      </c>
      <c r="DK53" s="1388">
        <f t="shared" si="125"/>
        <v>0</v>
      </c>
      <c r="DL53" s="1388">
        <f t="shared" si="125"/>
        <v>0</v>
      </c>
      <c r="DM53" s="1388">
        <f t="shared" si="125"/>
        <v>0</v>
      </c>
      <c r="DN53" s="1388">
        <f t="shared" si="125"/>
        <v>0</v>
      </c>
      <c r="DO53" s="1388">
        <f t="shared" si="125"/>
        <v>0</v>
      </c>
      <c r="DP53" s="1388">
        <f t="shared" si="125"/>
        <v>0</v>
      </c>
      <c r="DQ53" s="1388">
        <f t="shared" si="125"/>
        <v>0</v>
      </c>
      <c r="DR53" s="1388">
        <f t="shared" si="125"/>
        <v>0</v>
      </c>
      <c r="DS53" s="1388">
        <f t="shared" si="125"/>
        <v>0</v>
      </c>
      <c r="DT53" s="1388">
        <f t="shared" si="125"/>
        <v>0</v>
      </c>
      <c r="DU53" s="385" t="s">
        <v>557</v>
      </c>
      <c r="DV53" s="196"/>
    </row>
    <row r="54" spans="1:126" s="5" customFormat="1" ht="19" outlineLevel="1">
      <c r="A54" s="196"/>
      <c r="B54" s="383"/>
      <c r="C54" s="1384"/>
      <c r="D54" s="1385"/>
      <c r="E54" s="1388"/>
      <c r="F54" s="1388"/>
      <c r="G54" s="1388"/>
      <c r="H54" s="1388"/>
      <c r="I54" s="1388"/>
      <c r="J54" s="1388"/>
      <c r="K54" s="1388"/>
      <c r="L54" s="1388"/>
      <c r="M54" s="1388"/>
      <c r="N54" s="1388"/>
      <c r="O54" s="1388"/>
      <c r="P54" s="1388"/>
      <c r="Q54" s="1388"/>
      <c r="R54" s="1388"/>
      <c r="S54" s="1388"/>
      <c r="T54" s="1388"/>
      <c r="U54" s="1388"/>
      <c r="V54" s="1388"/>
      <c r="W54" s="1388"/>
      <c r="X54" s="1388"/>
      <c r="Y54" s="1388"/>
      <c r="Z54" s="1388"/>
      <c r="AA54" s="1388"/>
      <c r="AB54" s="1388"/>
      <c r="AC54" s="1388"/>
      <c r="AD54" s="1388"/>
      <c r="AE54" s="1388"/>
      <c r="AF54" s="1388"/>
      <c r="AG54" s="1388"/>
      <c r="AH54" s="1388"/>
      <c r="AI54" s="1388"/>
      <c r="AJ54" s="1388"/>
      <c r="AK54" s="1388"/>
      <c r="AL54" s="1388"/>
      <c r="AM54" s="1388"/>
      <c r="AN54" s="1388"/>
      <c r="AO54" s="1388"/>
      <c r="AP54" s="1388"/>
      <c r="AQ54" s="1388"/>
      <c r="AR54" s="1388"/>
      <c r="AS54" s="1388"/>
      <c r="AT54" s="1388"/>
      <c r="AU54" s="1388"/>
      <c r="AV54" s="1388"/>
      <c r="AW54" s="1388"/>
      <c r="AX54" s="1388"/>
      <c r="AY54" s="1388"/>
      <c r="AZ54" s="1388"/>
      <c r="BA54" s="1388"/>
      <c r="BB54" s="1388"/>
      <c r="BC54" s="1388"/>
      <c r="BD54" s="1388"/>
      <c r="BE54" s="1388"/>
      <c r="BF54" s="1388"/>
      <c r="BG54" s="1388"/>
      <c r="BH54" s="1388"/>
      <c r="BI54" s="1388"/>
      <c r="BJ54" s="1388"/>
      <c r="BK54" s="1388"/>
      <c r="BL54" s="1388"/>
      <c r="BM54" s="1388"/>
      <c r="BN54" s="1388"/>
      <c r="BO54" s="1388"/>
      <c r="BP54" s="1388"/>
      <c r="BQ54" s="1388"/>
      <c r="BR54" s="1388"/>
      <c r="BS54" s="1388"/>
      <c r="BT54" s="1388"/>
      <c r="BU54" s="1388"/>
      <c r="BV54" s="1388"/>
      <c r="BW54" s="1388"/>
      <c r="BX54" s="1388"/>
      <c r="BY54" s="1388"/>
      <c r="BZ54" s="1388"/>
      <c r="CA54" s="1388"/>
      <c r="CB54" s="1388"/>
      <c r="CC54" s="1388"/>
      <c r="CD54" s="1388"/>
      <c r="CE54" s="1388"/>
      <c r="CF54" s="1388"/>
      <c r="CG54" s="1388"/>
      <c r="CH54" s="1388"/>
      <c r="CI54" s="1388"/>
      <c r="CJ54" s="1388"/>
      <c r="CK54" s="1388"/>
      <c r="CL54" s="1388"/>
      <c r="CM54" s="1388"/>
      <c r="CN54" s="1388"/>
      <c r="CO54" s="1388"/>
      <c r="CP54" s="1388"/>
      <c r="CQ54" s="1388"/>
      <c r="CR54" s="1388"/>
      <c r="CS54" s="1388"/>
      <c r="CT54" s="1388"/>
      <c r="CU54" s="1388"/>
      <c r="CV54" s="1388"/>
      <c r="CW54" s="1388"/>
      <c r="CX54" s="1388"/>
      <c r="CY54" s="1388"/>
      <c r="CZ54" s="1388"/>
      <c r="DA54" s="1388"/>
      <c r="DB54" s="1388"/>
      <c r="DC54" s="1388"/>
      <c r="DD54" s="1388"/>
      <c r="DE54" s="1388"/>
      <c r="DF54" s="1388"/>
      <c r="DG54" s="1388"/>
      <c r="DH54" s="1388"/>
      <c r="DI54" s="1388"/>
      <c r="DJ54" s="1388"/>
      <c r="DK54" s="1388"/>
      <c r="DL54" s="1388"/>
      <c r="DM54" s="1388"/>
      <c r="DN54" s="1388"/>
      <c r="DO54" s="1388"/>
      <c r="DP54" s="1388"/>
      <c r="DQ54" s="1388"/>
      <c r="DR54" s="1388"/>
      <c r="DS54" s="1388"/>
      <c r="DT54" s="1388"/>
      <c r="DU54" s="385" t="s">
        <v>557</v>
      </c>
      <c r="DV54" s="196"/>
    </row>
    <row r="55" spans="1:126" s="5" customFormat="1" ht="19" outlineLevel="1">
      <c r="A55" s="196"/>
      <c r="B55" s="383" t="s">
        <v>1079</v>
      </c>
      <c r="C55" s="1384"/>
      <c r="D55" s="1385">
        <f>'Rent Roll Analysis'!X41</f>
        <v>1445.7386363636363</v>
      </c>
      <c r="E55" s="1388">
        <f>IFERROR(INDEX('Rent Roll Analysis'!$AV$6:$AV$15,MATCH('Monthly Cash Flow'!E$4,'Rent Roll Analysis'!$AT$6:$AT$15,0)),0)</f>
        <v>1533.3823683861124</v>
      </c>
      <c r="F55" s="1388">
        <f>IFERROR(INDEX('Rent Roll Analysis'!$AV$6:$AV$15,MATCH('Monthly Cash Flow'!F$4,'Rent Roll Analysis'!$AT$6:$AT$15,0)),0)</f>
        <v>1533.3823683861124</v>
      </c>
      <c r="G55" s="1388">
        <f>IFERROR(INDEX('Rent Roll Analysis'!$AV$6:$AV$15,MATCH('Monthly Cash Flow'!G$4,'Rent Roll Analysis'!$AT$6:$AT$15,0)),0)</f>
        <v>1533.3823683861124</v>
      </c>
      <c r="H55" s="1388">
        <f>IFERROR(INDEX('Rent Roll Analysis'!$AV$6:$AV$15,MATCH('Monthly Cash Flow'!H$4,'Rent Roll Analysis'!$AT$6:$AT$15,0)),0)</f>
        <v>1533.3823683861124</v>
      </c>
      <c r="I55" s="1388">
        <f>IFERROR(INDEX('Rent Roll Analysis'!$AV$6:$AV$15,MATCH('Monthly Cash Flow'!I$4,'Rent Roll Analysis'!$AT$6:$AT$15,0)),0)</f>
        <v>1533.3823683861124</v>
      </c>
      <c r="J55" s="1388">
        <f>IFERROR(INDEX('Rent Roll Analysis'!$AV$6:$AV$15,MATCH('Monthly Cash Flow'!J$4,'Rent Roll Analysis'!$AT$6:$AT$15,0)),0)</f>
        <v>1533.3823683861124</v>
      </c>
      <c r="K55" s="1388">
        <f>IFERROR(INDEX('Rent Roll Analysis'!$AV$6:$AV$15,MATCH('Monthly Cash Flow'!K$4,'Rent Roll Analysis'!$AT$6:$AT$15,0)),0)</f>
        <v>1533.3823683861124</v>
      </c>
      <c r="L55" s="1388">
        <f>IFERROR(INDEX('Rent Roll Analysis'!$AV$6:$AV$15,MATCH('Monthly Cash Flow'!L$4,'Rent Roll Analysis'!$AT$6:$AT$15,0)),0)</f>
        <v>1533.3823683861124</v>
      </c>
      <c r="M55" s="1388">
        <f>IFERROR(INDEX('Rent Roll Analysis'!$AV$6:$AV$15,MATCH('Monthly Cash Flow'!M$4,'Rent Roll Analysis'!$AT$6:$AT$15,0)),0)</f>
        <v>1533.3823683861124</v>
      </c>
      <c r="N55" s="1388">
        <f>IFERROR(INDEX('Rent Roll Analysis'!$AV$6:$AV$15,MATCH('Monthly Cash Flow'!N$4,'Rent Roll Analysis'!$AT$6:$AT$15,0)),0)</f>
        <v>1533.3823683861124</v>
      </c>
      <c r="O55" s="1388">
        <f>IFERROR(INDEX('Rent Roll Analysis'!$AV$6:$AV$15,MATCH('Monthly Cash Flow'!O$4,'Rent Roll Analysis'!$AT$6:$AT$15,0)),0)</f>
        <v>1533.3823683861124</v>
      </c>
      <c r="P55" s="1388">
        <f>IFERROR(INDEX('Rent Roll Analysis'!$AV$6:$AV$15,MATCH('Monthly Cash Flow'!P$4,'Rent Roll Analysis'!$AT$6:$AT$15,0)),0)</f>
        <v>1533.3823683861124</v>
      </c>
      <c r="Q55" s="1388">
        <f>IFERROR(INDEX('Rent Roll Analysis'!$AV$6:$AV$15,MATCH('Monthly Cash Flow'!Q$4,'Rent Roll Analysis'!$AT$6:$AT$15,0)),0)</f>
        <v>1658.682061639375</v>
      </c>
      <c r="R55" s="1388">
        <f>IFERROR(INDEX('Rent Roll Analysis'!$AV$6:$AV$15,MATCH('Monthly Cash Flow'!R$4,'Rent Roll Analysis'!$AT$6:$AT$15,0)),0)</f>
        <v>1658.682061639375</v>
      </c>
      <c r="S55" s="1388">
        <f>IFERROR(INDEX('Rent Roll Analysis'!$AV$6:$AV$15,MATCH('Monthly Cash Flow'!S$4,'Rent Roll Analysis'!$AT$6:$AT$15,0)),0)</f>
        <v>1658.682061639375</v>
      </c>
      <c r="T55" s="1388">
        <f>IFERROR(INDEX('Rent Roll Analysis'!$AV$6:$AV$15,MATCH('Monthly Cash Flow'!T$4,'Rent Roll Analysis'!$AT$6:$AT$15,0)),0)</f>
        <v>1658.682061639375</v>
      </c>
      <c r="U55" s="1388">
        <f>IFERROR(INDEX('Rent Roll Analysis'!$AV$6:$AV$15,MATCH('Monthly Cash Flow'!U$4,'Rent Roll Analysis'!$AT$6:$AT$15,0)),0)</f>
        <v>1658.682061639375</v>
      </c>
      <c r="V55" s="1388">
        <f>IFERROR(INDEX('Rent Roll Analysis'!$AV$6:$AV$15,MATCH('Monthly Cash Flow'!V$4,'Rent Roll Analysis'!$AT$6:$AT$15,0)),0)</f>
        <v>1658.682061639375</v>
      </c>
      <c r="W55" s="1388">
        <f>IFERROR(INDEX('Rent Roll Analysis'!$AV$6:$AV$15,MATCH('Monthly Cash Flow'!W$4,'Rent Roll Analysis'!$AT$6:$AT$15,0)),0)</f>
        <v>1658.682061639375</v>
      </c>
      <c r="X55" s="1388">
        <f>IFERROR(INDEX('Rent Roll Analysis'!$AV$6:$AV$15,MATCH('Monthly Cash Flow'!X$4,'Rent Roll Analysis'!$AT$6:$AT$15,0)),0)</f>
        <v>1658.682061639375</v>
      </c>
      <c r="Y55" s="1388">
        <f>IFERROR(INDEX('Rent Roll Analysis'!$AV$6:$AV$15,MATCH('Monthly Cash Flow'!Y$4,'Rent Roll Analysis'!$AT$6:$AT$15,0)),0)</f>
        <v>1658.682061639375</v>
      </c>
      <c r="Z55" s="1388">
        <f>IFERROR(INDEX('Rent Roll Analysis'!$AV$6:$AV$15,MATCH('Monthly Cash Flow'!Z$4,'Rent Roll Analysis'!$AT$6:$AT$15,0)),0)</f>
        <v>1658.682061639375</v>
      </c>
      <c r="AA55" s="1388">
        <f>IFERROR(INDEX('Rent Roll Analysis'!$AV$6:$AV$15,MATCH('Monthly Cash Flow'!AA$4,'Rent Roll Analysis'!$AT$6:$AT$15,0)),0)</f>
        <v>1658.682061639375</v>
      </c>
      <c r="AB55" s="1388">
        <f>IFERROR(INDEX('Rent Roll Analysis'!$AV$6:$AV$15,MATCH('Monthly Cash Flow'!AB$4,'Rent Roll Analysis'!$AT$6:$AT$15,0)),0)</f>
        <v>1658.682061639375</v>
      </c>
      <c r="AC55" s="1388">
        <f>IFERROR(INDEX('Rent Roll Analysis'!$AV$6:$AV$15,MATCH('Monthly Cash Flow'!AC$4,'Rent Roll Analysis'!$AT$6:$AT$15,0)),0)</f>
        <v>1725.0293848765743</v>
      </c>
      <c r="AD55" s="1388">
        <f>IFERROR(INDEX('Rent Roll Analysis'!$AV$6:$AV$15,MATCH('Monthly Cash Flow'!AD$4,'Rent Roll Analysis'!$AT$6:$AT$15,0)),0)</f>
        <v>1725.0293848765743</v>
      </c>
      <c r="AE55" s="1388">
        <f>IFERROR(INDEX('Rent Roll Analysis'!$AV$6:$AV$15,MATCH('Monthly Cash Flow'!AE$4,'Rent Roll Analysis'!$AT$6:$AT$15,0)),0)</f>
        <v>1725.0293848765743</v>
      </c>
      <c r="AF55" s="1388">
        <f>IFERROR(INDEX('Rent Roll Analysis'!$AV$6:$AV$15,MATCH('Monthly Cash Flow'!AF$4,'Rent Roll Analysis'!$AT$6:$AT$15,0)),0)</f>
        <v>1725.0293848765743</v>
      </c>
      <c r="AG55" s="1388">
        <f>IFERROR(INDEX('Rent Roll Analysis'!$AV$6:$AV$15,MATCH('Monthly Cash Flow'!AG$4,'Rent Roll Analysis'!$AT$6:$AT$15,0)),0)</f>
        <v>1725.0293848765743</v>
      </c>
      <c r="AH55" s="1388">
        <f>IFERROR(INDEX('Rent Roll Analysis'!$AV$6:$AV$15,MATCH('Monthly Cash Flow'!AH$4,'Rent Roll Analysis'!$AT$6:$AT$15,0)),0)</f>
        <v>1725.0293848765743</v>
      </c>
      <c r="AI55" s="1388">
        <f>IFERROR(INDEX('Rent Roll Analysis'!$AV$6:$AV$15,MATCH('Monthly Cash Flow'!AI$4,'Rent Roll Analysis'!$AT$6:$AT$15,0)),0)</f>
        <v>1725.0293848765743</v>
      </c>
      <c r="AJ55" s="1388">
        <f>IFERROR(INDEX('Rent Roll Analysis'!$AV$6:$AV$15,MATCH('Monthly Cash Flow'!AJ$4,'Rent Roll Analysis'!$AT$6:$AT$15,0)),0)</f>
        <v>1725.0293848765743</v>
      </c>
      <c r="AK55" s="1388">
        <f>IFERROR(INDEX('Rent Roll Analysis'!$AV$6:$AV$15,MATCH('Monthly Cash Flow'!AK$4,'Rent Roll Analysis'!$AT$6:$AT$15,0)),0)</f>
        <v>1725.0293848765743</v>
      </c>
      <c r="AL55" s="1388">
        <f>IFERROR(INDEX('Rent Roll Analysis'!$AV$6:$AV$15,MATCH('Monthly Cash Flow'!AL$4,'Rent Roll Analysis'!$AT$6:$AT$15,0)),0)</f>
        <v>1725.0293848765743</v>
      </c>
      <c r="AM55" s="1388">
        <f>IFERROR(INDEX('Rent Roll Analysis'!$AV$6:$AV$15,MATCH('Monthly Cash Flow'!AM$4,'Rent Roll Analysis'!$AT$6:$AT$15,0)),0)</f>
        <v>1725.0293848765743</v>
      </c>
      <c r="AN55" s="1388">
        <f>IFERROR(INDEX('Rent Roll Analysis'!$AV$6:$AV$15,MATCH('Monthly Cash Flow'!AN$4,'Rent Roll Analysis'!$AT$6:$AT$15,0)),0)</f>
        <v>1725.0293848765743</v>
      </c>
      <c r="AO55" s="1388">
        <f>IFERROR(INDEX('Rent Roll Analysis'!$AV$6:$AV$15,MATCH('Monthly Cash Flow'!AO$4,'Rent Roll Analysis'!$AT$6:$AT$15,0)),0)</f>
        <v>1794.0302612797309</v>
      </c>
      <c r="AP55" s="1388">
        <f>IFERROR(INDEX('Rent Roll Analysis'!$AV$6:$AV$15,MATCH('Monthly Cash Flow'!AP$4,'Rent Roll Analysis'!$AT$6:$AT$15,0)),0)</f>
        <v>1794.0302612797309</v>
      </c>
      <c r="AQ55" s="1388">
        <f>IFERROR(INDEX('Rent Roll Analysis'!$AV$6:$AV$15,MATCH('Monthly Cash Flow'!AQ$4,'Rent Roll Analysis'!$AT$6:$AT$15,0)),0)</f>
        <v>1794.0302612797309</v>
      </c>
      <c r="AR55" s="1388">
        <f>IFERROR(INDEX('Rent Roll Analysis'!$AV$6:$AV$15,MATCH('Monthly Cash Flow'!AR$4,'Rent Roll Analysis'!$AT$6:$AT$15,0)),0)</f>
        <v>1794.0302612797309</v>
      </c>
      <c r="AS55" s="1388">
        <f>IFERROR(INDEX('Rent Roll Analysis'!$AV$6:$AV$15,MATCH('Monthly Cash Flow'!AS$4,'Rent Roll Analysis'!$AT$6:$AT$15,0)),0)</f>
        <v>1794.0302612797309</v>
      </c>
      <c r="AT55" s="1388">
        <f>IFERROR(INDEX('Rent Roll Analysis'!$AV$6:$AV$15,MATCH('Monthly Cash Flow'!AT$4,'Rent Roll Analysis'!$AT$6:$AT$15,0)),0)</f>
        <v>1794.0302612797309</v>
      </c>
      <c r="AU55" s="1388">
        <f>IFERROR(INDEX('Rent Roll Analysis'!$AV$6:$AV$15,MATCH('Monthly Cash Flow'!AU$4,'Rent Roll Analysis'!$AT$6:$AT$15,0)),0)</f>
        <v>1794.0302612797309</v>
      </c>
      <c r="AV55" s="1388">
        <f>IFERROR(INDEX('Rent Roll Analysis'!$AV$6:$AV$15,MATCH('Monthly Cash Flow'!AV$4,'Rent Roll Analysis'!$AT$6:$AT$15,0)),0)</f>
        <v>1794.0302612797309</v>
      </c>
      <c r="AW55" s="1388">
        <f>IFERROR(INDEX('Rent Roll Analysis'!$AV$6:$AV$15,MATCH('Monthly Cash Flow'!AW$4,'Rent Roll Analysis'!$AT$6:$AT$15,0)),0)</f>
        <v>1794.0302612797309</v>
      </c>
      <c r="AX55" s="1388">
        <f>IFERROR(INDEX('Rent Roll Analysis'!$AV$6:$AV$15,MATCH('Monthly Cash Flow'!AX$4,'Rent Roll Analysis'!$AT$6:$AT$15,0)),0)</f>
        <v>1794.0302612797309</v>
      </c>
      <c r="AY55" s="1388">
        <f>IFERROR(INDEX('Rent Roll Analysis'!$AV$6:$AV$15,MATCH('Monthly Cash Flow'!AY$4,'Rent Roll Analysis'!$AT$6:$AT$15,0)),0)</f>
        <v>1794.0302612797309</v>
      </c>
      <c r="AZ55" s="1388">
        <f>IFERROR(INDEX('Rent Roll Analysis'!$AV$6:$AV$15,MATCH('Monthly Cash Flow'!AZ$4,'Rent Roll Analysis'!$AT$6:$AT$15,0)),0)</f>
        <v>1794.0302612797309</v>
      </c>
      <c r="BA55" s="1388">
        <f>IFERROR(INDEX('Rent Roll Analysis'!$AV$6:$AV$15,MATCH('Monthly Cash Flow'!BA$4,'Rent Roll Analysis'!$AT$6:$AT$15,0)),0)</f>
        <v>1847.8511827086641</v>
      </c>
      <c r="BB55" s="1388">
        <f>IFERROR(INDEX('Rent Roll Analysis'!$AV$6:$AV$15,MATCH('Monthly Cash Flow'!BB$4,'Rent Roll Analysis'!$AT$6:$AT$15,0)),0)</f>
        <v>1847.8511827086641</v>
      </c>
      <c r="BC55" s="1388">
        <f>IFERROR(INDEX('Rent Roll Analysis'!$AV$6:$AV$15,MATCH('Monthly Cash Flow'!BC$4,'Rent Roll Analysis'!$AT$6:$AT$15,0)),0)</f>
        <v>1847.8511827086641</v>
      </c>
      <c r="BD55" s="1388">
        <f>IFERROR(INDEX('Rent Roll Analysis'!$AV$6:$AV$15,MATCH('Monthly Cash Flow'!BD$4,'Rent Roll Analysis'!$AT$6:$AT$15,0)),0)</f>
        <v>1847.8511827086641</v>
      </c>
      <c r="BE55" s="1388">
        <f>IFERROR(INDEX('Rent Roll Analysis'!$AV$6:$AV$15,MATCH('Monthly Cash Flow'!BE$4,'Rent Roll Analysis'!$AT$6:$AT$15,0)),0)</f>
        <v>1847.8511827086641</v>
      </c>
      <c r="BF55" s="1388">
        <f>IFERROR(INDEX('Rent Roll Analysis'!$AV$6:$AV$15,MATCH('Monthly Cash Flow'!BF$4,'Rent Roll Analysis'!$AT$6:$AT$15,0)),0)</f>
        <v>1847.8511827086641</v>
      </c>
      <c r="BG55" s="1388">
        <f>IFERROR(INDEX('Rent Roll Analysis'!$AV$6:$AV$15,MATCH('Monthly Cash Flow'!BG$4,'Rent Roll Analysis'!$AT$6:$AT$15,0)),0)</f>
        <v>1847.8511827086641</v>
      </c>
      <c r="BH55" s="1388">
        <f>IFERROR(INDEX('Rent Roll Analysis'!$AV$6:$AV$15,MATCH('Monthly Cash Flow'!BH$4,'Rent Roll Analysis'!$AT$6:$AT$15,0)),0)</f>
        <v>1847.8511827086641</v>
      </c>
      <c r="BI55" s="1388">
        <f>IFERROR(INDEX('Rent Roll Analysis'!$AV$6:$AV$15,MATCH('Monthly Cash Flow'!BI$4,'Rent Roll Analysis'!$AT$6:$AT$15,0)),0)</f>
        <v>1847.8511827086641</v>
      </c>
      <c r="BJ55" s="1388">
        <f>IFERROR(INDEX('Rent Roll Analysis'!$AV$6:$AV$15,MATCH('Monthly Cash Flow'!BJ$4,'Rent Roll Analysis'!$AT$6:$AT$15,0)),0)</f>
        <v>1847.8511827086641</v>
      </c>
      <c r="BK55" s="1388">
        <f>IFERROR(INDEX('Rent Roll Analysis'!$AV$6:$AV$15,MATCH('Monthly Cash Flow'!BK$4,'Rent Roll Analysis'!$AT$6:$AT$15,0)),0)</f>
        <v>1847.8511827086641</v>
      </c>
      <c r="BL55" s="1388">
        <f>IFERROR(INDEX('Rent Roll Analysis'!$AV$6:$AV$15,MATCH('Monthly Cash Flow'!BL$4,'Rent Roll Analysis'!$AT$6:$AT$15,0)),0)</f>
        <v>1847.8511827086641</v>
      </c>
      <c r="BM55" s="1388">
        <f>IFERROR(INDEX('Rent Roll Analysis'!$AV$6:$AV$15,MATCH('Monthly Cash Flow'!BM$4,'Rent Roll Analysis'!$AT$6:$AT$15,0)),0)</f>
        <v>1884.8082811108138</v>
      </c>
      <c r="BN55" s="1388">
        <f>IFERROR(INDEX('Rent Roll Analysis'!$AV$6:$AV$15,MATCH('Monthly Cash Flow'!BN$4,'Rent Roll Analysis'!$AT$6:$AT$15,0)),0)</f>
        <v>1884.8082811108138</v>
      </c>
      <c r="BO55" s="1388">
        <f>IFERROR(INDEX('Rent Roll Analysis'!$AV$6:$AV$15,MATCH('Monthly Cash Flow'!BO$4,'Rent Roll Analysis'!$AT$6:$AT$15,0)),0)</f>
        <v>1884.8082811108138</v>
      </c>
      <c r="BP55" s="1388">
        <f>IFERROR(INDEX('Rent Roll Analysis'!$AV$6:$AV$15,MATCH('Monthly Cash Flow'!BP$4,'Rent Roll Analysis'!$AT$6:$AT$15,0)),0)</f>
        <v>1884.8082811108138</v>
      </c>
      <c r="BQ55" s="1388">
        <f>IFERROR(INDEX('Rent Roll Analysis'!$AV$6:$AV$15,MATCH('Monthly Cash Flow'!BQ$4,'Rent Roll Analysis'!$AT$6:$AT$15,0)),0)</f>
        <v>1884.8082811108138</v>
      </c>
      <c r="BR55" s="1388">
        <f>IFERROR(INDEX('Rent Roll Analysis'!$AV$6:$AV$15,MATCH('Monthly Cash Flow'!BR$4,'Rent Roll Analysis'!$AT$6:$AT$15,0)),0)</f>
        <v>1884.8082811108138</v>
      </c>
      <c r="BS55" s="1388">
        <f>IFERROR(INDEX('Rent Roll Analysis'!$AV$6:$AV$15,MATCH('Monthly Cash Flow'!BS$4,'Rent Roll Analysis'!$AT$6:$AT$15,0)),0)</f>
        <v>1884.8082811108138</v>
      </c>
      <c r="BT55" s="1388">
        <f>IFERROR(INDEX('Rent Roll Analysis'!$AV$6:$AV$15,MATCH('Monthly Cash Flow'!BT$4,'Rent Roll Analysis'!$AT$6:$AT$15,0)),0)</f>
        <v>1884.8082811108138</v>
      </c>
      <c r="BU55" s="1388">
        <f>IFERROR(INDEX('Rent Roll Analysis'!$AV$6:$AV$15,MATCH('Monthly Cash Flow'!BU$4,'Rent Roll Analysis'!$AT$6:$AT$15,0)),0)</f>
        <v>1884.8082811108138</v>
      </c>
      <c r="BV55" s="1388">
        <f>IFERROR(INDEX('Rent Roll Analysis'!$AV$6:$AV$15,MATCH('Monthly Cash Flow'!BV$4,'Rent Roll Analysis'!$AT$6:$AT$15,0)),0)</f>
        <v>1884.8082811108138</v>
      </c>
      <c r="BW55" s="1388">
        <f>IFERROR(INDEX('Rent Roll Analysis'!$AV$6:$AV$15,MATCH('Monthly Cash Flow'!BW$4,'Rent Roll Analysis'!$AT$6:$AT$15,0)),0)</f>
        <v>1884.8082811108138</v>
      </c>
      <c r="BX55" s="1388">
        <f>IFERROR(INDEX('Rent Roll Analysis'!$AV$6:$AV$15,MATCH('Monthly Cash Flow'!BX$4,'Rent Roll Analysis'!$AT$6:$AT$15,0)),0)</f>
        <v>1884.8082811108138</v>
      </c>
      <c r="BY55" s="1388">
        <f>IFERROR(INDEX('Rent Roll Analysis'!$AV$6:$AV$15,MATCH('Monthly Cash Flow'!BY$4,'Rent Roll Analysis'!$AT$6:$AT$15,0)),0)</f>
        <v>1922.5043651897824</v>
      </c>
      <c r="BZ55" s="1388">
        <f>IFERROR(INDEX('Rent Roll Analysis'!$AV$6:$AV$15,MATCH('Monthly Cash Flow'!BZ$4,'Rent Roll Analysis'!$AT$6:$AT$15,0)),0)</f>
        <v>1922.5043651897824</v>
      </c>
      <c r="CA55" s="1388">
        <f>IFERROR(INDEX('Rent Roll Analysis'!$AV$6:$AV$15,MATCH('Monthly Cash Flow'!CA$4,'Rent Roll Analysis'!$AT$6:$AT$15,0)),0)</f>
        <v>1922.5043651897824</v>
      </c>
      <c r="CB55" s="1388">
        <f>IFERROR(INDEX('Rent Roll Analysis'!$AV$6:$AV$15,MATCH('Monthly Cash Flow'!CB$4,'Rent Roll Analysis'!$AT$6:$AT$15,0)),0)</f>
        <v>1922.5043651897824</v>
      </c>
      <c r="CC55" s="1388">
        <f>IFERROR(INDEX('Rent Roll Analysis'!$AV$6:$AV$15,MATCH('Monthly Cash Flow'!CC$4,'Rent Roll Analysis'!$AT$6:$AT$15,0)),0)</f>
        <v>1922.5043651897824</v>
      </c>
      <c r="CD55" s="1388">
        <f>IFERROR(INDEX('Rent Roll Analysis'!$AV$6:$AV$15,MATCH('Monthly Cash Flow'!CD$4,'Rent Roll Analysis'!$AT$6:$AT$15,0)),0)</f>
        <v>1922.5043651897824</v>
      </c>
      <c r="CE55" s="1388">
        <f>IFERROR(INDEX('Rent Roll Analysis'!$AV$6:$AV$15,MATCH('Monthly Cash Flow'!CE$4,'Rent Roll Analysis'!$AT$6:$AT$15,0)),0)</f>
        <v>1922.5043651897824</v>
      </c>
      <c r="CF55" s="1388">
        <f>IFERROR(INDEX('Rent Roll Analysis'!$AV$6:$AV$15,MATCH('Monthly Cash Flow'!CF$4,'Rent Roll Analysis'!$AT$6:$AT$15,0)),0)</f>
        <v>1922.5043651897824</v>
      </c>
      <c r="CG55" s="1388">
        <f>IFERROR(INDEX('Rent Roll Analysis'!$AV$6:$AV$15,MATCH('Monthly Cash Flow'!CG$4,'Rent Roll Analysis'!$AT$6:$AT$15,0)),0)</f>
        <v>1922.5043651897824</v>
      </c>
      <c r="CH55" s="1388">
        <f>IFERROR(INDEX('Rent Roll Analysis'!$AV$6:$AV$15,MATCH('Monthly Cash Flow'!CH$4,'Rent Roll Analysis'!$AT$6:$AT$15,0)),0)</f>
        <v>1922.5043651897824</v>
      </c>
      <c r="CI55" s="1388">
        <f>IFERROR(INDEX('Rent Roll Analysis'!$AV$6:$AV$15,MATCH('Monthly Cash Flow'!CI$4,'Rent Roll Analysis'!$AT$6:$AT$15,0)),0)</f>
        <v>1922.5043651897824</v>
      </c>
      <c r="CJ55" s="1388">
        <f>IFERROR(INDEX('Rent Roll Analysis'!$AV$6:$AV$15,MATCH('Monthly Cash Flow'!CJ$4,'Rent Roll Analysis'!$AT$6:$AT$15,0)),0)</f>
        <v>1922.5043651897824</v>
      </c>
      <c r="CK55" s="1388">
        <f>IFERROR(INDEX('Rent Roll Analysis'!$AV$6:$AV$15,MATCH('Monthly Cash Flow'!CK$4,'Rent Roll Analysis'!$AT$6:$AT$15,0)),0)</f>
        <v>1960.9547243044026</v>
      </c>
      <c r="CL55" s="1388">
        <f>IFERROR(INDEX('Rent Roll Analysis'!$AV$6:$AV$15,MATCH('Monthly Cash Flow'!CL$4,'Rent Roll Analysis'!$AT$6:$AT$15,0)),0)</f>
        <v>1960.9547243044026</v>
      </c>
      <c r="CM55" s="1388">
        <f>IFERROR(INDEX('Rent Roll Analysis'!$AV$6:$AV$15,MATCH('Monthly Cash Flow'!CM$4,'Rent Roll Analysis'!$AT$6:$AT$15,0)),0)</f>
        <v>1960.9547243044026</v>
      </c>
      <c r="CN55" s="1388">
        <f>IFERROR(INDEX('Rent Roll Analysis'!$AV$6:$AV$15,MATCH('Monthly Cash Flow'!CN$4,'Rent Roll Analysis'!$AT$6:$AT$15,0)),0)</f>
        <v>1960.9547243044026</v>
      </c>
      <c r="CO55" s="1388">
        <f>IFERROR(INDEX('Rent Roll Analysis'!$AV$6:$AV$15,MATCH('Monthly Cash Flow'!CO$4,'Rent Roll Analysis'!$AT$6:$AT$15,0)),0)</f>
        <v>1960.9547243044026</v>
      </c>
      <c r="CP55" s="1388">
        <f>IFERROR(INDEX('Rent Roll Analysis'!$AV$6:$AV$15,MATCH('Monthly Cash Flow'!CP$4,'Rent Roll Analysis'!$AT$6:$AT$15,0)),0)</f>
        <v>1960.9547243044026</v>
      </c>
      <c r="CQ55" s="1388">
        <f>IFERROR(INDEX('Rent Roll Analysis'!$AV$6:$AV$15,MATCH('Monthly Cash Flow'!CQ$4,'Rent Roll Analysis'!$AT$6:$AT$15,0)),0)</f>
        <v>1960.9547243044026</v>
      </c>
      <c r="CR55" s="1388">
        <f>IFERROR(INDEX('Rent Roll Analysis'!$AV$6:$AV$15,MATCH('Monthly Cash Flow'!CR$4,'Rent Roll Analysis'!$AT$6:$AT$15,0)),0)</f>
        <v>1960.9547243044026</v>
      </c>
      <c r="CS55" s="1388">
        <f>IFERROR(INDEX('Rent Roll Analysis'!$AV$6:$AV$15,MATCH('Monthly Cash Flow'!CS$4,'Rent Roll Analysis'!$AT$6:$AT$15,0)),0)</f>
        <v>1960.9547243044026</v>
      </c>
      <c r="CT55" s="1388">
        <f>IFERROR(INDEX('Rent Roll Analysis'!$AV$6:$AV$15,MATCH('Monthly Cash Flow'!CT$4,'Rent Roll Analysis'!$AT$6:$AT$15,0)),0)</f>
        <v>1960.9547243044026</v>
      </c>
      <c r="CU55" s="1388">
        <f>IFERROR(INDEX('Rent Roll Analysis'!$AV$6:$AV$15,MATCH('Monthly Cash Flow'!CU$4,'Rent Roll Analysis'!$AT$6:$AT$15,0)),0)</f>
        <v>1960.9547243044026</v>
      </c>
      <c r="CV55" s="1388">
        <f>IFERROR(INDEX('Rent Roll Analysis'!$AV$6:$AV$15,MATCH('Monthly Cash Flow'!CV$4,'Rent Roll Analysis'!$AT$6:$AT$15,0)),0)</f>
        <v>1960.9547243044026</v>
      </c>
      <c r="CW55" s="1388">
        <f>IFERROR(INDEX('Rent Roll Analysis'!$AV$6:$AV$15,MATCH('Monthly Cash Flow'!CW$4,'Rent Roll Analysis'!$AT$6:$AT$15,0)),0)</f>
        <v>2000.1736285229133</v>
      </c>
      <c r="CX55" s="1388">
        <f>IFERROR(INDEX('Rent Roll Analysis'!$AV$6:$AV$15,MATCH('Monthly Cash Flow'!CX$4,'Rent Roll Analysis'!$AT$6:$AT$15,0)),0)</f>
        <v>2000.1736285229133</v>
      </c>
      <c r="CY55" s="1388">
        <f>IFERROR(INDEX('Rent Roll Analysis'!$AV$6:$AV$15,MATCH('Monthly Cash Flow'!CY$4,'Rent Roll Analysis'!$AT$6:$AT$15,0)),0)</f>
        <v>2000.1736285229133</v>
      </c>
      <c r="CZ55" s="1388">
        <f>IFERROR(INDEX('Rent Roll Analysis'!$AV$6:$AV$15,MATCH('Monthly Cash Flow'!CZ$4,'Rent Roll Analysis'!$AT$6:$AT$15,0)),0)</f>
        <v>2000.1736285229133</v>
      </c>
      <c r="DA55" s="1388">
        <f>IFERROR(INDEX('Rent Roll Analysis'!$AV$6:$AV$15,MATCH('Monthly Cash Flow'!DA$4,'Rent Roll Analysis'!$AT$6:$AT$15,0)),0)</f>
        <v>2000.1736285229133</v>
      </c>
      <c r="DB55" s="1388">
        <f>IFERROR(INDEX('Rent Roll Analysis'!$AV$6:$AV$15,MATCH('Monthly Cash Flow'!DB$4,'Rent Roll Analysis'!$AT$6:$AT$15,0)),0)</f>
        <v>2000.1736285229133</v>
      </c>
      <c r="DC55" s="1388">
        <f>IFERROR(INDEX('Rent Roll Analysis'!$AV$6:$AV$15,MATCH('Monthly Cash Flow'!DC$4,'Rent Roll Analysis'!$AT$6:$AT$15,0)),0)</f>
        <v>2000.1736285229133</v>
      </c>
      <c r="DD55" s="1388">
        <f>IFERROR(INDEX('Rent Roll Analysis'!$AV$6:$AV$15,MATCH('Monthly Cash Flow'!DD$4,'Rent Roll Analysis'!$AT$6:$AT$15,0)),0)</f>
        <v>2000.1736285229133</v>
      </c>
      <c r="DE55" s="1388">
        <f>IFERROR(INDEX('Rent Roll Analysis'!$AV$6:$AV$15,MATCH('Monthly Cash Flow'!DE$4,'Rent Roll Analysis'!$AT$6:$AT$15,0)),0)</f>
        <v>2000.1736285229133</v>
      </c>
      <c r="DF55" s="1388">
        <f>IFERROR(INDEX('Rent Roll Analysis'!$AV$6:$AV$15,MATCH('Monthly Cash Flow'!DF$4,'Rent Roll Analysis'!$AT$6:$AT$15,0)),0)</f>
        <v>2000.1736285229133</v>
      </c>
      <c r="DG55" s="1388">
        <f>IFERROR(INDEX('Rent Roll Analysis'!$AV$6:$AV$15,MATCH('Monthly Cash Flow'!DG$4,'Rent Roll Analysis'!$AT$6:$AT$15,0)),0)</f>
        <v>2000.1736285229133</v>
      </c>
      <c r="DH55" s="1388">
        <f>IFERROR(INDEX('Rent Roll Analysis'!$AV$6:$AV$15,MATCH('Monthly Cash Flow'!DH$4,'Rent Roll Analysis'!$AT$6:$AT$15,0)),0)</f>
        <v>2000.1736285229133</v>
      </c>
      <c r="DI55" s="1388">
        <f>IFERROR(INDEX('Rent Roll Analysis'!$AV$6:$AV$15,MATCH('Monthly Cash Flow'!DI$4,'Rent Roll Analysis'!$AT$6:$AT$15,0)),0)</f>
        <v>2040.1770467312069</v>
      </c>
      <c r="DJ55" s="1388">
        <f>IFERROR(INDEX('Rent Roll Analysis'!$AV$6:$AV$15,MATCH('Monthly Cash Flow'!DJ$4,'Rent Roll Analysis'!$AT$6:$AT$15,0)),0)</f>
        <v>2040.1770467312069</v>
      </c>
      <c r="DK55" s="1388">
        <f>IFERROR(INDEX('Rent Roll Analysis'!$AV$6:$AV$15,MATCH('Monthly Cash Flow'!DK$4,'Rent Roll Analysis'!$AT$6:$AT$15,0)),0)</f>
        <v>2040.1770467312069</v>
      </c>
      <c r="DL55" s="1388">
        <f>IFERROR(INDEX('Rent Roll Analysis'!$AV$6:$AV$15,MATCH('Monthly Cash Flow'!DL$4,'Rent Roll Analysis'!$AT$6:$AT$15,0)),0)</f>
        <v>2040.1770467312069</v>
      </c>
      <c r="DM55" s="1388">
        <f>IFERROR(INDEX('Rent Roll Analysis'!$AV$6:$AV$15,MATCH('Monthly Cash Flow'!DM$4,'Rent Roll Analysis'!$AT$6:$AT$15,0)),0)</f>
        <v>2040.1770467312069</v>
      </c>
      <c r="DN55" s="1388">
        <f>IFERROR(INDEX('Rent Roll Analysis'!$AV$6:$AV$15,MATCH('Monthly Cash Flow'!DN$4,'Rent Roll Analysis'!$AT$6:$AT$15,0)),0)</f>
        <v>2040.1770467312069</v>
      </c>
      <c r="DO55" s="1388">
        <f>IFERROR(INDEX('Rent Roll Analysis'!$AV$6:$AV$15,MATCH('Monthly Cash Flow'!DO$4,'Rent Roll Analysis'!$AT$6:$AT$15,0)),0)</f>
        <v>2040.1770467312069</v>
      </c>
      <c r="DP55" s="1388">
        <f>IFERROR(INDEX('Rent Roll Analysis'!$AV$6:$AV$15,MATCH('Monthly Cash Flow'!DP$4,'Rent Roll Analysis'!$AT$6:$AT$15,0)),0)</f>
        <v>2040.1770467312069</v>
      </c>
      <c r="DQ55" s="1388">
        <f>IFERROR(INDEX('Rent Roll Analysis'!$AV$6:$AV$15,MATCH('Monthly Cash Flow'!DQ$4,'Rent Roll Analysis'!$AT$6:$AT$15,0)),0)</f>
        <v>2040.1770467312069</v>
      </c>
      <c r="DR55" s="1388">
        <f>IFERROR(INDEX('Rent Roll Analysis'!$AV$6:$AV$15,MATCH('Monthly Cash Flow'!DR$4,'Rent Roll Analysis'!$AT$6:$AT$15,0)),0)</f>
        <v>2040.1770467312069</v>
      </c>
      <c r="DS55" s="1388">
        <f>IFERROR(INDEX('Rent Roll Analysis'!$AV$6:$AV$15,MATCH('Monthly Cash Flow'!DS$4,'Rent Roll Analysis'!$AT$6:$AT$15,0)),0)</f>
        <v>2040.1770467312069</v>
      </c>
      <c r="DT55" s="1388">
        <f>IFERROR(INDEX('Rent Roll Analysis'!$AV$6:$AV$15,MATCH('Monthly Cash Flow'!DT$4,'Rent Roll Analysis'!$AT$6:$AT$15,0)),0)</f>
        <v>2040.1770467312069</v>
      </c>
      <c r="DU55" s="385" t="s">
        <v>557</v>
      </c>
      <c r="DV55" s="196"/>
    </row>
    <row r="56" spans="1:126" s="5" customFormat="1" ht="19" outlineLevel="1">
      <c r="A56" s="196"/>
      <c r="B56" s="383" t="s">
        <v>1080</v>
      </c>
      <c r="C56" s="1384"/>
      <c r="D56" s="1385">
        <f>'Rent Roll Analysis'!N41</f>
        <v>1335.4489135481192</v>
      </c>
      <c r="E56" s="1388">
        <f>IFERROR(INDEX('Rent Roll Analysis'!$AW$6:$AW$15,MATCH('Monthly Cash Flow'!E$4,'Rent Roll Analysis'!$AT$6:$AT$15,0)),0)</f>
        <v>1416.4066494519684</v>
      </c>
      <c r="F56" s="1388">
        <f>IFERROR(INDEX('Rent Roll Analysis'!$AW$6:$AW$15,MATCH('Monthly Cash Flow'!F$4,'Rent Roll Analysis'!$AT$6:$AT$15,0)),0)</f>
        <v>1416.4066494519684</v>
      </c>
      <c r="G56" s="1388">
        <f>IFERROR(INDEX('Rent Roll Analysis'!$AW$6:$AW$15,MATCH('Monthly Cash Flow'!G$4,'Rent Roll Analysis'!$AT$6:$AT$15,0)),0)</f>
        <v>1416.4066494519684</v>
      </c>
      <c r="H56" s="1388">
        <f>IFERROR(INDEX('Rent Roll Analysis'!$AW$6:$AW$15,MATCH('Monthly Cash Flow'!H$4,'Rent Roll Analysis'!$AT$6:$AT$15,0)),0)</f>
        <v>1416.4066494519684</v>
      </c>
      <c r="I56" s="1388">
        <f>IFERROR(INDEX('Rent Roll Analysis'!$AW$6:$AW$15,MATCH('Monthly Cash Flow'!I$4,'Rent Roll Analysis'!$AT$6:$AT$15,0)),0)</f>
        <v>1416.4066494519684</v>
      </c>
      <c r="J56" s="1388">
        <f>IFERROR(INDEX('Rent Roll Analysis'!$AW$6:$AW$15,MATCH('Monthly Cash Flow'!J$4,'Rent Roll Analysis'!$AT$6:$AT$15,0)),0)</f>
        <v>1416.4066494519684</v>
      </c>
      <c r="K56" s="1388">
        <f>IFERROR(INDEX('Rent Roll Analysis'!$AW$6:$AW$15,MATCH('Monthly Cash Flow'!K$4,'Rent Roll Analysis'!$AT$6:$AT$15,0)),0)</f>
        <v>1416.4066494519684</v>
      </c>
      <c r="L56" s="1388">
        <f>IFERROR(INDEX('Rent Roll Analysis'!$AW$6:$AW$15,MATCH('Monthly Cash Flow'!L$4,'Rent Roll Analysis'!$AT$6:$AT$15,0)),0)</f>
        <v>1416.4066494519684</v>
      </c>
      <c r="M56" s="1388">
        <f>IFERROR(INDEX('Rent Roll Analysis'!$AW$6:$AW$15,MATCH('Monthly Cash Flow'!M$4,'Rent Roll Analysis'!$AT$6:$AT$15,0)),0)</f>
        <v>1416.4066494519684</v>
      </c>
      <c r="N56" s="1388">
        <f>IFERROR(INDEX('Rent Roll Analysis'!$AW$6:$AW$15,MATCH('Monthly Cash Flow'!N$4,'Rent Roll Analysis'!$AT$6:$AT$15,0)),0)</f>
        <v>1416.4066494519684</v>
      </c>
      <c r="O56" s="1388">
        <f>IFERROR(INDEX('Rent Roll Analysis'!$AW$6:$AW$15,MATCH('Monthly Cash Flow'!O$4,'Rent Roll Analysis'!$AT$6:$AT$15,0)),0)</f>
        <v>1416.4066494519684</v>
      </c>
      <c r="P56" s="1388">
        <f>IFERROR(INDEX('Rent Roll Analysis'!$AW$6:$AW$15,MATCH('Monthly Cash Flow'!P$4,'Rent Roll Analysis'!$AT$6:$AT$15,0)),0)</f>
        <v>1416.4066494519684</v>
      </c>
      <c r="Q56" s="1388">
        <f>IFERROR(INDEX('Rent Roll Analysis'!$AW$6:$AW$15,MATCH('Monthly Cash Flow'!Q$4,'Rent Roll Analysis'!$AT$6:$AT$15,0)),0)</f>
        <v>1532.1477211880456</v>
      </c>
      <c r="R56" s="1388">
        <f>IFERROR(INDEX('Rent Roll Analysis'!$AW$6:$AW$15,MATCH('Monthly Cash Flow'!R$4,'Rent Roll Analysis'!$AT$6:$AT$15,0)),0)</f>
        <v>1532.1477211880456</v>
      </c>
      <c r="S56" s="1388">
        <f>IFERROR(INDEX('Rent Roll Analysis'!$AW$6:$AW$15,MATCH('Monthly Cash Flow'!S$4,'Rent Roll Analysis'!$AT$6:$AT$15,0)),0)</f>
        <v>1532.1477211880456</v>
      </c>
      <c r="T56" s="1388">
        <f>IFERROR(INDEX('Rent Roll Analysis'!$AW$6:$AW$15,MATCH('Monthly Cash Flow'!T$4,'Rent Roll Analysis'!$AT$6:$AT$15,0)),0)</f>
        <v>1532.1477211880456</v>
      </c>
      <c r="U56" s="1388">
        <f>IFERROR(INDEX('Rent Roll Analysis'!$AW$6:$AW$15,MATCH('Monthly Cash Flow'!U$4,'Rent Roll Analysis'!$AT$6:$AT$15,0)),0)</f>
        <v>1532.1477211880456</v>
      </c>
      <c r="V56" s="1388">
        <f>IFERROR(INDEX('Rent Roll Analysis'!$AW$6:$AW$15,MATCH('Monthly Cash Flow'!V$4,'Rent Roll Analysis'!$AT$6:$AT$15,0)),0)</f>
        <v>1532.1477211880456</v>
      </c>
      <c r="W56" s="1388">
        <f>IFERROR(INDEX('Rent Roll Analysis'!$AW$6:$AW$15,MATCH('Monthly Cash Flow'!W$4,'Rent Roll Analysis'!$AT$6:$AT$15,0)),0)</f>
        <v>1532.1477211880456</v>
      </c>
      <c r="X56" s="1388">
        <f>IFERROR(INDEX('Rent Roll Analysis'!$AW$6:$AW$15,MATCH('Monthly Cash Flow'!X$4,'Rent Roll Analysis'!$AT$6:$AT$15,0)),0)</f>
        <v>1532.1477211880456</v>
      </c>
      <c r="Y56" s="1388">
        <f>IFERROR(INDEX('Rent Roll Analysis'!$AW$6:$AW$15,MATCH('Monthly Cash Flow'!Y$4,'Rent Roll Analysis'!$AT$6:$AT$15,0)),0)</f>
        <v>1532.1477211880456</v>
      </c>
      <c r="Z56" s="1388">
        <f>IFERROR(INDEX('Rent Roll Analysis'!$AW$6:$AW$15,MATCH('Monthly Cash Flow'!Z$4,'Rent Roll Analysis'!$AT$6:$AT$15,0)),0)</f>
        <v>1532.1477211880456</v>
      </c>
      <c r="AA56" s="1388">
        <f>IFERROR(INDEX('Rent Roll Analysis'!$AW$6:$AW$15,MATCH('Monthly Cash Flow'!AA$4,'Rent Roll Analysis'!$AT$6:$AT$15,0)),0)</f>
        <v>1532.1477211880456</v>
      </c>
      <c r="AB56" s="1388">
        <f>IFERROR(INDEX('Rent Roll Analysis'!$AW$6:$AW$15,MATCH('Monthly Cash Flow'!AB$4,'Rent Roll Analysis'!$AT$6:$AT$15,0)),0)</f>
        <v>1532.1477211880456</v>
      </c>
      <c r="AC56" s="1388">
        <f>IFERROR(INDEX('Rent Roll Analysis'!$AW$6:$AW$15,MATCH('Monthly Cash Flow'!AC$4,'Rent Roll Analysis'!$AT$6:$AT$15,0)),0)</f>
        <v>1593.4336676968846</v>
      </c>
      <c r="AD56" s="1388">
        <f>IFERROR(INDEX('Rent Roll Analysis'!$AW$6:$AW$15,MATCH('Monthly Cash Flow'!AD$4,'Rent Roll Analysis'!$AT$6:$AT$15,0)),0)</f>
        <v>1593.4336676968846</v>
      </c>
      <c r="AE56" s="1388">
        <f>IFERROR(INDEX('Rent Roll Analysis'!$AW$6:$AW$15,MATCH('Monthly Cash Flow'!AE$4,'Rent Roll Analysis'!$AT$6:$AT$15,0)),0)</f>
        <v>1593.4336676968846</v>
      </c>
      <c r="AF56" s="1388">
        <f>IFERROR(INDEX('Rent Roll Analysis'!$AW$6:$AW$15,MATCH('Monthly Cash Flow'!AF$4,'Rent Roll Analysis'!$AT$6:$AT$15,0)),0)</f>
        <v>1593.4336676968846</v>
      </c>
      <c r="AG56" s="1388">
        <f>IFERROR(INDEX('Rent Roll Analysis'!$AW$6:$AW$15,MATCH('Monthly Cash Flow'!AG$4,'Rent Roll Analysis'!$AT$6:$AT$15,0)),0)</f>
        <v>1593.4336676968846</v>
      </c>
      <c r="AH56" s="1388">
        <f>IFERROR(INDEX('Rent Roll Analysis'!$AW$6:$AW$15,MATCH('Monthly Cash Flow'!AH$4,'Rent Roll Analysis'!$AT$6:$AT$15,0)),0)</f>
        <v>1593.4336676968846</v>
      </c>
      <c r="AI56" s="1388">
        <f>IFERROR(INDEX('Rent Roll Analysis'!$AW$6:$AW$15,MATCH('Monthly Cash Flow'!AI$4,'Rent Roll Analysis'!$AT$6:$AT$15,0)),0)</f>
        <v>1593.4336676968846</v>
      </c>
      <c r="AJ56" s="1388">
        <f>IFERROR(INDEX('Rent Roll Analysis'!$AW$6:$AW$15,MATCH('Monthly Cash Flow'!AJ$4,'Rent Roll Analysis'!$AT$6:$AT$15,0)),0)</f>
        <v>1593.4336676968846</v>
      </c>
      <c r="AK56" s="1388">
        <f>IFERROR(INDEX('Rent Roll Analysis'!$AW$6:$AW$15,MATCH('Monthly Cash Flow'!AK$4,'Rent Roll Analysis'!$AT$6:$AT$15,0)),0)</f>
        <v>1593.4336676968846</v>
      </c>
      <c r="AL56" s="1388">
        <f>IFERROR(INDEX('Rent Roll Analysis'!$AW$6:$AW$15,MATCH('Monthly Cash Flow'!AL$4,'Rent Roll Analysis'!$AT$6:$AT$15,0)),0)</f>
        <v>1593.4336676968846</v>
      </c>
      <c r="AM56" s="1388">
        <f>IFERROR(INDEX('Rent Roll Analysis'!$AW$6:$AW$15,MATCH('Monthly Cash Flow'!AM$4,'Rent Roll Analysis'!$AT$6:$AT$15,0)),0)</f>
        <v>1593.4336676968846</v>
      </c>
      <c r="AN56" s="1388">
        <f>IFERROR(INDEX('Rent Roll Analysis'!$AW$6:$AW$15,MATCH('Monthly Cash Flow'!AN$4,'Rent Roll Analysis'!$AT$6:$AT$15,0)),0)</f>
        <v>1593.4336676968846</v>
      </c>
      <c r="AO56" s="1388">
        <f>IFERROR(INDEX('Rent Roll Analysis'!$AW$6:$AW$15,MATCH('Monthly Cash Flow'!AO$4,'Rent Roll Analysis'!$AT$6:$AT$15,0)),0)</f>
        <v>1657.1707382217719</v>
      </c>
      <c r="AP56" s="1388">
        <f>IFERROR(INDEX('Rent Roll Analysis'!$AW$6:$AW$15,MATCH('Monthly Cash Flow'!AP$4,'Rent Roll Analysis'!$AT$6:$AT$15,0)),0)</f>
        <v>1657.1707382217719</v>
      </c>
      <c r="AQ56" s="1388">
        <f>IFERROR(INDEX('Rent Roll Analysis'!$AW$6:$AW$15,MATCH('Monthly Cash Flow'!AQ$4,'Rent Roll Analysis'!$AT$6:$AT$15,0)),0)</f>
        <v>1657.1707382217719</v>
      </c>
      <c r="AR56" s="1388">
        <f>IFERROR(INDEX('Rent Roll Analysis'!$AW$6:$AW$15,MATCH('Monthly Cash Flow'!AR$4,'Rent Roll Analysis'!$AT$6:$AT$15,0)),0)</f>
        <v>1657.1707382217719</v>
      </c>
      <c r="AS56" s="1388">
        <f>IFERROR(INDEX('Rent Roll Analysis'!$AW$6:$AW$15,MATCH('Monthly Cash Flow'!AS$4,'Rent Roll Analysis'!$AT$6:$AT$15,0)),0)</f>
        <v>1657.1707382217719</v>
      </c>
      <c r="AT56" s="1388">
        <f>IFERROR(INDEX('Rent Roll Analysis'!$AW$6:$AW$15,MATCH('Monthly Cash Flow'!AT$4,'Rent Roll Analysis'!$AT$6:$AT$15,0)),0)</f>
        <v>1657.1707382217719</v>
      </c>
      <c r="AU56" s="1388">
        <f>IFERROR(INDEX('Rent Roll Analysis'!$AW$6:$AW$15,MATCH('Monthly Cash Flow'!AU$4,'Rent Roll Analysis'!$AT$6:$AT$15,0)),0)</f>
        <v>1657.1707382217719</v>
      </c>
      <c r="AV56" s="1388">
        <f>IFERROR(INDEX('Rent Roll Analysis'!$AW$6:$AW$15,MATCH('Monthly Cash Flow'!AV$4,'Rent Roll Analysis'!$AT$6:$AT$15,0)),0)</f>
        <v>1657.1707382217719</v>
      </c>
      <c r="AW56" s="1388">
        <f>IFERROR(INDEX('Rent Roll Analysis'!$AW$6:$AW$15,MATCH('Monthly Cash Flow'!AW$4,'Rent Roll Analysis'!$AT$6:$AT$15,0)),0)</f>
        <v>1657.1707382217719</v>
      </c>
      <c r="AX56" s="1388">
        <f>IFERROR(INDEX('Rent Roll Analysis'!$AW$6:$AW$15,MATCH('Monthly Cash Flow'!AX$4,'Rent Roll Analysis'!$AT$6:$AT$15,0)),0)</f>
        <v>1657.1707382217719</v>
      </c>
      <c r="AY56" s="1388">
        <f>IFERROR(INDEX('Rent Roll Analysis'!$AW$6:$AW$15,MATCH('Monthly Cash Flow'!AY$4,'Rent Roll Analysis'!$AT$6:$AT$15,0)),0)</f>
        <v>1657.1707382217719</v>
      </c>
      <c r="AZ56" s="1388">
        <f>IFERROR(INDEX('Rent Roll Analysis'!$AW$6:$AW$15,MATCH('Monthly Cash Flow'!AZ$4,'Rent Roll Analysis'!$AT$6:$AT$15,0)),0)</f>
        <v>1657.1707382217719</v>
      </c>
      <c r="BA56" s="1388">
        <f>IFERROR(INDEX('Rent Roll Analysis'!$AW$6:$AW$15,MATCH('Monthly Cash Flow'!BA$4,'Rent Roll Analysis'!$AT$6:$AT$15,0)),0)</f>
        <v>1706.8858729221972</v>
      </c>
      <c r="BB56" s="1388">
        <f>IFERROR(INDEX('Rent Roll Analysis'!$AW$6:$AW$15,MATCH('Monthly Cash Flow'!BB$4,'Rent Roll Analysis'!$AT$6:$AT$15,0)),0)</f>
        <v>1706.8858729221972</v>
      </c>
      <c r="BC56" s="1388">
        <f>IFERROR(INDEX('Rent Roll Analysis'!$AW$6:$AW$15,MATCH('Monthly Cash Flow'!BC$4,'Rent Roll Analysis'!$AT$6:$AT$15,0)),0)</f>
        <v>1706.8858729221972</v>
      </c>
      <c r="BD56" s="1388">
        <f>IFERROR(INDEX('Rent Roll Analysis'!$AW$6:$AW$15,MATCH('Monthly Cash Flow'!BD$4,'Rent Roll Analysis'!$AT$6:$AT$15,0)),0)</f>
        <v>1706.8858729221972</v>
      </c>
      <c r="BE56" s="1388">
        <f>IFERROR(INDEX('Rent Roll Analysis'!$AW$6:$AW$15,MATCH('Monthly Cash Flow'!BE$4,'Rent Roll Analysis'!$AT$6:$AT$15,0)),0)</f>
        <v>1706.8858729221972</v>
      </c>
      <c r="BF56" s="1388">
        <f>IFERROR(INDEX('Rent Roll Analysis'!$AW$6:$AW$15,MATCH('Monthly Cash Flow'!BF$4,'Rent Roll Analysis'!$AT$6:$AT$15,0)),0)</f>
        <v>1706.8858729221972</v>
      </c>
      <c r="BG56" s="1388">
        <f>IFERROR(INDEX('Rent Roll Analysis'!$AW$6:$AW$15,MATCH('Monthly Cash Flow'!BG$4,'Rent Roll Analysis'!$AT$6:$AT$15,0)),0)</f>
        <v>1706.8858729221972</v>
      </c>
      <c r="BH56" s="1388">
        <f>IFERROR(INDEX('Rent Roll Analysis'!$AW$6:$AW$15,MATCH('Monthly Cash Flow'!BH$4,'Rent Roll Analysis'!$AT$6:$AT$15,0)),0)</f>
        <v>1706.8858729221972</v>
      </c>
      <c r="BI56" s="1388">
        <f>IFERROR(INDEX('Rent Roll Analysis'!$AW$6:$AW$15,MATCH('Monthly Cash Flow'!BI$4,'Rent Roll Analysis'!$AT$6:$AT$15,0)),0)</f>
        <v>1706.8858729221972</v>
      </c>
      <c r="BJ56" s="1388">
        <f>IFERROR(INDEX('Rent Roll Analysis'!$AW$6:$AW$15,MATCH('Monthly Cash Flow'!BJ$4,'Rent Roll Analysis'!$AT$6:$AT$15,0)),0)</f>
        <v>1706.8858729221972</v>
      </c>
      <c r="BK56" s="1388">
        <f>IFERROR(INDEX('Rent Roll Analysis'!$AW$6:$AW$15,MATCH('Monthly Cash Flow'!BK$4,'Rent Roll Analysis'!$AT$6:$AT$15,0)),0)</f>
        <v>1706.8858729221972</v>
      </c>
      <c r="BL56" s="1388">
        <f>IFERROR(INDEX('Rent Roll Analysis'!$AW$6:$AW$15,MATCH('Monthly Cash Flow'!BL$4,'Rent Roll Analysis'!$AT$6:$AT$15,0)),0)</f>
        <v>1706.8858729221972</v>
      </c>
      <c r="BM56" s="1388">
        <f>IFERROR(INDEX('Rent Roll Analysis'!$AW$6:$AW$15,MATCH('Monthly Cash Flow'!BM$4,'Rent Roll Analysis'!$AT$6:$AT$15,0)),0)</f>
        <v>1741.0236594263881</v>
      </c>
      <c r="BN56" s="1388">
        <f>IFERROR(INDEX('Rent Roll Analysis'!$AW$6:$AW$15,MATCH('Monthly Cash Flow'!BN$4,'Rent Roll Analysis'!$AT$6:$AT$15,0)),0)</f>
        <v>1741.0236594263881</v>
      </c>
      <c r="BO56" s="1388">
        <f>IFERROR(INDEX('Rent Roll Analysis'!$AW$6:$AW$15,MATCH('Monthly Cash Flow'!BO$4,'Rent Roll Analysis'!$AT$6:$AT$15,0)),0)</f>
        <v>1741.0236594263881</v>
      </c>
      <c r="BP56" s="1388">
        <f>IFERROR(INDEX('Rent Roll Analysis'!$AW$6:$AW$15,MATCH('Monthly Cash Flow'!BP$4,'Rent Roll Analysis'!$AT$6:$AT$15,0)),0)</f>
        <v>1741.0236594263881</v>
      </c>
      <c r="BQ56" s="1388">
        <f>IFERROR(INDEX('Rent Roll Analysis'!$AW$6:$AW$15,MATCH('Monthly Cash Flow'!BQ$4,'Rent Roll Analysis'!$AT$6:$AT$15,0)),0)</f>
        <v>1741.0236594263881</v>
      </c>
      <c r="BR56" s="1388">
        <f>IFERROR(INDEX('Rent Roll Analysis'!$AW$6:$AW$15,MATCH('Monthly Cash Flow'!BR$4,'Rent Roll Analysis'!$AT$6:$AT$15,0)),0)</f>
        <v>1741.0236594263881</v>
      </c>
      <c r="BS56" s="1388">
        <f>IFERROR(INDEX('Rent Roll Analysis'!$AW$6:$AW$15,MATCH('Monthly Cash Flow'!BS$4,'Rent Roll Analysis'!$AT$6:$AT$15,0)),0)</f>
        <v>1741.0236594263881</v>
      </c>
      <c r="BT56" s="1388">
        <f>IFERROR(INDEX('Rent Roll Analysis'!$AW$6:$AW$15,MATCH('Monthly Cash Flow'!BT$4,'Rent Roll Analysis'!$AT$6:$AT$15,0)),0)</f>
        <v>1741.0236594263881</v>
      </c>
      <c r="BU56" s="1388">
        <f>IFERROR(INDEX('Rent Roll Analysis'!$AW$6:$AW$15,MATCH('Monthly Cash Flow'!BU$4,'Rent Roll Analysis'!$AT$6:$AT$15,0)),0)</f>
        <v>1741.0236594263881</v>
      </c>
      <c r="BV56" s="1388">
        <f>IFERROR(INDEX('Rent Roll Analysis'!$AW$6:$AW$15,MATCH('Monthly Cash Flow'!BV$4,'Rent Roll Analysis'!$AT$6:$AT$15,0)),0)</f>
        <v>1741.0236594263881</v>
      </c>
      <c r="BW56" s="1388">
        <f>IFERROR(INDEX('Rent Roll Analysis'!$AW$6:$AW$15,MATCH('Monthly Cash Flow'!BW$4,'Rent Roll Analysis'!$AT$6:$AT$15,0)),0)</f>
        <v>1741.0236594263881</v>
      </c>
      <c r="BX56" s="1388">
        <f>IFERROR(INDEX('Rent Roll Analysis'!$AW$6:$AW$15,MATCH('Monthly Cash Flow'!BX$4,'Rent Roll Analysis'!$AT$6:$AT$15,0)),0)</f>
        <v>1741.0236594263881</v>
      </c>
      <c r="BY56" s="1388">
        <f>IFERROR(INDEX('Rent Roll Analysis'!$AW$6:$AW$15,MATCH('Monthly Cash Flow'!BY$4,'Rent Roll Analysis'!$AT$6:$AT$15,0)),0)</f>
        <v>1775.8440572922825</v>
      </c>
      <c r="BZ56" s="1388">
        <f>IFERROR(INDEX('Rent Roll Analysis'!$AW$6:$AW$15,MATCH('Monthly Cash Flow'!BZ$4,'Rent Roll Analysis'!$AT$6:$AT$15,0)),0)</f>
        <v>1775.8440572922825</v>
      </c>
      <c r="CA56" s="1388">
        <f>IFERROR(INDEX('Rent Roll Analysis'!$AW$6:$AW$15,MATCH('Monthly Cash Flow'!CA$4,'Rent Roll Analysis'!$AT$6:$AT$15,0)),0)</f>
        <v>1775.8440572922825</v>
      </c>
      <c r="CB56" s="1388">
        <f>IFERROR(INDEX('Rent Roll Analysis'!$AW$6:$AW$15,MATCH('Monthly Cash Flow'!CB$4,'Rent Roll Analysis'!$AT$6:$AT$15,0)),0)</f>
        <v>1775.8440572922825</v>
      </c>
      <c r="CC56" s="1388">
        <f>IFERROR(INDEX('Rent Roll Analysis'!$AW$6:$AW$15,MATCH('Monthly Cash Flow'!CC$4,'Rent Roll Analysis'!$AT$6:$AT$15,0)),0)</f>
        <v>1775.8440572922825</v>
      </c>
      <c r="CD56" s="1388">
        <f>IFERROR(INDEX('Rent Roll Analysis'!$AW$6:$AW$15,MATCH('Monthly Cash Flow'!CD$4,'Rent Roll Analysis'!$AT$6:$AT$15,0)),0)</f>
        <v>1775.8440572922825</v>
      </c>
      <c r="CE56" s="1388">
        <f>IFERROR(INDEX('Rent Roll Analysis'!$AW$6:$AW$15,MATCH('Monthly Cash Flow'!CE$4,'Rent Roll Analysis'!$AT$6:$AT$15,0)),0)</f>
        <v>1775.8440572922825</v>
      </c>
      <c r="CF56" s="1388">
        <f>IFERROR(INDEX('Rent Roll Analysis'!$AW$6:$AW$15,MATCH('Monthly Cash Flow'!CF$4,'Rent Roll Analysis'!$AT$6:$AT$15,0)),0)</f>
        <v>1775.8440572922825</v>
      </c>
      <c r="CG56" s="1388">
        <f>IFERROR(INDEX('Rent Roll Analysis'!$AW$6:$AW$15,MATCH('Monthly Cash Flow'!CG$4,'Rent Roll Analysis'!$AT$6:$AT$15,0)),0)</f>
        <v>1775.8440572922825</v>
      </c>
      <c r="CH56" s="1388">
        <f>IFERROR(INDEX('Rent Roll Analysis'!$AW$6:$AW$15,MATCH('Monthly Cash Flow'!CH$4,'Rent Roll Analysis'!$AT$6:$AT$15,0)),0)</f>
        <v>1775.8440572922825</v>
      </c>
      <c r="CI56" s="1388">
        <f>IFERROR(INDEX('Rent Roll Analysis'!$AW$6:$AW$15,MATCH('Monthly Cash Flow'!CI$4,'Rent Roll Analysis'!$AT$6:$AT$15,0)),0)</f>
        <v>1775.8440572922825</v>
      </c>
      <c r="CJ56" s="1388">
        <f>IFERROR(INDEX('Rent Roll Analysis'!$AW$6:$AW$15,MATCH('Monthly Cash Flow'!CJ$4,'Rent Roll Analysis'!$AT$6:$AT$15,0)),0)</f>
        <v>1775.8440572922825</v>
      </c>
      <c r="CK56" s="1388">
        <f>IFERROR(INDEX('Rent Roll Analysis'!$AW$6:$AW$15,MATCH('Monthly Cash Flow'!CK$4,'Rent Roll Analysis'!$AT$6:$AT$15,0)),0)</f>
        <v>1811.3611895135723</v>
      </c>
      <c r="CL56" s="1388">
        <f>IFERROR(INDEX('Rent Roll Analysis'!$AW$6:$AW$15,MATCH('Monthly Cash Flow'!CL$4,'Rent Roll Analysis'!$AT$6:$AT$15,0)),0)</f>
        <v>1811.3611895135723</v>
      </c>
      <c r="CM56" s="1388">
        <f>IFERROR(INDEX('Rent Roll Analysis'!$AW$6:$AW$15,MATCH('Monthly Cash Flow'!CM$4,'Rent Roll Analysis'!$AT$6:$AT$15,0)),0)</f>
        <v>1811.3611895135723</v>
      </c>
      <c r="CN56" s="1388">
        <f>IFERROR(INDEX('Rent Roll Analysis'!$AW$6:$AW$15,MATCH('Monthly Cash Flow'!CN$4,'Rent Roll Analysis'!$AT$6:$AT$15,0)),0)</f>
        <v>1811.3611895135723</v>
      </c>
      <c r="CO56" s="1388">
        <f>IFERROR(INDEX('Rent Roll Analysis'!$AW$6:$AW$15,MATCH('Monthly Cash Flow'!CO$4,'Rent Roll Analysis'!$AT$6:$AT$15,0)),0)</f>
        <v>1811.3611895135723</v>
      </c>
      <c r="CP56" s="1388">
        <f>IFERROR(INDEX('Rent Roll Analysis'!$AW$6:$AW$15,MATCH('Monthly Cash Flow'!CP$4,'Rent Roll Analysis'!$AT$6:$AT$15,0)),0)</f>
        <v>1811.3611895135723</v>
      </c>
      <c r="CQ56" s="1388">
        <f>IFERROR(INDEX('Rent Roll Analysis'!$AW$6:$AW$15,MATCH('Monthly Cash Flow'!CQ$4,'Rent Roll Analysis'!$AT$6:$AT$15,0)),0)</f>
        <v>1811.3611895135723</v>
      </c>
      <c r="CR56" s="1388">
        <f>IFERROR(INDEX('Rent Roll Analysis'!$AW$6:$AW$15,MATCH('Monthly Cash Flow'!CR$4,'Rent Roll Analysis'!$AT$6:$AT$15,0)),0)</f>
        <v>1811.3611895135723</v>
      </c>
      <c r="CS56" s="1388">
        <f>IFERROR(INDEX('Rent Roll Analysis'!$AW$6:$AW$15,MATCH('Monthly Cash Flow'!CS$4,'Rent Roll Analysis'!$AT$6:$AT$15,0)),0)</f>
        <v>1811.3611895135723</v>
      </c>
      <c r="CT56" s="1388">
        <f>IFERROR(INDEX('Rent Roll Analysis'!$AW$6:$AW$15,MATCH('Monthly Cash Flow'!CT$4,'Rent Roll Analysis'!$AT$6:$AT$15,0)),0)</f>
        <v>1811.3611895135723</v>
      </c>
      <c r="CU56" s="1388">
        <f>IFERROR(INDEX('Rent Roll Analysis'!$AW$6:$AW$15,MATCH('Monthly Cash Flow'!CU$4,'Rent Roll Analysis'!$AT$6:$AT$15,0)),0)</f>
        <v>1811.3611895135723</v>
      </c>
      <c r="CV56" s="1388">
        <f>IFERROR(INDEX('Rent Roll Analysis'!$AW$6:$AW$15,MATCH('Monthly Cash Flow'!CV$4,'Rent Roll Analysis'!$AT$6:$AT$15,0)),0)</f>
        <v>1811.3611895135723</v>
      </c>
      <c r="CW56" s="1388">
        <f>IFERROR(INDEX('Rent Roll Analysis'!$AW$6:$AW$15,MATCH('Monthly Cash Flow'!CW$4,'Rent Roll Analysis'!$AT$6:$AT$15,0)),0)</f>
        <v>1847.5882375510325</v>
      </c>
      <c r="CX56" s="1388">
        <f>IFERROR(INDEX('Rent Roll Analysis'!$AW$6:$AW$15,MATCH('Monthly Cash Flow'!CX$4,'Rent Roll Analysis'!$AT$6:$AT$15,0)),0)</f>
        <v>1847.5882375510325</v>
      </c>
      <c r="CY56" s="1388">
        <f>IFERROR(INDEX('Rent Roll Analysis'!$AW$6:$AW$15,MATCH('Monthly Cash Flow'!CY$4,'Rent Roll Analysis'!$AT$6:$AT$15,0)),0)</f>
        <v>1847.5882375510325</v>
      </c>
      <c r="CZ56" s="1388">
        <f>IFERROR(INDEX('Rent Roll Analysis'!$AW$6:$AW$15,MATCH('Monthly Cash Flow'!CZ$4,'Rent Roll Analysis'!$AT$6:$AT$15,0)),0)</f>
        <v>1847.5882375510325</v>
      </c>
      <c r="DA56" s="1388">
        <f>IFERROR(INDEX('Rent Roll Analysis'!$AW$6:$AW$15,MATCH('Monthly Cash Flow'!DA$4,'Rent Roll Analysis'!$AT$6:$AT$15,0)),0)</f>
        <v>1847.5882375510325</v>
      </c>
      <c r="DB56" s="1388">
        <f>IFERROR(INDEX('Rent Roll Analysis'!$AW$6:$AW$15,MATCH('Monthly Cash Flow'!DB$4,'Rent Roll Analysis'!$AT$6:$AT$15,0)),0)</f>
        <v>1847.5882375510325</v>
      </c>
      <c r="DC56" s="1388">
        <f>IFERROR(INDEX('Rent Roll Analysis'!$AW$6:$AW$15,MATCH('Monthly Cash Flow'!DC$4,'Rent Roll Analysis'!$AT$6:$AT$15,0)),0)</f>
        <v>1847.5882375510325</v>
      </c>
      <c r="DD56" s="1388">
        <f>IFERROR(INDEX('Rent Roll Analysis'!$AW$6:$AW$15,MATCH('Monthly Cash Flow'!DD$4,'Rent Roll Analysis'!$AT$6:$AT$15,0)),0)</f>
        <v>1847.5882375510325</v>
      </c>
      <c r="DE56" s="1388">
        <f>IFERROR(INDEX('Rent Roll Analysis'!$AW$6:$AW$15,MATCH('Monthly Cash Flow'!DE$4,'Rent Roll Analysis'!$AT$6:$AT$15,0)),0)</f>
        <v>1847.5882375510325</v>
      </c>
      <c r="DF56" s="1388">
        <f>IFERROR(INDEX('Rent Roll Analysis'!$AW$6:$AW$15,MATCH('Monthly Cash Flow'!DF$4,'Rent Roll Analysis'!$AT$6:$AT$15,0)),0)</f>
        <v>1847.5882375510325</v>
      </c>
      <c r="DG56" s="1388">
        <f>IFERROR(INDEX('Rent Roll Analysis'!$AW$6:$AW$15,MATCH('Monthly Cash Flow'!DG$4,'Rent Roll Analysis'!$AT$6:$AT$15,0)),0)</f>
        <v>1847.5882375510325</v>
      </c>
      <c r="DH56" s="1388">
        <f>IFERROR(INDEX('Rent Roll Analysis'!$AW$6:$AW$15,MATCH('Monthly Cash Flow'!DH$4,'Rent Roll Analysis'!$AT$6:$AT$15,0)),0)</f>
        <v>1847.5882375510325</v>
      </c>
      <c r="DI56" s="1388">
        <f>IFERROR(INDEX('Rent Roll Analysis'!$AW$6:$AW$15,MATCH('Monthly Cash Flow'!DI$4,'Rent Roll Analysis'!$AT$6:$AT$15,0)),0)</f>
        <v>1884.5399520869646</v>
      </c>
      <c r="DJ56" s="1388">
        <f>IFERROR(INDEX('Rent Roll Analysis'!$AW$6:$AW$15,MATCH('Monthly Cash Flow'!DJ$4,'Rent Roll Analysis'!$AT$6:$AT$15,0)),0)</f>
        <v>1884.5399520869646</v>
      </c>
      <c r="DK56" s="1388">
        <f>IFERROR(INDEX('Rent Roll Analysis'!$AW$6:$AW$15,MATCH('Monthly Cash Flow'!DK$4,'Rent Roll Analysis'!$AT$6:$AT$15,0)),0)</f>
        <v>1884.5399520869646</v>
      </c>
      <c r="DL56" s="1388">
        <f>IFERROR(INDEX('Rent Roll Analysis'!$AW$6:$AW$15,MATCH('Monthly Cash Flow'!DL$4,'Rent Roll Analysis'!$AT$6:$AT$15,0)),0)</f>
        <v>1884.5399520869646</v>
      </c>
      <c r="DM56" s="1388">
        <f>IFERROR(INDEX('Rent Roll Analysis'!$AW$6:$AW$15,MATCH('Monthly Cash Flow'!DM$4,'Rent Roll Analysis'!$AT$6:$AT$15,0)),0)</f>
        <v>1884.5399520869646</v>
      </c>
      <c r="DN56" s="1388">
        <f>IFERROR(INDEX('Rent Roll Analysis'!$AW$6:$AW$15,MATCH('Monthly Cash Flow'!DN$4,'Rent Roll Analysis'!$AT$6:$AT$15,0)),0)</f>
        <v>1884.5399520869646</v>
      </c>
      <c r="DO56" s="1388">
        <f>IFERROR(INDEX('Rent Roll Analysis'!$AW$6:$AW$15,MATCH('Monthly Cash Flow'!DO$4,'Rent Roll Analysis'!$AT$6:$AT$15,0)),0)</f>
        <v>1884.5399520869646</v>
      </c>
      <c r="DP56" s="1388">
        <f>IFERROR(INDEX('Rent Roll Analysis'!$AW$6:$AW$15,MATCH('Monthly Cash Flow'!DP$4,'Rent Roll Analysis'!$AT$6:$AT$15,0)),0)</f>
        <v>1884.5399520869646</v>
      </c>
      <c r="DQ56" s="1388">
        <f>IFERROR(INDEX('Rent Roll Analysis'!$AW$6:$AW$15,MATCH('Monthly Cash Flow'!DQ$4,'Rent Roll Analysis'!$AT$6:$AT$15,0)),0)</f>
        <v>1884.5399520869646</v>
      </c>
      <c r="DR56" s="1388">
        <f>IFERROR(INDEX('Rent Roll Analysis'!$AW$6:$AW$15,MATCH('Monthly Cash Flow'!DR$4,'Rent Roll Analysis'!$AT$6:$AT$15,0)),0)</f>
        <v>1884.5399520869646</v>
      </c>
      <c r="DS56" s="1388">
        <f>IFERROR(INDEX('Rent Roll Analysis'!$AW$6:$AW$15,MATCH('Monthly Cash Flow'!DS$4,'Rent Roll Analysis'!$AT$6:$AT$15,0)),0)</f>
        <v>1884.5399520869646</v>
      </c>
      <c r="DT56" s="1388">
        <f>IFERROR(INDEX('Rent Roll Analysis'!$AW$6:$AW$15,MATCH('Monthly Cash Flow'!DT$4,'Rent Roll Analysis'!$AT$6:$AT$15,0)),0)</f>
        <v>1884.5399520869646</v>
      </c>
      <c r="DU56" s="385" t="s">
        <v>557</v>
      </c>
      <c r="DV56" s="196"/>
    </row>
    <row r="57" spans="1:126" s="5" customFormat="1" ht="19" outlineLevel="1">
      <c r="A57" s="196"/>
      <c r="B57" s="383" t="s">
        <v>1081</v>
      </c>
      <c r="C57" s="1384"/>
      <c r="D57" s="1385"/>
      <c r="E57" s="384">
        <f>IFERROR(E55*E46,0)</f>
        <v>0</v>
      </c>
      <c r="F57" s="384">
        <f t="shared" ref="F57:BQ57" si="126">IFERROR(F55*F46,0)</f>
        <v>0</v>
      </c>
      <c r="G57" s="384">
        <f t="shared" si="126"/>
        <v>0</v>
      </c>
      <c r="H57" s="384">
        <f t="shared" si="126"/>
        <v>0</v>
      </c>
      <c r="I57" s="384">
        <f t="shared" si="126"/>
        <v>0</v>
      </c>
      <c r="J57" s="384">
        <f t="shared" si="126"/>
        <v>0</v>
      </c>
      <c r="K57" s="384">
        <f t="shared" si="126"/>
        <v>0</v>
      </c>
      <c r="L57" s="384">
        <f t="shared" si="126"/>
        <v>0</v>
      </c>
      <c r="M57" s="384">
        <f t="shared" si="126"/>
        <v>0</v>
      </c>
      <c r="N57" s="384">
        <f t="shared" si="126"/>
        <v>0</v>
      </c>
      <c r="O57" s="384">
        <f t="shared" si="126"/>
        <v>0</v>
      </c>
      <c r="P57" s="384">
        <f t="shared" si="126"/>
        <v>0</v>
      </c>
      <c r="Q57" s="384">
        <f t="shared" si="126"/>
        <v>0</v>
      </c>
      <c r="R57" s="384">
        <f t="shared" si="126"/>
        <v>0</v>
      </c>
      <c r="S57" s="384">
        <f t="shared" si="126"/>
        <v>0</v>
      </c>
      <c r="T57" s="384">
        <f t="shared" si="126"/>
        <v>0</v>
      </c>
      <c r="U57" s="384">
        <f t="shared" si="126"/>
        <v>0</v>
      </c>
      <c r="V57" s="384">
        <f t="shared" si="126"/>
        <v>0</v>
      </c>
      <c r="W57" s="384">
        <f t="shared" si="126"/>
        <v>0</v>
      </c>
      <c r="X57" s="384">
        <f t="shared" si="126"/>
        <v>0</v>
      </c>
      <c r="Y57" s="384">
        <f t="shared" si="126"/>
        <v>0</v>
      </c>
      <c r="Z57" s="384">
        <f t="shared" si="126"/>
        <v>0</v>
      </c>
      <c r="AA57" s="384">
        <f t="shared" si="126"/>
        <v>0</v>
      </c>
      <c r="AB57" s="384">
        <f t="shared" si="126"/>
        <v>0</v>
      </c>
      <c r="AC57" s="384">
        <f t="shared" si="126"/>
        <v>0</v>
      </c>
      <c r="AD57" s="384">
        <f t="shared" si="126"/>
        <v>0</v>
      </c>
      <c r="AE57" s="384">
        <f t="shared" si="126"/>
        <v>0</v>
      </c>
      <c r="AF57" s="384">
        <f t="shared" si="126"/>
        <v>0</v>
      </c>
      <c r="AG57" s="384">
        <f t="shared" si="126"/>
        <v>0</v>
      </c>
      <c r="AH57" s="384">
        <f t="shared" si="126"/>
        <v>0</v>
      </c>
      <c r="AI57" s="384">
        <f t="shared" si="126"/>
        <v>0</v>
      </c>
      <c r="AJ57" s="384">
        <f t="shared" si="126"/>
        <v>0</v>
      </c>
      <c r="AK57" s="384">
        <f t="shared" si="126"/>
        <v>0</v>
      </c>
      <c r="AL57" s="384">
        <f t="shared" si="126"/>
        <v>0</v>
      </c>
      <c r="AM57" s="384">
        <f t="shared" si="126"/>
        <v>0</v>
      </c>
      <c r="AN57" s="384">
        <f t="shared" si="126"/>
        <v>0</v>
      </c>
      <c r="AO57" s="384">
        <f t="shared" si="126"/>
        <v>0</v>
      </c>
      <c r="AP57" s="384">
        <f t="shared" si="126"/>
        <v>0</v>
      </c>
      <c r="AQ57" s="384">
        <f t="shared" si="126"/>
        <v>0</v>
      </c>
      <c r="AR57" s="384">
        <f t="shared" si="126"/>
        <v>0</v>
      </c>
      <c r="AS57" s="384">
        <f t="shared" si="126"/>
        <v>0</v>
      </c>
      <c r="AT57" s="384">
        <f t="shared" si="126"/>
        <v>0</v>
      </c>
      <c r="AU57" s="384">
        <f t="shared" si="126"/>
        <v>0</v>
      </c>
      <c r="AV57" s="384">
        <f t="shared" si="126"/>
        <v>0</v>
      </c>
      <c r="AW57" s="384">
        <f t="shared" si="126"/>
        <v>0</v>
      </c>
      <c r="AX57" s="384">
        <f t="shared" si="126"/>
        <v>0</v>
      </c>
      <c r="AY57" s="384">
        <f t="shared" si="126"/>
        <v>0</v>
      </c>
      <c r="AZ57" s="384">
        <f t="shared" si="126"/>
        <v>0</v>
      </c>
      <c r="BA57" s="384">
        <f t="shared" si="126"/>
        <v>0</v>
      </c>
      <c r="BB57" s="384">
        <f t="shared" si="126"/>
        <v>0</v>
      </c>
      <c r="BC57" s="384">
        <f t="shared" si="126"/>
        <v>0</v>
      </c>
      <c r="BD57" s="384">
        <f t="shared" si="126"/>
        <v>0</v>
      </c>
      <c r="BE57" s="384">
        <f t="shared" si="126"/>
        <v>0</v>
      </c>
      <c r="BF57" s="384">
        <f t="shared" si="126"/>
        <v>0</v>
      </c>
      <c r="BG57" s="384">
        <f t="shared" si="126"/>
        <v>0</v>
      </c>
      <c r="BH57" s="384">
        <f t="shared" si="126"/>
        <v>0</v>
      </c>
      <c r="BI57" s="384">
        <f t="shared" si="126"/>
        <v>0</v>
      </c>
      <c r="BJ57" s="384">
        <f t="shared" si="126"/>
        <v>0</v>
      </c>
      <c r="BK57" s="384">
        <f t="shared" si="126"/>
        <v>0</v>
      </c>
      <c r="BL57" s="384">
        <f t="shared" si="126"/>
        <v>0</v>
      </c>
      <c r="BM57" s="384">
        <f t="shared" si="126"/>
        <v>0</v>
      </c>
      <c r="BN57" s="384">
        <f t="shared" si="126"/>
        <v>0</v>
      </c>
      <c r="BO57" s="384">
        <f t="shared" si="126"/>
        <v>0</v>
      </c>
      <c r="BP57" s="384">
        <f t="shared" si="126"/>
        <v>0</v>
      </c>
      <c r="BQ57" s="384">
        <f t="shared" si="126"/>
        <v>0</v>
      </c>
      <c r="BR57" s="384">
        <f t="shared" ref="BR57:DT57" si="127">IFERROR(BR55*BR46,0)</f>
        <v>0</v>
      </c>
      <c r="BS57" s="384">
        <f t="shared" si="127"/>
        <v>0</v>
      </c>
      <c r="BT57" s="384">
        <f t="shared" si="127"/>
        <v>0</v>
      </c>
      <c r="BU57" s="384">
        <f t="shared" si="127"/>
        <v>0</v>
      </c>
      <c r="BV57" s="384">
        <f t="shared" si="127"/>
        <v>0</v>
      </c>
      <c r="BW57" s="384">
        <f t="shared" si="127"/>
        <v>0</v>
      </c>
      <c r="BX57" s="384">
        <f t="shared" si="127"/>
        <v>0</v>
      </c>
      <c r="BY57" s="384">
        <f t="shared" si="127"/>
        <v>0</v>
      </c>
      <c r="BZ57" s="384">
        <f t="shared" si="127"/>
        <v>0</v>
      </c>
      <c r="CA57" s="384">
        <f t="shared" si="127"/>
        <v>0</v>
      </c>
      <c r="CB57" s="384">
        <f t="shared" si="127"/>
        <v>0</v>
      </c>
      <c r="CC57" s="384">
        <f t="shared" si="127"/>
        <v>0</v>
      </c>
      <c r="CD57" s="384">
        <f t="shared" si="127"/>
        <v>0</v>
      </c>
      <c r="CE57" s="384">
        <f t="shared" si="127"/>
        <v>0</v>
      </c>
      <c r="CF57" s="384">
        <f t="shared" si="127"/>
        <v>0</v>
      </c>
      <c r="CG57" s="384">
        <f t="shared" si="127"/>
        <v>0</v>
      </c>
      <c r="CH57" s="384">
        <f t="shared" si="127"/>
        <v>0</v>
      </c>
      <c r="CI57" s="384">
        <f t="shared" si="127"/>
        <v>0</v>
      </c>
      <c r="CJ57" s="384">
        <f t="shared" si="127"/>
        <v>0</v>
      </c>
      <c r="CK57" s="384">
        <f t="shared" si="127"/>
        <v>0</v>
      </c>
      <c r="CL57" s="384">
        <f t="shared" si="127"/>
        <v>0</v>
      </c>
      <c r="CM57" s="384">
        <f t="shared" si="127"/>
        <v>0</v>
      </c>
      <c r="CN57" s="384">
        <f t="shared" si="127"/>
        <v>0</v>
      </c>
      <c r="CO57" s="384">
        <f t="shared" si="127"/>
        <v>0</v>
      </c>
      <c r="CP57" s="384">
        <f t="shared" si="127"/>
        <v>0</v>
      </c>
      <c r="CQ57" s="384">
        <f t="shared" si="127"/>
        <v>0</v>
      </c>
      <c r="CR57" s="384">
        <f t="shared" si="127"/>
        <v>0</v>
      </c>
      <c r="CS57" s="384">
        <f t="shared" si="127"/>
        <v>0</v>
      </c>
      <c r="CT57" s="384">
        <f t="shared" si="127"/>
        <v>0</v>
      </c>
      <c r="CU57" s="384">
        <f t="shared" si="127"/>
        <v>0</v>
      </c>
      <c r="CV57" s="384">
        <f t="shared" si="127"/>
        <v>0</v>
      </c>
      <c r="CW57" s="384">
        <f t="shared" si="127"/>
        <v>0</v>
      </c>
      <c r="CX57" s="384">
        <f t="shared" si="127"/>
        <v>0</v>
      </c>
      <c r="CY57" s="384">
        <f t="shared" si="127"/>
        <v>0</v>
      </c>
      <c r="CZ57" s="384">
        <f t="shared" si="127"/>
        <v>0</v>
      </c>
      <c r="DA57" s="384">
        <f t="shared" si="127"/>
        <v>0</v>
      </c>
      <c r="DB57" s="384">
        <f t="shared" si="127"/>
        <v>0</v>
      </c>
      <c r="DC57" s="384">
        <f t="shared" si="127"/>
        <v>0</v>
      </c>
      <c r="DD57" s="384">
        <f t="shared" si="127"/>
        <v>0</v>
      </c>
      <c r="DE57" s="384">
        <f t="shared" si="127"/>
        <v>0</v>
      </c>
      <c r="DF57" s="384">
        <f t="shared" si="127"/>
        <v>0</v>
      </c>
      <c r="DG57" s="384">
        <f t="shared" si="127"/>
        <v>0</v>
      </c>
      <c r="DH57" s="384">
        <f t="shared" si="127"/>
        <v>0</v>
      </c>
      <c r="DI57" s="384">
        <f t="shared" si="127"/>
        <v>0</v>
      </c>
      <c r="DJ57" s="384">
        <f t="shared" si="127"/>
        <v>0</v>
      </c>
      <c r="DK57" s="384">
        <f t="shared" si="127"/>
        <v>0</v>
      </c>
      <c r="DL57" s="384">
        <f t="shared" si="127"/>
        <v>0</v>
      </c>
      <c r="DM57" s="384">
        <f t="shared" si="127"/>
        <v>0</v>
      </c>
      <c r="DN57" s="384">
        <f t="shared" si="127"/>
        <v>0</v>
      </c>
      <c r="DO57" s="384">
        <f t="shared" si="127"/>
        <v>0</v>
      </c>
      <c r="DP57" s="384">
        <f t="shared" si="127"/>
        <v>0</v>
      </c>
      <c r="DQ57" s="384">
        <f t="shared" si="127"/>
        <v>0</v>
      </c>
      <c r="DR57" s="384">
        <f t="shared" si="127"/>
        <v>0</v>
      </c>
      <c r="DS57" s="384">
        <f t="shared" si="127"/>
        <v>0</v>
      </c>
      <c r="DT57" s="384">
        <f t="shared" si="127"/>
        <v>0</v>
      </c>
      <c r="DU57" s="385" t="s">
        <v>557</v>
      </c>
      <c r="DV57" s="196"/>
    </row>
    <row r="58" spans="1:126" s="5" customFormat="1" ht="19" outlineLevel="1">
      <c r="A58" s="196"/>
      <c r="B58" s="383" t="s">
        <v>1082</v>
      </c>
      <c r="C58" s="1386"/>
      <c r="D58" s="1387"/>
      <c r="E58" s="384">
        <f>IFERROR(E56*E45,0)</f>
        <v>373931.35545531963</v>
      </c>
      <c r="F58" s="384">
        <f t="shared" ref="F58:BQ58" si="128">IFERROR(F56*F45,0)</f>
        <v>373931.35545531963</v>
      </c>
      <c r="G58" s="384">
        <f t="shared" si="128"/>
        <v>373931.35545531963</v>
      </c>
      <c r="H58" s="384">
        <f t="shared" si="128"/>
        <v>373931.35545531963</v>
      </c>
      <c r="I58" s="384">
        <f t="shared" si="128"/>
        <v>373931.35545531963</v>
      </c>
      <c r="J58" s="384">
        <f t="shared" si="128"/>
        <v>373931.35545531963</v>
      </c>
      <c r="K58" s="384">
        <f t="shared" si="128"/>
        <v>373931.35545531963</v>
      </c>
      <c r="L58" s="384">
        <f t="shared" si="128"/>
        <v>373931.35545531963</v>
      </c>
      <c r="M58" s="384">
        <f t="shared" si="128"/>
        <v>373931.35545531963</v>
      </c>
      <c r="N58" s="384">
        <f t="shared" si="128"/>
        <v>373931.35545531963</v>
      </c>
      <c r="O58" s="384">
        <f t="shared" si="128"/>
        <v>373931.35545531963</v>
      </c>
      <c r="P58" s="384">
        <f t="shared" si="128"/>
        <v>373931.35545531963</v>
      </c>
      <c r="Q58" s="384">
        <f t="shared" si="128"/>
        <v>404486.99839364405</v>
      </c>
      <c r="R58" s="384">
        <f t="shared" si="128"/>
        <v>404486.99839364405</v>
      </c>
      <c r="S58" s="384">
        <f t="shared" si="128"/>
        <v>404486.99839364405</v>
      </c>
      <c r="T58" s="384">
        <f t="shared" si="128"/>
        <v>404486.99839364405</v>
      </c>
      <c r="U58" s="384">
        <f t="shared" si="128"/>
        <v>404486.99839364405</v>
      </c>
      <c r="V58" s="384">
        <f t="shared" si="128"/>
        <v>404486.99839364405</v>
      </c>
      <c r="W58" s="384">
        <f t="shared" si="128"/>
        <v>404486.99839364405</v>
      </c>
      <c r="X58" s="384">
        <f t="shared" si="128"/>
        <v>404486.99839364405</v>
      </c>
      <c r="Y58" s="384">
        <f t="shared" si="128"/>
        <v>404486.99839364405</v>
      </c>
      <c r="Z58" s="384">
        <f t="shared" si="128"/>
        <v>404486.99839364405</v>
      </c>
      <c r="AA58" s="384">
        <f t="shared" si="128"/>
        <v>404486.99839364405</v>
      </c>
      <c r="AB58" s="384">
        <f t="shared" si="128"/>
        <v>404486.99839364405</v>
      </c>
      <c r="AC58" s="384">
        <f t="shared" si="128"/>
        <v>420666.48827197752</v>
      </c>
      <c r="AD58" s="384">
        <f t="shared" si="128"/>
        <v>420666.48827197752</v>
      </c>
      <c r="AE58" s="384">
        <f t="shared" si="128"/>
        <v>420666.48827197752</v>
      </c>
      <c r="AF58" s="384">
        <f t="shared" si="128"/>
        <v>420666.48827197752</v>
      </c>
      <c r="AG58" s="384">
        <f t="shared" si="128"/>
        <v>420666.48827197752</v>
      </c>
      <c r="AH58" s="384">
        <f t="shared" si="128"/>
        <v>420666.48827197752</v>
      </c>
      <c r="AI58" s="384">
        <f t="shared" si="128"/>
        <v>420666.48827197752</v>
      </c>
      <c r="AJ58" s="384">
        <f t="shared" si="128"/>
        <v>420666.48827197752</v>
      </c>
      <c r="AK58" s="384">
        <f t="shared" si="128"/>
        <v>420666.48827197752</v>
      </c>
      <c r="AL58" s="384">
        <f t="shared" si="128"/>
        <v>420666.48827197752</v>
      </c>
      <c r="AM58" s="384">
        <f t="shared" si="128"/>
        <v>420666.48827197752</v>
      </c>
      <c r="AN58" s="384">
        <f t="shared" si="128"/>
        <v>420666.48827197752</v>
      </c>
      <c r="AO58" s="384">
        <f t="shared" si="128"/>
        <v>437493.07489054778</v>
      </c>
      <c r="AP58" s="384">
        <f t="shared" si="128"/>
        <v>437493.07489054778</v>
      </c>
      <c r="AQ58" s="384">
        <f t="shared" si="128"/>
        <v>437493.07489054778</v>
      </c>
      <c r="AR58" s="384">
        <f t="shared" si="128"/>
        <v>437493.07489054778</v>
      </c>
      <c r="AS58" s="384">
        <f t="shared" si="128"/>
        <v>437493.07489054778</v>
      </c>
      <c r="AT58" s="384">
        <f t="shared" si="128"/>
        <v>437493.07489054778</v>
      </c>
      <c r="AU58" s="384">
        <f t="shared" si="128"/>
        <v>437493.07489054778</v>
      </c>
      <c r="AV58" s="384">
        <f t="shared" si="128"/>
        <v>437493.07489054778</v>
      </c>
      <c r="AW58" s="384">
        <f t="shared" si="128"/>
        <v>437493.07489054778</v>
      </c>
      <c r="AX58" s="384">
        <f t="shared" si="128"/>
        <v>437493.07489054778</v>
      </c>
      <c r="AY58" s="384">
        <f t="shared" si="128"/>
        <v>437493.07489054778</v>
      </c>
      <c r="AZ58" s="384">
        <f t="shared" si="128"/>
        <v>437493.07489054778</v>
      </c>
      <c r="BA58" s="384">
        <f t="shared" si="128"/>
        <v>450617.87045146007</v>
      </c>
      <c r="BB58" s="384">
        <f t="shared" si="128"/>
        <v>450617.87045146007</v>
      </c>
      <c r="BC58" s="384">
        <f t="shared" si="128"/>
        <v>450617.87045146007</v>
      </c>
      <c r="BD58" s="384">
        <f t="shared" si="128"/>
        <v>450617.87045146007</v>
      </c>
      <c r="BE58" s="384">
        <f t="shared" si="128"/>
        <v>450617.87045146007</v>
      </c>
      <c r="BF58" s="384">
        <f t="shared" si="128"/>
        <v>450617.87045146007</v>
      </c>
      <c r="BG58" s="384">
        <f t="shared" si="128"/>
        <v>450617.87045146007</v>
      </c>
      <c r="BH58" s="384">
        <f t="shared" si="128"/>
        <v>450617.87045146007</v>
      </c>
      <c r="BI58" s="384">
        <f t="shared" si="128"/>
        <v>450617.87045146007</v>
      </c>
      <c r="BJ58" s="384">
        <f t="shared" si="128"/>
        <v>450617.87045146007</v>
      </c>
      <c r="BK58" s="384">
        <f t="shared" si="128"/>
        <v>450617.87045146007</v>
      </c>
      <c r="BL58" s="384">
        <f t="shared" si="128"/>
        <v>450617.87045146007</v>
      </c>
      <c r="BM58" s="384">
        <f t="shared" si="128"/>
        <v>459630.24608856649</v>
      </c>
      <c r="BN58" s="384">
        <f t="shared" si="128"/>
        <v>459630.24608856649</v>
      </c>
      <c r="BO58" s="384">
        <f t="shared" si="128"/>
        <v>459630.24608856649</v>
      </c>
      <c r="BP58" s="384">
        <f t="shared" si="128"/>
        <v>459630.24608856649</v>
      </c>
      <c r="BQ58" s="384">
        <f t="shared" si="128"/>
        <v>459630.24608856649</v>
      </c>
      <c r="BR58" s="384">
        <f t="shared" ref="BR58:DT58" si="129">IFERROR(BR56*BR45,0)</f>
        <v>459630.24608856649</v>
      </c>
      <c r="BS58" s="384">
        <f t="shared" si="129"/>
        <v>459630.24608856649</v>
      </c>
      <c r="BT58" s="384">
        <f t="shared" si="129"/>
        <v>459630.24608856649</v>
      </c>
      <c r="BU58" s="384">
        <f t="shared" si="129"/>
        <v>459630.24608856649</v>
      </c>
      <c r="BV58" s="384">
        <f t="shared" si="129"/>
        <v>459630.24608856649</v>
      </c>
      <c r="BW58" s="384">
        <f t="shared" si="129"/>
        <v>459630.24608856649</v>
      </c>
      <c r="BX58" s="384">
        <f t="shared" si="129"/>
        <v>459630.24608856649</v>
      </c>
      <c r="BY58" s="384">
        <f t="shared" si="129"/>
        <v>468822.8311251626</v>
      </c>
      <c r="BZ58" s="384">
        <f t="shared" si="129"/>
        <v>468822.8311251626</v>
      </c>
      <c r="CA58" s="384">
        <f t="shared" si="129"/>
        <v>468822.8311251626</v>
      </c>
      <c r="CB58" s="384">
        <f t="shared" si="129"/>
        <v>468822.8311251626</v>
      </c>
      <c r="CC58" s="384">
        <f t="shared" si="129"/>
        <v>468822.8311251626</v>
      </c>
      <c r="CD58" s="384">
        <f t="shared" si="129"/>
        <v>468822.8311251626</v>
      </c>
      <c r="CE58" s="384">
        <f t="shared" si="129"/>
        <v>468822.8311251626</v>
      </c>
      <c r="CF58" s="384">
        <f t="shared" si="129"/>
        <v>468822.8311251626</v>
      </c>
      <c r="CG58" s="384">
        <f t="shared" si="129"/>
        <v>468822.8311251626</v>
      </c>
      <c r="CH58" s="384">
        <f t="shared" si="129"/>
        <v>468822.8311251626</v>
      </c>
      <c r="CI58" s="384">
        <f t="shared" si="129"/>
        <v>468822.8311251626</v>
      </c>
      <c r="CJ58" s="384">
        <f t="shared" si="129"/>
        <v>468822.8311251626</v>
      </c>
      <c r="CK58" s="384">
        <f t="shared" si="129"/>
        <v>478199.35403158306</v>
      </c>
      <c r="CL58" s="384">
        <f t="shared" si="129"/>
        <v>478199.35403158306</v>
      </c>
      <c r="CM58" s="384">
        <f t="shared" si="129"/>
        <v>478199.35403158306</v>
      </c>
      <c r="CN58" s="384">
        <f t="shared" si="129"/>
        <v>478199.35403158306</v>
      </c>
      <c r="CO58" s="384">
        <f t="shared" si="129"/>
        <v>478199.35403158306</v>
      </c>
      <c r="CP58" s="384">
        <f t="shared" si="129"/>
        <v>478199.35403158306</v>
      </c>
      <c r="CQ58" s="384">
        <f t="shared" si="129"/>
        <v>478199.35403158306</v>
      </c>
      <c r="CR58" s="384">
        <f t="shared" si="129"/>
        <v>478199.35403158306</v>
      </c>
      <c r="CS58" s="384">
        <f t="shared" si="129"/>
        <v>478199.35403158306</v>
      </c>
      <c r="CT58" s="384">
        <f t="shared" si="129"/>
        <v>478199.35403158306</v>
      </c>
      <c r="CU58" s="384">
        <f t="shared" si="129"/>
        <v>478199.35403158306</v>
      </c>
      <c r="CV58" s="384">
        <f t="shared" si="129"/>
        <v>478199.35403158306</v>
      </c>
      <c r="CW58" s="384">
        <f t="shared" si="129"/>
        <v>487763.2947134726</v>
      </c>
      <c r="CX58" s="384">
        <f t="shared" si="129"/>
        <v>487763.2947134726</v>
      </c>
      <c r="CY58" s="384">
        <f t="shared" si="129"/>
        <v>487763.2947134726</v>
      </c>
      <c r="CZ58" s="384">
        <f t="shared" si="129"/>
        <v>487763.2947134726</v>
      </c>
      <c r="DA58" s="384">
        <f t="shared" si="129"/>
        <v>487763.2947134726</v>
      </c>
      <c r="DB58" s="384">
        <f t="shared" si="129"/>
        <v>487763.2947134726</v>
      </c>
      <c r="DC58" s="384">
        <f t="shared" si="129"/>
        <v>487763.2947134726</v>
      </c>
      <c r="DD58" s="384">
        <f t="shared" si="129"/>
        <v>487763.2947134726</v>
      </c>
      <c r="DE58" s="384">
        <f t="shared" si="129"/>
        <v>487763.2947134726</v>
      </c>
      <c r="DF58" s="384">
        <f t="shared" si="129"/>
        <v>487763.2947134726</v>
      </c>
      <c r="DG58" s="384">
        <f t="shared" si="129"/>
        <v>487763.2947134726</v>
      </c>
      <c r="DH58" s="384">
        <f t="shared" si="129"/>
        <v>487763.2947134726</v>
      </c>
      <c r="DI58" s="384">
        <f t="shared" si="129"/>
        <v>497518.54735095863</v>
      </c>
      <c r="DJ58" s="384">
        <f t="shared" si="129"/>
        <v>497518.54735095863</v>
      </c>
      <c r="DK58" s="384">
        <f t="shared" si="129"/>
        <v>497518.54735095863</v>
      </c>
      <c r="DL58" s="384">
        <f t="shared" si="129"/>
        <v>497518.54735095863</v>
      </c>
      <c r="DM58" s="384">
        <f t="shared" si="129"/>
        <v>497518.54735095863</v>
      </c>
      <c r="DN58" s="384">
        <f t="shared" si="129"/>
        <v>497518.54735095863</v>
      </c>
      <c r="DO58" s="384">
        <f t="shared" si="129"/>
        <v>497518.54735095863</v>
      </c>
      <c r="DP58" s="384">
        <f t="shared" si="129"/>
        <v>497518.54735095863</v>
      </c>
      <c r="DQ58" s="384">
        <f t="shared" si="129"/>
        <v>497518.54735095863</v>
      </c>
      <c r="DR58" s="384">
        <f t="shared" si="129"/>
        <v>497518.54735095863</v>
      </c>
      <c r="DS58" s="384">
        <f t="shared" si="129"/>
        <v>497518.54735095863</v>
      </c>
      <c r="DT58" s="384">
        <f t="shared" si="129"/>
        <v>497518.54735095863</v>
      </c>
      <c r="DU58" s="385" t="s">
        <v>557</v>
      </c>
      <c r="DV58" s="196"/>
    </row>
    <row r="59" spans="1:126" s="5" customFormat="1" ht="19" outlineLevel="1">
      <c r="A59" s="196"/>
      <c r="B59" s="212" t="s">
        <v>1083</v>
      </c>
      <c r="C59" s="386"/>
      <c r="D59" s="387">
        <f>SUM(D45:D58)</f>
        <v>3045.1875499117555</v>
      </c>
      <c r="E59" s="388">
        <f>SUM(E57:E58)</f>
        <v>373931.35545531963</v>
      </c>
      <c r="F59" s="388">
        <f t="shared" ref="F59:BQ59" si="130">SUM(F57:F58)</f>
        <v>373931.35545531963</v>
      </c>
      <c r="G59" s="388">
        <f t="shared" si="130"/>
        <v>373931.35545531963</v>
      </c>
      <c r="H59" s="388">
        <f t="shared" si="130"/>
        <v>373931.35545531963</v>
      </c>
      <c r="I59" s="388">
        <f t="shared" si="130"/>
        <v>373931.35545531963</v>
      </c>
      <c r="J59" s="388">
        <f t="shared" si="130"/>
        <v>373931.35545531963</v>
      </c>
      <c r="K59" s="388">
        <f t="shared" si="130"/>
        <v>373931.35545531963</v>
      </c>
      <c r="L59" s="388">
        <f t="shared" si="130"/>
        <v>373931.35545531963</v>
      </c>
      <c r="M59" s="388">
        <f t="shared" si="130"/>
        <v>373931.35545531963</v>
      </c>
      <c r="N59" s="388">
        <f t="shared" si="130"/>
        <v>373931.35545531963</v>
      </c>
      <c r="O59" s="388">
        <f t="shared" si="130"/>
        <v>373931.35545531963</v>
      </c>
      <c r="P59" s="388">
        <f t="shared" si="130"/>
        <v>373931.35545531963</v>
      </c>
      <c r="Q59" s="388">
        <f t="shared" si="130"/>
        <v>404486.99839364405</v>
      </c>
      <c r="R59" s="388">
        <f t="shared" si="130"/>
        <v>404486.99839364405</v>
      </c>
      <c r="S59" s="388">
        <f t="shared" si="130"/>
        <v>404486.99839364405</v>
      </c>
      <c r="T59" s="388">
        <f t="shared" si="130"/>
        <v>404486.99839364405</v>
      </c>
      <c r="U59" s="388">
        <f t="shared" si="130"/>
        <v>404486.99839364405</v>
      </c>
      <c r="V59" s="388">
        <f t="shared" si="130"/>
        <v>404486.99839364405</v>
      </c>
      <c r="W59" s="388">
        <f t="shared" si="130"/>
        <v>404486.99839364405</v>
      </c>
      <c r="X59" s="388">
        <f t="shared" si="130"/>
        <v>404486.99839364405</v>
      </c>
      <c r="Y59" s="388">
        <f t="shared" si="130"/>
        <v>404486.99839364405</v>
      </c>
      <c r="Z59" s="388">
        <f t="shared" si="130"/>
        <v>404486.99839364405</v>
      </c>
      <c r="AA59" s="388">
        <f t="shared" si="130"/>
        <v>404486.99839364405</v>
      </c>
      <c r="AB59" s="388">
        <f t="shared" si="130"/>
        <v>404486.99839364405</v>
      </c>
      <c r="AC59" s="388">
        <f t="shared" si="130"/>
        <v>420666.48827197752</v>
      </c>
      <c r="AD59" s="388">
        <f t="shared" si="130"/>
        <v>420666.48827197752</v>
      </c>
      <c r="AE59" s="388">
        <f t="shared" si="130"/>
        <v>420666.48827197752</v>
      </c>
      <c r="AF59" s="388">
        <f t="shared" si="130"/>
        <v>420666.48827197752</v>
      </c>
      <c r="AG59" s="388">
        <f t="shared" si="130"/>
        <v>420666.48827197752</v>
      </c>
      <c r="AH59" s="388">
        <f t="shared" si="130"/>
        <v>420666.48827197752</v>
      </c>
      <c r="AI59" s="388">
        <f t="shared" si="130"/>
        <v>420666.48827197752</v>
      </c>
      <c r="AJ59" s="388">
        <f t="shared" si="130"/>
        <v>420666.48827197752</v>
      </c>
      <c r="AK59" s="388">
        <f t="shared" si="130"/>
        <v>420666.48827197752</v>
      </c>
      <c r="AL59" s="388">
        <f t="shared" si="130"/>
        <v>420666.48827197752</v>
      </c>
      <c r="AM59" s="388">
        <f t="shared" si="130"/>
        <v>420666.48827197752</v>
      </c>
      <c r="AN59" s="388">
        <f t="shared" si="130"/>
        <v>420666.48827197752</v>
      </c>
      <c r="AO59" s="388">
        <f t="shared" si="130"/>
        <v>437493.07489054778</v>
      </c>
      <c r="AP59" s="388">
        <f t="shared" si="130"/>
        <v>437493.07489054778</v>
      </c>
      <c r="AQ59" s="388">
        <f t="shared" si="130"/>
        <v>437493.07489054778</v>
      </c>
      <c r="AR59" s="388">
        <f t="shared" si="130"/>
        <v>437493.07489054778</v>
      </c>
      <c r="AS59" s="388">
        <f t="shared" si="130"/>
        <v>437493.07489054778</v>
      </c>
      <c r="AT59" s="388">
        <f t="shared" si="130"/>
        <v>437493.07489054778</v>
      </c>
      <c r="AU59" s="388">
        <f t="shared" si="130"/>
        <v>437493.07489054778</v>
      </c>
      <c r="AV59" s="388">
        <f t="shared" si="130"/>
        <v>437493.07489054778</v>
      </c>
      <c r="AW59" s="388">
        <f t="shared" si="130"/>
        <v>437493.07489054778</v>
      </c>
      <c r="AX59" s="388">
        <f t="shared" si="130"/>
        <v>437493.07489054778</v>
      </c>
      <c r="AY59" s="388">
        <f t="shared" si="130"/>
        <v>437493.07489054778</v>
      </c>
      <c r="AZ59" s="388">
        <f t="shared" si="130"/>
        <v>437493.07489054778</v>
      </c>
      <c r="BA59" s="388">
        <f t="shared" si="130"/>
        <v>450617.87045146007</v>
      </c>
      <c r="BB59" s="388">
        <f t="shared" si="130"/>
        <v>450617.87045146007</v>
      </c>
      <c r="BC59" s="388">
        <f t="shared" si="130"/>
        <v>450617.87045146007</v>
      </c>
      <c r="BD59" s="388">
        <f t="shared" si="130"/>
        <v>450617.87045146007</v>
      </c>
      <c r="BE59" s="388">
        <f t="shared" si="130"/>
        <v>450617.87045146007</v>
      </c>
      <c r="BF59" s="388">
        <f t="shared" si="130"/>
        <v>450617.87045146007</v>
      </c>
      <c r="BG59" s="388">
        <f t="shared" si="130"/>
        <v>450617.87045146007</v>
      </c>
      <c r="BH59" s="388">
        <f t="shared" si="130"/>
        <v>450617.87045146007</v>
      </c>
      <c r="BI59" s="388">
        <f t="shared" si="130"/>
        <v>450617.87045146007</v>
      </c>
      <c r="BJ59" s="388">
        <f t="shared" si="130"/>
        <v>450617.87045146007</v>
      </c>
      <c r="BK59" s="388">
        <f t="shared" si="130"/>
        <v>450617.87045146007</v>
      </c>
      <c r="BL59" s="388">
        <f t="shared" si="130"/>
        <v>450617.87045146007</v>
      </c>
      <c r="BM59" s="388">
        <f t="shared" si="130"/>
        <v>459630.24608856649</v>
      </c>
      <c r="BN59" s="388">
        <f t="shared" si="130"/>
        <v>459630.24608856649</v>
      </c>
      <c r="BO59" s="388">
        <f t="shared" si="130"/>
        <v>459630.24608856649</v>
      </c>
      <c r="BP59" s="388">
        <f t="shared" si="130"/>
        <v>459630.24608856649</v>
      </c>
      <c r="BQ59" s="388">
        <f t="shared" si="130"/>
        <v>459630.24608856649</v>
      </c>
      <c r="BR59" s="388">
        <f t="shared" ref="BR59:DT59" si="131">SUM(BR57:BR58)</f>
        <v>459630.24608856649</v>
      </c>
      <c r="BS59" s="388">
        <f t="shared" si="131"/>
        <v>459630.24608856649</v>
      </c>
      <c r="BT59" s="388">
        <f t="shared" si="131"/>
        <v>459630.24608856649</v>
      </c>
      <c r="BU59" s="388">
        <f t="shared" si="131"/>
        <v>459630.24608856649</v>
      </c>
      <c r="BV59" s="388">
        <f t="shared" si="131"/>
        <v>459630.24608856649</v>
      </c>
      <c r="BW59" s="388">
        <f t="shared" si="131"/>
        <v>459630.24608856649</v>
      </c>
      <c r="BX59" s="388">
        <f t="shared" si="131"/>
        <v>459630.24608856649</v>
      </c>
      <c r="BY59" s="388">
        <f t="shared" si="131"/>
        <v>468822.8311251626</v>
      </c>
      <c r="BZ59" s="388">
        <f t="shared" si="131"/>
        <v>468822.8311251626</v>
      </c>
      <c r="CA59" s="388">
        <f t="shared" si="131"/>
        <v>468822.8311251626</v>
      </c>
      <c r="CB59" s="388">
        <f t="shared" si="131"/>
        <v>468822.8311251626</v>
      </c>
      <c r="CC59" s="388">
        <f t="shared" si="131"/>
        <v>468822.8311251626</v>
      </c>
      <c r="CD59" s="388">
        <f t="shared" si="131"/>
        <v>468822.8311251626</v>
      </c>
      <c r="CE59" s="388">
        <f t="shared" si="131"/>
        <v>468822.8311251626</v>
      </c>
      <c r="CF59" s="388">
        <f t="shared" si="131"/>
        <v>468822.8311251626</v>
      </c>
      <c r="CG59" s="388">
        <f t="shared" si="131"/>
        <v>468822.8311251626</v>
      </c>
      <c r="CH59" s="388">
        <f t="shared" si="131"/>
        <v>468822.8311251626</v>
      </c>
      <c r="CI59" s="388">
        <f t="shared" si="131"/>
        <v>468822.8311251626</v>
      </c>
      <c r="CJ59" s="388">
        <f t="shared" si="131"/>
        <v>468822.8311251626</v>
      </c>
      <c r="CK59" s="388">
        <f t="shared" si="131"/>
        <v>478199.35403158306</v>
      </c>
      <c r="CL59" s="388">
        <f t="shared" si="131"/>
        <v>478199.35403158306</v>
      </c>
      <c r="CM59" s="388">
        <f t="shared" si="131"/>
        <v>478199.35403158306</v>
      </c>
      <c r="CN59" s="388">
        <f t="shared" si="131"/>
        <v>478199.35403158306</v>
      </c>
      <c r="CO59" s="388">
        <f t="shared" si="131"/>
        <v>478199.35403158306</v>
      </c>
      <c r="CP59" s="388">
        <f t="shared" si="131"/>
        <v>478199.35403158306</v>
      </c>
      <c r="CQ59" s="388">
        <f t="shared" si="131"/>
        <v>478199.35403158306</v>
      </c>
      <c r="CR59" s="388">
        <f t="shared" si="131"/>
        <v>478199.35403158306</v>
      </c>
      <c r="CS59" s="388">
        <f t="shared" si="131"/>
        <v>478199.35403158306</v>
      </c>
      <c r="CT59" s="388">
        <f t="shared" si="131"/>
        <v>478199.35403158306</v>
      </c>
      <c r="CU59" s="388">
        <f t="shared" si="131"/>
        <v>478199.35403158306</v>
      </c>
      <c r="CV59" s="388">
        <f t="shared" si="131"/>
        <v>478199.35403158306</v>
      </c>
      <c r="CW59" s="388">
        <f t="shared" si="131"/>
        <v>487763.2947134726</v>
      </c>
      <c r="CX59" s="388">
        <f t="shared" si="131"/>
        <v>487763.2947134726</v>
      </c>
      <c r="CY59" s="388">
        <f t="shared" si="131"/>
        <v>487763.2947134726</v>
      </c>
      <c r="CZ59" s="388">
        <f t="shared" si="131"/>
        <v>487763.2947134726</v>
      </c>
      <c r="DA59" s="388">
        <f t="shared" si="131"/>
        <v>487763.2947134726</v>
      </c>
      <c r="DB59" s="388">
        <f t="shared" si="131"/>
        <v>487763.2947134726</v>
      </c>
      <c r="DC59" s="388">
        <f t="shared" si="131"/>
        <v>487763.2947134726</v>
      </c>
      <c r="DD59" s="388">
        <f t="shared" si="131"/>
        <v>487763.2947134726</v>
      </c>
      <c r="DE59" s="388">
        <f t="shared" si="131"/>
        <v>487763.2947134726</v>
      </c>
      <c r="DF59" s="388">
        <f t="shared" si="131"/>
        <v>487763.2947134726</v>
      </c>
      <c r="DG59" s="388">
        <f t="shared" si="131"/>
        <v>487763.2947134726</v>
      </c>
      <c r="DH59" s="388">
        <f t="shared" si="131"/>
        <v>487763.2947134726</v>
      </c>
      <c r="DI59" s="388">
        <f t="shared" si="131"/>
        <v>497518.54735095863</v>
      </c>
      <c r="DJ59" s="388">
        <f t="shared" si="131"/>
        <v>497518.54735095863</v>
      </c>
      <c r="DK59" s="388">
        <f t="shared" si="131"/>
        <v>497518.54735095863</v>
      </c>
      <c r="DL59" s="388">
        <f t="shared" si="131"/>
        <v>497518.54735095863</v>
      </c>
      <c r="DM59" s="388">
        <f t="shared" si="131"/>
        <v>497518.54735095863</v>
      </c>
      <c r="DN59" s="388">
        <f t="shared" si="131"/>
        <v>497518.54735095863</v>
      </c>
      <c r="DO59" s="388">
        <f t="shared" si="131"/>
        <v>497518.54735095863</v>
      </c>
      <c r="DP59" s="388">
        <f t="shared" si="131"/>
        <v>497518.54735095863</v>
      </c>
      <c r="DQ59" s="388">
        <f t="shared" si="131"/>
        <v>497518.54735095863</v>
      </c>
      <c r="DR59" s="388">
        <f t="shared" si="131"/>
        <v>497518.54735095863</v>
      </c>
      <c r="DS59" s="388">
        <f t="shared" si="131"/>
        <v>497518.54735095863</v>
      </c>
      <c r="DT59" s="388">
        <f t="shared" si="131"/>
        <v>497518.54735095863</v>
      </c>
      <c r="DU59" s="385" t="s">
        <v>557</v>
      </c>
      <c r="DV59" s="196"/>
    </row>
    <row r="60" spans="1:126" s="5" customFormat="1" ht="19" outlineLevel="1">
      <c r="A60" s="196"/>
      <c r="B60" s="197"/>
      <c r="C60" s="389"/>
      <c r="D60" s="390"/>
      <c r="E60" s="391"/>
      <c r="F60" s="391"/>
      <c r="G60" s="391"/>
      <c r="H60" s="391"/>
      <c r="I60" s="391"/>
      <c r="J60" s="391"/>
      <c r="K60" s="391"/>
      <c r="L60" s="391"/>
      <c r="M60" s="391"/>
      <c r="N60" s="391"/>
      <c r="O60" s="391"/>
      <c r="P60" s="391"/>
      <c r="Q60" s="391"/>
      <c r="R60" s="391"/>
      <c r="S60" s="391"/>
      <c r="T60" s="391"/>
      <c r="U60" s="391"/>
      <c r="V60" s="391"/>
      <c r="W60" s="391"/>
      <c r="X60" s="391"/>
      <c r="Y60" s="391"/>
      <c r="Z60" s="391"/>
      <c r="AA60" s="391"/>
      <c r="AB60" s="391"/>
      <c r="AC60" s="391"/>
      <c r="AD60" s="391"/>
      <c r="AE60" s="391"/>
      <c r="AF60" s="391"/>
      <c r="AG60" s="391"/>
      <c r="AH60" s="391"/>
      <c r="AI60" s="391"/>
      <c r="AJ60" s="391"/>
      <c r="AK60" s="391"/>
      <c r="AL60" s="391"/>
      <c r="AM60" s="391"/>
      <c r="AN60" s="391"/>
      <c r="AO60" s="391"/>
      <c r="AP60" s="391"/>
      <c r="AQ60" s="391"/>
      <c r="AR60" s="391"/>
      <c r="AS60" s="391"/>
      <c r="AT60" s="391"/>
      <c r="AU60" s="391"/>
      <c r="AV60" s="391"/>
      <c r="AW60" s="391"/>
      <c r="AX60" s="391"/>
      <c r="AY60" s="391"/>
      <c r="AZ60" s="391"/>
      <c r="BA60" s="391"/>
      <c r="BB60" s="391"/>
      <c r="BC60" s="391"/>
      <c r="BD60" s="391"/>
      <c r="BE60" s="391"/>
      <c r="BF60" s="391"/>
      <c r="BG60" s="391"/>
      <c r="BH60" s="391"/>
      <c r="BI60" s="391"/>
      <c r="BJ60" s="391"/>
      <c r="BK60" s="391"/>
      <c r="BL60" s="391"/>
      <c r="BM60" s="391"/>
      <c r="BN60" s="391"/>
      <c r="BO60" s="391"/>
      <c r="BP60" s="391"/>
      <c r="BQ60" s="391"/>
      <c r="BR60" s="391"/>
      <c r="BS60" s="391"/>
      <c r="BT60" s="391"/>
      <c r="BU60" s="391"/>
      <c r="BV60" s="391"/>
      <c r="BW60" s="391"/>
      <c r="BX60" s="391"/>
      <c r="BY60" s="391"/>
      <c r="BZ60" s="391"/>
      <c r="CA60" s="391"/>
      <c r="CB60" s="391"/>
      <c r="CC60" s="391"/>
      <c r="CD60" s="391"/>
      <c r="CE60" s="391"/>
      <c r="CF60" s="391"/>
      <c r="CG60" s="391"/>
      <c r="CH60" s="391"/>
      <c r="CI60" s="391"/>
      <c r="CJ60" s="391"/>
      <c r="CK60" s="391"/>
      <c r="CL60" s="391"/>
      <c r="CM60" s="391"/>
      <c r="CN60" s="391"/>
      <c r="CO60" s="391"/>
      <c r="CP60" s="391"/>
      <c r="CQ60" s="391"/>
      <c r="CR60" s="391"/>
      <c r="CS60" s="391"/>
      <c r="CT60" s="391"/>
      <c r="CU60" s="391"/>
      <c r="CV60" s="391"/>
      <c r="CW60" s="391"/>
      <c r="CX60" s="391"/>
      <c r="CY60" s="391"/>
      <c r="CZ60" s="391"/>
      <c r="DA60" s="391"/>
      <c r="DB60" s="391"/>
      <c r="DC60" s="391"/>
      <c r="DD60" s="391"/>
      <c r="DE60" s="391"/>
      <c r="DF60" s="391"/>
      <c r="DG60" s="391"/>
      <c r="DH60" s="391"/>
      <c r="DI60" s="391"/>
      <c r="DJ60" s="391"/>
      <c r="DK60" s="391"/>
      <c r="DL60" s="391"/>
      <c r="DM60" s="391"/>
      <c r="DN60" s="391"/>
      <c r="DO60" s="391"/>
      <c r="DP60" s="391"/>
      <c r="DQ60" s="391"/>
      <c r="DR60" s="391"/>
      <c r="DS60" s="391"/>
      <c r="DT60" s="391"/>
      <c r="DU60" s="382"/>
      <c r="DV60" s="196"/>
    </row>
    <row r="61" spans="1:126" s="5" customFormat="1" ht="16.5" customHeight="1">
      <c r="A61" s="392" t="s">
        <v>1084</v>
      </c>
      <c r="B61" s="226"/>
      <c r="C61" s="393"/>
      <c r="D61" s="393"/>
      <c r="E61" s="394"/>
      <c r="F61" s="380"/>
      <c r="G61" s="380"/>
      <c r="H61" s="380"/>
      <c r="I61" s="380"/>
      <c r="J61" s="380"/>
      <c r="K61" s="380"/>
      <c r="L61" s="380"/>
      <c r="M61" s="380"/>
      <c r="N61" s="380"/>
      <c r="O61" s="380"/>
      <c r="P61" s="380"/>
      <c r="Q61" s="394"/>
      <c r="R61" s="380"/>
      <c r="S61" s="380"/>
      <c r="T61" s="380"/>
      <c r="U61" s="380"/>
      <c r="V61" s="380"/>
      <c r="W61" s="380"/>
      <c r="X61" s="380"/>
      <c r="Y61" s="380"/>
      <c r="Z61" s="380"/>
      <c r="AA61" s="380"/>
      <c r="AB61" s="380"/>
      <c r="AC61" s="380"/>
      <c r="AD61" s="380"/>
      <c r="AE61" s="380"/>
      <c r="AF61" s="380"/>
      <c r="AG61" s="380"/>
      <c r="AH61" s="380"/>
      <c r="AI61" s="380"/>
      <c r="AJ61" s="380"/>
      <c r="AK61" s="380"/>
      <c r="AL61" s="380"/>
      <c r="AM61" s="380"/>
      <c r="AN61" s="380"/>
      <c r="AO61" s="380"/>
      <c r="AP61" s="380"/>
      <c r="AQ61" s="380"/>
      <c r="AR61" s="380"/>
      <c r="AS61" s="380"/>
      <c r="AT61" s="380"/>
      <c r="AU61" s="380"/>
      <c r="AV61" s="380"/>
      <c r="AW61" s="380"/>
      <c r="AX61" s="380"/>
      <c r="AY61" s="380"/>
      <c r="AZ61" s="380"/>
      <c r="BA61" s="380"/>
      <c r="BB61" s="380"/>
      <c r="BC61" s="380"/>
      <c r="BD61" s="380"/>
      <c r="BE61" s="380"/>
      <c r="BF61" s="380"/>
      <c r="BG61" s="380"/>
      <c r="BH61" s="380"/>
      <c r="BI61" s="380"/>
      <c r="BJ61" s="380"/>
      <c r="BK61" s="380"/>
      <c r="BL61" s="380"/>
      <c r="BM61" s="380"/>
      <c r="BN61" s="380"/>
      <c r="BO61" s="380"/>
      <c r="BP61" s="380"/>
      <c r="BQ61" s="380"/>
      <c r="BR61" s="380"/>
      <c r="BS61" s="380"/>
      <c r="BT61" s="380"/>
      <c r="BU61" s="380"/>
      <c r="BV61" s="380"/>
      <c r="BW61" s="380"/>
      <c r="BX61" s="380"/>
      <c r="BY61" s="380"/>
      <c r="BZ61" s="380"/>
      <c r="CA61" s="380"/>
      <c r="CB61" s="380"/>
      <c r="CC61" s="380"/>
      <c r="CD61" s="380"/>
      <c r="CE61" s="380"/>
      <c r="CF61" s="380"/>
      <c r="CG61" s="380"/>
      <c r="CH61" s="380"/>
      <c r="CI61" s="380"/>
      <c r="CJ61" s="380"/>
      <c r="CK61" s="380"/>
      <c r="CL61" s="380"/>
      <c r="CM61" s="380"/>
      <c r="CN61" s="380"/>
      <c r="CO61" s="380"/>
      <c r="CP61" s="380"/>
      <c r="CQ61" s="380"/>
      <c r="CR61" s="380"/>
      <c r="CS61" s="380"/>
      <c r="CT61" s="380"/>
      <c r="CU61" s="380"/>
      <c r="CV61" s="380"/>
      <c r="CW61" s="380"/>
      <c r="CX61" s="380"/>
      <c r="CY61" s="380"/>
      <c r="CZ61" s="380"/>
      <c r="DA61" s="380"/>
      <c r="DB61" s="380"/>
      <c r="DC61" s="380"/>
      <c r="DD61" s="380"/>
      <c r="DE61" s="380"/>
      <c r="DF61" s="380"/>
      <c r="DG61" s="380"/>
      <c r="DH61" s="380"/>
      <c r="DI61" s="380"/>
      <c r="DJ61" s="380"/>
      <c r="DK61" s="380"/>
      <c r="DL61" s="380"/>
      <c r="DM61" s="380"/>
      <c r="DN61" s="380"/>
      <c r="DO61" s="380"/>
      <c r="DP61" s="380"/>
      <c r="DQ61" s="380"/>
      <c r="DR61" s="380"/>
      <c r="DS61" s="380"/>
      <c r="DT61" s="381"/>
      <c r="DU61" s="382" t="s">
        <v>557</v>
      </c>
      <c r="DV61" s="196"/>
    </row>
    <row r="62" spans="1:126" s="6" customFormat="1" ht="19">
      <c r="A62" s="395" t="s">
        <v>1085</v>
      </c>
      <c r="B62" s="197" t="s">
        <v>601</v>
      </c>
      <c r="C62" s="251"/>
      <c r="D62" s="251"/>
      <c r="E62" s="1292"/>
      <c r="F62" s="1292"/>
      <c r="G62" s="1292"/>
      <c r="H62" s="1292"/>
      <c r="I62" s="1292"/>
      <c r="J62" s="1292"/>
      <c r="K62" s="1292"/>
      <c r="L62" s="1292"/>
      <c r="M62" s="1292"/>
      <c r="N62" s="1292"/>
      <c r="O62" s="1292"/>
      <c r="P62" s="1292"/>
      <c r="Q62" s="1292"/>
      <c r="R62" s="1292"/>
      <c r="S62" s="1292"/>
      <c r="T62" s="1292"/>
      <c r="U62" s="1292"/>
      <c r="V62" s="1292"/>
      <c r="W62" s="1292"/>
      <c r="X62" s="1292"/>
      <c r="Y62" s="1292"/>
      <c r="Z62" s="1292"/>
      <c r="AA62" s="1292"/>
      <c r="AB62" s="1292"/>
      <c r="AC62" s="1292"/>
      <c r="AD62" s="1292"/>
      <c r="AE62" s="1292"/>
      <c r="AF62" s="1292"/>
      <c r="AG62" s="1292"/>
      <c r="AH62" s="1292"/>
      <c r="AI62" s="1292"/>
      <c r="AJ62" s="1292"/>
      <c r="AK62" s="1292"/>
      <c r="AL62" s="1292"/>
      <c r="AM62" s="1292"/>
      <c r="AN62" s="1292"/>
      <c r="AO62" s="1292"/>
      <c r="AP62" s="1292"/>
      <c r="AQ62" s="1292"/>
      <c r="AR62" s="1292"/>
      <c r="AS62" s="1292"/>
      <c r="AT62" s="1292"/>
      <c r="AU62" s="1292"/>
      <c r="AV62" s="1292"/>
      <c r="AW62" s="1292"/>
      <c r="AX62" s="1292"/>
      <c r="AY62" s="1292"/>
      <c r="AZ62" s="1292"/>
      <c r="BA62" s="1292"/>
      <c r="BB62" s="1292"/>
      <c r="BC62" s="1292"/>
      <c r="BD62" s="1292"/>
      <c r="BE62" s="1292"/>
      <c r="BF62" s="1292"/>
      <c r="BG62" s="1292"/>
      <c r="BH62" s="1292"/>
      <c r="BI62" s="1292"/>
      <c r="BJ62" s="1292"/>
      <c r="BK62" s="1292"/>
      <c r="BL62" s="1292"/>
      <c r="BM62" s="1292"/>
      <c r="BN62" s="1292"/>
      <c r="BO62" s="1292"/>
      <c r="BP62" s="1292"/>
      <c r="BQ62" s="1292"/>
      <c r="BR62" s="1292"/>
      <c r="BS62" s="1292"/>
      <c r="BT62" s="1292"/>
      <c r="BU62" s="1292"/>
      <c r="BV62" s="1292"/>
      <c r="BW62" s="1292"/>
      <c r="BX62" s="1292"/>
      <c r="BY62" s="1292"/>
      <c r="BZ62" s="1292"/>
      <c r="CA62" s="1292"/>
      <c r="CB62" s="1292"/>
      <c r="CC62" s="1292"/>
      <c r="CD62" s="1292"/>
      <c r="CE62" s="1292"/>
      <c r="CF62" s="1292"/>
      <c r="CG62" s="1292"/>
      <c r="CH62" s="1292"/>
      <c r="CI62" s="1292"/>
      <c r="CJ62" s="1292"/>
      <c r="CK62" s="1292"/>
      <c r="CL62" s="1292"/>
      <c r="CM62" s="1292"/>
      <c r="CN62" s="1292"/>
      <c r="CO62" s="1292"/>
      <c r="CP62" s="1292"/>
      <c r="CQ62" s="1292"/>
      <c r="CR62" s="1292"/>
      <c r="CS62" s="1292"/>
      <c r="CT62" s="1292"/>
      <c r="CU62" s="1292"/>
      <c r="CV62" s="1292"/>
      <c r="CW62" s="1292"/>
      <c r="CX62" s="1292"/>
      <c r="CY62" s="1292"/>
      <c r="CZ62" s="1292"/>
      <c r="DA62" s="1292"/>
      <c r="DB62" s="1292"/>
      <c r="DC62" s="1292"/>
      <c r="DD62" s="1292"/>
      <c r="DE62" s="1292"/>
      <c r="DF62" s="1292"/>
      <c r="DG62" s="1292"/>
      <c r="DH62" s="1292"/>
      <c r="DI62" s="1292"/>
      <c r="DJ62" s="1292"/>
      <c r="DK62" s="1292"/>
      <c r="DL62" s="1292"/>
      <c r="DM62" s="1292"/>
      <c r="DN62" s="1292"/>
      <c r="DO62" s="1292"/>
      <c r="DP62" s="1292"/>
      <c r="DQ62" s="1292"/>
      <c r="DR62" s="1292"/>
      <c r="DS62" s="1292"/>
      <c r="DT62" s="1292"/>
      <c r="DU62" s="382" t="s">
        <v>557</v>
      </c>
      <c r="DV62" s="202"/>
    </row>
    <row r="63" spans="1:126" s="5" customFormat="1" ht="19">
      <c r="A63" s="396"/>
      <c r="B63" s="203" t="s">
        <v>635</v>
      </c>
      <c r="C63" s="397"/>
      <c r="D63" s="398"/>
      <c r="E63" s="286">
        <f>IF('Rent Roll Analysis'!$AV$2="Standard",'Monthly Cash Flow'!E$43,'Monthly Cash Flow'!E$59)</f>
        <v>352558.51317670348</v>
      </c>
      <c r="F63" s="286">
        <f>IF('Rent Roll Analysis'!$AV$2="Standard",'Monthly Cash Flow'!F$43,'Monthly Cash Flow'!F$59)</f>
        <v>354908.90326454811</v>
      </c>
      <c r="G63" s="286">
        <f>IF('Rent Roll Analysis'!$AV$2="Standard",'Monthly Cash Flow'!G$43,'Monthly Cash Flow'!G$59)</f>
        <v>357274.96261964511</v>
      </c>
      <c r="H63" s="286">
        <f>IF('Rent Roll Analysis'!$AV$2="Standard",'Monthly Cash Flow'!H$43,'Monthly Cash Flow'!H$59)</f>
        <v>359656.79570377606</v>
      </c>
      <c r="I63" s="286">
        <f>IF('Rent Roll Analysis'!$AV$2="Standard",'Monthly Cash Flow'!I$43,'Monthly Cash Flow'!I$59)</f>
        <v>362054.50767513458</v>
      </c>
      <c r="J63" s="286">
        <f>IF('Rent Roll Analysis'!$AV$2="Standard",'Monthly Cash Flow'!J$43,'Monthly Cash Flow'!J$59)</f>
        <v>364468.20439296874</v>
      </c>
      <c r="K63" s="286">
        <f>IF('Rent Roll Analysis'!$AV$2="Standard",'Monthly Cash Flow'!K$43,'Monthly Cash Flow'!K$59)</f>
        <v>366897.99242225522</v>
      </c>
      <c r="L63" s="286">
        <f>IF('Rent Roll Analysis'!$AV$2="Standard",'Monthly Cash Flow'!L$43,'Monthly Cash Flow'!L$59)</f>
        <v>369343.97903840349</v>
      </c>
      <c r="M63" s="286">
        <f>IF('Rent Roll Analysis'!$AV$2="Standard",'Monthly Cash Flow'!M$43,'Monthly Cash Flow'!M$59)</f>
        <v>371806.2722319928</v>
      </c>
      <c r="N63" s="286">
        <f>IF('Rent Roll Analysis'!$AV$2="Standard",'Monthly Cash Flow'!N$43,'Monthly Cash Flow'!N$59)</f>
        <v>374284.98071353947</v>
      </c>
      <c r="O63" s="286">
        <f>IF('Rent Roll Analysis'!$AV$2="Standard",'Monthly Cash Flow'!O$43,'Monthly Cash Flow'!O$59)</f>
        <v>376780.21391829639</v>
      </c>
      <c r="P63" s="286">
        <f>IF('Rent Roll Analysis'!$AV$2="Standard",'Monthly Cash Flow'!P$43,'Monthly Cash Flow'!P$59)</f>
        <v>379292.08201108495</v>
      </c>
      <c r="Q63" s="286">
        <f>IF('Rent Roll Analysis'!$AV$2="Standard",'Monthly Cash Flow'!Q$43,'Monthly Cash Flow'!Q$59)</f>
        <v>381662.65752365428</v>
      </c>
      <c r="R63" s="286">
        <f>IF('Rent Roll Analysis'!$AV$2="Standard",'Monthly Cash Flow'!R$43,'Monthly Cash Flow'!R$59)</f>
        <v>384048.04913317715</v>
      </c>
      <c r="S63" s="286">
        <f>IF('Rent Roll Analysis'!$AV$2="Standard",'Monthly Cash Flow'!S$43,'Monthly Cash Flow'!S$59)</f>
        <v>386448.34944025957</v>
      </c>
      <c r="T63" s="286">
        <f>IF('Rent Roll Analysis'!$AV$2="Standard",'Monthly Cash Flow'!T$43,'Monthly Cash Flow'!T$59)</f>
        <v>388863.65162426117</v>
      </c>
      <c r="U63" s="286">
        <f>IF('Rent Roll Analysis'!$AV$2="Standard",'Monthly Cash Flow'!U$43,'Monthly Cash Flow'!U$59)</f>
        <v>391294.04944691289</v>
      </c>
      <c r="V63" s="286">
        <f>IF('Rent Roll Analysis'!$AV$2="Standard",'Monthly Cash Flow'!V$43,'Monthly Cash Flow'!V$59)</f>
        <v>393739.63725595613</v>
      </c>
      <c r="W63" s="286">
        <f>IF('Rent Roll Analysis'!$AV$2="Standard",'Monthly Cash Flow'!W$43,'Monthly Cash Flow'!W$59)</f>
        <v>396200.50998880586</v>
      </c>
      <c r="X63" s="286">
        <f>IF('Rent Roll Analysis'!$AV$2="Standard",'Monthly Cash Flow'!X$43,'Monthly Cash Flow'!X$59)</f>
        <v>398676.76317623595</v>
      </c>
      <c r="Y63" s="286">
        <f>IF('Rent Roll Analysis'!$AV$2="Standard",'Monthly Cash Flow'!Y$43,'Monthly Cash Flow'!Y$59)</f>
        <v>401168.4929460875</v>
      </c>
      <c r="Z63" s="286">
        <f>IF('Rent Roll Analysis'!$AV$2="Standard",'Monthly Cash Flow'!Z$43,'Monthly Cash Flow'!Z$59)</f>
        <v>403675.79602700053</v>
      </c>
      <c r="AA63" s="286">
        <f>IF('Rent Roll Analysis'!$AV$2="Standard",'Monthly Cash Flow'!AA$43,'Monthly Cash Flow'!AA$59)</f>
        <v>406198.76975216932</v>
      </c>
      <c r="AB63" s="286">
        <f>IF('Rent Roll Analysis'!$AV$2="Standard",'Monthly Cash Flow'!AB$43,'Monthly Cash Flow'!AB$59)</f>
        <v>408737.51206312043</v>
      </c>
      <c r="AC63" s="286">
        <f>IF('Rent Roll Analysis'!$AV$2="Standard",'Monthly Cash Flow'!AC$43,'Monthly Cash Flow'!AC$59)</f>
        <v>410099.97043666418</v>
      </c>
      <c r="AD63" s="286">
        <f>IF('Rent Roll Analysis'!$AV$2="Standard",'Monthly Cash Flow'!AD$43,'Monthly Cash Flow'!AD$59)</f>
        <v>411466.97033811978</v>
      </c>
      <c r="AE63" s="286">
        <f>IF('Rent Roll Analysis'!$AV$2="Standard",'Monthly Cash Flow'!AE$43,'Monthly Cash Flow'!AE$59)</f>
        <v>412838.52690591355</v>
      </c>
      <c r="AF63" s="286">
        <f>IF('Rent Roll Analysis'!$AV$2="Standard",'Monthly Cash Flow'!AF$43,'Monthly Cash Flow'!AF$59)</f>
        <v>414214.65532893327</v>
      </c>
      <c r="AG63" s="286">
        <f>IF('Rent Roll Analysis'!$AV$2="Standard",'Monthly Cash Flow'!AG$43,'Monthly Cash Flow'!AG$59)</f>
        <v>415595.37084669637</v>
      </c>
      <c r="AH63" s="286">
        <f>IF('Rent Roll Analysis'!$AV$2="Standard",'Monthly Cash Flow'!AH$43,'Monthly Cash Flow'!AH$59)</f>
        <v>416980.68874951883</v>
      </c>
      <c r="AI63" s="286">
        <f>IF('Rent Roll Analysis'!$AV$2="Standard",'Monthly Cash Flow'!AI$43,'Monthly Cash Flow'!AI$59)</f>
        <v>418370.62437868392</v>
      </c>
      <c r="AJ63" s="286">
        <f>IF('Rent Roll Analysis'!$AV$2="Standard",'Monthly Cash Flow'!AJ$43,'Monthly Cash Flow'!AJ$59)</f>
        <v>419765.19312661287</v>
      </c>
      <c r="AK63" s="286">
        <f>IF('Rent Roll Analysis'!$AV$2="Standard",'Monthly Cash Flow'!AK$43,'Monthly Cash Flow'!AK$59)</f>
        <v>421164.41043703485</v>
      </c>
      <c r="AL63" s="286">
        <f>IF('Rent Roll Analysis'!$AV$2="Standard",'Monthly Cash Flow'!AL$43,'Monthly Cash Flow'!AL$59)</f>
        <v>422568.29180515843</v>
      </c>
      <c r="AM63" s="286">
        <f>IF('Rent Roll Analysis'!$AV$2="Standard",'Monthly Cash Flow'!AM$43,'Monthly Cash Flow'!AM$59)</f>
        <v>423976.85277784226</v>
      </c>
      <c r="AN63" s="286">
        <f>IF('Rent Roll Analysis'!$AV$2="Standard",'Monthly Cash Flow'!AN$43,'Monthly Cash Flow'!AN$59)</f>
        <v>425390.1089537685</v>
      </c>
      <c r="AO63" s="286">
        <f>IF('Rent Roll Analysis'!$AV$2="Standard",'Monthly Cash Flow'!AO$43,'Monthly Cash Flow'!AO$59)</f>
        <v>426808.07598361437</v>
      </c>
      <c r="AP63" s="286">
        <f>IF('Rent Roll Analysis'!$AV$2="Standard",'Monthly Cash Flow'!AP$43,'Monthly Cash Flow'!AP$59)</f>
        <v>428230.76957022655</v>
      </c>
      <c r="AQ63" s="286">
        <f>IF('Rent Roll Analysis'!$AV$2="Standard",'Monthly Cash Flow'!AQ$43,'Monthly Cash Flow'!AQ$59)</f>
        <v>429658.20546879392</v>
      </c>
      <c r="AR63" s="286">
        <f>IF('Rent Roll Analysis'!$AV$2="Standard",'Monthly Cash Flow'!AR$43,'Monthly Cash Flow'!AR$59)</f>
        <v>431090.3994870233</v>
      </c>
      <c r="AS63" s="286">
        <f>IF('Rent Roll Analysis'!$AV$2="Standard",'Monthly Cash Flow'!AS$43,'Monthly Cash Flow'!AS$59)</f>
        <v>432527.36748531344</v>
      </c>
      <c r="AT63" s="286">
        <f>IF('Rent Roll Analysis'!$AV$2="Standard",'Monthly Cash Flow'!AT$43,'Monthly Cash Flow'!AT$59)</f>
        <v>433969.1253769311</v>
      </c>
      <c r="AU63" s="286">
        <f>IF('Rent Roll Analysis'!$AV$2="Standard",'Monthly Cash Flow'!AU$43,'Monthly Cash Flow'!AU$59)</f>
        <v>435415.68912818766</v>
      </c>
      <c r="AV63" s="286">
        <f>IF('Rent Roll Analysis'!$AV$2="Standard",'Monthly Cash Flow'!AV$43,'Monthly Cash Flow'!AV$59)</f>
        <v>436867.07475861494</v>
      </c>
      <c r="AW63" s="286">
        <f>IF('Rent Roll Analysis'!$AV$2="Standard",'Monthly Cash Flow'!AW$43,'Monthly Cash Flow'!AW$59)</f>
        <v>438323.2983411437</v>
      </c>
      <c r="AX63" s="286">
        <f>IF('Rent Roll Analysis'!$AV$2="Standard",'Monthly Cash Flow'!AX$43,'Monthly Cash Flow'!AX$59)</f>
        <v>439784.37600228086</v>
      </c>
      <c r="AY63" s="286">
        <f>IF('Rent Roll Analysis'!$AV$2="Standard",'Monthly Cash Flow'!AY$43,'Monthly Cash Flow'!AY$59)</f>
        <v>441250.32392228855</v>
      </c>
      <c r="AZ63" s="286">
        <f>IF('Rent Roll Analysis'!$AV$2="Standard",'Monthly Cash Flow'!AZ$43,'Monthly Cash Flow'!AZ$59)</f>
        <v>442721.15833536285</v>
      </c>
      <c r="BA63" s="286">
        <f>IF('Rent Roll Analysis'!$AV$2="Standard",'Monthly Cash Flow'!BA$43,'Monthly Cash Flow'!BA$59)</f>
        <v>444196.89552981406</v>
      </c>
      <c r="BB63" s="286">
        <f>IF('Rent Roll Analysis'!$AV$2="Standard",'Monthly Cash Flow'!BB$43,'Monthly Cash Flow'!BB$59)</f>
        <v>445677.55184824677</v>
      </c>
      <c r="BC63" s="286">
        <f>IF('Rent Roll Analysis'!$AV$2="Standard",'Monthly Cash Flow'!BC$43,'Monthly Cash Flow'!BC$59)</f>
        <v>447163.14368774102</v>
      </c>
      <c r="BD63" s="286">
        <f>IF('Rent Roll Analysis'!$AV$2="Standard",'Monthly Cash Flow'!BD$43,'Monthly Cash Flow'!BD$59)</f>
        <v>448653.68750003347</v>
      </c>
      <c r="BE63" s="286">
        <f>IF('Rent Roll Analysis'!$AV$2="Standard",'Monthly Cash Flow'!BE$43,'Monthly Cash Flow'!BE$59)</f>
        <v>450149.19979170035</v>
      </c>
      <c r="BF63" s="286">
        <f>IF('Rent Roll Analysis'!$AV$2="Standard",'Monthly Cash Flow'!BF$43,'Monthly Cash Flow'!BF$59)</f>
        <v>451649.69712433929</v>
      </c>
      <c r="BG63" s="286">
        <f>IF('Rent Roll Analysis'!$AV$2="Standard",'Monthly Cash Flow'!BG$43,'Monthly Cash Flow'!BG$59)</f>
        <v>453155.19611475384</v>
      </c>
      <c r="BH63" s="286">
        <f>IF('Rent Roll Analysis'!$AV$2="Standard",'Monthly Cash Flow'!BH$43,'Monthly Cash Flow'!BH$59)</f>
        <v>454665.71343513636</v>
      </c>
      <c r="BI63" s="286">
        <f>IF('Rent Roll Analysis'!$AV$2="Standard",'Monthly Cash Flow'!BI$43,'Monthly Cash Flow'!BI$59)</f>
        <v>456181.26581325359</v>
      </c>
      <c r="BJ63" s="286">
        <f>IF('Rent Roll Analysis'!$AV$2="Standard",'Monthly Cash Flow'!BJ$43,'Monthly Cash Flow'!BJ$59)</f>
        <v>457701.87003263104</v>
      </c>
      <c r="BK63" s="286">
        <f>IF('Rent Roll Analysis'!$AV$2="Standard",'Monthly Cash Flow'!BK$43,'Monthly Cash Flow'!BK$59)</f>
        <v>459227.54293273995</v>
      </c>
      <c r="BL63" s="286">
        <f>IF('Rent Roll Analysis'!$AV$2="Standard",'Monthly Cash Flow'!BL$43,'Monthly Cash Flow'!BL$59)</f>
        <v>460758.30140918237</v>
      </c>
      <c r="BM63" s="286">
        <f>IF('Rent Roll Analysis'!$AV$2="Standard",'Monthly Cash Flow'!BM$43,'Monthly Cash Flow'!BM$59)</f>
        <v>462294.16241387971</v>
      </c>
      <c r="BN63" s="286">
        <f>IF('Rent Roll Analysis'!$AV$2="Standard",'Monthly Cash Flow'!BN$43,'Monthly Cash Flow'!BN$59)</f>
        <v>463835.14295525936</v>
      </c>
      <c r="BO63" s="286">
        <f>IF('Rent Roll Analysis'!$AV$2="Standard",'Monthly Cash Flow'!BO$43,'Monthly Cash Flow'!BO$59)</f>
        <v>465381.26009844348</v>
      </c>
      <c r="BP63" s="286">
        <f>IF('Rent Roll Analysis'!$AV$2="Standard",'Monthly Cash Flow'!BP$43,'Monthly Cash Flow'!BP$59)</f>
        <v>466932.53096543846</v>
      </c>
      <c r="BQ63" s="286">
        <f>IF('Rent Roll Analysis'!$AV$2="Standard",'Monthly Cash Flow'!BQ$43,'Monthly Cash Flow'!BQ$59)</f>
        <v>468488.97273532324</v>
      </c>
      <c r="BR63" s="286">
        <f>IF('Rent Roll Analysis'!$AV$2="Standard",'Monthly Cash Flow'!BR$43,'Monthly Cash Flow'!BR$59)</f>
        <v>470050.60264444107</v>
      </c>
      <c r="BS63" s="286">
        <f>IF('Rent Roll Analysis'!$AV$2="Standard",'Monthly Cash Flow'!BS$43,'Monthly Cash Flow'!BS$59)</f>
        <v>471617.43798658915</v>
      </c>
      <c r="BT63" s="286">
        <f>IF('Rent Roll Analysis'!$AV$2="Standard",'Monthly Cash Flow'!BT$43,'Monthly Cash Flow'!BT$59)</f>
        <v>473189.49611321127</v>
      </c>
      <c r="BU63" s="286">
        <f>IF('Rent Roll Analysis'!$AV$2="Standard",'Monthly Cash Flow'!BU$43,'Monthly Cash Flow'!BU$59)</f>
        <v>474766.79443358863</v>
      </c>
      <c r="BV63" s="286">
        <f>IF('Rent Roll Analysis'!$AV$2="Standard",'Monthly Cash Flow'!BV$43,'Monthly Cash Flow'!BV$59)</f>
        <v>476349.35041503393</v>
      </c>
      <c r="BW63" s="286">
        <f>IF('Rent Roll Analysis'!$AV$2="Standard",'Monthly Cash Flow'!BW$43,'Monthly Cash Flow'!BW$59)</f>
        <v>477937.18158308417</v>
      </c>
      <c r="BX63" s="286">
        <f>IF('Rent Roll Analysis'!$AV$2="Standard",'Monthly Cash Flow'!BX$43,'Monthly Cash Flow'!BX$59)</f>
        <v>479530.30552169442</v>
      </c>
      <c r="BY63" s="286">
        <f>IF('Rent Roll Analysis'!$AV$2="Standard",'Monthly Cash Flow'!BY$43,'Monthly Cash Flow'!BY$59)</f>
        <v>481128.73987343343</v>
      </c>
      <c r="BZ63" s="286">
        <f>IF('Rent Roll Analysis'!$AV$2="Standard",'Monthly Cash Flow'!BZ$43,'Monthly Cash Flow'!BZ$59)</f>
        <v>482732.50233967823</v>
      </c>
      <c r="CA63" s="286">
        <f>IF('Rent Roll Analysis'!$AV$2="Standard",'Monthly Cash Flow'!CA$43,'Monthly Cash Flow'!CA$59)</f>
        <v>484341.61068081058</v>
      </c>
      <c r="CB63" s="286">
        <f>IF('Rent Roll Analysis'!$AV$2="Standard",'Monthly Cash Flow'!CB$43,'Monthly Cash Flow'!CB$59)</f>
        <v>485956.08271641331</v>
      </c>
      <c r="CC63" s="286">
        <f>IF('Rent Roll Analysis'!$AV$2="Standard",'Monthly Cash Flow'!CC$43,'Monthly Cash Flow'!CC$59)</f>
        <v>487575.93632546801</v>
      </c>
      <c r="CD63" s="286">
        <f>IF('Rent Roll Analysis'!$AV$2="Standard",'Monthly Cash Flow'!CD$43,'Monthly Cash Flow'!CD$59)</f>
        <v>489201.18944655295</v>
      </c>
      <c r="CE63" s="286">
        <f>IF('Rent Roll Analysis'!$AV$2="Standard",'Monthly Cash Flow'!CE$43,'Monthly Cash Flow'!CE$59)</f>
        <v>490831.8600780415</v>
      </c>
      <c r="CF63" s="286">
        <f>IF('Rent Roll Analysis'!$AV$2="Standard",'Monthly Cash Flow'!CF$43,'Monthly Cash Flow'!CF$59)</f>
        <v>492467.96627830167</v>
      </c>
      <c r="CG63" s="286">
        <f>IF('Rent Roll Analysis'!$AV$2="Standard",'Monthly Cash Flow'!CG$43,'Monthly Cash Flow'!CG$59)</f>
        <v>494109.5261658961</v>
      </c>
      <c r="CH63" s="286">
        <f>IF('Rent Roll Analysis'!$AV$2="Standard",'Monthly Cash Flow'!CH$43,'Monthly Cash Flow'!CH$59)</f>
        <v>495756.55791978241</v>
      </c>
      <c r="CI63" s="286">
        <f>IF('Rent Roll Analysis'!$AV$2="Standard",'Monthly Cash Flow'!CI$43,'Monthly Cash Flow'!CI$59)</f>
        <v>497409.07977951504</v>
      </c>
      <c r="CJ63" s="286">
        <f>IF('Rent Roll Analysis'!$AV$2="Standard",'Monthly Cash Flow'!CJ$43,'Monthly Cash Flow'!CJ$59)</f>
        <v>499067.11004544684</v>
      </c>
      <c r="CK63" s="286">
        <f>IF('Rent Roll Analysis'!$AV$2="Standard",'Monthly Cash Flow'!CK$43,'Monthly Cash Flow'!CK$59)</f>
        <v>500730.6670789317</v>
      </c>
      <c r="CL63" s="286">
        <f>IF('Rent Roll Analysis'!$AV$2="Standard",'Monthly Cash Flow'!CL$43,'Monthly Cash Flow'!CL$59)</f>
        <v>502399.76930252818</v>
      </c>
      <c r="CM63" s="286">
        <f>IF('Rent Roll Analysis'!$AV$2="Standard",'Monthly Cash Flow'!CM$43,'Monthly Cash Flow'!CM$59)</f>
        <v>504074.43520020327</v>
      </c>
      <c r="CN63" s="286">
        <f>IF('Rent Roll Analysis'!$AV$2="Standard",'Monthly Cash Flow'!CN$43,'Monthly Cash Flow'!CN$59)</f>
        <v>505754.6833175373</v>
      </c>
      <c r="CO63" s="286">
        <f>IF('Rent Roll Analysis'!$AV$2="Standard",'Monthly Cash Flow'!CO$43,'Monthly Cash Flow'!CO$59)</f>
        <v>507440.53226192918</v>
      </c>
      <c r="CP63" s="286">
        <f>IF('Rent Roll Analysis'!$AV$2="Standard",'Monthly Cash Flow'!CP$43,'Monthly Cash Flow'!CP$59)</f>
        <v>509132.00070280232</v>
      </c>
      <c r="CQ63" s="286">
        <f>IF('Rent Roll Analysis'!$AV$2="Standard",'Monthly Cash Flow'!CQ$43,'Monthly Cash Flow'!CQ$59)</f>
        <v>510829.10737181176</v>
      </c>
      <c r="CR63" s="286">
        <f>IF('Rent Roll Analysis'!$AV$2="Standard",'Monthly Cash Flow'!CR$43,'Monthly Cash Flow'!CR$59)</f>
        <v>512531.87106305111</v>
      </c>
      <c r="CS63" s="286">
        <f>IF('Rent Roll Analysis'!$AV$2="Standard",'Monthly Cash Flow'!CS$43,'Monthly Cash Flow'!CS$59)</f>
        <v>514240.31063326128</v>
      </c>
      <c r="CT63" s="286">
        <f>IF('Rent Roll Analysis'!$AV$2="Standard",'Monthly Cash Flow'!CT$43,'Monthly Cash Flow'!CT$59)</f>
        <v>515954.44500203885</v>
      </c>
      <c r="CU63" s="286">
        <f>IF('Rent Roll Analysis'!$AV$2="Standard",'Monthly Cash Flow'!CU$43,'Monthly Cash Flow'!CU$59)</f>
        <v>517674.29315204569</v>
      </c>
      <c r="CV63" s="286">
        <f>IF('Rent Roll Analysis'!$AV$2="Standard",'Monthly Cash Flow'!CV$43,'Monthly Cash Flow'!CV$59)</f>
        <v>519399.87412921921</v>
      </c>
      <c r="CW63" s="286">
        <f>IF('Rent Roll Analysis'!$AV$2="Standard",'Monthly Cash Flow'!CW$43,'Monthly Cash Flow'!CW$59)</f>
        <v>521131.20704298333</v>
      </c>
      <c r="CX63" s="286">
        <f>IF('Rent Roll Analysis'!$AV$2="Standard",'Monthly Cash Flow'!CX$43,'Monthly Cash Flow'!CX$59)</f>
        <v>522868.31106645998</v>
      </c>
      <c r="CY63" s="286">
        <f>IF('Rent Roll Analysis'!$AV$2="Standard",'Monthly Cash Flow'!CY$43,'Monthly Cash Flow'!CY$59)</f>
        <v>524611.20543668151</v>
      </c>
      <c r="CZ63" s="286">
        <f>IF('Rent Roll Analysis'!$AV$2="Standard",'Monthly Cash Flow'!CZ$43,'Monthly Cash Flow'!CZ$59)</f>
        <v>526359.90945480391</v>
      </c>
      <c r="DA63" s="286">
        <f>IF('Rent Roll Analysis'!$AV$2="Standard",'Monthly Cash Flow'!DA$43,'Monthly Cash Flow'!DA$59)</f>
        <v>528114.44248631992</v>
      </c>
      <c r="DB63" s="286">
        <f>IF('Rent Roll Analysis'!$AV$2="Standard",'Monthly Cash Flow'!DB$43,'Monthly Cash Flow'!DB$59)</f>
        <v>529874.82396127435</v>
      </c>
      <c r="DC63" s="286">
        <f>IF('Rent Roll Analysis'!$AV$2="Standard",'Monthly Cash Flow'!DC$43,'Monthly Cash Flow'!DC$59)</f>
        <v>531641.07337447861</v>
      </c>
      <c r="DD63" s="286">
        <f>IF('Rent Roll Analysis'!$AV$2="Standard",'Monthly Cash Flow'!DD$43,'Monthly Cash Flow'!DD$59)</f>
        <v>533413.21028572693</v>
      </c>
      <c r="DE63" s="286">
        <f>IF('Rent Roll Analysis'!$AV$2="Standard",'Monthly Cash Flow'!DE$43,'Monthly Cash Flow'!DE$59)</f>
        <v>535191.25432001275</v>
      </c>
      <c r="DF63" s="286">
        <f>IF('Rent Roll Analysis'!$AV$2="Standard",'Monthly Cash Flow'!DF$43,'Monthly Cash Flow'!DF$59)</f>
        <v>536975.22516774619</v>
      </c>
      <c r="DG63" s="286">
        <f>IF('Rent Roll Analysis'!$AV$2="Standard",'Monthly Cash Flow'!DG$43,'Monthly Cash Flow'!DG$59)</f>
        <v>538765.14258497197</v>
      </c>
      <c r="DH63" s="286">
        <f>IF('Rent Roll Analysis'!$AV$2="Standard",'Monthly Cash Flow'!DH$43,'Monthly Cash Flow'!DH$59)</f>
        <v>540561.02639358863</v>
      </c>
      <c r="DI63" s="286">
        <f>IF('Rent Roll Analysis'!$AV$2="Standard",'Monthly Cash Flow'!DI$43,'Monthly Cash Flow'!DI$59)</f>
        <v>542362.8964815673</v>
      </c>
      <c r="DJ63" s="286">
        <f>IF('Rent Roll Analysis'!$AV$2="Standard",'Monthly Cash Flow'!DJ$43,'Monthly Cash Flow'!DJ$59)</f>
        <v>544170.77280317247</v>
      </c>
      <c r="DK63" s="286">
        <f>IF('Rent Roll Analysis'!$AV$2="Standard",'Monthly Cash Flow'!DK$43,'Monthly Cash Flow'!DK$59)</f>
        <v>545984.67537918314</v>
      </c>
      <c r="DL63" s="286">
        <f>IF('Rent Roll Analysis'!$AV$2="Standard",'Monthly Cash Flow'!DL$43,'Monthly Cash Flow'!DL$59)</f>
        <v>547804.62429711386</v>
      </c>
      <c r="DM63" s="286">
        <f>IF('Rent Roll Analysis'!$AV$2="Standard",'Monthly Cash Flow'!DM$43,'Monthly Cash Flow'!DM$59)</f>
        <v>549630.63971143751</v>
      </c>
      <c r="DN63" s="286">
        <f>IF('Rent Roll Analysis'!$AV$2="Standard",'Monthly Cash Flow'!DN$43,'Monthly Cash Flow'!DN$59)</f>
        <v>551462.74184380902</v>
      </c>
      <c r="DO63" s="286">
        <f>IF('Rent Roll Analysis'!$AV$2="Standard",'Monthly Cash Flow'!DO$43,'Monthly Cash Flow'!DO$59)</f>
        <v>553300.95098328847</v>
      </c>
      <c r="DP63" s="286">
        <f>IF('Rent Roll Analysis'!$AV$2="Standard",'Monthly Cash Flow'!DP$43,'Monthly Cash Flow'!DP$59)</f>
        <v>555145.28748656611</v>
      </c>
      <c r="DQ63" s="286">
        <f>IF('Rent Roll Analysis'!$AV$2="Standard",'Monthly Cash Flow'!DQ$43,'Monthly Cash Flow'!DQ$59)</f>
        <v>556995.77177818806</v>
      </c>
      <c r="DR63" s="286">
        <f>IF('Rent Roll Analysis'!$AV$2="Standard",'Monthly Cash Flow'!DR$43,'Monthly Cash Flow'!DR$59)</f>
        <v>558852.42435078206</v>
      </c>
      <c r="DS63" s="286">
        <f>IF('Rent Roll Analysis'!$AV$2="Standard",'Monthly Cash Flow'!DS$43,'Monthly Cash Flow'!DS$59)</f>
        <v>560715.26576528465</v>
      </c>
      <c r="DT63" s="286">
        <f>IF('Rent Roll Analysis'!$AV$2="Standard",'Monthly Cash Flow'!DT$43,'Monthly Cash Flow'!DT$59)</f>
        <v>562584.31665116898</v>
      </c>
      <c r="DU63" s="286" t="s">
        <v>557</v>
      </c>
      <c r="DV63" s="196"/>
    </row>
    <row r="64" spans="1:126" s="5" customFormat="1" ht="19">
      <c r="A64" s="396"/>
      <c r="B64" s="203" t="str">
        <f>'Debt Sizing'!A9</f>
        <v>Loss to Lease</v>
      </c>
      <c r="C64" s="397"/>
      <c r="D64" s="398"/>
      <c r="E64" s="286">
        <f>IF(AND(E$4='Sponsor Pro Forma'!$M$7,'Sponsor Pro Forma'!$R8="Override"),-('Monthly Cash Flow'!E$63+E65)*INDEX('Sponsor Pro Forma'!$S$8:$AD$9,MATCH('Monthly Cash Flow'!$B64,'Sponsor Pro Forma'!$B$8:$B$9,0),MATCH('Monthly Cash Flow'!E$5,'Sponsor Pro Forma'!$S$7:$AD$7,0)),IF('Monthly Cash Flow'!E$4&gt;4,-('Monthly Cash Flow'!E$63+E65)*'Sponsor Pro Forma'!$Q8,-('Monthly Cash Flow'!E$63+E65)*INDEX('Sponsor Pro Forma'!$M$8:$P$9,MATCH('Monthly Cash Flow'!$B64,'Sponsor Pro Forma'!$B$8:$B$9,0),MATCH('Monthly Cash Flow'!E$4,'Sponsor Pro Forma'!$M$7:$P$7,0))))</f>
        <v>0</v>
      </c>
      <c r="F64" s="286">
        <f>IF(AND(F$4='Sponsor Pro Forma'!$M$7,'Sponsor Pro Forma'!$R8="Override"),-('Monthly Cash Flow'!F$63+F65)*INDEX('Sponsor Pro Forma'!$S$8:$AD$9,MATCH('Monthly Cash Flow'!$B64,'Sponsor Pro Forma'!$B$8:$B$9,0),MATCH('Monthly Cash Flow'!F$5,'Sponsor Pro Forma'!$S$7:$AD$7,0)),IF('Monthly Cash Flow'!F$4&gt;4,-('Monthly Cash Flow'!F$63+F65)*'Sponsor Pro Forma'!$Q8,-('Monthly Cash Flow'!F$63+F65)*INDEX('Sponsor Pro Forma'!$M$8:$P$9,MATCH('Monthly Cash Flow'!$B64,'Sponsor Pro Forma'!$B$8:$B$9,0),MATCH('Monthly Cash Flow'!F$4,'Sponsor Pro Forma'!$M$7:$P$7,0))))</f>
        <v>0</v>
      </c>
      <c r="G64" s="286">
        <f>IF(AND(G$4='Sponsor Pro Forma'!$M$7,'Sponsor Pro Forma'!$R8="Override"),-('Monthly Cash Flow'!G$63+G65)*INDEX('Sponsor Pro Forma'!$S$8:$AD$9,MATCH('Monthly Cash Flow'!$B64,'Sponsor Pro Forma'!$B$8:$B$9,0),MATCH('Monthly Cash Flow'!G$5,'Sponsor Pro Forma'!$S$7:$AD$7,0)),IF('Monthly Cash Flow'!G$4&gt;4,-('Monthly Cash Flow'!G$63+G65)*'Sponsor Pro Forma'!$Q8,-('Monthly Cash Flow'!G$63+G65)*INDEX('Sponsor Pro Forma'!$M$8:$P$9,MATCH('Monthly Cash Flow'!$B64,'Sponsor Pro Forma'!$B$8:$B$9,0),MATCH('Monthly Cash Flow'!G$4,'Sponsor Pro Forma'!$M$7:$P$7,0))))</f>
        <v>0</v>
      </c>
      <c r="H64" s="286">
        <f>IF(AND(H$4='Sponsor Pro Forma'!$M$7,'Sponsor Pro Forma'!$R8="Override"),-('Monthly Cash Flow'!H$63+H65)*INDEX('Sponsor Pro Forma'!$S$8:$AD$9,MATCH('Monthly Cash Flow'!$B64,'Sponsor Pro Forma'!$B$8:$B$9,0),MATCH('Monthly Cash Flow'!H$5,'Sponsor Pro Forma'!$S$7:$AD$7,0)),IF('Monthly Cash Flow'!H$4&gt;4,-('Monthly Cash Flow'!H$63+H65)*'Sponsor Pro Forma'!$Q8,-('Monthly Cash Flow'!H$63+H65)*INDEX('Sponsor Pro Forma'!$M$8:$P$9,MATCH('Monthly Cash Flow'!$B64,'Sponsor Pro Forma'!$B$8:$B$9,0),MATCH('Monthly Cash Flow'!H$4,'Sponsor Pro Forma'!$M$7:$P$7,0))))</f>
        <v>0</v>
      </c>
      <c r="I64" s="286">
        <f>IF(AND(I$4='Sponsor Pro Forma'!$M$7,'Sponsor Pro Forma'!$R8="Override"),-('Monthly Cash Flow'!I$63+I65)*INDEX('Sponsor Pro Forma'!$S$8:$AD$9,MATCH('Monthly Cash Flow'!$B64,'Sponsor Pro Forma'!$B$8:$B$9,0),MATCH('Monthly Cash Flow'!I$5,'Sponsor Pro Forma'!$S$7:$AD$7,0)),IF('Monthly Cash Flow'!I$4&gt;4,-('Monthly Cash Flow'!I$63+I65)*'Sponsor Pro Forma'!$Q8,-('Monthly Cash Flow'!I$63+I65)*INDEX('Sponsor Pro Forma'!$M$8:$P$9,MATCH('Monthly Cash Flow'!$B64,'Sponsor Pro Forma'!$B$8:$B$9,0),MATCH('Monthly Cash Flow'!I$4,'Sponsor Pro Forma'!$M$7:$P$7,0))))</f>
        <v>0</v>
      </c>
      <c r="J64" s="286">
        <f>IF(AND(J$4='Sponsor Pro Forma'!$M$7,'Sponsor Pro Forma'!$R8="Override"),-('Monthly Cash Flow'!J$63+J65)*INDEX('Sponsor Pro Forma'!$S$8:$AD$9,MATCH('Monthly Cash Flow'!$B64,'Sponsor Pro Forma'!$B$8:$B$9,0),MATCH('Monthly Cash Flow'!J$5,'Sponsor Pro Forma'!$S$7:$AD$7,0)),IF('Monthly Cash Flow'!J$4&gt;4,-('Monthly Cash Flow'!J$63+J65)*'Sponsor Pro Forma'!$Q8,-('Monthly Cash Flow'!J$63+J65)*INDEX('Sponsor Pro Forma'!$M$8:$P$9,MATCH('Monthly Cash Flow'!$B64,'Sponsor Pro Forma'!$B$8:$B$9,0),MATCH('Monthly Cash Flow'!J$4,'Sponsor Pro Forma'!$M$7:$P$7,0))))</f>
        <v>0</v>
      </c>
      <c r="K64" s="286">
        <f>IF(AND(K$4='Sponsor Pro Forma'!$M$7,'Sponsor Pro Forma'!$R8="Override"),-('Monthly Cash Flow'!K$63+K65)*INDEX('Sponsor Pro Forma'!$S$8:$AD$9,MATCH('Monthly Cash Flow'!$B64,'Sponsor Pro Forma'!$B$8:$B$9,0),MATCH('Monthly Cash Flow'!K$5,'Sponsor Pro Forma'!$S$7:$AD$7,0)),IF('Monthly Cash Flow'!K$4&gt;4,-('Monthly Cash Flow'!K$63+K65)*'Sponsor Pro Forma'!$Q8,-('Monthly Cash Flow'!K$63+K65)*INDEX('Sponsor Pro Forma'!$M$8:$P$9,MATCH('Monthly Cash Flow'!$B64,'Sponsor Pro Forma'!$B$8:$B$9,0),MATCH('Monthly Cash Flow'!K$4,'Sponsor Pro Forma'!$M$7:$P$7,0))))</f>
        <v>0</v>
      </c>
      <c r="L64" s="286">
        <f>IF(AND(L$4='Sponsor Pro Forma'!$M$7,'Sponsor Pro Forma'!$R8="Override"),-('Monthly Cash Flow'!L$63+L65)*INDEX('Sponsor Pro Forma'!$S$8:$AD$9,MATCH('Monthly Cash Flow'!$B64,'Sponsor Pro Forma'!$B$8:$B$9,0),MATCH('Monthly Cash Flow'!L$5,'Sponsor Pro Forma'!$S$7:$AD$7,0)),IF('Monthly Cash Flow'!L$4&gt;4,-('Monthly Cash Flow'!L$63+L65)*'Sponsor Pro Forma'!$Q8,-('Monthly Cash Flow'!L$63+L65)*INDEX('Sponsor Pro Forma'!$M$8:$P$9,MATCH('Monthly Cash Flow'!$B64,'Sponsor Pro Forma'!$B$8:$B$9,0),MATCH('Monthly Cash Flow'!L$4,'Sponsor Pro Forma'!$M$7:$P$7,0))))</f>
        <v>0</v>
      </c>
      <c r="M64" s="286">
        <f>IF(AND(M$4='Sponsor Pro Forma'!$M$7,'Sponsor Pro Forma'!$R8="Override"),-('Monthly Cash Flow'!M$63+M65)*INDEX('Sponsor Pro Forma'!$S$8:$AD$9,MATCH('Monthly Cash Flow'!$B64,'Sponsor Pro Forma'!$B$8:$B$9,0),MATCH('Monthly Cash Flow'!M$5,'Sponsor Pro Forma'!$S$7:$AD$7,0)),IF('Monthly Cash Flow'!M$4&gt;4,-('Monthly Cash Flow'!M$63+M65)*'Sponsor Pro Forma'!$Q8,-('Monthly Cash Flow'!M$63+M65)*INDEX('Sponsor Pro Forma'!$M$8:$P$9,MATCH('Monthly Cash Flow'!$B64,'Sponsor Pro Forma'!$B$8:$B$9,0),MATCH('Monthly Cash Flow'!M$4,'Sponsor Pro Forma'!$M$7:$P$7,0))))</f>
        <v>0</v>
      </c>
      <c r="N64" s="286">
        <f>IF(AND(N$4='Sponsor Pro Forma'!$M$7,'Sponsor Pro Forma'!$R8="Override"),-('Monthly Cash Flow'!N$63+N65)*INDEX('Sponsor Pro Forma'!$S$8:$AD$9,MATCH('Monthly Cash Flow'!$B64,'Sponsor Pro Forma'!$B$8:$B$9,0),MATCH('Monthly Cash Flow'!N$5,'Sponsor Pro Forma'!$S$7:$AD$7,0)),IF('Monthly Cash Flow'!N$4&gt;4,-('Monthly Cash Flow'!N$63+N65)*'Sponsor Pro Forma'!$Q8,-('Monthly Cash Flow'!N$63+N65)*INDEX('Sponsor Pro Forma'!$M$8:$P$9,MATCH('Monthly Cash Flow'!$B64,'Sponsor Pro Forma'!$B$8:$B$9,0),MATCH('Monthly Cash Flow'!N$4,'Sponsor Pro Forma'!$M$7:$P$7,0))))</f>
        <v>0</v>
      </c>
      <c r="O64" s="286">
        <f>IF(AND(O$4='Sponsor Pro Forma'!$M$7,'Sponsor Pro Forma'!$R8="Override"),-('Monthly Cash Flow'!O$63+O65)*INDEX('Sponsor Pro Forma'!$S$8:$AD$9,MATCH('Monthly Cash Flow'!$B64,'Sponsor Pro Forma'!$B$8:$B$9,0),MATCH('Monthly Cash Flow'!O$5,'Sponsor Pro Forma'!$S$7:$AD$7,0)),IF('Monthly Cash Flow'!O$4&gt;4,-('Monthly Cash Flow'!O$63+O65)*'Sponsor Pro Forma'!$Q8,-('Monthly Cash Flow'!O$63+O65)*INDEX('Sponsor Pro Forma'!$M$8:$P$9,MATCH('Monthly Cash Flow'!$B64,'Sponsor Pro Forma'!$B$8:$B$9,0),MATCH('Monthly Cash Flow'!O$4,'Sponsor Pro Forma'!$M$7:$P$7,0))))</f>
        <v>0</v>
      </c>
      <c r="P64" s="286">
        <f>IF(AND(P$4='Sponsor Pro Forma'!$M$7,'Sponsor Pro Forma'!$R8="Override"),-('Monthly Cash Flow'!P$63+P65)*INDEX('Sponsor Pro Forma'!$S$8:$AD$9,MATCH('Monthly Cash Flow'!$B64,'Sponsor Pro Forma'!$B$8:$B$9,0),MATCH('Monthly Cash Flow'!P$5,'Sponsor Pro Forma'!$S$7:$AD$7,0)),IF('Monthly Cash Flow'!P$4&gt;4,-('Monthly Cash Flow'!P$63+P65)*'Sponsor Pro Forma'!$Q8,-('Monthly Cash Flow'!P$63+P65)*INDEX('Sponsor Pro Forma'!$M$8:$P$9,MATCH('Monthly Cash Flow'!$B64,'Sponsor Pro Forma'!$B$8:$B$9,0),MATCH('Monthly Cash Flow'!P$4,'Sponsor Pro Forma'!$M$7:$P$7,0))))</f>
        <v>0</v>
      </c>
      <c r="Q64" s="286">
        <f>IF(AND(Q$4='Sponsor Pro Forma'!$M$7,'Sponsor Pro Forma'!$R8="Override"),-('Monthly Cash Flow'!Q$63+Q65)*INDEX('Sponsor Pro Forma'!$S$8:$AD$9,MATCH('Monthly Cash Flow'!$B64,'Sponsor Pro Forma'!$B$8:$B$9,0),MATCH('Monthly Cash Flow'!Q$5,'Sponsor Pro Forma'!$S$7:$AD$7,0)),IF('Monthly Cash Flow'!Q$4&gt;4,-('Monthly Cash Flow'!Q$63+Q65)*'Sponsor Pro Forma'!$Q8,-('Monthly Cash Flow'!Q$63+Q65)*INDEX('Sponsor Pro Forma'!$M$8:$P$9,MATCH('Monthly Cash Flow'!$B64,'Sponsor Pro Forma'!$B$8:$B$9,0),MATCH('Monthly Cash Flow'!Q$4,'Sponsor Pro Forma'!$M$7:$P$7,0))))</f>
        <v>0</v>
      </c>
      <c r="R64" s="286">
        <f>IF(AND(R$4='Sponsor Pro Forma'!$M$7,'Sponsor Pro Forma'!$R8="Override"),-('Monthly Cash Flow'!R$63+R65)*INDEX('Sponsor Pro Forma'!$S$8:$AD$9,MATCH('Monthly Cash Flow'!$B64,'Sponsor Pro Forma'!$B$8:$B$9,0),MATCH('Monthly Cash Flow'!R$5,'Sponsor Pro Forma'!$S$7:$AD$7,0)),IF('Monthly Cash Flow'!R$4&gt;4,-('Monthly Cash Flow'!R$63+R65)*'Sponsor Pro Forma'!$Q8,-('Monthly Cash Flow'!R$63+R65)*INDEX('Sponsor Pro Forma'!$M$8:$P$9,MATCH('Monthly Cash Flow'!$B64,'Sponsor Pro Forma'!$B$8:$B$9,0),MATCH('Monthly Cash Flow'!R$4,'Sponsor Pro Forma'!$M$7:$P$7,0))))</f>
        <v>0</v>
      </c>
      <c r="S64" s="286">
        <f>IF(AND(S$4='Sponsor Pro Forma'!$M$7,'Sponsor Pro Forma'!$R8="Override"),-('Monthly Cash Flow'!S$63+S65)*INDEX('Sponsor Pro Forma'!$S$8:$AD$9,MATCH('Monthly Cash Flow'!$B64,'Sponsor Pro Forma'!$B$8:$B$9,0),MATCH('Monthly Cash Flow'!S$5,'Sponsor Pro Forma'!$S$7:$AD$7,0)),IF('Monthly Cash Flow'!S$4&gt;4,-('Monthly Cash Flow'!S$63+S65)*'Sponsor Pro Forma'!$Q8,-('Monthly Cash Flow'!S$63+S65)*INDEX('Sponsor Pro Forma'!$M$8:$P$9,MATCH('Monthly Cash Flow'!$B64,'Sponsor Pro Forma'!$B$8:$B$9,0),MATCH('Monthly Cash Flow'!S$4,'Sponsor Pro Forma'!$M$7:$P$7,0))))</f>
        <v>0</v>
      </c>
      <c r="T64" s="286">
        <f>IF(AND(T$4='Sponsor Pro Forma'!$M$7,'Sponsor Pro Forma'!$R8="Override"),-('Monthly Cash Flow'!T$63+T65)*INDEX('Sponsor Pro Forma'!$S$8:$AD$9,MATCH('Monthly Cash Flow'!$B64,'Sponsor Pro Forma'!$B$8:$B$9,0),MATCH('Monthly Cash Flow'!T$5,'Sponsor Pro Forma'!$S$7:$AD$7,0)),IF('Monthly Cash Flow'!T$4&gt;4,-('Monthly Cash Flow'!T$63+T65)*'Sponsor Pro Forma'!$Q8,-('Monthly Cash Flow'!T$63+T65)*INDEX('Sponsor Pro Forma'!$M$8:$P$9,MATCH('Monthly Cash Flow'!$B64,'Sponsor Pro Forma'!$B$8:$B$9,0),MATCH('Monthly Cash Flow'!T$4,'Sponsor Pro Forma'!$M$7:$P$7,0))))</f>
        <v>0</v>
      </c>
      <c r="U64" s="286">
        <f>IF(AND(U$4='Sponsor Pro Forma'!$M$7,'Sponsor Pro Forma'!$R8="Override"),-('Monthly Cash Flow'!U$63+U65)*INDEX('Sponsor Pro Forma'!$S$8:$AD$9,MATCH('Monthly Cash Flow'!$B64,'Sponsor Pro Forma'!$B$8:$B$9,0),MATCH('Monthly Cash Flow'!U$5,'Sponsor Pro Forma'!$S$7:$AD$7,0)),IF('Monthly Cash Flow'!U$4&gt;4,-('Monthly Cash Flow'!U$63+U65)*'Sponsor Pro Forma'!$Q8,-('Monthly Cash Flow'!U$63+U65)*INDEX('Sponsor Pro Forma'!$M$8:$P$9,MATCH('Monthly Cash Flow'!$B64,'Sponsor Pro Forma'!$B$8:$B$9,0),MATCH('Monthly Cash Flow'!U$4,'Sponsor Pro Forma'!$M$7:$P$7,0))))</f>
        <v>0</v>
      </c>
      <c r="V64" s="286">
        <f>IF(AND(V$4='Sponsor Pro Forma'!$M$7,'Sponsor Pro Forma'!$R8="Override"),-('Monthly Cash Flow'!V$63+V65)*INDEX('Sponsor Pro Forma'!$S$8:$AD$9,MATCH('Monthly Cash Flow'!$B64,'Sponsor Pro Forma'!$B$8:$B$9,0),MATCH('Monthly Cash Flow'!V$5,'Sponsor Pro Forma'!$S$7:$AD$7,0)),IF('Monthly Cash Flow'!V$4&gt;4,-('Monthly Cash Flow'!V$63+V65)*'Sponsor Pro Forma'!$Q8,-('Monthly Cash Flow'!V$63+V65)*INDEX('Sponsor Pro Forma'!$M$8:$P$9,MATCH('Monthly Cash Flow'!$B64,'Sponsor Pro Forma'!$B$8:$B$9,0),MATCH('Monthly Cash Flow'!V$4,'Sponsor Pro Forma'!$M$7:$P$7,0))))</f>
        <v>0</v>
      </c>
      <c r="W64" s="286">
        <f>IF(AND(W$4='Sponsor Pro Forma'!$M$7,'Sponsor Pro Forma'!$R8="Override"),-('Monthly Cash Flow'!W$63+W65)*INDEX('Sponsor Pro Forma'!$S$8:$AD$9,MATCH('Monthly Cash Flow'!$B64,'Sponsor Pro Forma'!$B$8:$B$9,0),MATCH('Monthly Cash Flow'!W$5,'Sponsor Pro Forma'!$S$7:$AD$7,0)),IF('Monthly Cash Flow'!W$4&gt;4,-('Monthly Cash Flow'!W$63+W65)*'Sponsor Pro Forma'!$Q8,-('Monthly Cash Flow'!W$63+W65)*INDEX('Sponsor Pro Forma'!$M$8:$P$9,MATCH('Monthly Cash Flow'!$B64,'Sponsor Pro Forma'!$B$8:$B$9,0),MATCH('Monthly Cash Flow'!W$4,'Sponsor Pro Forma'!$M$7:$P$7,0))))</f>
        <v>0</v>
      </c>
      <c r="X64" s="286">
        <f>IF(AND(X$4='Sponsor Pro Forma'!$M$7,'Sponsor Pro Forma'!$R8="Override"),-('Monthly Cash Flow'!X$63+X65)*INDEX('Sponsor Pro Forma'!$S$8:$AD$9,MATCH('Monthly Cash Flow'!$B64,'Sponsor Pro Forma'!$B$8:$B$9,0),MATCH('Monthly Cash Flow'!X$5,'Sponsor Pro Forma'!$S$7:$AD$7,0)),IF('Monthly Cash Flow'!X$4&gt;4,-('Monthly Cash Flow'!X$63+X65)*'Sponsor Pro Forma'!$Q8,-('Monthly Cash Flow'!X$63+X65)*INDEX('Sponsor Pro Forma'!$M$8:$P$9,MATCH('Monthly Cash Flow'!$B64,'Sponsor Pro Forma'!$B$8:$B$9,0),MATCH('Monthly Cash Flow'!X$4,'Sponsor Pro Forma'!$M$7:$P$7,0))))</f>
        <v>0</v>
      </c>
      <c r="Y64" s="286">
        <f>IF(AND(Y$4='Sponsor Pro Forma'!$M$7,'Sponsor Pro Forma'!$R8="Override"),-('Monthly Cash Flow'!Y$63+Y65)*INDEX('Sponsor Pro Forma'!$S$8:$AD$9,MATCH('Monthly Cash Flow'!$B64,'Sponsor Pro Forma'!$B$8:$B$9,0),MATCH('Monthly Cash Flow'!Y$5,'Sponsor Pro Forma'!$S$7:$AD$7,0)),IF('Monthly Cash Flow'!Y$4&gt;4,-('Monthly Cash Flow'!Y$63+Y65)*'Sponsor Pro Forma'!$Q8,-('Monthly Cash Flow'!Y$63+Y65)*INDEX('Sponsor Pro Forma'!$M$8:$P$9,MATCH('Monthly Cash Flow'!$B64,'Sponsor Pro Forma'!$B$8:$B$9,0),MATCH('Monthly Cash Flow'!Y$4,'Sponsor Pro Forma'!$M$7:$P$7,0))))</f>
        <v>0</v>
      </c>
      <c r="Z64" s="286">
        <f>IF(AND(Z$4='Sponsor Pro Forma'!$M$7,'Sponsor Pro Forma'!$R8="Override"),-('Monthly Cash Flow'!Z$63+Z65)*INDEX('Sponsor Pro Forma'!$S$8:$AD$9,MATCH('Monthly Cash Flow'!$B64,'Sponsor Pro Forma'!$B$8:$B$9,0),MATCH('Monthly Cash Flow'!Z$5,'Sponsor Pro Forma'!$S$7:$AD$7,0)),IF('Monthly Cash Flow'!Z$4&gt;4,-('Monthly Cash Flow'!Z$63+Z65)*'Sponsor Pro Forma'!$Q8,-('Monthly Cash Flow'!Z$63+Z65)*INDEX('Sponsor Pro Forma'!$M$8:$P$9,MATCH('Monthly Cash Flow'!$B64,'Sponsor Pro Forma'!$B$8:$B$9,0),MATCH('Monthly Cash Flow'!Z$4,'Sponsor Pro Forma'!$M$7:$P$7,0))))</f>
        <v>0</v>
      </c>
      <c r="AA64" s="286">
        <f>IF(AND(AA$4='Sponsor Pro Forma'!$M$7,'Sponsor Pro Forma'!$R8="Override"),-('Monthly Cash Flow'!AA$63+AA65)*INDEX('Sponsor Pro Forma'!$S$8:$AD$9,MATCH('Monthly Cash Flow'!$B64,'Sponsor Pro Forma'!$B$8:$B$9,0),MATCH('Monthly Cash Flow'!AA$5,'Sponsor Pro Forma'!$S$7:$AD$7,0)),IF('Monthly Cash Flow'!AA$4&gt;4,-('Monthly Cash Flow'!AA$63+AA65)*'Sponsor Pro Forma'!$Q8,-('Monthly Cash Flow'!AA$63+AA65)*INDEX('Sponsor Pro Forma'!$M$8:$P$9,MATCH('Monthly Cash Flow'!$B64,'Sponsor Pro Forma'!$B$8:$B$9,0),MATCH('Monthly Cash Flow'!AA$4,'Sponsor Pro Forma'!$M$7:$P$7,0))))</f>
        <v>0</v>
      </c>
      <c r="AB64" s="286">
        <f>IF(AND(AB$4='Sponsor Pro Forma'!$M$7,'Sponsor Pro Forma'!$R8="Override"),-('Monthly Cash Flow'!AB$63+AB65)*INDEX('Sponsor Pro Forma'!$S$8:$AD$9,MATCH('Monthly Cash Flow'!$B64,'Sponsor Pro Forma'!$B$8:$B$9,0),MATCH('Monthly Cash Flow'!AB$5,'Sponsor Pro Forma'!$S$7:$AD$7,0)),IF('Monthly Cash Flow'!AB$4&gt;4,-('Monthly Cash Flow'!AB$63+AB65)*'Sponsor Pro Forma'!$Q8,-('Monthly Cash Flow'!AB$63+AB65)*INDEX('Sponsor Pro Forma'!$M$8:$P$9,MATCH('Monthly Cash Flow'!$B64,'Sponsor Pro Forma'!$B$8:$B$9,0),MATCH('Monthly Cash Flow'!AB$4,'Sponsor Pro Forma'!$M$7:$P$7,0))))</f>
        <v>0</v>
      </c>
      <c r="AC64" s="286">
        <f>IF(AND(AC$4='Sponsor Pro Forma'!$M$7,'Sponsor Pro Forma'!$R8="Override"),-('Monthly Cash Flow'!AC$63+AC65)*INDEX('Sponsor Pro Forma'!$S$8:$AD$9,MATCH('Monthly Cash Flow'!$B64,'Sponsor Pro Forma'!$B$8:$B$9,0),MATCH('Monthly Cash Flow'!AC$5,'Sponsor Pro Forma'!$S$7:$AD$7,0)),IF('Monthly Cash Flow'!AC$4&gt;4,-('Monthly Cash Flow'!AC$63+AC65)*'Sponsor Pro Forma'!$Q8,-('Monthly Cash Flow'!AC$63+AC65)*INDEX('Sponsor Pro Forma'!$M$8:$P$9,MATCH('Monthly Cash Flow'!$B64,'Sponsor Pro Forma'!$B$8:$B$9,0),MATCH('Monthly Cash Flow'!AC$4,'Sponsor Pro Forma'!$M$7:$P$7,0))))</f>
        <v>0</v>
      </c>
      <c r="AD64" s="286">
        <f>IF(AND(AD$4='Sponsor Pro Forma'!$M$7,'Sponsor Pro Forma'!$R8="Override"),-('Monthly Cash Flow'!AD$63+AD65)*INDEX('Sponsor Pro Forma'!$S$8:$AD$9,MATCH('Monthly Cash Flow'!$B64,'Sponsor Pro Forma'!$B$8:$B$9,0),MATCH('Monthly Cash Flow'!AD$5,'Sponsor Pro Forma'!$S$7:$AD$7,0)),IF('Monthly Cash Flow'!AD$4&gt;4,-('Monthly Cash Flow'!AD$63+AD65)*'Sponsor Pro Forma'!$Q8,-('Monthly Cash Flow'!AD$63+AD65)*INDEX('Sponsor Pro Forma'!$M$8:$P$9,MATCH('Monthly Cash Flow'!$B64,'Sponsor Pro Forma'!$B$8:$B$9,0),MATCH('Monthly Cash Flow'!AD$4,'Sponsor Pro Forma'!$M$7:$P$7,0))))</f>
        <v>0</v>
      </c>
      <c r="AE64" s="286">
        <f>IF(AND(AE$4='Sponsor Pro Forma'!$M$7,'Sponsor Pro Forma'!$R8="Override"),-('Monthly Cash Flow'!AE$63+AE65)*INDEX('Sponsor Pro Forma'!$S$8:$AD$9,MATCH('Monthly Cash Flow'!$B64,'Sponsor Pro Forma'!$B$8:$B$9,0),MATCH('Monthly Cash Flow'!AE$5,'Sponsor Pro Forma'!$S$7:$AD$7,0)),IF('Monthly Cash Flow'!AE$4&gt;4,-('Monthly Cash Flow'!AE$63+AE65)*'Sponsor Pro Forma'!$Q8,-('Monthly Cash Flow'!AE$63+AE65)*INDEX('Sponsor Pro Forma'!$M$8:$P$9,MATCH('Monthly Cash Flow'!$B64,'Sponsor Pro Forma'!$B$8:$B$9,0),MATCH('Monthly Cash Flow'!AE$4,'Sponsor Pro Forma'!$M$7:$P$7,0))))</f>
        <v>0</v>
      </c>
      <c r="AF64" s="286">
        <f>IF(AND(AF$4='Sponsor Pro Forma'!$M$7,'Sponsor Pro Forma'!$R8="Override"),-('Monthly Cash Flow'!AF$63+AF65)*INDEX('Sponsor Pro Forma'!$S$8:$AD$9,MATCH('Monthly Cash Flow'!$B64,'Sponsor Pro Forma'!$B$8:$B$9,0),MATCH('Monthly Cash Flow'!AF$5,'Sponsor Pro Forma'!$S$7:$AD$7,0)),IF('Monthly Cash Flow'!AF$4&gt;4,-('Monthly Cash Flow'!AF$63+AF65)*'Sponsor Pro Forma'!$Q8,-('Monthly Cash Flow'!AF$63+AF65)*INDEX('Sponsor Pro Forma'!$M$8:$P$9,MATCH('Monthly Cash Flow'!$B64,'Sponsor Pro Forma'!$B$8:$B$9,0),MATCH('Monthly Cash Flow'!AF$4,'Sponsor Pro Forma'!$M$7:$P$7,0))))</f>
        <v>0</v>
      </c>
      <c r="AG64" s="286">
        <f>IF(AND(AG$4='Sponsor Pro Forma'!$M$7,'Sponsor Pro Forma'!$R8="Override"),-('Monthly Cash Flow'!AG$63+AG65)*INDEX('Sponsor Pro Forma'!$S$8:$AD$9,MATCH('Monthly Cash Flow'!$B64,'Sponsor Pro Forma'!$B$8:$B$9,0),MATCH('Monthly Cash Flow'!AG$5,'Sponsor Pro Forma'!$S$7:$AD$7,0)),IF('Monthly Cash Flow'!AG$4&gt;4,-('Monthly Cash Flow'!AG$63+AG65)*'Sponsor Pro Forma'!$Q8,-('Monthly Cash Flow'!AG$63+AG65)*INDEX('Sponsor Pro Forma'!$M$8:$P$9,MATCH('Monthly Cash Flow'!$B64,'Sponsor Pro Forma'!$B$8:$B$9,0),MATCH('Monthly Cash Flow'!AG$4,'Sponsor Pro Forma'!$M$7:$P$7,0))))</f>
        <v>0</v>
      </c>
      <c r="AH64" s="286">
        <f>IF(AND(AH$4='Sponsor Pro Forma'!$M$7,'Sponsor Pro Forma'!$R8="Override"),-('Monthly Cash Flow'!AH$63+AH65)*INDEX('Sponsor Pro Forma'!$S$8:$AD$9,MATCH('Monthly Cash Flow'!$B64,'Sponsor Pro Forma'!$B$8:$B$9,0),MATCH('Monthly Cash Flow'!AH$5,'Sponsor Pro Forma'!$S$7:$AD$7,0)),IF('Monthly Cash Flow'!AH$4&gt;4,-('Monthly Cash Flow'!AH$63+AH65)*'Sponsor Pro Forma'!$Q8,-('Monthly Cash Flow'!AH$63+AH65)*INDEX('Sponsor Pro Forma'!$M$8:$P$9,MATCH('Monthly Cash Flow'!$B64,'Sponsor Pro Forma'!$B$8:$B$9,0),MATCH('Monthly Cash Flow'!AH$4,'Sponsor Pro Forma'!$M$7:$P$7,0))))</f>
        <v>0</v>
      </c>
      <c r="AI64" s="286">
        <f>IF(AND(AI$4='Sponsor Pro Forma'!$M$7,'Sponsor Pro Forma'!$R8="Override"),-('Monthly Cash Flow'!AI$63+AI65)*INDEX('Sponsor Pro Forma'!$S$8:$AD$9,MATCH('Monthly Cash Flow'!$B64,'Sponsor Pro Forma'!$B$8:$B$9,0),MATCH('Monthly Cash Flow'!AI$5,'Sponsor Pro Forma'!$S$7:$AD$7,0)),IF('Monthly Cash Flow'!AI$4&gt;4,-('Monthly Cash Flow'!AI$63+AI65)*'Sponsor Pro Forma'!$Q8,-('Monthly Cash Flow'!AI$63+AI65)*INDEX('Sponsor Pro Forma'!$M$8:$P$9,MATCH('Monthly Cash Flow'!$B64,'Sponsor Pro Forma'!$B$8:$B$9,0),MATCH('Monthly Cash Flow'!AI$4,'Sponsor Pro Forma'!$M$7:$P$7,0))))</f>
        <v>0</v>
      </c>
      <c r="AJ64" s="286">
        <f>IF(AND(AJ$4='Sponsor Pro Forma'!$M$7,'Sponsor Pro Forma'!$R8="Override"),-('Monthly Cash Flow'!AJ$63+AJ65)*INDEX('Sponsor Pro Forma'!$S$8:$AD$9,MATCH('Monthly Cash Flow'!$B64,'Sponsor Pro Forma'!$B$8:$B$9,0),MATCH('Monthly Cash Flow'!AJ$5,'Sponsor Pro Forma'!$S$7:$AD$7,0)),IF('Monthly Cash Flow'!AJ$4&gt;4,-('Monthly Cash Flow'!AJ$63+AJ65)*'Sponsor Pro Forma'!$Q8,-('Monthly Cash Flow'!AJ$63+AJ65)*INDEX('Sponsor Pro Forma'!$M$8:$P$9,MATCH('Monthly Cash Flow'!$B64,'Sponsor Pro Forma'!$B$8:$B$9,0),MATCH('Monthly Cash Flow'!AJ$4,'Sponsor Pro Forma'!$M$7:$P$7,0))))</f>
        <v>0</v>
      </c>
      <c r="AK64" s="286">
        <f>IF(AND(AK$4='Sponsor Pro Forma'!$M$7,'Sponsor Pro Forma'!$R8="Override"),-('Monthly Cash Flow'!AK$63+AK65)*INDEX('Sponsor Pro Forma'!$S$8:$AD$9,MATCH('Monthly Cash Flow'!$B64,'Sponsor Pro Forma'!$B$8:$B$9,0),MATCH('Monthly Cash Flow'!AK$5,'Sponsor Pro Forma'!$S$7:$AD$7,0)),IF('Monthly Cash Flow'!AK$4&gt;4,-('Monthly Cash Flow'!AK$63+AK65)*'Sponsor Pro Forma'!$Q8,-('Monthly Cash Flow'!AK$63+AK65)*INDEX('Sponsor Pro Forma'!$M$8:$P$9,MATCH('Monthly Cash Flow'!$B64,'Sponsor Pro Forma'!$B$8:$B$9,0),MATCH('Monthly Cash Flow'!AK$4,'Sponsor Pro Forma'!$M$7:$P$7,0))))</f>
        <v>0</v>
      </c>
      <c r="AL64" s="286">
        <f>IF(AND(AL$4='Sponsor Pro Forma'!$M$7,'Sponsor Pro Forma'!$R8="Override"),-('Monthly Cash Flow'!AL$63+AL65)*INDEX('Sponsor Pro Forma'!$S$8:$AD$9,MATCH('Monthly Cash Flow'!$B64,'Sponsor Pro Forma'!$B$8:$B$9,0),MATCH('Monthly Cash Flow'!AL$5,'Sponsor Pro Forma'!$S$7:$AD$7,0)),IF('Monthly Cash Flow'!AL$4&gt;4,-('Monthly Cash Flow'!AL$63+AL65)*'Sponsor Pro Forma'!$Q8,-('Monthly Cash Flow'!AL$63+AL65)*INDEX('Sponsor Pro Forma'!$M$8:$P$9,MATCH('Monthly Cash Flow'!$B64,'Sponsor Pro Forma'!$B$8:$B$9,0),MATCH('Monthly Cash Flow'!AL$4,'Sponsor Pro Forma'!$M$7:$P$7,0))))</f>
        <v>0</v>
      </c>
      <c r="AM64" s="286">
        <f>IF(AND(AM$4='Sponsor Pro Forma'!$M$7,'Sponsor Pro Forma'!$R8="Override"),-('Monthly Cash Flow'!AM$63+AM65)*INDEX('Sponsor Pro Forma'!$S$8:$AD$9,MATCH('Monthly Cash Flow'!$B64,'Sponsor Pro Forma'!$B$8:$B$9,0),MATCH('Monthly Cash Flow'!AM$5,'Sponsor Pro Forma'!$S$7:$AD$7,0)),IF('Monthly Cash Flow'!AM$4&gt;4,-('Monthly Cash Flow'!AM$63+AM65)*'Sponsor Pro Forma'!$Q8,-('Monthly Cash Flow'!AM$63+AM65)*INDEX('Sponsor Pro Forma'!$M$8:$P$9,MATCH('Monthly Cash Flow'!$B64,'Sponsor Pro Forma'!$B$8:$B$9,0),MATCH('Monthly Cash Flow'!AM$4,'Sponsor Pro Forma'!$M$7:$P$7,0))))</f>
        <v>0</v>
      </c>
      <c r="AN64" s="286">
        <f>IF(AND(AN$4='Sponsor Pro Forma'!$M$7,'Sponsor Pro Forma'!$R8="Override"),-('Monthly Cash Flow'!AN$63+AN65)*INDEX('Sponsor Pro Forma'!$S$8:$AD$9,MATCH('Monthly Cash Flow'!$B64,'Sponsor Pro Forma'!$B$8:$B$9,0),MATCH('Monthly Cash Flow'!AN$5,'Sponsor Pro Forma'!$S$7:$AD$7,0)),IF('Monthly Cash Flow'!AN$4&gt;4,-('Monthly Cash Flow'!AN$63+AN65)*'Sponsor Pro Forma'!$Q8,-('Monthly Cash Flow'!AN$63+AN65)*INDEX('Sponsor Pro Forma'!$M$8:$P$9,MATCH('Monthly Cash Flow'!$B64,'Sponsor Pro Forma'!$B$8:$B$9,0),MATCH('Monthly Cash Flow'!AN$4,'Sponsor Pro Forma'!$M$7:$P$7,0))))</f>
        <v>0</v>
      </c>
      <c r="AO64" s="286">
        <f>IF(AND(AO$4='Sponsor Pro Forma'!$M$7,'Sponsor Pro Forma'!$R8="Override"),-('Monthly Cash Flow'!AO$63+AO65)*INDEX('Sponsor Pro Forma'!$S$8:$AD$9,MATCH('Monthly Cash Flow'!$B64,'Sponsor Pro Forma'!$B$8:$B$9,0),MATCH('Monthly Cash Flow'!AO$5,'Sponsor Pro Forma'!$S$7:$AD$7,0)),IF('Monthly Cash Flow'!AO$4&gt;4,-('Monthly Cash Flow'!AO$63+AO65)*'Sponsor Pro Forma'!$Q8,-('Monthly Cash Flow'!AO$63+AO65)*INDEX('Sponsor Pro Forma'!$M$8:$P$9,MATCH('Monthly Cash Flow'!$B64,'Sponsor Pro Forma'!$B$8:$B$9,0),MATCH('Monthly Cash Flow'!AO$4,'Sponsor Pro Forma'!$M$7:$P$7,0))))</f>
        <v>0</v>
      </c>
      <c r="AP64" s="286">
        <f>IF(AND(AP$4='Sponsor Pro Forma'!$M$7,'Sponsor Pro Forma'!$R8="Override"),-('Monthly Cash Flow'!AP$63+AP65)*INDEX('Sponsor Pro Forma'!$S$8:$AD$9,MATCH('Monthly Cash Flow'!$B64,'Sponsor Pro Forma'!$B$8:$B$9,0),MATCH('Monthly Cash Flow'!AP$5,'Sponsor Pro Forma'!$S$7:$AD$7,0)),IF('Monthly Cash Flow'!AP$4&gt;4,-('Monthly Cash Flow'!AP$63+AP65)*'Sponsor Pro Forma'!$Q8,-('Monthly Cash Flow'!AP$63+AP65)*INDEX('Sponsor Pro Forma'!$M$8:$P$9,MATCH('Monthly Cash Flow'!$B64,'Sponsor Pro Forma'!$B$8:$B$9,0),MATCH('Monthly Cash Flow'!AP$4,'Sponsor Pro Forma'!$M$7:$P$7,0))))</f>
        <v>0</v>
      </c>
      <c r="AQ64" s="286">
        <f>IF(AND(AQ$4='Sponsor Pro Forma'!$M$7,'Sponsor Pro Forma'!$R8="Override"),-('Monthly Cash Flow'!AQ$63+AQ65)*INDEX('Sponsor Pro Forma'!$S$8:$AD$9,MATCH('Monthly Cash Flow'!$B64,'Sponsor Pro Forma'!$B$8:$B$9,0),MATCH('Monthly Cash Flow'!AQ$5,'Sponsor Pro Forma'!$S$7:$AD$7,0)),IF('Monthly Cash Flow'!AQ$4&gt;4,-('Monthly Cash Flow'!AQ$63+AQ65)*'Sponsor Pro Forma'!$Q8,-('Monthly Cash Flow'!AQ$63+AQ65)*INDEX('Sponsor Pro Forma'!$M$8:$P$9,MATCH('Monthly Cash Flow'!$B64,'Sponsor Pro Forma'!$B$8:$B$9,0),MATCH('Monthly Cash Flow'!AQ$4,'Sponsor Pro Forma'!$M$7:$P$7,0))))</f>
        <v>0</v>
      </c>
      <c r="AR64" s="286">
        <f>IF(AND(AR$4='Sponsor Pro Forma'!$M$7,'Sponsor Pro Forma'!$R8="Override"),-('Monthly Cash Flow'!AR$63+AR65)*INDEX('Sponsor Pro Forma'!$S$8:$AD$9,MATCH('Monthly Cash Flow'!$B64,'Sponsor Pro Forma'!$B$8:$B$9,0),MATCH('Monthly Cash Flow'!AR$5,'Sponsor Pro Forma'!$S$7:$AD$7,0)),IF('Monthly Cash Flow'!AR$4&gt;4,-('Monthly Cash Flow'!AR$63+AR65)*'Sponsor Pro Forma'!$Q8,-('Monthly Cash Flow'!AR$63+AR65)*INDEX('Sponsor Pro Forma'!$M$8:$P$9,MATCH('Monthly Cash Flow'!$B64,'Sponsor Pro Forma'!$B$8:$B$9,0),MATCH('Monthly Cash Flow'!AR$4,'Sponsor Pro Forma'!$M$7:$P$7,0))))</f>
        <v>0</v>
      </c>
      <c r="AS64" s="286">
        <f>IF(AND(AS$4='Sponsor Pro Forma'!$M$7,'Sponsor Pro Forma'!$R8="Override"),-('Monthly Cash Flow'!AS$63+AS65)*INDEX('Sponsor Pro Forma'!$S$8:$AD$9,MATCH('Monthly Cash Flow'!$B64,'Sponsor Pro Forma'!$B$8:$B$9,0),MATCH('Monthly Cash Flow'!AS$5,'Sponsor Pro Forma'!$S$7:$AD$7,0)),IF('Monthly Cash Flow'!AS$4&gt;4,-('Monthly Cash Flow'!AS$63+AS65)*'Sponsor Pro Forma'!$Q8,-('Monthly Cash Flow'!AS$63+AS65)*INDEX('Sponsor Pro Forma'!$M$8:$P$9,MATCH('Monthly Cash Flow'!$B64,'Sponsor Pro Forma'!$B$8:$B$9,0),MATCH('Monthly Cash Flow'!AS$4,'Sponsor Pro Forma'!$M$7:$P$7,0))))</f>
        <v>0</v>
      </c>
      <c r="AT64" s="286">
        <f>IF(AND(AT$4='Sponsor Pro Forma'!$M$7,'Sponsor Pro Forma'!$R8="Override"),-('Monthly Cash Flow'!AT$63+AT65)*INDEX('Sponsor Pro Forma'!$S$8:$AD$9,MATCH('Monthly Cash Flow'!$B64,'Sponsor Pro Forma'!$B$8:$B$9,0),MATCH('Monthly Cash Flow'!AT$5,'Sponsor Pro Forma'!$S$7:$AD$7,0)),IF('Monthly Cash Flow'!AT$4&gt;4,-('Monthly Cash Flow'!AT$63+AT65)*'Sponsor Pro Forma'!$Q8,-('Monthly Cash Flow'!AT$63+AT65)*INDEX('Sponsor Pro Forma'!$M$8:$P$9,MATCH('Monthly Cash Flow'!$B64,'Sponsor Pro Forma'!$B$8:$B$9,0),MATCH('Monthly Cash Flow'!AT$4,'Sponsor Pro Forma'!$M$7:$P$7,0))))</f>
        <v>0</v>
      </c>
      <c r="AU64" s="286">
        <f>IF(AND(AU$4='Sponsor Pro Forma'!$M$7,'Sponsor Pro Forma'!$R8="Override"),-('Monthly Cash Flow'!AU$63+AU65)*INDEX('Sponsor Pro Forma'!$S$8:$AD$9,MATCH('Monthly Cash Flow'!$B64,'Sponsor Pro Forma'!$B$8:$B$9,0),MATCH('Monthly Cash Flow'!AU$5,'Sponsor Pro Forma'!$S$7:$AD$7,0)),IF('Monthly Cash Flow'!AU$4&gt;4,-('Monthly Cash Flow'!AU$63+AU65)*'Sponsor Pro Forma'!$Q8,-('Monthly Cash Flow'!AU$63+AU65)*INDEX('Sponsor Pro Forma'!$M$8:$P$9,MATCH('Monthly Cash Flow'!$B64,'Sponsor Pro Forma'!$B$8:$B$9,0),MATCH('Monthly Cash Flow'!AU$4,'Sponsor Pro Forma'!$M$7:$P$7,0))))</f>
        <v>0</v>
      </c>
      <c r="AV64" s="286">
        <f>IF(AND(AV$4='Sponsor Pro Forma'!$M$7,'Sponsor Pro Forma'!$R8="Override"),-('Monthly Cash Flow'!AV$63+AV65)*INDEX('Sponsor Pro Forma'!$S$8:$AD$9,MATCH('Monthly Cash Flow'!$B64,'Sponsor Pro Forma'!$B$8:$B$9,0),MATCH('Monthly Cash Flow'!AV$5,'Sponsor Pro Forma'!$S$7:$AD$7,0)),IF('Monthly Cash Flow'!AV$4&gt;4,-('Monthly Cash Flow'!AV$63+AV65)*'Sponsor Pro Forma'!$Q8,-('Monthly Cash Flow'!AV$63+AV65)*INDEX('Sponsor Pro Forma'!$M$8:$P$9,MATCH('Monthly Cash Flow'!$B64,'Sponsor Pro Forma'!$B$8:$B$9,0),MATCH('Monthly Cash Flow'!AV$4,'Sponsor Pro Forma'!$M$7:$P$7,0))))</f>
        <v>0</v>
      </c>
      <c r="AW64" s="286">
        <f>IF(AND(AW$4='Sponsor Pro Forma'!$M$7,'Sponsor Pro Forma'!$R8="Override"),-('Monthly Cash Flow'!AW$63+AW65)*INDEX('Sponsor Pro Forma'!$S$8:$AD$9,MATCH('Monthly Cash Flow'!$B64,'Sponsor Pro Forma'!$B$8:$B$9,0),MATCH('Monthly Cash Flow'!AW$5,'Sponsor Pro Forma'!$S$7:$AD$7,0)),IF('Monthly Cash Flow'!AW$4&gt;4,-('Monthly Cash Flow'!AW$63+AW65)*'Sponsor Pro Forma'!$Q8,-('Monthly Cash Flow'!AW$63+AW65)*INDEX('Sponsor Pro Forma'!$M$8:$P$9,MATCH('Monthly Cash Flow'!$B64,'Sponsor Pro Forma'!$B$8:$B$9,0),MATCH('Monthly Cash Flow'!AW$4,'Sponsor Pro Forma'!$M$7:$P$7,0))))</f>
        <v>0</v>
      </c>
      <c r="AX64" s="286">
        <f>IF(AND(AX$4='Sponsor Pro Forma'!$M$7,'Sponsor Pro Forma'!$R8="Override"),-('Monthly Cash Flow'!AX$63+AX65)*INDEX('Sponsor Pro Forma'!$S$8:$AD$9,MATCH('Monthly Cash Flow'!$B64,'Sponsor Pro Forma'!$B$8:$B$9,0),MATCH('Monthly Cash Flow'!AX$5,'Sponsor Pro Forma'!$S$7:$AD$7,0)),IF('Monthly Cash Flow'!AX$4&gt;4,-('Monthly Cash Flow'!AX$63+AX65)*'Sponsor Pro Forma'!$Q8,-('Monthly Cash Flow'!AX$63+AX65)*INDEX('Sponsor Pro Forma'!$M$8:$P$9,MATCH('Monthly Cash Flow'!$B64,'Sponsor Pro Forma'!$B$8:$B$9,0),MATCH('Monthly Cash Flow'!AX$4,'Sponsor Pro Forma'!$M$7:$P$7,0))))</f>
        <v>0</v>
      </c>
      <c r="AY64" s="286">
        <f>IF(AND(AY$4='Sponsor Pro Forma'!$M$7,'Sponsor Pro Forma'!$R8="Override"),-('Monthly Cash Flow'!AY$63+AY65)*INDEX('Sponsor Pro Forma'!$S$8:$AD$9,MATCH('Monthly Cash Flow'!$B64,'Sponsor Pro Forma'!$B$8:$B$9,0),MATCH('Monthly Cash Flow'!AY$5,'Sponsor Pro Forma'!$S$7:$AD$7,0)),IF('Monthly Cash Flow'!AY$4&gt;4,-('Monthly Cash Flow'!AY$63+AY65)*'Sponsor Pro Forma'!$Q8,-('Monthly Cash Flow'!AY$63+AY65)*INDEX('Sponsor Pro Forma'!$M$8:$P$9,MATCH('Monthly Cash Flow'!$B64,'Sponsor Pro Forma'!$B$8:$B$9,0),MATCH('Monthly Cash Flow'!AY$4,'Sponsor Pro Forma'!$M$7:$P$7,0))))</f>
        <v>0</v>
      </c>
      <c r="AZ64" s="286">
        <f>IF(AND(AZ$4='Sponsor Pro Forma'!$M$7,'Sponsor Pro Forma'!$R8="Override"),-('Monthly Cash Flow'!AZ$63+AZ65)*INDEX('Sponsor Pro Forma'!$S$8:$AD$9,MATCH('Monthly Cash Flow'!$B64,'Sponsor Pro Forma'!$B$8:$B$9,0),MATCH('Monthly Cash Flow'!AZ$5,'Sponsor Pro Forma'!$S$7:$AD$7,0)),IF('Monthly Cash Flow'!AZ$4&gt;4,-('Monthly Cash Flow'!AZ$63+AZ65)*'Sponsor Pro Forma'!$Q8,-('Monthly Cash Flow'!AZ$63+AZ65)*INDEX('Sponsor Pro Forma'!$M$8:$P$9,MATCH('Monthly Cash Flow'!$B64,'Sponsor Pro Forma'!$B$8:$B$9,0),MATCH('Monthly Cash Flow'!AZ$4,'Sponsor Pro Forma'!$M$7:$P$7,0))))</f>
        <v>0</v>
      </c>
      <c r="BA64" s="286">
        <f>IF(AND(BA$4='Sponsor Pro Forma'!$M$7,'Sponsor Pro Forma'!$R8="Override"),-('Monthly Cash Flow'!BA$63+BA65)*INDEX('Sponsor Pro Forma'!$S$8:$AD$9,MATCH('Monthly Cash Flow'!$B64,'Sponsor Pro Forma'!$B$8:$B$9,0),MATCH('Monthly Cash Flow'!BA$5,'Sponsor Pro Forma'!$S$7:$AD$7,0)),IF('Monthly Cash Flow'!BA$4&gt;4,-('Monthly Cash Flow'!BA$63+BA65)*'Sponsor Pro Forma'!$Q8,-('Monthly Cash Flow'!BA$63+BA65)*INDEX('Sponsor Pro Forma'!$M$8:$P$9,MATCH('Monthly Cash Flow'!$B64,'Sponsor Pro Forma'!$B$8:$B$9,0),MATCH('Monthly Cash Flow'!BA$4,'Sponsor Pro Forma'!$M$7:$P$7,0))))</f>
        <v>0</v>
      </c>
      <c r="BB64" s="286">
        <f>IF(AND(BB$4='Sponsor Pro Forma'!$M$7,'Sponsor Pro Forma'!$R8="Override"),-('Monthly Cash Flow'!BB$63+BB65)*INDEX('Sponsor Pro Forma'!$S$8:$AD$9,MATCH('Monthly Cash Flow'!$B64,'Sponsor Pro Forma'!$B$8:$B$9,0),MATCH('Monthly Cash Flow'!BB$5,'Sponsor Pro Forma'!$S$7:$AD$7,0)),IF('Monthly Cash Flow'!BB$4&gt;4,-('Monthly Cash Flow'!BB$63+BB65)*'Sponsor Pro Forma'!$Q8,-('Monthly Cash Flow'!BB$63+BB65)*INDEX('Sponsor Pro Forma'!$M$8:$P$9,MATCH('Monthly Cash Flow'!$B64,'Sponsor Pro Forma'!$B$8:$B$9,0),MATCH('Monthly Cash Flow'!BB$4,'Sponsor Pro Forma'!$M$7:$P$7,0))))</f>
        <v>0</v>
      </c>
      <c r="BC64" s="286">
        <f>IF(AND(BC$4='Sponsor Pro Forma'!$M$7,'Sponsor Pro Forma'!$R8="Override"),-('Monthly Cash Flow'!BC$63+BC65)*INDEX('Sponsor Pro Forma'!$S$8:$AD$9,MATCH('Monthly Cash Flow'!$B64,'Sponsor Pro Forma'!$B$8:$B$9,0),MATCH('Monthly Cash Flow'!BC$5,'Sponsor Pro Forma'!$S$7:$AD$7,0)),IF('Monthly Cash Flow'!BC$4&gt;4,-('Monthly Cash Flow'!BC$63+BC65)*'Sponsor Pro Forma'!$Q8,-('Monthly Cash Flow'!BC$63+BC65)*INDEX('Sponsor Pro Forma'!$M$8:$P$9,MATCH('Monthly Cash Flow'!$B64,'Sponsor Pro Forma'!$B$8:$B$9,0),MATCH('Monthly Cash Flow'!BC$4,'Sponsor Pro Forma'!$M$7:$P$7,0))))</f>
        <v>0</v>
      </c>
      <c r="BD64" s="286">
        <f>IF(AND(BD$4='Sponsor Pro Forma'!$M$7,'Sponsor Pro Forma'!$R8="Override"),-('Monthly Cash Flow'!BD$63+BD65)*INDEX('Sponsor Pro Forma'!$S$8:$AD$9,MATCH('Monthly Cash Flow'!$B64,'Sponsor Pro Forma'!$B$8:$B$9,0),MATCH('Monthly Cash Flow'!BD$5,'Sponsor Pro Forma'!$S$7:$AD$7,0)),IF('Monthly Cash Flow'!BD$4&gt;4,-('Monthly Cash Flow'!BD$63+BD65)*'Sponsor Pro Forma'!$Q8,-('Monthly Cash Flow'!BD$63+BD65)*INDEX('Sponsor Pro Forma'!$M$8:$P$9,MATCH('Monthly Cash Flow'!$B64,'Sponsor Pro Forma'!$B$8:$B$9,0),MATCH('Monthly Cash Flow'!BD$4,'Sponsor Pro Forma'!$M$7:$P$7,0))))</f>
        <v>0</v>
      </c>
      <c r="BE64" s="286">
        <f>IF(AND(BE$4='Sponsor Pro Forma'!$M$7,'Sponsor Pro Forma'!$R8="Override"),-('Monthly Cash Flow'!BE$63+BE65)*INDEX('Sponsor Pro Forma'!$S$8:$AD$9,MATCH('Monthly Cash Flow'!$B64,'Sponsor Pro Forma'!$B$8:$B$9,0),MATCH('Monthly Cash Flow'!BE$5,'Sponsor Pro Forma'!$S$7:$AD$7,0)),IF('Monthly Cash Flow'!BE$4&gt;4,-('Monthly Cash Flow'!BE$63+BE65)*'Sponsor Pro Forma'!$Q8,-('Monthly Cash Flow'!BE$63+BE65)*INDEX('Sponsor Pro Forma'!$M$8:$P$9,MATCH('Monthly Cash Flow'!$B64,'Sponsor Pro Forma'!$B$8:$B$9,0),MATCH('Monthly Cash Flow'!BE$4,'Sponsor Pro Forma'!$M$7:$P$7,0))))</f>
        <v>0</v>
      </c>
      <c r="BF64" s="286">
        <f>IF(AND(BF$4='Sponsor Pro Forma'!$M$7,'Sponsor Pro Forma'!$R8="Override"),-('Monthly Cash Flow'!BF$63+BF65)*INDEX('Sponsor Pro Forma'!$S$8:$AD$9,MATCH('Monthly Cash Flow'!$B64,'Sponsor Pro Forma'!$B$8:$B$9,0),MATCH('Monthly Cash Flow'!BF$5,'Sponsor Pro Forma'!$S$7:$AD$7,0)),IF('Monthly Cash Flow'!BF$4&gt;4,-('Monthly Cash Flow'!BF$63+BF65)*'Sponsor Pro Forma'!$Q8,-('Monthly Cash Flow'!BF$63+BF65)*INDEX('Sponsor Pro Forma'!$M$8:$P$9,MATCH('Monthly Cash Flow'!$B64,'Sponsor Pro Forma'!$B$8:$B$9,0),MATCH('Monthly Cash Flow'!BF$4,'Sponsor Pro Forma'!$M$7:$P$7,0))))</f>
        <v>0</v>
      </c>
      <c r="BG64" s="286">
        <f>IF(AND(BG$4='Sponsor Pro Forma'!$M$7,'Sponsor Pro Forma'!$R8="Override"),-('Monthly Cash Flow'!BG$63+BG65)*INDEX('Sponsor Pro Forma'!$S$8:$AD$9,MATCH('Monthly Cash Flow'!$B64,'Sponsor Pro Forma'!$B$8:$B$9,0),MATCH('Monthly Cash Flow'!BG$5,'Sponsor Pro Forma'!$S$7:$AD$7,0)),IF('Monthly Cash Flow'!BG$4&gt;4,-('Monthly Cash Flow'!BG$63+BG65)*'Sponsor Pro Forma'!$Q8,-('Monthly Cash Flow'!BG$63+BG65)*INDEX('Sponsor Pro Forma'!$M$8:$P$9,MATCH('Monthly Cash Flow'!$B64,'Sponsor Pro Forma'!$B$8:$B$9,0),MATCH('Monthly Cash Flow'!BG$4,'Sponsor Pro Forma'!$M$7:$P$7,0))))</f>
        <v>0</v>
      </c>
      <c r="BH64" s="286">
        <f>IF(AND(BH$4='Sponsor Pro Forma'!$M$7,'Sponsor Pro Forma'!$R8="Override"),-('Monthly Cash Flow'!BH$63+BH65)*INDEX('Sponsor Pro Forma'!$S$8:$AD$9,MATCH('Monthly Cash Flow'!$B64,'Sponsor Pro Forma'!$B$8:$B$9,0),MATCH('Monthly Cash Flow'!BH$5,'Sponsor Pro Forma'!$S$7:$AD$7,0)),IF('Monthly Cash Flow'!BH$4&gt;4,-('Monthly Cash Flow'!BH$63+BH65)*'Sponsor Pro Forma'!$Q8,-('Monthly Cash Flow'!BH$63+BH65)*INDEX('Sponsor Pro Forma'!$M$8:$P$9,MATCH('Monthly Cash Flow'!$B64,'Sponsor Pro Forma'!$B$8:$B$9,0),MATCH('Monthly Cash Flow'!BH$4,'Sponsor Pro Forma'!$M$7:$P$7,0))))</f>
        <v>0</v>
      </c>
      <c r="BI64" s="286">
        <f>IF(AND(BI$4='Sponsor Pro Forma'!$M$7,'Sponsor Pro Forma'!$R8="Override"),-('Monthly Cash Flow'!BI$63+BI65)*INDEX('Sponsor Pro Forma'!$S$8:$AD$9,MATCH('Monthly Cash Flow'!$B64,'Sponsor Pro Forma'!$B$8:$B$9,0),MATCH('Monthly Cash Flow'!BI$5,'Sponsor Pro Forma'!$S$7:$AD$7,0)),IF('Monthly Cash Flow'!BI$4&gt;4,-('Monthly Cash Flow'!BI$63+BI65)*'Sponsor Pro Forma'!$Q8,-('Monthly Cash Flow'!BI$63+BI65)*INDEX('Sponsor Pro Forma'!$M$8:$P$9,MATCH('Monthly Cash Flow'!$B64,'Sponsor Pro Forma'!$B$8:$B$9,0),MATCH('Monthly Cash Flow'!BI$4,'Sponsor Pro Forma'!$M$7:$P$7,0))))</f>
        <v>0</v>
      </c>
      <c r="BJ64" s="286">
        <f>IF(AND(BJ$4='Sponsor Pro Forma'!$M$7,'Sponsor Pro Forma'!$R8="Override"),-('Monthly Cash Flow'!BJ$63+BJ65)*INDEX('Sponsor Pro Forma'!$S$8:$AD$9,MATCH('Monthly Cash Flow'!$B64,'Sponsor Pro Forma'!$B$8:$B$9,0),MATCH('Monthly Cash Flow'!BJ$5,'Sponsor Pro Forma'!$S$7:$AD$7,0)),IF('Monthly Cash Flow'!BJ$4&gt;4,-('Monthly Cash Flow'!BJ$63+BJ65)*'Sponsor Pro Forma'!$Q8,-('Monthly Cash Flow'!BJ$63+BJ65)*INDEX('Sponsor Pro Forma'!$M$8:$P$9,MATCH('Monthly Cash Flow'!$B64,'Sponsor Pro Forma'!$B$8:$B$9,0),MATCH('Monthly Cash Flow'!BJ$4,'Sponsor Pro Forma'!$M$7:$P$7,0))))</f>
        <v>0</v>
      </c>
      <c r="BK64" s="286">
        <f>IF(AND(BK$4='Sponsor Pro Forma'!$M$7,'Sponsor Pro Forma'!$R8="Override"),-('Monthly Cash Flow'!BK$63+BK65)*INDEX('Sponsor Pro Forma'!$S$8:$AD$9,MATCH('Monthly Cash Flow'!$B64,'Sponsor Pro Forma'!$B$8:$B$9,0),MATCH('Monthly Cash Flow'!BK$5,'Sponsor Pro Forma'!$S$7:$AD$7,0)),IF('Monthly Cash Flow'!BK$4&gt;4,-('Monthly Cash Flow'!BK$63+BK65)*'Sponsor Pro Forma'!$Q8,-('Monthly Cash Flow'!BK$63+BK65)*INDEX('Sponsor Pro Forma'!$M$8:$P$9,MATCH('Monthly Cash Flow'!$B64,'Sponsor Pro Forma'!$B$8:$B$9,0),MATCH('Monthly Cash Flow'!BK$4,'Sponsor Pro Forma'!$M$7:$P$7,0))))</f>
        <v>0</v>
      </c>
      <c r="BL64" s="286">
        <f>IF(AND(BL$4='Sponsor Pro Forma'!$M$7,'Sponsor Pro Forma'!$R8="Override"),-('Monthly Cash Flow'!BL$63+BL65)*INDEX('Sponsor Pro Forma'!$S$8:$AD$9,MATCH('Monthly Cash Flow'!$B64,'Sponsor Pro Forma'!$B$8:$B$9,0),MATCH('Monthly Cash Flow'!BL$5,'Sponsor Pro Forma'!$S$7:$AD$7,0)),IF('Monthly Cash Flow'!BL$4&gt;4,-('Monthly Cash Flow'!BL$63+BL65)*'Sponsor Pro Forma'!$Q8,-('Monthly Cash Flow'!BL$63+BL65)*INDEX('Sponsor Pro Forma'!$M$8:$P$9,MATCH('Monthly Cash Flow'!$B64,'Sponsor Pro Forma'!$B$8:$B$9,0),MATCH('Monthly Cash Flow'!BL$4,'Sponsor Pro Forma'!$M$7:$P$7,0))))</f>
        <v>0</v>
      </c>
      <c r="BM64" s="286">
        <f>IF(AND(BM$4='Sponsor Pro Forma'!$M$7,'Sponsor Pro Forma'!$R8="Override"),-('Monthly Cash Flow'!BM$63+BM65)*INDEX('Sponsor Pro Forma'!$S$8:$AD$9,MATCH('Monthly Cash Flow'!$B64,'Sponsor Pro Forma'!$B$8:$B$9,0),MATCH('Monthly Cash Flow'!BM$5,'Sponsor Pro Forma'!$S$7:$AD$7,0)),IF('Monthly Cash Flow'!BM$4&gt;4,-('Monthly Cash Flow'!BM$63+BM65)*'Sponsor Pro Forma'!$Q8,-('Monthly Cash Flow'!BM$63+BM65)*INDEX('Sponsor Pro Forma'!$M$8:$P$9,MATCH('Monthly Cash Flow'!$B64,'Sponsor Pro Forma'!$B$8:$B$9,0),MATCH('Monthly Cash Flow'!BM$4,'Sponsor Pro Forma'!$M$7:$P$7,0))))</f>
        <v>0</v>
      </c>
      <c r="BN64" s="286">
        <f>IF(AND(BN$4='Sponsor Pro Forma'!$M$7,'Sponsor Pro Forma'!$R8="Override"),-('Monthly Cash Flow'!BN$63+BN65)*INDEX('Sponsor Pro Forma'!$S$8:$AD$9,MATCH('Monthly Cash Flow'!$B64,'Sponsor Pro Forma'!$B$8:$B$9,0),MATCH('Monthly Cash Flow'!BN$5,'Sponsor Pro Forma'!$S$7:$AD$7,0)),IF('Monthly Cash Flow'!BN$4&gt;4,-('Monthly Cash Flow'!BN$63+BN65)*'Sponsor Pro Forma'!$Q8,-('Monthly Cash Flow'!BN$63+BN65)*INDEX('Sponsor Pro Forma'!$M$8:$P$9,MATCH('Monthly Cash Flow'!$B64,'Sponsor Pro Forma'!$B$8:$B$9,0),MATCH('Monthly Cash Flow'!BN$4,'Sponsor Pro Forma'!$M$7:$P$7,0))))</f>
        <v>0</v>
      </c>
      <c r="BO64" s="286">
        <f>IF(AND(BO$4='Sponsor Pro Forma'!$M$7,'Sponsor Pro Forma'!$R8="Override"),-('Monthly Cash Flow'!BO$63+BO65)*INDEX('Sponsor Pro Forma'!$S$8:$AD$9,MATCH('Monthly Cash Flow'!$B64,'Sponsor Pro Forma'!$B$8:$B$9,0),MATCH('Monthly Cash Flow'!BO$5,'Sponsor Pro Forma'!$S$7:$AD$7,0)),IF('Monthly Cash Flow'!BO$4&gt;4,-('Monthly Cash Flow'!BO$63+BO65)*'Sponsor Pro Forma'!$Q8,-('Monthly Cash Flow'!BO$63+BO65)*INDEX('Sponsor Pro Forma'!$M$8:$P$9,MATCH('Monthly Cash Flow'!$B64,'Sponsor Pro Forma'!$B$8:$B$9,0),MATCH('Monthly Cash Flow'!BO$4,'Sponsor Pro Forma'!$M$7:$P$7,0))))</f>
        <v>0</v>
      </c>
      <c r="BP64" s="286">
        <f>IF(AND(BP$4='Sponsor Pro Forma'!$M$7,'Sponsor Pro Forma'!$R8="Override"),-('Monthly Cash Flow'!BP$63+BP65)*INDEX('Sponsor Pro Forma'!$S$8:$AD$9,MATCH('Monthly Cash Flow'!$B64,'Sponsor Pro Forma'!$B$8:$B$9,0),MATCH('Monthly Cash Flow'!BP$5,'Sponsor Pro Forma'!$S$7:$AD$7,0)),IF('Monthly Cash Flow'!BP$4&gt;4,-('Monthly Cash Flow'!BP$63+BP65)*'Sponsor Pro Forma'!$Q8,-('Monthly Cash Flow'!BP$63+BP65)*INDEX('Sponsor Pro Forma'!$M$8:$P$9,MATCH('Monthly Cash Flow'!$B64,'Sponsor Pro Forma'!$B$8:$B$9,0),MATCH('Monthly Cash Flow'!BP$4,'Sponsor Pro Forma'!$M$7:$P$7,0))))</f>
        <v>0</v>
      </c>
      <c r="BQ64" s="286">
        <f>IF(AND(BQ$4='Sponsor Pro Forma'!$M$7,'Sponsor Pro Forma'!$R8="Override"),-('Monthly Cash Flow'!BQ$63+BQ65)*INDEX('Sponsor Pro Forma'!$S$8:$AD$9,MATCH('Monthly Cash Flow'!$B64,'Sponsor Pro Forma'!$B$8:$B$9,0),MATCH('Monthly Cash Flow'!BQ$5,'Sponsor Pro Forma'!$S$7:$AD$7,0)),IF('Monthly Cash Flow'!BQ$4&gt;4,-('Monthly Cash Flow'!BQ$63+BQ65)*'Sponsor Pro Forma'!$Q8,-('Monthly Cash Flow'!BQ$63+BQ65)*INDEX('Sponsor Pro Forma'!$M$8:$P$9,MATCH('Monthly Cash Flow'!$B64,'Sponsor Pro Forma'!$B$8:$B$9,0),MATCH('Monthly Cash Flow'!BQ$4,'Sponsor Pro Forma'!$M$7:$P$7,0))))</f>
        <v>0</v>
      </c>
      <c r="BR64" s="286">
        <f>IF(AND(BR$4='Sponsor Pro Forma'!$M$7,'Sponsor Pro Forma'!$R8="Override"),-('Monthly Cash Flow'!BR$63+BR65)*INDEX('Sponsor Pro Forma'!$S$8:$AD$9,MATCH('Monthly Cash Flow'!$B64,'Sponsor Pro Forma'!$B$8:$B$9,0),MATCH('Monthly Cash Flow'!BR$5,'Sponsor Pro Forma'!$S$7:$AD$7,0)),IF('Monthly Cash Flow'!BR$4&gt;4,-('Monthly Cash Flow'!BR$63+BR65)*'Sponsor Pro Forma'!$Q8,-('Monthly Cash Flow'!BR$63+BR65)*INDEX('Sponsor Pro Forma'!$M$8:$P$9,MATCH('Monthly Cash Flow'!$B64,'Sponsor Pro Forma'!$B$8:$B$9,0),MATCH('Monthly Cash Flow'!BR$4,'Sponsor Pro Forma'!$M$7:$P$7,0))))</f>
        <v>0</v>
      </c>
      <c r="BS64" s="286">
        <f>IF(AND(BS$4='Sponsor Pro Forma'!$M$7,'Sponsor Pro Forma'!$R8="Override"),-('Monthly Cash Flow'!BS$63+BS65)*INDEX('Sponsor Pro Forma'!$S$8:$AD$9,MATCH('Monthly Cash Flow'!$B64,'Sponsor Pro Forma'!$B$8:$B$9,0),MATCH('Monthly Cash Flow'!BS$5,'Sponsor Pro Forma'!$S$7:$AD$7,0)),IF('Monthly Cash Flow'!BS$4&gt;4,-('Monthly Cash Flow'!BS$63+BS65)*'Sponsor Pro Forma'!$Q8,-('Monthly Cash Flow'!BS$63+BS65)*INDEX('Sponsor Pro Forma'!$M$8:$P$9,MATCH('Monthly Cash Flow'!$B64,'Sponsor Pro Forma'!$B$8:$B$9,0),MATCH('Monthly Cash Flow'!BS$4,'Sponsor Pro Forma'!$M$7:$P$7,0))))</f>
        <v>0</v>
      </c>
      <c r="BT64" s="286">
        <f>IF(AND(BT$4='Sponsor Pro Forma'!$M$7,'Sponsor Pro Forma'!$R8="Override"),-('Monthly Cash Flow'!BT$63+BT65)*INDEX('Sponsor Pro Forma'!$S$8:$AD$9,MATCH('Monthly Cash Flow'!$B64,'Sponsor Pro Forma'!$B$8:$B$9,0),MATCH('Monthly Cash Flow'!BT$5,'Sponsor Pro Forma'!$S$7:$AD$7,0)),IF('Monthly Cash Flow'!BT$4&gt;4,-('Monthly Cash Flow'!BT$63+BT65)*'Sponsor Pro Forma'!$Q8,-('Monthly Cash Flow'!BT$63+BT65)*INDEX('Sponsor Pro Forma'!$M$8:$P$9,MATCH('Monthly Cash Flow'!$B64,'Sponsor Pro Forma'!$B$8:$B$9,0),MATCH('Monthly Cash Flow'!BT$4,'Sponsor Pro Forma'!$M$7:$P$7,0))))</f>
        <v>0</v>
      </c>
      <c r="BU64" s="286">
        <f>IF(AND(BU$4='Sponsor Pro Forma'!$M$7,'Sponsor Pro Forma'!$R8="Override"),-('Monthly Cash Flow'!BU$63+BU65)*INDEX('Sponsor Pro Forma'!$S$8:$AD$9,MATCH('Monthly Cash Flow'!$B64,'Sponsor Pro Forma'!$B$8:$B$9,0),MATCH('Monthly Cash Flow'!BU$5,'Sponsor Pro Forma'!$S$7:$AD$7,0)),IF('Monthly Cash Flow'!BU$4&gt;4,-('Monthly Cash Flow'!BU$63+BU65)*'Sponsor Pro Forma'!$Q8,-('Monthly Cash Flow'!BU$63+BU65)*INDEX('Sponsor Pro Forma'!$M$8:$P$9,MATCH('Monthly Cash Flow'!$B64,'Sponsor Pro Forma'!$B$8:$B$9,0),MATCH('Monthly Cash Flow'!BU$4,'Sponsor Pro Forma'!$M$7:$P$7,0))))</f>
        <v>0</v>
      </c>
      <c r="BV64" s="286">
        <f>IF(AND(BV$4='Sponsor Pro Forma'!$M$7,'Sponsor Pro Forma'!$R8="Override"),-('Monthly Cash Flow'!BV$63+BV65)*INDEX('Sponsor Pro Forma'!$S$8:$AD$9,MATCH('Monthly Cash Flow'!$B64,'Sponsor Pro Forma'!$B$8:$B$9,0),MATCH('Monthly Cash Flow'!BV$5,'Sponsor Pro Forma'!$S$7:$AD$7,0)),IF('Monthly Cash Flow'!BV$4&gt;4,-('Monthly Cash Flow'!BV$63+BV65)*'Sponsor Pro Forma'!$Q8,-('Monthly Cash Flow'!BV$63+BV65)*INDEX('Sponsor Pro Forma'!$M$8:$P$9,MATCH('Monthly Cash Flow'!$B64,'Sponsor Pro Forma'!$B$8:$B$9,0),MATCH('Monthly Cash Flow'!BV$4,'Sponsor Pro Forma'!$M$7:$P$7,0))))</f>
        <v>0</v>
      </c>
      <c r="BW64" s="286">
        <f>IF(AND(BW$4='Sponsor Pro Forma'!$M$7,'Sponsor Pro Forma'!$R8="Override"),-('Monthly Cash Flow'!BW$63+BW65)*INDEX('Sponsor Pro Forma'!$S$8:$AD$9,MATCH('Monthly Cash Flow'!$B64,'Sponsor Pro Forma'!$B$8:$B$9,0),MATCH('Monthly Cash Flow'!BW$5,'Sponsor Pro Forma'!$S$7:$AD$7,0)),IF('Monthly Cash Flow'!BW$4&gt;4,-('Monthly Cash Flow'!BW$63+BW65)*'Sponsor Pro Forma'!$Q8,-('Monthly Cash Flow'!BW$63+BW65)*INDEX('Sponsor Pro Forma'!$M$8:$P$9,MATCH('Monthly Cash Flow'!$B64,'Sponsor Pro Forma'!$B$8:$B$9,0),MATCH('Monthly Cash Flow'!BW$4,'Sponsor Pro Forma'!$M$7:$P$7,0))))</f>
        <v>0</v>
      </c>
      <c r="BX64" s="286">
        <f>IF(AND(BX$4='Sponsor Pro Forma'!$M$7,'Sponsor Pro Forma'!$R8="Override"),-('Monthly Cash Flow'!BX$63+BX65)*INDEX('Sponsor Pro Forma'!$S$8:$AD$9,MATCH('Monthly Cash Flow'!$B64,'Sponsor Pro Forma'!$B$8:$B$9,0),MATCH('Monthly Cash Flow'!BX$5,'Sponsor Pro Forma'!$S$7:$AD$7,0)),IF('Monthly Cash Flow'!BX$4&gt;4,-('Monthly Cash Flow'!BX$63+BX65)*'Sponsor Pro Forma'!$Q8,-('Monthly Cash Flow'!BX$63+BX65)*INDEX('Sponsor Pro Forma'!$M$8:$P$9,MATCH('Monthly Cash Flow'!$B64,'Sponsor Pro Forma'!$B$8:$B$9,0),MATCH('Monthly Cash Flow'!BX$4,'Sponsor Pro Forma'!$M$7:$P$7,0))))</f>
        <v>0</v>
      </c>
      <c r="BY64" s="286">
        <f>IF(AND(BY$4='Sponsor Pro Forma'!$M$7,'Sponsor Pro Forma'!$R8="Override"),-('Monthly Cash Flow'!BY$63+BY65)*INDEX('Sponsor Pro Forma'!$S$8:$AD$9,MATCH('Monthly Cash Flow'!$B64,'Sponsor Pro Forma'!$B$8:$B$9,0),MATCH('Monthly Cash Flow'!BY$5,'Sponsor Pro Forma'!$S$7:$AD$7,0)),IF('Monthly Cash Flow'!BY$4&gt;4,-('Monthly Cash Flow'!BY$63+BY65)*'Sponsor Pro Forma'!$Q8,-('Monthly Cash Flow'!BY$63+BY65)*INDEX('Sponsor Pro Forma'!$M$8:$P$9,MATCH('Monthly Cash Flow'!$B64,'Sponsor Pro Forma'!$B$8:$B$9,0),MATCH('Monthly Cash Flow'!BY$4,'Sponsor Pro Forma'!$M$7:$P$7,0))))</f>
        <v>0</v>
      </c>
      <c r="BZ64" s="286">
        <f>IF(AND(BZ$4='Sponsor Pro Forma'!$M$7,'Sponsor Pro Forma'!$R8="Override"),-('Monthly Cash Flow'!BZ$63+BZ65)*INDEX('Sponsor Pro Forma'!$S$8:$AD$9,MATCH('Monthly Cash Flow'!$B64,'Sponsor Pro Forma'!$B$8:$B$9,0),MATCH('Monthly Cash Flow'!BZ$5,'Sponsor Pro Forma'!$S$7:$AD$7,0)),IF('Monthly Cash Flow'!BZ$4&gt;4,-('Monthly Cash Flow'!BZ$63+BZ65)*'Sponsor Pro Forma'!$Q8,-('Monthly Cash Flow'!BZ$63+BZ65)*INDEX('Sponsor Pro Forma'!$M$8:$P$9,MATCH('Monthly Cash Flow'!$B64,'Sponsor Pro Forma'!$B$8:$B$9,0),MATCH('Monthly Cash Flow'!BZ$4,'Sponsor Pro Forma'!$M$7:$P$7,0))))</f>
        <v>0</v>
      </c>
      <c r="CA64" s="286">
        <f>IF(AND(CA$4='Sponsor Pro Forma'!$M$7,'Sponsor Pro Forma'!$R8="Override"),-('Monthly Cash Flow'!CA$63+CA65)*INDEX('Sponsor Pro Forma'!$S$8:$AD$9,MATCH('Monthly Cash Flow'!$B64,'Sponsor Pro Forma'!$B$8:$B$9,0),MATCH('Monthly Cash Flow'!CA$5,'Sponsor Pro Forma'!$S$7:$AD$7,0)),IF('Monthly Cash Flow'!CA$4&gt;4,-('Monthly Cash Flow'!CA$63+CA65)*'Sponsor Pro Forma'!$Q8,-('Monthly Cash Flow'!CA$63+CA65)*INDEX('Sponsor Pro Forma'!$M$8:$P$9,MATCH('Monthly Cash Flow'!$B64,'Sponsor Pro Forma'!$B$8:$B$9,0),MATCH('Monthly Cash Flow'!CA$4,'Sponsor Pro Forma'!$M$7:$P$7,0))))</f>
        <v>0</v>
      </c>
      <c r="CB64" s="286">
        <f>IF(AND(CB$4='Sponsor Pro Forma'!$M$7,'Sponsor Pro Forma'!$R8="Override"),-('Monthly Cash Flow'!CB$63+CB65)*INDEX('Sponsor Pro Forma'!$S$8:$AD$9,MATCH('Monthly Cash Flow'!$B64,'Sponsor Pro Forma'!$B$8:$B$9,0),MATCH('Monthly Cash Flow'!CB$5,'Sponsor Pro Forma'!$S$7:$AD$7,0)),IF('Monthly Cash Flow'!CB$4&gt;4,-('Monthly Cash Flow'!CB$63+CB65)*'Sponsor Pro Forma'!$Q8,-('Monthly Cash Flow'!CB$63+CB65)*INDEX('Sponsor Pro Forma'!$M$8:$P$9,MATCH('Monthly Cash Flow'!$B64,'Sponsor Pro Forma'!$B$8:$B$9,0),MATCH('Monthly Cash Flow'!CB$4,'Sponsor Pro Forma'!$M$7:$P$7,0))))</f>
        <v>0</v>
      </c>
      <c r="CC64" s="286">
        <f>IF(AND(CC$4='Sponsor Pro Forma'!$M$7,'Sponsor Pro Forma'!$R8="Override"),-('Monthly Cash Flow'!CC$63+CC65)*INDEX('Sponsor Pro Forma'!$S$8:$AD$9,MATCH('Monthly Cash Flow'!$B64,'Sponsor Pro Forma'!$B$8:$B$9,0),MATCH('Monthly Cash Flow'!CC$5,'Sponsor Pro Forma'!$S$7:$AD$7,0)),IF('Monthly Cash Flow'!CC$4&gt;4,-('Monthly Cash Flow'!CC$63+CC65)*'Sponsor Pro Forma'!$Q8,-('Monthly Cash Flow'!CC$63+CC65)*INDEX('Sponsor Pro Forma'!$M$8:$P$9,MATCH('Monthly Cash Flow'!$B64,'Sponsor Pro Forma'!$B$8:$B$9,0),MATCH('Monthly Cash Flow'!CC$4,'Sponsor Pro Forma'!$M$7:$P$7,0))))</f>
        <v>0</v>
      </c>
      <c r="CD64" s="286">
        <f>IF(AND(CD$4='Sponsor Pro Forma'!$M$7,'Sponsor Pro Forma'!$R8="Override"),-('Monthly Cash Flow'!CD$63+CD65)*INDEX('Sponsor Pro Forma'!$S$8:$AD$9,MATCH('Monthly Cash Flow'!$B64,'Sponsor Pro Forma'!$B$8:$B$9,0),MATCH('Monthly Cash Flow'!CD$5,'Sponsor Pro Forma'!$S$7:$AD$7,0)),IF('Monthly Cash Flow'!CD$4&gt;4,-('Monthly Cash Flow'!CD$63+CD65)*'Sponsor Pro Forma'!$Q8,-('Monthly Cash Flow'!CD$63+CD65)*INDEX('Sponsor Pro Forma'!$M$8:$P$9,MATCH('Monthly Cash Flow'!$B64,'Sponsor Pro Forma'!$B$8:$B$9,0),MATCH('Monthly Cash Flow'!CD$4,'Sponsor Pro Forma'!$M$7:$P$7,0))))</f>
        <v>0</v>
      </c>
      <c r="CE64" s="286">
        <f>IF(AND(CE$4='Sponsor Pro Forma'!$M$7,'Sponsor Pro Forma'!$R8="Override"),-('Monthly Cash Flow'!CE$63+CE65)*INDEX('Sponsor Pro Forma'!$S$8:$AD$9,MATCH('Monthly Cash Flow'!$B64,'Sponsor Pro Forma'!$B$8:$B$9,0),MATCH('Monthly Cash Flow'!CE$5,'Sponsor Pro Forma'!$S$7:$AD$7,0)),IF('Monthly Cash Flow'!CE$4&gt;4,-('Monthly Cash Flow'!CE$63+CE65)*'Sponsor Pro Forma'!$Q8,-('Monthly Cash Flow'!CE$63+CE65)*INDEX('Sponsor Pro Forma'!$M$8:$P$9,MATCH('Monthly Cash Flow'!$B64,'Sponsor Pro Forma'!$B$8:$B$9,0),MATCH('Monthly Cash Flow'!CE$4,'Sponsor Pro Forma'!$M$7:$P$7,0))))</f>
        <v>0</v>
      </c>
      <c r="CF64" s="286">
        <f>IF(AND(CF$4='Sponsor Pro Forma'!$M$7,'Sponsor Pro Forma'!$R8="Override"),-('Monthly Cash Flow'!CF$63+CF65)*INDEX('Sponsor Pro Forma'!$S$8:$AD$9,MATCH('Monthly Cash Flow'!$B64,'Sponsor Pro Forma'!$B$8:$B$9,0),MATCH('Monthly Cash Flow'!CF$5,'Sponsor Pro Forma'!$S$7:$AD$7,0)),IF('Monthly Cash Flow'!CF$4&gt;4,-('Monthly Cash Flow'!CF$63+CF65)*'Sponsor Pro Forma'!$Q8,-('Monthly Cash Flow'!CF$63+CF65)*INDEX('Sponsor Pro Forma'!$M$8:$P$9,MATCH('Monthly Cash Flow'!$B64,'Sponsor Pro Forma'!$B$8:$B$9,0),MATCH('Monthly Cash Flow'!CF$4,'Sponsor Pro Forma'!$M$7:$P$7,0))))</f>
        <v>0</v>
      </c>
      <c r="CG64" s="286">
        <f>IF(AND(CG$4='Sponsor Pro Forma'!$M$7,'Sponsor Pro Forma'!$R8="Override"),-('Monthly Cash Flow'!CG$63+CG65)*INDEX('Sponsor Pro Forma'!$S$8:$AD$9,MATCH('Monthly Cash Flow'!$B64,'Sponsor Pro Forma'!$B$8:$B$9,0),MATCH('Monthly Cash Flow'!CG$5,'Sponsor Pro Forma'!$S$7:$AD$7,0)),IF('Monthly Cash Flow'!CG$4&gt;4,-('Monthly Cash Flow'!CG$63+CG65)*'Sponsor Pro Forma'!$Q8,-('Monthly Cash Flow'!CG$63+CG65)*INDEX('Sponsor Pro Forma'!$M$8:$P$9,MATCH('Monthly Cash Flow'!$B64,'Sponsor Pro Forma'!$B$8:$B$9,0),MATCH('Monthly Cash Flow'!CG$4,'Sponsor Pro Forma'!$M$7:$P$7,0))))</f>
        <v>0</v>
      </c>
      <c r="CH64" s="286">
        <f>IF(AND(CH$4='Sponsor Pro Forma'!$M$7,'Sponsor Pro Forma'!$R8="Override"),-('Monthly Cash Flow'!CH$63+CH65)*INDEX('Sponsor Pro Forma'!$S$8:$AD$9,MATCH('Monthly Cash Flow'!$B64,'Sponsor Pro Forma'!$B$8:$B$9,0),MATCH('Monthly Cash Flow'!CH$5,'Sponsor Pro Forma'!$S$7:$AD$7,0)),IF('Monthly Cash Flow'!CH$4&gt;4,-('Monthly Cash Flow'!CH$63+CH65)*'Sponsor Pro Forma'!$Q8,-('Monthly Cash Flow'!CH$63+CH65)*INDEX('Sponsor Pro Forma'!$M$8:$P$9,MATCH('Monthly Cash Flow'!$B64,'Sponsor Pro Forma'!$B$8:$B$9,0),MATCH('Monthly Cash Flow'!CH$4,'Sponsor Pro Forma'!$M$7:$P$7,0))))</f>
        <v>0</v>
      </c>
      <c r="CI64" s="286">
        <f>IF(AND(CI$4='Sponsor Pro Forma'!$M$7,'Sponsor Pro Forma'!$R8="Override"),-('Monthly Cash Flow'!CI$63+CI65)*INDEX('Sponsor Pro Forma'!$S$8:$AD$9,MATCH('Monthly Cash Flow'!$B64,'Sponsor Pro Forma'!$B$8:$B$9,0),MATCH('Monthly Cash Flow'!CI$5,'Sponsor Pro Forma'!$S$7:$AD$7,0)),IF('Monthly Cash Flow'!CI$4&gt;4,-('Monthly Cash Flow'!CI$63+CI65)*'Sponsor Pro Forma'!$Q8,-('Monthly Cash Flow'!CI$63+CI65)*INDEX('Sponsor Pro Forma'!$M$8:$P$9,MATCH('Monthly Cash Flow'!$B64,'Sponsor Pro Forma'!$B$8:$B$9,0),MATCH('Monthly Cash Flow'!CI$4,'Sponsor Pro Forma'!$M$7:$P$7,0))))</f>
        <v>0</v>
      </c>
      <c r="CJ64" s="286">
        <f>IF(AND(CJ$4='Sponsor Pro Forma'!$M$7,'Sponsor Pro Forma'!$R8="Override"),-('Monthly Cash Flow'!CJ$63+CJ65)*INDEX('Sponsor Pro Forma'!$S$8:$AD$9,MATCH('Monthly Cash Flow'!$B64,'Sponsor Pro Forma'!$B$8:$B$9,0),MATCH('Monthly Cash Flow'!CJ$5,'Sponsor Pro Forma'!$S$7:$AD$7,0)),IF('Monthly Cash Flow'!CJ$4&gt;4,-('Monthly Cash Flow'!CJ$63+CJ65)*'Sponsor Pro Forma'!$Q8,-('Monthly Cash Flow'!CJ$63+CJ65)*INDEX('Sponsor Pro Forma'!$M$8:$P$9,MATCH('Monthly Cash Flow'!$B64,'Sponsor Pro Forma'!$B$8:$B$9,0),MATCH('Monthly Cash Flow'!CJ$4,'Sponsor Pro Forma'!$M$7:$P$7,0))))</f>
        <v>0</v>
      </c>
      <c r="CK64" s="286">
        <f>IF(AND(CK$4='Sponsor Pro Forma'!$M$7,'Sponsor Pro Forma'!$R8="Override"),-('Monthly Cash Flow'!CK$63+CK65)*INDEX('Sponsor Pro Forma'!$S$8:$AD$9,MATCH('Monthly Cash Flow'!$B64,'Sponsor Pro Forma'!$B$8:$B$9,0),MATCH('Monthly Cash Flow'!CK$5,'Sponsor Pro Forma'!$S$7:$AD$7,0)),IF('Monthly Cash Flow'!CK$4&gt;4,-('Monthly Cash Flow'!CK$63+CK65)*'Sponsor Pro Forma'!$Q8,-('Monthly Cash Flow'!CK$63+CK65)*INDEX('Sponsor Pro Forma'!$M$8:$P$9,MATCH('Monthly Cash Flow'!$B64,'Sponsor Pro Forma'!$B$8:$B$9,0),MATCH('Monthly Cash Flow'!CK$4,'Sponsor Pro Forma'!$M$7:$P$7,0))))</f>
        <v>0</v>
      </c>
      <c r="CL64" s="286">
        <f>IF(AND(CL$4='Sponsor Pro Forma'!$M$7,'Sponsor Pro Forma'!$R8="Override"),-('Monthly Cash Flow'!CL$63+CL65)*INDEX('Sponsor Pro Forma'!$S$8:$AD$9,MATCH('Monthly Cash Flow'!$B64,'Sponsor Pro Forma'!$B$8:$B$9,0),MATCH('Monthly Cash Flow'!CL$5,'Sponsor Pro Forma'!$S$7:$AD$7,0)),IF('Monthly Cash Flow'!CL$4&gt;4,-('Monthly Cash Flow'!CL$63+CL65)*'Sponsor Pro Forma'!$Q8,-('Monthly Cash Flow'!CL$63+CL65)*INDEX('Sponsor Pro Forma'!$M$8:$P$9,MATCH('Monthly Cash Flow'!$B64,'Sponsor Pro Forma'!$B$8:$B$9,0),MATCH('Monthly Cash Flow'!CL$4,'Sponsor Pro Forma'!$M$7:$P$7,0))))</f>
        <v>0</v>
      </c>
      <c r="CM64" s="286">
        <f>IF(AND(CM$4='Sponsor Pro Forma'!$M$7,'Sponsor Pro Forma'!$R8="Override"),-('Monthly Cash Flow'!CM$63+CM65)*INDEX('Sponsor Pro Forma'!$S$8:$AD$9,MATCH('Monthly Cash Flow'!$B64,'Sponsor Pro Forma'!$B$8:$B$9,0),MATCH('Monthly Cash Flow'!CM$5,'Sponsor Pro Forma'!$S$7:$AD$7,0)),IF('Monthly Cash Flow'!CM$4&gt;4,-('Monthly Cash Flow'!CM$63+CM65)*'Sponsor Pro Forma'!$Q8,-('Monthly Cash Flow'!CM$63+CM65)*INDEX('Sponsor Pro Forma'!$M$8:$P$9,MATCH('Monthly Cash Flow'!$B64,'Sponsor Pro Forma'!$B$8:$B$9,0),MATCH('Monthly Cash Flow'!CM$4,'Sponsor Pro Forma'!$M$7:$P$7,0))))</f>
        <v>0</v>
      </c>
      <c r="CN64" s="286">
        <f>IF(AND(CN$4='Sponsor Pro Forma'!$M$7,'Sponsor Pro Forma'!$R8="Override"),-('Monthly Cash Flow'!CN$63+CN65)*INDEX('Sponsor Pro Forma'!$S$8:$AD$9,MATCH('Monthly Cash Flow'!$B64,'Sponsor Pro Forma'!$B$8:$B$9,0),MATCH('Monthly Cash Flow'!CN$5,'Sponsor Pro Forma'!$S$7:$AD$7,0)),IF('Monthly Cash Flow'!CN$4&gt;4,-('Monthly Cash Flow'!CN$63+CN65)*'Sponsor Pro Forma'!$Q8,-('Monthly Cash Flow'!CN$63+CN65)*INDEX('Sponsor Pro Forma'!$M$8:$P$9,MATCH('Monthly Cash Flow'!$B64,'Sponsor Pro Forma'!$B$8:$B$9,0),MATCH('Monthly Cash Flow'!CN$4,'Sponsor Pro Forma'!$M$7:$P$7,0))))</f>
        <v>0</v>
      </c>
      <c r="CO64" s="286">
        <f>IF(AND(CO$4='Sponsor Pro Forma'!$M$7,'Sponsor Pro Forma'!$R8="Override"),-('Monthly Cash Flow'!CO$63+CO65)*INDEX('Sponsor Pro Forma'!$S$8:$AD$9,MATCH('Monthly Cash Flow'!$B64,'Sponsor Pro Forma'!$B$8:$B$9,0),MATCH('Monthly Cash Flow'!CO$5,'Sponsor Pro Forma'!$S$7:$AD$7,0)),IF('Monthly Cash Flow'!CO$4&gt;4,-('Monthly Cash Flow'!CO$63+CO65)*'Sponsor Pro Forma'!$Q8,-('Monthly Cash Flow'!CO$63+CO65)*INDEX('Sponsor Pro Forma'!$M$8:$P$9,MATCH('Monthly Cash Flow'!$B64,'Sponsor Pro Forma'!$B$8:$B$9,0),MATCH('Monthly Cash Flow'!CO$4,'Sponsor Pro Forma'!$M$7:$P$7,0))))</f>
        <v>0</v>
      </c>
      <c r="CP64" s="286">
        <f>IF(AND(CP$4='Sponsor Pro Forma'!$M$7,'Sponsor Pro Forma'!$R8="Override"),-('Monthly Cash Flow'!CP$63+CP65)*INDEX('Sponsor Pro Forma'!$S$8:$AD$9,MATCH('Monthly Cash Flow'!$B64,'Sponsor Pro Forma'!$B$8:$B$9,0),MATCH('Monthly Cash Flow'!CP$5,'Sponsor Pro Forma'!$S$7:$AD$7,0)),IF('Monthly Cash Flow'!CP$4&gt;4,-('Monthly Cash Flow'!CP$63+CP65)*'Sponsor Pro Forma'!$Q8,-('Monthly Cash Flow'!CP$63+CP65)*INDEX('Sponsor Pro Forma'!$M$8:$P$9,MATCH('Monthly Cash Flow'!$B64,'Sponsor Pro Forma'!$B$8:$B$9,0),MATCH('Monthly Cash Flow'!CP$4,'Sponsor Pro Forma'!$M$7:$P$7,0))))</f>
        <v>0</v>
      </c>
      <c r="CQ64" s="286">
        <f>IF(AND(CQ$4='Sponsor Pro Forma'!$M$7,'Sponsor Pro Forma'!$R8="Override"),-('Monthly Cash Flow'!CQ$63+CQ65)*INDEX('Sponsor Pro Forma'!$S$8:$AD$9,MATCH('Monthly Cash Flow'!$B64,'Sponsor Pro Forma'!$B$8:$B$9,0),MATCH('Monthly Cash Flow'!CQ$5,'Sponsor Pro Forma'!$S$7:$AD$7,0)),IF('Monthly Cash Flow'!CQ$4&gt;4,-('Monthly Cash Flow'!CQ$63+CQ65)*'Sponsor Pro Forma'!$Q8,-('Monthly Cash Flow'!CQ$63+CQ65)*INDEX('Sponsor Pro Forma'!$M$8:$P$9,MATCH('Monthly Cash Flow'!$B64,'Sponsor Pro Forma'!$B$8:$B$9,0),MATCH('Monthly Cash Flow'!CQ$4,'Sponsor Pro Forma'!$M$7:$P$7,0))))</f>
        <v>0</v>
      </c>
      <c r="CR64" s="286">
        <f>IF(AND(CR$4='Sponsor Pro Forma'!$M$7,'Sponsor Pro Forma'!$R8="Override"),-('Monthly Cash Flow'!CR$63+CR65)*INDEX('Sponsor Pro Forma'!$S$8:$AD$9,MATCH('Monthly Cash Flow'!$B64,'Sponsor Pro Forma'!$B$8:$B$9,0),MATCH('Monthly Cash Flow'!CR$5,'Sponsor Pro Forma'!$S$7:$AD$7,0)),IF('Monthly Cash Flow'!CR$4&gt;4,-('Monthly Cash Flow'!CR$63+CR65)*'Sponsor Pro Forma'!$Q8,-('Monthly Cash Flow'!CR$63+CR65)*INDEX('Sponsor Pro Forma'!$M$8:$P$9,MATCH('Monthly Cash Flow'!$B64,'Sponsor Pro Forma'!$B$8:$B$9,0),MATCH('Monthly Cash Flow'!CR$4,'Sponsor Pro Forma'!$M$7:$P$7,0))))</f>
        <v>0</v>
      </c>
      <c r="CS64" s="286">
        <f>IF(AND(CS$4='Sponsor Pro Forma'!$M$7,'Sponsor Pro Forma'!$R8="Override"),-('Monthly Cash Flow'!CS$63+CS65)*INDEX('Sponsor Pro Forma'!$S$8:$AD$9,MATCH('Monthly Cash Flow'!$B64,'Sponsor Pro Forma'!$B$8:$B$9,0),MATCH('Monthly Cash Flow'!CS$5,'Sponsor Pro Forma'!$S$7:$AD$7,0)),IF('Monthly Cash Flow'!CS$4&gt;4,-('Monthly Cash Flow'!CS$63+CS65)*'Sponsor Pro Forma'!$Q8,-('Monthly Cash Flow'!CS$63+CS65)*INDEX('Sponsor Pro Forma'!$M$8:$P$9,MATCH('Monthly Cash Flow'!$B64,'Sponsor Pro Forma'!$B$8:$B$9,0),MATCH('Monthly Cash Flow'!CS$4,'Sponsor Pro Forma'!$M$7:$P$7,0))))</f>
        <v>0</v>
      </c>
      <c r="CT64" s="286">
        <f>IF(AND(CT$4='Sponsor Pro Forma'!$M$7,'Sponsor Pro Forma'!$R8="Override"),-('Monthly Cash Flow'!CT$63+CT65)*INDEX('Sponsor Pro Forma'!$S$8:$AD$9,MATCH('Monthly Cash Flow'!$B64,'Sponsor Pro Forma'!$B$8:$B$9,0),MATCH('Monthly Cash Flow'!CT$5,'Sponsor Pro Forma'!$S$7:$AD$7,0)),IF('Monthly Cash Flow'!CT$4&gt;4,-('Monthly Cash Flow'!CT$63+CT65)*'Sponsor Pro Forma'!$Q8,-('Monthly Cash Flow'!CT$63+CT65)*INDEX('Sponsor Pro Forma'!$M$8:$P$9,MATCH('Monthly Cash Flow'!$B64,'Sponsor Pro Forma'!$B$8:$B$9,0),MATCH('Monthly Cash Flow'!CT$4,'Sponsor Pro Forma'!$M$7:$P$7,0))))</f>
        <v>0</v>
      </c>
      <c r="CU64" s="286">
        <f>IF(AND(CU$4='Sponsor Pro Forma'!$M$7,'Sponsor Pro Forma'!$R8="Override"),-('Monthly Cash Flow'!CU$63+CU65)*INDEX('Sponsor Pro Forma'!$S$8:$AD$9,MATCH('Monthly Cash Flow'!$B64,'Sponsor Pro Forma'!$B$8:$B$9,0),MATCH('Monthly Cash Flow'!CU$5,'Sponsor Pro Forma'!$S$7:$AD$7,0)),IF('Monthly Cash Flow'!CU$4&gt;4,-('Monthly Cash Flow'!CU$63+CU65)*'Sponsor Pro Forma'!$Q8,-('Monthly Cash Flow'!CU$63+CU65)*INDEX('Sponsor Pro Forma'!$M$8:$P$9,MATCH('Monthly Cash Flow'!$B64,'Sponsor Pro Forma'!$B$8:$B$9,0),MATCH('Monthly Cash Flow'!CU$4,'Sponsor Pro Forma'!$M$7:$P$7,0))))</f>
        <v>0</v>
      </c>
      <c r="CV64" s="286">
        <f>IF(AND(CV$4='Sponsor Pro Forma'!$M$7,'Sponsor Pro Forma'!$R8="Override"),-('Monthly Cash Flow'!CV$63+CV65)*INDEX('Sponsor Pro Forma'!$S$8:$AD$9,MATCH('Monthly Cash Flow'!$B64,'Sponsor Pro Forma'!$B$8:$B$9,0),MATCH('Monthly Cash Flow'!CV$5,'Sponsor Pro Forma'!$S$7:$AD$7,0)),IF('Monthly Cash Flow'!CV$4&gt;4,-('Monthly Cash Flow'!CV$63+CV65)*'Sponsor Pro Forma'!$Q8,-('Monthly Cash Flow'!CV$63+CV65)*INDEX('Sponsor Pro Forma'!$M$8:$P$9,MATCH('Monthly Cash Flow'!$B64,'Sponsor Pro Forma'!$B$8:$B$9,0),MATCH('Monthly Cash Flow'!CV$4,'Sponsor Pro Forma'!$M$7:$P$7,0))))</f>
        <v>0</v>
      </c>
      <c r="CW64" s="286">
        <f>IF(AND(CW$4='Sponsor Pro Forma'!$M$7,'Sponsor Pro Forma'!$R8="Override"),-('Monthly Cash Flow'!CW$63+CW65)*INDEX('Sponsor Pro Forma'!$S$8:$AD$9,MATCH('Monthly Cash Flow'!$B64,'Sponsor Pro Forma'!$B$8:$B$9,0),MATCH('Monthly Cash Flow'!CW$5,'Sponsor Pro Forma'!$S$7:$AD$7,0)),IF('Monthly Cash Flow'!CW$4&gt;4,-('Monthly Cash Flow'!CW$63+CW65)*'Sponsor Pro Forma'!$Q8,-('Monthly Cash Flow'!CW$63+CW65)*INDEX('Sponsor Pro Forma'!$M$8:$P$9,MATCH('Monthly Cash Flow'!$B64,'Sponsor Pro Forma'!$B$8:$B$9,0),MATCH('Monthly Cash Flow'!CW$4,'Sponsor Pro Forma'!$M$7:$P$7,0))))</f>
        <v>0</v>
      </c>
      <c r="CX64" s="286">
        <f>IF(AND(CX$4='Sponsor Pro Forma'!$M$7,'Sponsor Pro Forma'!$R8="Override"),-('Monthly Cash Flow'!CX$63+CX65)*INDEX('Sponsor Pro Forma'!$S$8:$AD$9,MATCH('Monthly Cash Flow'!$B64,'Sponsor Pro Forma'!$B$8:$B$9,0),MATCH('Monthly Cash Flow'!CX$5,'Sponsor Pro Forma'!$S$7:$AD$7,0)),IF('Monthly Cash Flow'!CX$4&gt;4,-('Monthly Cash Flow'!CX$63+CX65)*'Sponsor Pro Forma'!$Q8,-('Monthly Cash Flow'!CX$63+CX65)*INDEX('Sponsor Pro Forma'!$M$8:$P$9,MATCH('Monthly Cash Flow'!$B64,'Sponsor Pro Forma'!$B$8:$B$9,0),MATCH('Monthly Cash Flow'!CX$4,'Sponsor Pro Forma'!$M$7:$P$7,0))))</f>
        <v>0</v>
      </c>
      <c r="CY64" s="286">
        <f>IF(AND(CY$4='Sponsor Pro Forma'!$M$7,'Sponsor Pro Forma'!$R8="Override"),-('Monthly Cash Flow'!CY$63+CY65)*INDEX('Sponsor Pro Forma'!$S$8:$AD$9,MATCH('Monthly Cash Flow'!$B64,'Sponsor Pro Forma'!$B$8:$B$9,0),MATCH('Monthly Cash Flow'!CY$5,'Sponsor Pro Forma'!$S$7:$AD$7,0)),IF('Monthly Cash Flow'!CY$4&gt;4,-('Monthly Cash Flow'!CY$63+CY65)*'Sponsor Pro Forma'!$Q8,-('Monthly Cash Flow'!CY$63+CY65)*INDEX('Sponsor Pro Forma'!$M$8:$P$9,MATCH('Monthly Cash Flow'!$B64,'Sponsor Pro Forma'!$B$8:$B$9,0),MATCH('Monthly Cash Flow'!CY$4,'Sponsor Pro Forma'!$M$7:$P$7,0))))</f>
        <v>0</v>
      </c>
      <c r="CZ64" s="286">
        <f>IF(AND(CZ$4='Sponsor Pro Forma'!$M$7,'Sponsor Pro Forma'!$R8="Override"),-('Monthly Cash Flow'!CZ$63+CZ65)*INDEX('Sponsor Pro Forma'!$S$8:$AD$9,MATCH('Monthly Cash Flow'!$B64,'Sponsor Pro Forma'!$B$8:$B$9,0),MATCH('Monthly Cash Flow'!CZ$5,'Sponsor Pro Forma'!$S$7:$AD$7,0)),IF('Monthly Cash Flow'!CZ$4&gt;4,-('Monthly Cash Flow'!CZ$63+CZ65)*'Sponsor Pro Forma'!$Q8,-('Monthly Cash Flow'!CZ$63+CZ65)*INDEX('Sponsor Pro Forma'!$M$8:$P$9,MATCH('Monthly Cash Flow'!$B64,'Sponsor Pro Forma'!$B$8:$B$9,0),MATCH('Monthly Cash Flow'!CZ$4,'Sponsor Pro Forma'!$M$7:$P$7,0))))</f>
        <v>0</v>
      </c>
      <c r="DA64" s="286">
        <f>IF(AND(DA$4='Sponsor Pro Forma'!$M$7,'Sponsor Pro Forma'!$R8="Override"),-('Monthly Cash Flow'!DA$63+DA65)*INDEX('Sponsor Pro Forma'!$S$8:$AD$9,MATCH('Monthly Cash Flow'!$B64,'Sponsor Pro Forma'!$B$8:$B$9,0),MATCH('Monthly Cash Flow'!DA$5,'Sponsor Pro Forma'!$S$7:$AD$7,0)),IF('Monthly Cash Flow'!DA$4&gt;4,-('Monthly Cash Flow'!DA$63+DA65)*'Sponsor Pro Forma'!$Q8,-('Monthly Cash Flow'!DA$63+DA65)*INDEX('Sponsor Pro Forma'!$M$8:$P$9,MATCH('Monthly Cash Flow'!$B64,'Sponsor Pro Forma'!$B$8:$B$9,0),MATCH('Monthly Cash Flow'!DA$4,'Sponsor Pro Forma'!$M$7:$P$7,0))))</f>
        <v>0</v>
      </c>
      <c r="DB64" s="286">
        <f>IF(AND(DB$4='Sponsor Pro Forma'!$M$7,'Sponsor Pro Forma'!$R8="Override"),-('Monthly Cash Flow'!DB$63+DB65)*INDEX('Sponsor Pro Forma'!$S$8:$AD$9,MATCH('Monthly Cash Flow'!$B64,'Sponsor Pro Forma'!$B$8:$B$9,0),MATCH('Monthly Cash Flow'!DB$5,'Sponsor Pro Forma'!$S$7:$AD$7,0)),IF('Monthly Cash Flow'!DB$4&gt;4,-('Monthly Cash Flow'!DB$63+DB65)*'Sponsor Pro Forma'!$Q8,-('Monthly Cash Flow'!DB$63+DB65)*INDEX('Sponsor Pro Forma'!$M$8:$P$9,MATCH('Monthly Cash Flow'!$B64,'Sponsor Pro Forma'!$B$8:$B$9,0),MATCH('Monthly Cash Flow'!DB$4,'Sponsor Pro Forma'!$M$7:$P$7,0))))</f>
        <v>0</v>
      </c>
      <c r="DC64" s="286">
        <f>IF(AND(DC$4='Sponsor Pro Forma'!$M$7,'Sponsor Pro Forma'!$R8="Override"),-('Monthly Cash Flow'!DC$63+DC65)*INDEX('Sponsor Pro Forma'!$S$8:$AD$9,MATCH('Monthly Cash Flow'!$B64,'Sponsor Pro Forma'!$B$8:$B$9,0),MATCH('Monthly Cash Flow'!DC$5,'Sponsor Pro Forma'!$S$7:$AD$7,0)),IF('Monthly Cash Flow'!DC$4&gt;4,-('Monthly Cash Flow'!DC$63+DC65)*'Sponsor Pro Forma'!$Q8,-('Monthly Cash Flow'!DC$63+DC65)*INDEX('Sponsor Pro Forma'!$M$8:$P$9,MATCH('Monthly Cash Flow'!$B64,'Sponsor Pro Forma'!$B$8:$B$9,0),MATCH('Monthly Cash Flow'!DC$4,'Sponsor Pro Forma'!$M$7:$P$7,0))))</f>
        <v>0</v>
      </c>
      <c r="DD64" s="286">
        <f>IF(AND(DD$4='Sponsor Pro Forma'!$M$7,'Sponsor Pro Forma'!$R8="Override"),-('Monthly Cash Flow'!DD$63+DD65)*INDEX('Sponsor Pro Forma'!$S$8:$AD$9,MATCH('Monthly Cash Flow'!$B64,'Sponsor Pro Forma'!$B$8:$B$9,0),MATCH('Monthly Cash Flow'!DD$5,'Sponsor Pro Forma'!$S$7:$AD$7,0)),IF('Monthly Cash Flow'!DD$4&gt;4,-('Monthly Cash Flow'!DD$63+DD65)*'Sponsor Pro Forma'!$Q8,-('Monthly Cash Flow'!DD$63+DD65)*INDEX('Sponsor Pro Forma'!$M$8:$P$9,MATCH('Monthly Cash Flow'!$B64,'Sponsor Pro Forma'!$B$8:$B$9,0),MATCH('Monthly Cash Flow'!DD$4,'Sponsor Pro Forma'!$M$7:$P$7,0))))</f>
        <v>0</v>
      </c>
      <c r="DE64" s="286">
        <f>IF(AND(DE$4='Sponsor Pro Forma'!$M$7,'Sponsor Pro Forma'!$R8="Override"),-('Monthly Cash Flow'!DE$63+DE65)*INDEX('Sponsor Pro Forma'!$S$8:$AD$9,MATCH('Monthly Cash Flow'!$B64,'Sponsor Pro Forma'!$B$8:$B$9,0),MATCH('Monthly Cash Flow'!DE$5,'Sponsor Pro Forma'!$S$7:$AD$7,0)),IF('Monthly Cash Flow'!DE$4&gt;4,-('Monthly Cash Flow'!DE$63+DE65)*'Sponsor Pro Forma'!$Q8,-('Monthly Cash Flow'!DE$63+DE65)*INDEX('Sponsor Pro Forma'!$M$8:$P$9,MATCH('Monthly Cash Flow'!$B64,'Sponsor Pro Forma'!$B$8:$B$9,0),MATCH('Monthly Cash Flow'!DE$4,'Sponsor Pro Forma'!$M$7:$P$7,0))))</f>
        <v>0</v>
      </c>
      <c r="DF64" s="286">
        <f>IF(AND(DF$4='Sponsor Pro Forma'!$M$7,'Sponsor Pro Forma'!$R8="Override"),-('Monthly Cash Flow'!DF$63+DF65)*INDEX('Sponsor Pro Forma'!$S$8:$AD$9,MATCH('Monthly Cash Flow'!$B64,'Sponsor Pro Forma'!$B$8:$B$9,0),MATCH('Monthly Cash Flow'!DF$5,'Sponsor Pro Forma'!$S$7:$AD$7,0)),IF('Monthly Cash Flow'!DF$4&gt;4,-('Monthly Cash Flow'!DF$63+DF65)*'Sponsor Pro Forma'!$Q8,-('Monthly Cash Flow'!DF$63+DF65)*INDEX('Sponsor Pro Forma'!$M$8:$P$9,MATCH('Monthly Cash Flow'!$B64,'Sponsor Pro Forma'!$B$8:$B$9,0),MATCH('Monthly Cash Flow'!DF$4,'Sponsor Pro Forma'!$M$7:$P$7,0))))</f>
        <v>0</v>
      </c>
      <c r="DG64" s="286">
        <f>IF(AND(DG$4='Sponsor Pro Forma'!$M$7,'Sponsor Pro Forma'!$R8="Override"),-('Monthly Cash Flow'!DG$63+DG65)*INDEX('Sponsor Pro Forma'!$S$8:$AD$9,MATCH('Monthly Cash Flow'!$B64,'Sponsor Pro Forma'!$B$8:$B$9,0),MATCH('Monthly Cash Flow'!DG$5,'Sponsor Pro Forma'!$S$7:$AD$7,0)),IF('Monthly Cash Flow'!DG$4&gt;4,-('Monthly Cash Flow'!DG$63+DG65)*'Sponsor Pro Forma'!$Q8,-('Monthly Cash Flow'!DG$63+DG65)*INDEX('Sponsor Pro Forma'!$M$8:$P$9,MATCH('Monthly Cash Flow'!$B64,'Sponsor Pro Forma'!$B$8:$B$9,0),MATCH('Monthly Cash Flow'!DG$4,'Sponsor Pro Forma'!$M$7:$P$7,0))))</f>
        <v>0</v>
      </c>
      <c r="DH64" s="286">
        <f>IF(AND(DH$4='Sponsor Pro Forma'!$M$7,'Sponsor Pro Forma'!$R8="Override"),-('Monthly Cash Flow'!DH$63+DH65)*INDEX('Sponsor Pro Forma'!$S$8:$AD$9,MATCH('Monthly Cash Flow'!$B64,'Sponsor Pro Forma'!$B$8:$B$9,0),MATCH('Monthly Cash Flow'!DH$5,'Sponsor Pro Forma'!$S$7:$AD$7,0)),IF('Monthly Cash Flow'!DH$4&gt;4,-('Monthly Cash Flow'!DH$63+DH65)*'Sponsor Pro Forma'!$Q8,-('Monthly Cash Flow'!DH$63+DH65)*INDEX('Sponsor Pro Forma'!$M$8:$P$9,MATCH('Monthly Cash Flow'!$B64,'Sponsor Pro Forma'!$B$8:$B$9,0),MATCH('Monthly Cash Flow'!DH$4,'Sponsor Pro Forma'!$M$7:$P$7,0))))</f>
        <v>0</v>
      </c>
      <c r="DI64" s="286">
        <f>IF(AND(DI$4='Sponsor Pro Forma'!$M$7,'Sponsor Pro Forma'!$R8="Override"),-('Monthly Cash Flow'!DI$63+DI65)*INDEX('Sponsor Pro Forma'!$S$8:$AD$9,MATCH('Monthly Cash Flow'!$B64,'Sponsor Pro Forma'!$B$8:$B$9,0),MATCH('Monthly Cash Flow'!DI$5,'Sponsor Pro Forma'!$S$7:$AD$7,0)),IF('Monthly Cash Flow'!DI$4&gt;4,-('Monthly Cash Flow'!DI$63+DI65)*'Sponsor Pro Forma'!$Q8,-('Monthly Cash Flow'!DI$63+DI65)*INDEX('Sponsor Pro Forma'!$M$8:$P$9,MATCH('Monthly Cash Flow'!$B64,'Sponsor Pro Forma'!$B$8:$B$9,0),MATCH('Monthly Cash Flow'!DI$4,'Sponsor Pro Forma'!$M$7:$P$7,0))))</f>
        <v>0</v>
      </c>
      <c r="DJ64" s="286">
        <f>IF(AND(DJ$4='Sponsor Pro Forma'!$M$7,'Sponsor Pro Forma'!$R8="Override"),-('Monthly Cash Flow'!DJ$63+DJ65)*INDEX('Sponsor Pro Forma'!$S$8:$AD$9,MATCH('Monthly Cash Flow'!$B64,'Sponsor Pro Forma'!$B$8:$B$9,0),MATCH('Monthly Cash Flow'!DJ$5,'Sponsor Pro Forma'!$S$7:$AD$7,0)),IF('Monthly Cash Flow'!DJ$4&gt;4,-('Monthly Cash Flow'!DJ$63+DJ65)*'Sponsor Pro Forma'!$Q8,-('Monthly Cash Flow'!DJ$63+DJ65)*INDEX('Sponsor Pro Forma'!$M$8:$P$9,MATCH('Monthly Cash Flow'!$B64,'Sponsor Pro Forma'!$B$8:$B$9,0),MATCH('Monthly Cash Flow'!DJ$4,'Sponsor Pro Forma'!$M$7:$P$7,0))))</f>
        <v>0</v>
      </c>
      <c r="DK64" s="286">
        <f>IF(AND(DK$4='Sponsor Pro Forma'!$M$7,'Sponsor Pro Forma'!$R8="Override"),-('Monthly Cash Flow'!DK$63+DK65)*INDEX('Sponsor Pro Forma'!$S$8:$AD$9,MATCH('Monthly Cash Flow'!$B64,'Sponsor Pro Forma'!$B$8:$B$9,0),MATCH('Monthly Cash Flow'!DK$5,'Sponsor Pro Forma'!$S$7:$AD$7,0)),IF('Monthly Cash Flow'!DK$4&gt;4,-('Monthly Cash Flow'!DK$63+DK65)*'Sponsor Pro Forma'!$Q8,-('Monthly Cash Flow'!DK$63+DK65)*INDEX('Sponsor Pro Forma'!$M$8:$P$9,MATCH('Monthly Cash Flow'!$B64,'Sponsor Pro Forma'!$B$8:$B$9,0),MATCH('Monthly Cash Flow'!DK$4,'Sponsor Pro Forma'!$M$7:$P$7,0))))</f>
        <v>0</v>
      </c>
      <c r="DL64" s="286">
        <f>IF(AND(DL$4='Sponsor Pro Forma'!$M$7,'Sponsor Pro Forma'!$R8="Override"),-('Monthly Cash Flow'!DL$63+DL65)*INDEX('Sponsor Pro Forma'!$S$8:$AD$9,MATCH('Monthly Cash Flow'!$B64,'Sponsor Pro Forma'!$B$8:$B$9,0),MATCH('Monthly Cash Flow'!DL$5,'Sponsor Pro Forma'!$S$7:$AD$7,0)),IF('Monthly Cash Flow'!DL$4&gt;4,-('Monthly Cash Flow'!DL$63+DL65)*'Sponsor Pro Forma'!$Q8,-('Monthly Cash Flow'!DL$63+DL65)*INDEX('Sponsor Pro Forma'!$M$8:$P$9,MATCH('Monthly Cash Flow'!$B64,'Sponsor Pro Forma'!$B$8:$B$9,0),MATCH('Monthly Cash Flow'!DL$4,'Sponsor Pro Forma'!$M$7:$P$7,0))))</f>
        <v>0</v>
      </c>
      <c r="DM64" s="286">
        <f>IF(AND(DM$4='Sponsor Pro Forma'!$M$7,'Sponsor Pro Forma'!$R8="Override"),-('Monthly Cash Flow'!DM$63+DM65)*INDEX('Sponsor Pro Forma'!$S$8:$AD$9,MATCH('Monthly Cash Flow'!$B64,'Sponsor Pro Forma'!$B$8:$B$9,0),MATCH('Monthly Cash Flow'!DM$5,'Sponsor Pro Forma'!$S$7:$AD$7,0)),IF('Monthly Cash Flow'!DM$4&gt;4,-('Monthly Cash Flow'!DM$63+DM65)*'Sponsor Pro Forma'!$Q8,-('Monthly Cash Flow'!DM$63+DM65)*INDEX('Sponsor Pro Forma'!$M$8:$P$9,MATCH('Monthly Cash Flow'!$B64,'Sponsor Pro Forma'!$B$8:$B$9,0),MATCH('Monthly Cash Flow'!DM$4,'Sponsor Pro Forma'!$M$7:$P$7,0))))</f>
        <v>0</v>
      </c>
      <c r="DN64" s="286">
        <f>IF(AND(DN$4='Sponsor Pro Forma'!$M$7,'Sponsor Pro Forma'!$R8="Override"),-('Monthly Cash Flow'!DN$63+DN65)*INDEX('Sponsor Pro Forma'!$S$8:$AD$9,MATCH('Monthly Cash Flow'!$B64,'Sponsor Pro Forma'!$B$8:$B$9,0),MATCH('Monthly Cash Flow'!DN$5,'Sponsor Pro Forma'!$S$7:$AD$7,0)),IF('Monthly Cash Flow'!DN$4&gt;4,-('Monthly Cash Flow'!DN$63+DN65)*'Sponsor Pro Forma'!$Q8,-('Monthly Cash Flow'!DN$63+DN65)*INDEX('Sponsor Pro Forma'!$M$8:$P$9,MATCH('Monthly Cash Flow'!$B64,'Sponsor Pro Forma'!$B$8:$B$9,0),MATCH('Monthly Cash Flow'!DN$4,'Sponsor Pro Forma'!$M$7:$P$7,0))))</f>
        <v>0</v>
      </c>
      <c r="DO64" s="286">
        <f>IF(AND(DO$4='Sponsor Pro Forma'!$M$7,'Sponsor Pro Forma'!$R8="Override"),-('Monthly Cash Flow'!DO$63+DO65)*INDEX('Sponsor Pro Forma'!$S$8:$AD$9,MATCH('Monthly Cash Flow'!$B64,'Sponsor Pro Forma'!$B$8:$B$9,0),MATCH('Monthly Cash Flow'!DO$5,'Sponsor Pro Forma'!$S$7:$AD$7,0)),IF('Monthly Cash Flow'!DO$4&gt;4,-('Monthly Cash Flow'!DO$63+DO65)*'Sponsor Pro Forma'!$Q8,-('Monthly Cash Flow'!DO$63+DO65)*INDEX('Sponsor Pro Forma'!$M$8:$P$9,MATCH('Monthly Cash Flow'!$B64,'Sponsor Pro Forma'!$B$8:$B$9,0),MATCH('Monthly Cash Flow'!DO$4,'Sponsor Pro Forma'!$M$7:$P$7,0))))</f>
        <v>0</v>
      </c>
      <c r="DP64" s="286">
        <f>IF(AND(DP$4='Sponsor Pro Forma'!$M$7,'Sponsor Pro Forma'!$R8="Override"),-('Monthly Cash Flow'!DP$63+DP65)*INDEX('Sponsor Pro Forma'!$S$8:$AD$9,MATCH('Monthly Cash Flow'!$B64,'Sponsor Pro Forma'!$B$8:$B$9,0),MATCH('Monthly Cash Flow'!DP$5,'Sponsor Pro Forma'!$S$7:$AD$7,0)),IF('Monthly Cash Flow'!DP$4&gt;4,-('Monthly Cash Flow'!DP$63+DP65)*'Sponsor Pro Forma'!$Q8,-('Monthly Cash Flow'!DP$63+DP65)*INDEX('Sponsor Pro Forma'!$M$8:$P$9,MATCH('Monthly Cash Flow'!$B64,'Sponsor Pro Forma'!$B$8:$B$9,0),MATCH('Monthly Cash Flow'!DP$4,'Sponsor Pro Forma'!$M$7:$P$7,0))))</f>
        <v>0</v>
      </c>
      <c r="DQ64" s="286">
        <f>IF(AND(DQ$4='Sponsor Pro Forma'!$M$7,'Sponsor Pro Forma'!$R8="Override"),-('Monthly Cash Flow'!DQ$63+DQ65)*INDEX('Sponsor Pro Forma'!$S$8:$AD$9,MATCH('Monthly Cash Flow'!$B64,'Sponsor Pro Forma'!$B$8:$B$9,0),MATCH('Monthly Cash Flow'!DQ$5,'Sponsor Pro Forma'!$S$7:$AD$7,0)),IF('Monthly Cash Flow'!DQ$4&gt;4,-('Monthly Cash Flow'!DQ$63+DQ65)*'Sponsor Pro Forma'!$Q8,-('Monthly Cash Flow'!DQ$63+DQ65)*INDEX('Sponsor Pro Forma'!$M$8:$P$9,MATCH('Monthly Cash Flow'!$B64,'Sponsor Pro Forma'!$B$8:$B$9,0),MATCH('Monthly Cash Flow'!DQ$4,'Sponsor Pro Forma'!$M$7:$P$7,0))))</f>
        <v>0</v>
      </c>
      <c r="DR64" s="286">
        <f>IF(AND(DR$4='Sponsor Pro Forma'!$M$7,'Sponsor Pro Forma'!$R8="Override"),-('Monthly Cash Flow'!DR$63+DR65)*INDEX('Sponsor Pro Forma'!$S$8:$AD$9,MATCH('Monthly Cash Flow'!$B64,'Sponsor Pro Forma'!$B$8:$B$9,0),MATCH('Monthly Cash Flow'!DR$5,'Sponsor Pro Forma'!$S$7:$AD$7,0)),IF('Monthly Cash Flow'!DR$4&gt;4,-('Monthly Cash Flow'!DR$63+DR65)*'Sponsor Pro Forma'!$Q8,-('Monthly Cash Flow'!DR$63+DR65)*INDEX('Sponsor Pro Forma'!$M$8:$P$9,MATCH('Monthly Cash Flow'!$B64,'Sponsor Pro Forma'!$B$8:$B$9,0),MATCH('Monthly Cash Flow'!DR$4,'Sponsor Pro Forma'!$M$7:$P$7,0))))</f>
        <v>0</v>
      </c>
      <c r="DS64" s="286">
        <f>IF(AND(DS$4='Sponsor Pro Forma'!$M$7,'Sponsor Pro Forma'!$R8="Override"),-('Monthly Cash Flow'!DS$63+DS65)*INDEX('Sponsor Pro Forma'!$S$8:$AD$9,MATCH('Monthly Cash Flow'!$B64,'Sponsor Pro Forma'!$B$8:$B$9,0),MATCH('Monthly Cash Flow'!DS$5,'Sponsor Pro Forma'!$S$7:$AD$7,0)),IF('Monthly Cash Flow'!DS$4&gt;4,-('Monthly Cash Flow'!DS$63+DS65)*'Sponsor Pro Forma'!$Q8,-('Monthly Cash Flow'!DS$63+DS65)*INDEX('Sponsor Pro Forma'!$M$8:$P$9,MATCH('Monthly Cash Flow'!$B64,'Sponsor Pro Forma'!$B$8:$B$9,0),MATCH('Monthly Cash Flow'!DS$4,'Sponsor Pro Forma'!$M$7:$P$7,0))))</f>
        <v>0</v>
      </c>
      <c r="DT64" s="286">
        <f>IF(AND(DT$4='Sponsor Pro Forma'!$M$7,'Sponsor Pro Forma'!$R8="Override"),-('Monthly Cash Flow'!DT$63+DT65)*INDEX('Sponsor Pro Forma'!$S$8:$AD$9,MATCH('Monthly Cash Flow'!$B64,'Sponsor Pro Forma'!$B$8:$B$9,0),MATCH('Monthly Cash Flow'!DT$5,'Sponsor Pro Forma'!$S$7:$AD$7,0)),IF('Monthly Cash Flow'!DT$4&gt;4,-('Monthly Cash Flow'!DT$63+DT65)*'Sponsor Pro Forma'!$Q8,-('Monthly Cash Flow'!DT$63+DT65)*INDEX('Sponsor Pro Forma'!$M$8:$P$9,MATCH('Monthly Cash Flow'!$B64,'Sponsor Pro Forma'!$B$8:$B$9,0),MATCH('Monthly Cash Flow'!DT$4,'Sponsor Pro Forma'!$M$7:$P$7,0))))</f>
        <v>0</v>
      </c>
      <c r="DU64" s="286" t="s">
        <v>557</v>
      </c>
      <c r="DV64" s="196"/>
    </row>
    <row r="65" spans="1:126" s="5" customFormat="1" ht="19">
      <c r="A65" s="399">
        <v>2</v>
      </c>
      <c r="B65" s="203" t="str">
        <f>'Debt Sizing'!A10</f>
        <v>Vacancy</v>
      </c>
      <c r="C65" s="397"/>
      <c r="D65" s="398"/>
      <c r="E65" s="286">
        <f>IF(AND(E$4='Sponsor Pro Forma'!$M$7,'Sponsor Pro Forma'!$R9="Override"),-'Monthly Cash Flow'!E$63*INDEX('Sponsor Pro Forma'!$S$8:$AD$9,MATCH('Monthly Cash Flow'!$B65,'Sponsor Pro Forma'!$B$8:$B$9,0),MATCH('Monthly Cash Flow'!E$5,'Sponsor Pro Forma'!$S$7:$AD$7,0)),IF('Monthly Cash Flow'!E$4&gt;4,-'Monthly Cash Flow'!E$63*'Sponsor Pro Forma'!$Q9,-'Monthly Cash Flow'!E$63*INDEX('Sponsor Pro Forma'!$M$8:$P$9,MATCH('Monthly Cash Flow'!$B65,'Sponsor Pro Forma'!$B$8:$B$9,0),MATCH('Monthly Cash Flow'!E$4,'Sponsor Pro Forma'!$M$7:$P$7,0))))</f>
        <v>-17627.925658835175</v>
      </c>
      <c r="F65" s="286">
        <f>IF(AND(F$4='Sponsor Pro Forma'!$M$7,'Sponsor Pro Forma'!$R9="Override"),-'Monthly Cash Flow'!F$63*INDEX('Sponsor Pro Forma'!$S$8:$AD$9,MATCH('Monthly Cash Flow'!$B65,'Sponsor Pro Forma'!$B$8:$B$9,0),MATCH('Monthly Cash Flow'!F$5,'Sponsor Pro Forma'!$S$7:$AD$7,0)),IF('Monthly Cash Flow'!F$4&gt;4,-'Monthly Cash Flow'!F$63*'Sponsor Pro Forma'!$Q9,-'Monthly Cash Flow'!F$63*INDEX('Sponsor Pro Forma'!$M$8:$P$9,MATCH('Monthly Cash Flow'!$B65,'Sponsor Pro Forma'!$B$8:$B$9,0),MATCH('Monthly Cash Flow'!F$4,'Sponsor Pro Forma'!$M$7:$P$7,0))))</f>
        <v>-17745.445163227407</v>
      </c>
      <c r="G65" s="286">
        <f>IF(AND(G$4='Sponsor Pro Forma'!$M$7,'Sponsor Pro Forma'!$R9="Override"),-'Monthly Cash Flow'!G$63*INDEX('Sponsor Pro Forma'!$S$8:$AD$9,MATCH('Monthly Cash Flow'!$B65,'Sponsor Pro Forma'!$B$8:$B$9,0),MATCH('Monthly Cash Flow'!G$5,'Sponsor Pro Forma'!$S$7:$AD$7,0)),IF('Monthly Cash Flow'!G$4&gt;4,-'Monthly Cash Flow'!G$63*'Sponsor Pro Forma'!$Q9,-'Monthly Cash Flow'!G$63*INDEX('Sponsor Pro Forma'!$M$8:$P$9,MATCH('Monthly Cash Flow'!$B65,'Sponsor Pro Forma'!$B$8:$B$9,0),MATCH('Monthly Cash Flow'!G$4,'Sponsor Pro Forma'!$M$7:$P$7,0))))</f>
        <v>-17863.748130982258</v>
      </c>
      <c r="H65" s="286">
        <f>IF(AND(H$4='Sponsor Pro Forma'!$M$7,'Sponsor Pro Forma'!$R9="Override"),-'Monthly Cash Flow'!H$63*INDEX('Sponsor Pro Forma'!$S$8:$AD$9,MATCH('Monthly Cash Flow'!$B65,'Sponsor Pro Forma'!$B$8:$B$9,0),MATCH('Monthly Cash Flow'!H$5,'Sponsor Pro Forma'!$S$7:$AD$7,0)),IF('Monthly Cash Flow'!H$4&gt;4,-'Monthly Cash Flow'!H$63*'Sponsor Pro Forma'!$Q9,-'Monthly Cash Flow'!H$63*INDEX('Sponsor Pro Forma'!$M$8:$P$9,MATCH('Monthly Cash Flow'!$B65,'Sponsor Pro Forma'!$B$8:$B$9,0),MATCH('Monthly Cash Flow'!H$4,'Sponsor Pro Forma'!$M$7:$P$7,0))))</f>
        <v>-17982.839785188804</v>
      </c>
      <c r="I65" s="286">
        <f>IF(AND(I$4='Sponsor Pro Forma'!$M$7,'Sponsor Pro Forma'!$R9="Override"),-'Monthly Cash Flow'!I$63*INDEX('Sponsor Pro Forma'!$S$8:$AD$9,MATCH('Monthly Cash Flow'!$B65,'Sponsor Pro Forma'!$B$8:$B$9,0),MATCH('Monthly Cash Flow'!I$5,'Sponsor Pro Forma'!$S$7:$AD$7,0)),IF('Monthly Cash Flow'!I$4&gt;4,-'Monthly Cash Flow'!I$63*'Sponsor Pro Forma'!$Q9,-'Monthly Cash Flow'!I$63*INDEX('Sponsor Pro Forma'!$M$8:$P$9,MATCH('Monthly Cash Flow'!$B65,'Sponsor Pro Forma'!$B$8:$B$9,0),MATCH('Monthly Cash Flow'!I$4,'Sponsor Pro Forma'!$M$7:$P$7,0))))</f>
        <v>-18102.72538375673</v>
      </c>
      <c r="J65" s="286">
        <f>IF(AND(J$4='Sponsor Pro Forma'!$M$7,'Sponsor Pro Forma'!$R9="Override"),-'Monthly Cash Flow'!J$63*INDEX('Sponsor Pro Forma'!$S$8:$AD$9,MATCH('Monthly Cash Flow'!$B65,'Sponsor Pro Forma'!$B$8:$B$9,0),MATCH('Monthly Cash Flow'!J$5,'Sponsor Pro Forma'!$S$7:$AD$7,0)),IF('Monthly Cash Flow'!J$4&gt;4,-'Monthly Cash Flow'!J$63*'Sponsor Pro Forma'!$Q9,-'Monthly Cash Flow'!J$63*INDEX('Sponsor Pro Forma'!$M$8:$P$9,MATCH('Monthly Cash Flow'!$B65,'Sponsor Pro Forma'!$B$8:$B$9,0),MATCH('Monthly Cash Flow'!J$4,'Sponsor Pro Forma'!$M$7:$P$7,0))))</f>
        <v>-18223.410219648438</v>
      </c>
      <c r="K65" s="286">
        <f>IF(AND(K$4='Sponsor Pro Forma'!$M$7,'Sponsor Pro Forma'!$R9="Override"),-'Monthly Cash Flow'!K$63*INDEX('Sponsor Pro Forma'!$S$8:$AD$9,MATCH('Monthly Cash Flow'!$B65,'Sponsor Pro Forma'!$B$8:$B$9,0),MATCH('Monthly Cash Flow'!K$5,'Sponsor Pro Forma'!$S$7:$AD$7,0)),IF('Monthly Cash Flow'!K$4&gt;4,-'Monthly Cash Flow'!K$63*'Sponsor Pro Forma'!$Q9,-'Monthly Cash Flow'!K$63*INDEX('Sponsor Pro Forma'!$M$8:$P$9,MATCH('Monthly Cash Flow'!$B65,'Sponsor Pro Forma'!$B$8:$B$9,0),MATCH('Monthly Cash Flow'!K$4,'Sponsor Pro Forma'!$M$7:$P$7,0))))</f>
        <v>-18344.899621112763</v>
      </c>
      <c r="L65" s="286">
        <f>IF(AND(L$4='Sponsor Pro Forma'!$M$7,'Sponsor Pro Forma'!$R9="Override"),-'Monthly Cash Flow'!L$63*INDEX('Sponsor Pro Forma'!$S$8:$AD$9,MATCH('Monthly Cash Flow'!$B65,'Sponsor Pro Forma'!$B$8:$B$9,0),MATCH('Monthly Cash Flow'!L$5,'Sponsor Pro Forma'!$S$7:$AD$7,0)),IF('Monthly Cash Flow'!L$4&gt;4,-'Monthly Cash Flow'!L$63*'Sponsor Pro Forma'!$Q9,-'Monthly Cash Flow'!L$63*INDEX('Sponsor Pro Forma'!$M$8:$P$9,MATCH('Monthly Cash Flow'!$B65,'Sponsor Pro Forma'!$B$8:$B$9,0),MATCH('Monthly Cash Flow'!L$4,'Sponsor Pro Forma'!$M$7:$P$7,0))))</f>
        <v>-18467.198951920174</v>
      </c>
      <c r="M65" s="286">
        <f>IF(AND(M$4='Sponsor Pro Forma'!$M$7,'Sponsor Pro Forma'!$R9="Override"),-'Monthly Cash Flow'!M$63*INDEX('Sponsor Pro Forma'!$S$8:$AD$9,MATCH('Monthly Cash Flow'!$B65,'Sponsor Pro Forma'!$B$8:$B$9,0),MATCH('Monthly Cash Flow'!M$5,'Sponsor Pro Forma'!$S$7:$AD$7,0)),IF('Monthly Cash Flow'!M$4&gt;4,-'Monthly Cash Flow'!M$63*'Sponsor Pro Forma'!$Q9,-'Monthly Cash Flow'!M$63*INDEX('Sponsor Pro Forma'!$M$8:$P$9,MATCH('Monthly Cash Flow'!$B65,'Sponsor Pro Forma'!$B$8:$B$9,0),MATCH('Monthly Cash Flow'!M$4,'Sponsor Pro Forma'!$M$7:$P$7,0))))</f>
        <v>-18590.313611599642</v>
      </c>
      <c r="N65" s="286">
        <f>IF(AND(N$4='Sponsor Pro Forma'!$M$7,'Sponsor Pro Forma'!$R9="Override"),-'Monthly Cash Flow'!N$63*INDEX('Sponsor Pro Forma'!$S$8:$AD$9,MATCH('Monthly Cash Flow'!$B65,'Sponsor Pro Forma'!$B$8:$B$9,0),MATCH('Monthly Cash Flow'!N$5,'Sponsor Pro Forma'!$S$7:$AD$7,0)),IF('Monthly Cash Flow'!N$4&gt;4,-'Monthly Cash Flow'!N$63*'Sponsor Pro Forma'!$Q9,-'Monthly Cash Flow'!N$63*INDEX('Sponsor Pro Forma'!$M$8:$P$9,MATCH('Monthly Cash Flow'!$B65,'Sponsor Pro Forma'!$B$8:$B$9,0),MATCH('Monthly Cash Flow'!N$4,'Sponsor Pro Forma'!$M$7:$P$7,0))))</f>
        <v>-18714.249035676974</v>
      </c>
      <c r="O65" s="286">
        <f>IF(AND(O$4='Sponsor Pro Forma'!$M$7,'Sponsor Pro Forma'!$R9="Override"),-'Monthly Cash Flow'!O$63*INDEX('Sponsor Pro Forma'!$S$8:$AD$9,MATCH('Monthly Cash Flow'!$B65,'Sponsor Pro Forma'!$B$8:$B$9,0),MATCH('Monthly Cash Flow'!O$5,'Sponsor Pro Forma'!$S$7:$AD$7,0)),IF('Monthly Cash Flow'!O$4&gt;4,-'Monthly Cash Flow'!O$63*'Sponsor Pro Forma'!$Q9,-'Monthly Cash Flow'!O$63*INDEX('Sponsor Pro Forma'!$M$8:$P$9,MATCH('Monthly Cash Flow'!$B65,'Sponsor Pro Forma'!$B$8:$B$9,0),MATCH('Monthly Cash Flow'!O$4,'Sponsor Pro Forma'!$M$7:$P$7,0))))</f>
        <v>-18839.010695914822</v>
      </c>
      <c r="P65" s="286">
        <f>IF(AND(P$4='Sponsor Pro Forma'!$M$7,'Sponsor Pro Forma'!$R9="Override"),-'Monthly Cash Flow'!P$63*INDEX('Sponsor Pro Forma'!$S$8:$AD$9,MATCH('Monthly Cash Flow'!$B65,'Sponsor Pro Forma'!$B$8:$B$9,0),MATCH('Monthly Cash Flow'!P$5,'Sponsor Pro Forma'!$S$7:$AD$7,0)),IF('Monthly Cash Flow'!P$4&gt;4,-'Monthly Cash Flow'!P$63*'Sponsor Pro Forma'!$Q9,-'Monthly Cash Flow'!P$63*INDEX('Sponsor Pro Forma'!$M$8:$P$9,MATCH('Monthly Cash Flow'!$B65,'Sponsor Pro Forma'!$B$8:$B$9,0),MATCH('Monthly Cash Flow'!P$4,'Sponsor Pro Forma'!$M$7:$P$7,0))))</f>
        <v>-18964.604100554247</v>
      </c>
      <c r="Q65" s="286">
        <f>IF(AND(Q$4='Sponsor Pro Forma'!$M$7,'Sponsor Pro Forma'!$R9="Override"),-'Monthly Cash Flow'!Q$63*INDEX('Sponsor Pro Forma'!$S$8:$AD$9,MATCH('Monthly Cash Flow'!$B65,'Sponsor Pro Forma'!$B$8:$B$9,0),MATCH('Monthly Cash Flow'!Q$5,'Sponsor Pro Forma'!$S$7:$AD$7,0)),IF('Monthly Cash Flow'!Q$4&gt;4,-'Monthly Cash Flow'!Q$63*'Sponsor Pro Forma'!$Q9,-'Monthly Cash Flow'!Q$63*INDEX('Sponsor Pro Forma'!$M$8:$P$9,MATCH('Monthly Cash Flow'!$B65,'Sponsor Pro Forma'!$B$8:$B$9,0),MATCH('Monthly Cash Flow'!Q$4,'Sponsor Pro Forma'!$M$7:$P$7,0))))</f>
        <v>-19083.132876182714</v>
      </c>
      <c r="R65" s="286">
        <f>IF(AND(R$4='Sponsor Pro Forma'!$M$7,'Sponsor Pro Forma'!$R9="Override"),-'Monthly Cash Flow'!R$63*INDEX('Sponsor Pro Forma'!$S$8:$AD$9,MATCH('Monthly Cash Flow'!$B65,'Sponsor Pro Forma'!$B$8:$B$9,0),MATCH('Monthly Cash Flow'!R$5,'Sponsor Pro Forma'!$S$7:$AD$7,0)),IF('Monthly Cash Flow'!R$4&gt;4,-'Monthly Cash Flow'!R$63*'Sponsor Pro Forma'!$Q9,-'Monthly Cash Flow'!R$63*INDEX('Sponsor Pro Forma'!$M$8:$P$9,MATCH('Monthly Cash Flow'!$B65,'Sponsor Pro Forma'!$B$8:$B$9,0),MATCH('Monthly Cash Flow'!R$4,'Sponsor Pro Forma'!$M$7:$P$7,0))))</f>
        <v>-19202.40245665886</v>
      </c>
      <c r="S65" s="286">
        <f>IF(AND(S$4='Sponsor Pro Forma'!$M$7,'Sponsor Pro Forma'!$R9="Override"),-'Monthly Cash Flow'!S$63*INDEX('Sponsor Pro Forma'!$S$8:$AD$9,MATCH('Monthly Cash Flow'!$B65,'Sponsor Pro Forma'!$B$8:$B$9,0),MATCH('Monthly Cash Flow'!S$5,'Sponsor Pro Forma'!$S$7:$AD$7,0)),IF('Monthly Cash Flow'!S$4&gt;4,-'Monthly Cash Flow'!S$63*'Sponsor Pro Forma'!$Q9,-'Monthly Cash Flow'!S$63*INDEX('Sponsor Pro Forma'!$M$8:$P$9,MATCH('Monthly Cash Flow'!$B65,'Sponsor Pro Forma'!$B$8:$B$9,0),MATCH('Monthly Cash Flow'!S$4,'Sponsor Pro Forma'!$M$7:$P$7,0))))</f>
        <v>-19322.417472012978</v>
      </c>
      <c r="T65" s="286">
        <f>IF(AND(T$4='Sponsor Pro Forma'!$M$7,'Sponsor Pro Forma'!$R9="Override"),-'Monthly Cash Flow'!T$63*INDEX('Sponsor Pro Forma'!$S$8:$AD$9,MATCH('Monthly Cash Flow'!$B65,'Sponsor Pro Forma'!$B$8:$B$9,0),MATCH('Monthly Cash Flow'!T$5,'Sponsor Pro Forma'!$S$7:$AD$7,0)),IF('Monthly Cash Flow'!T$4&gt;4,-'Monthly Cash Flow'!T$63*'Sponsor Pro Forma'!$Q9,-'Monthly Cash Flow'!T$63*INDEX('Sponsor Pro Forma'!$M$8:$P$9,MATCH('Monthly Cash Flow'!$B65,'Sponsor Pro Forma'!$B$8:$B$9,0),MATCH('Monthly Cash Flow'!T$4,'Sponsor Pro Forma'!$M$7:$P$7,0))))</f>
        <v>-19443.182581213059</v>
      </c>
      <c r="U65" s="286">
        <f>IF(AND(U$4='Sponsor Pro Forma'!$M$7,'Sponsor Pro Forma'!$R9="Override"),-'Monthly Cash Flow'!U$63*INDEX('Sponsor Pro Forma'!$S$8:$AD$9,MATCH('Monthly Cash Flow'!$B65,'Sponsor Pro Forma'!$B$8:$B$9,0),MATCH('Monthly Cash Flow'!U$5,'Sponsor Pro Forma'!$S$7:$AD$7,0)),IF('Monthly Cash Flow'!U$4&gt;4,-'Monthly Cash Flow'!U$63*'Sponsor Pro Forma'!$Q9,-'Monthly Cash Flow'!U$63*INDEX('Sponsor Pro Forma'!$M$8:$P$9,MATCH('Monthly Cash Flow'!$B65,'Sponsor Pro Forma'!$B$8:$B$9,0),MATCH('Monthly Cash Flow'!U$4,'Sponsor Pro Forma'!$M$7:$P$7,0))))</f>
        <v>-19564.702472345645</v>
      </c>
      <c r="V65" s="286">
        <f>IF(AND(V$4='Sponsor Pro Forma'!$M$7,'Sponsor Pro Forma'!$R9="Override"),-'Monthly Cash Flow'!V$63*INDEX('Sponsor Pro Forma'!$S$8:$AD$9,MATCH('Monthly Cash Flow'!$B65,'Sponsor Pro Forma'!$B$8:$B$9,0),MATCH('Monthly Cash Flow'!V$5,'Sponsor Pro Forma'!$S$7:$AD$7,0)),IF('Monthly Cash Flow'!V$4&gt;4,-'Monthly Cash Flow'!V$63*'Sponsor Pro Forma'!$Q9,-'Monthly Cash Flow'!V$63*INDEX('Sponsor Pro Forma'!$M$8:$P$9,MATCH('Monthly Cash Flow'!$B65,'Sponsor Pro Forma'!$B$8:$B$9,0),MATCH('Monthly Cash Flow'!V$4,'Sponsor Pro Forma'!$M$7:$P$7,0))))</f>
        <v>-19686.981862797809</v>
      </c>
      <c r="W65" s="286">
        <f>IF(AND(W$4='Sponsor Pro Forma'!$M$7,'Sponsor Pro Forma'!$R9="Override"),-'Monthly Cash Flow'!W$63*INDEX('Sponsor Pro Forma'!$S$8:$AD$9,MATCH('Monthly Cash Flow'!$B65,'Sponsor Pro Forma'!$B$8:$B$9,0),MATCH('Monthly Cash Flow'!W$5,'Sponsor Pro Forma'!$S$7:$AD$7,0)),IF('Monthly Cash Flow'!W$4&gt;4,-'Monthly Cash Flow'!W$63*'Sponsor Pro Forma'!$Q9,-'Monthly Cash Flow'!W$63*INDEX('Sponsor Pro Forma'!$M$8:$P$9,MATCH('Monthly Cash Flow'!$B65,'Sponsor Pro Forma'!$B$8:$B$9,0),MATCH('Monthly Cash Flow'!W$4,'Sponsor Pro Forma'!$M$7:$P$7,0))))</f>
        <v>-19810.025499440293</v>
      </c>
      <c r="X65" s="286">
        <f>IF(AND(X$4='Sponsor Pro Forma'!$M$7,'Sponsor Pro Forma'!$R9="Override"),-'Monthly Cash Flow'!X$63*INDEX('Sponsor Pro Forma'!$S$8:$AD$9,MATCH('Monthly Cash Flow'!$B65,'Sponsor Pro Forma'!$B$8:$B$9,0),MATCH('Monthly Cash Flow'!X$5,'Sponsor Pro Forma'!$S$7:$AD$7,0)),IF('Monthly Cash Flow'!X$4&gt;4,-'Monthly Cash Flow'!X$63*'Sponsor Pro Forma'!$Q9,-'Monthly Cash Flow'!X$63*INDEX('Sponsor Pro Forma'!$M$8:$P$9,MATCH('Monthly Cash Flow'!$B65,'Sponsor Pro Forma'!$B$8:$B$9,0),MATCH('Monthly Cash Flow'!X$4,'Sponsor Pro Forma'!$M$7:$P$7,0))))</f>
        <v>-19933.838158811799</v>
      </c>
      <c r="Y65" s="286">
        <f>IF(AND(Y$4='Sponsor Pro Forma'!$M$7,'Sponsor Pro Forma'!$R9="Override"),-'Monthly Cash Flow'!Y$63*INDEX('Sponsor Pro Forma'!$S$8:$AD$9,MATCH('Monthly Cash Flow'!$B65,'Sponsor Pro Forma'!$B$8:$B$9,0),MATCH('Monthly Cash Flow'!Y$5,'Sponsor Pro Forma'!$S$7:$AD$7,0)),IF('Monthly Cash Flow'!Y$4&gt;4,-'Monthly Cash Flow'!Y$63*'Sponsor Pro Forma'!$Q9,-'Monthly Cash Flow'!Y$63*INDEX('Sponsor Pro Forma'!$M$8:$P$9,MATCH('Monthly Cash Flow'!$B65,'Sponsor Pro Forma'!$B$8:$B$9,0),MATCH('Monthly Cash Flow'!Y$4,'Sponsor Pro Forma'!$M$7:$P$7,0))))</f>
        <v>-20058.424647304375</v>
      </c>
      <c r="Z65" s="286">
        <f>IF(AND(Z$4='Sponsor Pro Forma'!$M$7,'Sponsor Pro Forma'!$R9="Override"),-'Monthly Cash Flow'!Z$63*INDEX('Sponsor Pro Forma'!$S$8:$AD$9,MATCH('Monthly Cash Flow'!$B65,'Sponsor Pro Forma'!$B$8:$B$9,0),MATCH('Monthly Cash Flow'!Z$5,'Sponsor Pro Forma'!$S$7:$AD$7,0)),IF('Monthly Cash Flow'!Z$4&gt;4,-'Monthly Cash Flow'!Z$63*'Sponsor Pro Forma'!$Q9,-'Monthly Cash Flow'!Z$63*INDEX('Sponsor Pro Forma'!$M$8:$P$9,MATCH('Monthly Cash Flow'!$B65,'Sponsor Pro Forma'!$B$8:$B$9,0),MATCH('Monthly Cash Flow'!Z$4,'Sponsor Pro Forma'!$M$7:$P$7,0))))</f>
        <v>-20183.789801350027</v>
      </c>
      <c r="AA65" s="286">
        <f>IF(AND(AA$4='Sponsor Pro Forma'!$M$7,'Sponsor Pro Forma'!$R9="Override"),-'Monthly Cash Flow'!AA$63*INDEX('Sponsor Pro Forma'!$S$8:$AD$9,MATCH('Monthly Cash Flow'!$B65,'Sponsor Pro Forma'!$B$8:$B$9,0),MATCH('Monthly Cash Flow'!AA$5,'Sponsor Pro Forma'!$S$7:$AD$7,0)),IF('Monthly Cash Flow'!AA$4&gt;4,-'Monthly Cash Flow'!AA$63*'Sponsor Pro Forma'!$Q9,-'Monthly Cash Flow'!AA$63*INDEX('Sponsor Pro Forma'!$M$8:$P$9,MATCH('Monthly Cash Flow'!$B65,'Sponsor Pro Forma'!$B$8:$B$9,0),MATCH('Monthly Cash Flow'!AA$4,'Sponsor Pro Forma'!$M$7:$P$7,0))))</f>
        <v>-20309.938487608466</v>
      </c>
      <c r="AB65" s="286">
        <f>IF(AND(AB$4='Sponsor Pro Forma'!$M$7,'Sponsor Pro Forma'!$R9="Override"),-'Monthly Cash Flow'!AB$63*INDEX('Sponsor Pro Forma'!$S$8:$AD$9,MATCH('Monthly Cash Flow'!$B65,'Sponsor Pro Forma'!$B$8:$B$9,0),MATCH('Monthly Cash Flow'!AB$5,'Sponsor Pro Forma'!$S$7:$AD$7,0)),IF('Monthly Cash Flow'!AB$4&gt;4,-'Monthly Cash Flow'!AB$63*'Sponsor Pro Forma'!$Q9,-'Monthly Cash Flow'!AB$63*INDEX('Sponsor Pro Forma'!$M$8:$P$9,MATCH('Monthly Cash Flow'!$B65,'Sponsor Pro Forma'!$B$8:$B$9,0),MATCH('Monthly Cash Flow'!AB$4,'Sponsor Pro Forma'!$M$7:$P$7,0))))</f>
        <v>-20436.875603156022</v>
      </c>
      <c r="AC65" s="286">
        <f>IF(AND(AC$4='Sponsor Pro Forma'!$M$7,'Sponsor Pro Forma'!$R9="Override"),-'Monthly Cash Flow'!AC$63*INDEX('Sponsor Pro Forma'!$S$8:$AD$9,MATCH('Monthly Cash Flow'!$B65,'Sponsor Pro Forma'!$B$8:$B$9,0),MATCH('Monthly Cash Flow'!AC$5,'Sponsor Pro Forma'!$S$7:$AD$7,0)),IF('Monthly Cash Flow'!AC$4&gt;4,-'Monthly Cash Flow'!AC$63*'Sponsor Pro Forma'!$Q9,-'Monthly Cash Flow'!AC$63*INDEX('Sponsor Pro Forma'!$M$8:$P$9,MATCH('Monthly Cash Flow'!$B65,'Sponsor Pro Forma'!$B$8:$B$9,0),MATCH('Monthly Cash Flow'!AC$4,'Sponsor Pro Forma'!$M$7:$P$7,0))))</f>
        <v>-20504.998521833211</v>
      </c>
      <c r="AD65" s="286">
        <f>IF(AND(AD$4='Sponsor Pro Forma'!$M$7,'Sponsor Pro Forma'!$R9="Override"),-'Monthly Cash Flow'!AD$63*INDEX('Sponsor Pro Forma'!$S$8:$AD$9,MATCH('Monthly Cash Flow'!$B65,'Sponsor Pro Forma'!$B$8:$B$9,0),MATCH('Monthly Cash Flow'!AD$5,'Sponsor Pro Forma'!$S$7:$AD$7,0)),IF('Monthly Cash Flow'!AD$4&gt;4,-'Monthly Cash Flow'!AD$63*'Sponsor Pro Forma'!$Q9,-'Monthly Cash Flow'!AD$63*INDEX('Sponsor Pro Forma'!$M$8:$P$9,MATCH('Monthly Cash Flow'!$B65,'Sponsor Pro Forma'!$B$8:$B$9,0),MATCH('Monthly Cash Flow'!AD$4,'Sponsor Pro Forma'!$M$7:$P$7,0))))</f>
        <v>-20573.34851690599</v>
      </c>
      <c r="AE65" s="286">
        <f>IF(AND(AE$4='Sponsor Pro Forma'!$M$7,'Sponsor Pro Forma'!$R9="Override"),-'Monthly Cash Flow'!AE$63*INDEX('Sponsor Pro Forma'!$S$8:$AD$9,MATCH('Monthly Cash Flow'!$B65,'Sponsor Pro Forma'!$B$8:$B$9,0),MATCH('Monthly Cash Flow'!AE$5,'Sponsor Pro Forma'!$S$7:$AD$7,0)),IF('Monthly Cash Flow'!AE$4&gt;4,-'Monthly Cash Flow'!AE$63*'Sponsor Pro Forma'!$Q9,-'Monthly Cash Flow'!AE$63*INDEX('Sponsor Pro Forma'!$M$8:$P$9,MATCH('Monthly Cash Flow'!$B65,'Sponsor Pro Forma'!$B$8:$B$9,0),MATCH('Monthly Cash Flow'!AE$4,'Sponsor Pro Forma'!$M$7:$P$7,0))))</f>
        <v>-20641.92634529568</v>
      </c>
      <c r="AF65" s="286">
        <f>IF(AND(AF$4='Sponsor Pro Forma'!$M$7,'Sponsor Pro Forma'!$R9="Override"),-'Monthly Cash Flow'!AF$63*INDEX('Sponsor Pro Forma'!$S$8:$AD$9,MATCH('Monthly Cash Flow'!$B65,'Sponsor Pro Forma'!$B$8:$B$9,0),MATCH('Monthly Cash Flow'!AF$5,'Sponsor Pro Forma'!$S$7:$AD$7,0)),IF('Monthly Cash Flow'!AF$4&gt;4,-'Monthly Cash Flow'!AF$63*'Sponsor Pro Forma'!$Q9,-'Monthly Cash Flow'!AF$63*INDEX('Sponsor Pro Forma'!$M$8:$P$9,MATCH('Monthly Cash Flow'!$B65,'Sponsor Pro Forma'!$B$8:$B$9,0),MATCH('Monthly Cash Flow'!AF$4,'Sponsor Pro Forma'!$M$7:$P$7,0))))</f>
        <v>-20710.732766446665</v>
      </c>
      <c r="AG65" s="286">
        <f>IF(AND(AG$4='Sponsor Pro Forma'!$M$7,'Sponsor Pro Forma'!$R9="Override"),-'Monthly Cash Flow'!AG$63*INDEX('Sponsor Pro Forma'!$S$8:$AD$9,MATCH('Monthly Cash Flow'!$B65,'Sponsor Pro Forma'!$B$8:$B$9,0),MATCH('Monthly Cash Flow'!AG$5,'Sponsor Pro Forma'!$S$7:$AD$7,0)),IF('Monthly Cash Flow'!AG$4&gt;4,-'Monthly Cash Flow'!AG$63*'Sponsor Pro Forma'!$Q9,-'Monthly Cash Flow'!AG$63*INDEX('Sponsor Pro Forma'!$M$8:$P$9,MATCH('Monthly Cash Flow'!$B65,'Sponsor Pro Forma'!$B$8:$B$9,0),MATCH('Monthly Cash Flow'!AG$4,'Sponsor Pro Forma'!$M$7:$P$7,0))))</f>
        <v>-20779.768542334819</v>
      </c>
      <c r="AH65" s="286">
        <f>IF(AND(AH$4='Sponsor Pro Forma'!$M$7,'Sponsor Pro Forma'!$R9="Override"),-'Monthly Cash Flow'!AH$63*INDEX('Sponsor Pro Forma'!$S$8:$AD$9,MATCH('Monthly Cash Flow'!$B65,'Sponsor Pro Forma'!$B$8:$B$9,0),MATCH('Monthly Cash Flow'!AH$5,'Sponsor Pro Forma'!$S$7:$AD$7,0)),IF('Monthly Cash Flow'!AH$4&gt;4,-'Monthly Cash Flow'!AH$63*'Sponsor Pro Forma'!$Q9,-'Monthly Cash Flow'!AH$63*INDEX('Sponsor Pro Forma'!$M$8:$P$9,MATCH('Monthly Cash Flow'!$B65,'Sponsor Pro Forma'!$B$8:$B$9,0),MATCH('Monthly Cash Flow'!AH$4,'Sponsor Pro Forma'!$M$7:$P$7,0))))</f>
        <v>-20849.034437475944</v>
      </c>
      <c r="AI65" s="286">
        <f>IF(AND(AI$4='Sponsor Pro Forma'!$M$7,'Sponsor Pro Forma'!$R9="Override"),-'Monthly Cash Flow'!AI$63*INDEX('Sponsor Pro Forma'!$S$8:$AD$9,MATCH('Monthly Cash Flow'!$B65,'Sponsor Pro Forma'!$B$8:$B$9,0),MATCH('Monthly Cash Flow'!AI$5,'Sponsor Pro Forma'!$S$7:$AD$7,0)),IF('Monthly Cash Flow'!AI$4&gt;4,-'Monthly Cash Flow'!AI$63*'Sponsor Pro Forma'!$Q9,-'Monthly Cash Flow'!AI$63*INDEX('Sponsor Pro Forma'!$M$8:$P$9,MATCH('Monthly Cash Flow'!$B65,'Sponsor Pro Forma'!$B$8:$B$9,0),MATCH('Monthly Cash Flow'!AI$4,'Sponsor Pro Forma'!$M$7:$P$7,0))))</f>
        <v>-20918.531218934197</v>
      </c>
      <c r="AJ65" s="286">
        <f>IF(AND(AJ$4='Sponsor Pro Forma'!$M$7,'Sponsor Pro Forma'!$R9="Override"),-'Monthly Cash Flow'!AJ$63*INDEX('Sponsor Pro Forma'!$S$8:$AD$9,MATCH('Monthly Cash Flow'!$B65,'Sponsor Pro Forma'!$B$8:$B$9,0),MATCH('Monthly Cash Flow'!AJ$5,'Sponsor Pro Forma'!$S$7:$AD$7,0)),IF('Monthly Cash Flow'!AJ$4&gt;4,-'Monthly Cash Flow'!AJ$63*'Sponsor Pro Forma'!$Q9,-'Monthly Cash Flow'!AJ$63*INDEX('Sponsor Pro Forma'!$M$8:$P$9,MATCH('Monthly Cash Flow'!$B65,'Sponsor Pro Forma'!$B$8:$B$9,0),MATCH('Monthly Cash Flow'!AJ$4,'Sponsor Pro Forma'!$M$7:$P$7,0))))</f>
        <v>-20988.259656330643</v>
      </c>
      <c r="AK65" s="286">
        <f>IF(AND(AK$4='Sponsor Pro Forma'!$M$7,'Sponsor Pro Forma'!$R9="Override"),-'Monthly Cash Flow'!AK$63*INDEX('Sponsor Pro Forma'!$S$8:$AD$9,MATCH('Monthly Cash Flow'!$B65,'Sponsor Pro Forma'!$B$8:$B$9,0),MATCH('Monthly Cash Flow'!AK$5,'Sponsor Pro Forma'!$S$7:$AD$7,0)),IF('Monthly Cash Flow'!AK$4&gt;4,-'Monthly Cash Flow'!AK$63*'Sponsor Pro Forma'!$Q9,-'Monthly Cash Flow'!AK$63*INDEX('Sponsor Pro Forma'!$M$8:$P$9,MATCH('Monthly Cash Flow'!$B65,'Sponsor Pro Forma'!$B$8:$B$9,0),MATCH('Monthly Cash Flow'!AK$4,'Sponsor Pro Forma'!$M$7:$P$7,0))))</f>
        <v>-21058.220521851745</v>
      </c>
      <c r="AL65" s="286">
        <f>IF(AND(AL$4='Sponsor Pro Forma'!$M$7,'Sponsor Pro Forma'!$R9="Override"),-'Monthly Cash Flow'!AL$63*INDEX('Sponsor Pro Forma'!$S$8:$AD$9,MATCH('Monthly Cash Flow'!$B65,'Sponsor Pro Forma'!$B$8:$B$9,0),MATCH('Monthly Cash Flow'!AL$5,'Sponsor Pro Forma'!$S$7:$AD$7,0)),IF('Monthly Cash Flow'!AL$4&gt;4,-'Monthly Cash Flow'!AL$63*'Sponsor Pro Forma'!$Q9,-'Monthly Cash Flow'!AL$63*INDEX('Sponsor Pro Forma'!$M$8:$P$9,MATCH('Monthly Cash Flow'!$B65,'Sponsor Pro Forma'!$B$8:$B$9,0),MATCH('Monthly Cash Flow'!AL$4,'Sponsor Pro Forma'!$M$7:$P$7,0))))</f>
        <v>-21128.414590257922</v>
      </c>
      <c r="AM65" s="286">
        <f>IF(AND(AM$4='Sponsor Pro Forma'!$M$7,'Sponsor Pro Forma'!$R9="Override"),-'Monthly Cash Flow'!AM$63*INDEX('Sponsor Pro Forma'!$S$8:$AD$9,MATCH('Monthly Cash Flow'!$B65,'Sponsor Pro Forma'!$B$8:$B$9,0),MATCH('Monthly Cash Flow'!AM$5,'Sponsor Pro Forma'!$S$7:$AD$7,0)),IF('Monthly Cash Flow'!AM$4&gt;4,-'Monthly Cash Flow'!AM$63*'Sponsor Pro Forma'!$Q9,-'Monthly Cash Flow'!AM$63*INDEX('Sponsor Pro Forma'!$M$8:$P$9,MATCH('Monthly Cash Flow'!$B65,'Sponsor Pro Forma'!$B$8:$B$9,0),MATCH('Monthly Cash Flow'!AM$4,'Sponsor Pro Forma'!$M$7:$P$7,0))))</f>
        <v>-21198.842638892114</v>
      </c>
      <c r="AN65" s="286">
        <f>IF(AND(AN$4='Sponsor Pro Forma'!$M$7,'Sponsor Pro Forma'!$R9="Override"),-'Monthly Cash Flow'!AN$63*INDEX('Sponsor Pro Forma'!$S$8:$AD$9,MATCH('Monthly Cash Flow'!$B65,'Sponsor Pro Forma'!$B$8:$B$9,0),MATCH('Monthly Cash Flow'!AN$5,'Sponsor Pro Forma'!$S$7:$AD$7,0)),IF('Monthly Cash Flow'!AN$4&gt;4,-'Monthly Cash Flow'!AN$63*'Sponsor Pro Forma'!$Q9,-'Monthly Cash Flow'!AN$63*INDEX('Sponsor Pro Forma'!$M$8:$P$9,MATCH('Monthly Cash Flow'!$B65,'Sponsor Pro Forma'!$B$8:$B$9,0),MATCH('Monthly Cash Flow'!AN$4,'Sponsor Pro Forma'!$M$7:$P$7,0))))</f>
        <v>-21269.505447688425</v>
      </c>
      <c r="AO65" s="286">
        <f>IF(AND(AO$4='Sponsor Pro Forma'!$M$7,'Sponsor Pro Forma'!$R9="Override"),-'Monthly Cash Flow'!AO$63*INDEX('Sponsor Pro Forma'!$S$8:$AD$9,MATCH('Monthly Cash Flow'!$B65,'Sponsor Pro Forma'!$B$8:$B$9,0),MATCH('Monthly Cash Flow'!AO$5,'Sponsor Pro Forma'!$S$7:$AD$7,0)),IF('Monthly Cash Flow'!AO$4&gt;4,-'Monthly Cash Flow'!AO$63*'Sponsor Pro Forma'!$Q9,-'Monthly Cash Flow'!AO$63*INDEX('Sponsor Pro Forma'!$M$8:$P$9,MATCH('Monthly Cash Flow'!$B65,'Sponsor Pro Forma'!$B$8:$B$9,0),MATCH('Monthly Cash Flow'!AO$4,'Sponsor Pro Forma'!$M$7:$P$7,0))))</f>
        <v>-21340.40379918072</v>
      </c>
      <c r="AP65" s="286">
        <f>IF(AND(AP$4='Sponsor Pro Forma'!$M$7,'Sponsor Pro Forma'!$R9="Override"),-'Monthly Cash Flow'!AP$63*INDEX('Sponsor Pro Forma'!$S$8:$AD$9,MATCH('Monthly Cash Flow'!$B65,'Sponsor Pro Forma'!$B$8:$B$9,0),MATCH('Monthly Cash Flow'!AP$5,'Sponsor Pro Forma'!$S$7:$AD$7,0)),IF('Monthly Cash Flow'!AP$4&gt;4,-'Monthly Cash Flow'!AP$63*'Sponsor Pro Forma'!$Q9,-'Monthly Cash Flow'!AP$63*INDEX('Sponsor Pro Forma'!$M$8:$P$9,MATCH('Monthly Cash Flow'!$B65,'Sponsor Pro Forma'!$B$8:$B$9,0),MATCH('Monthly Cash Flow'!AP$4,'Sponsor Pro Forma'!$M$7:$P$7,0))))</f>
        <v>-21411.538478511327</v>
      </c>
      <c r="AQ65" s="286">
        <f>IF(AND(AQ$4='Sponsor Pro Forma'!$M$7,'Sponsor Pro Forma'!$R9="Override"),-'Monthly Cash Flow'!AQ$63*INDEX('Sponsor Pro Forma'!$S$8:$AD$9,MATCH('Monthly Cash Flow'!$B65,'Sponsor Pro Forma'!$B$8:$B$9,0),MATCH('Monthly Cash Flow'!AQ$5,'Sponsor Pro Forma'!$S$7:$AD$7,0)),IF('Monthly Cash Flow'!AQ$4&gt;4,-'Monthly Cash Flow'!AQ$63*'Sponsor Pro Forma'!$Q9,-'Monthly Cash Flow'!AQ$63*INDEX('Sponsor Pro Forma'!$M$8:$P$9,MATCH('Monthly Cash Flow'!$B65,'Sponsor Pro Forma'!$B$8:$B$9,0),MATCH('Monthly Cash Flow'!AQ$4,'Sponsor Pro Forma'!$M$7:$P$7,0))))</f>
        <v>-21482.910273439698</v>
      </c>
      <c r="AR65" s="286">
        <f>IF(AND(AR$4='Sponsor Pro Forma'!$M$7,'Sponsor Pro Forma'!$R9="Override"),-'Monthly Cash Flow'!AR$63*INDEX('Sponsor Pro Forma'!$S$8:$AD$9,MATCH('Monthly Cash Flow'!$B65,'Sponsor Pro Forma'!$B$8:$B$9,0),MATCH('Monthly Cash Flow'!AR$5,'Sponsor Pro Forma'!$S$7:$AD$7,0)),IF('Monthly Cash Flow'!AR$4&gt;4,-'Monthly Cash Flow'!AR$63*'Sponsor Pro Forma'!$Q9,-'Monthly Cash Flow'!AR$63*INDEX('Sponsor Pro Forma'!$M$8:$P$9,MATCH('Monthly Cash Flow'!$B65,'Sponsor Pro Forma'!$B$8:$B$9,0),MATCH('Monthly Cash Flow'!AR$4,'Sponsor Pro Forma'!$M$7:$P$7,0))))</f>
        <v>-21554.519974351166</v>
      </c>
      <c r="AS65" s="286">
        <f>IF(AND(AS$4='Sponsor Pro Forma'!$M$7,'Sponsor Pro Forma'!$R9="Override"),-'Monthly Cash Flow'!AS$63*INDEX('Sponsor Pro Forma'!$S$8:$AD$9,MATCH('Monthly Cash Flow'!$B65,'Sponsor Pro Forma'!$B$8:$B$9,0),MATCH('Monthly Cash Flow'!AS$5,'Sponsor Pro Forma'!$S$7:$AD$7,0)),IF('Monthly Cash Flow'!AS$4&gt;4,-'Monthly Cash Flow'!AS$63*'Sponsor Pro Forma'!$Q9,-'Monthly Cash Flow'!AS$63*INDEX('Sponsor Pro Forma'!$M$8:$P$9,MATCH('Monthly Cash Flow'!$B65,'Sponsor Pro Forma'!$B$8:$B$9,0),MATCH('Monthly Cash Flow'!AS$4,'Sponsor Pro Forma'!$M$7:$P$7,0))))</f>
        <v>-21626.368374265672</v>
      </c>
      <c r="AT65" s="286">
        <f>IF(AND(AT$4='Sponsor Pro Forma'!$M$7,'Sponsor Pro Forma'!$R9="Override"),-'Monthly Cash Flow'!AT$63*INDEX('Sponsor Pro Forma'!$S$8:$AD$9,MATCH('Monthly Cash Flow'!$B65,'Sponsor Pro Forma'!$B$8:$B$9,0),MATCH('Monthly Cash Flow'!AT$5,'Sponsor Pro Forma'!$S$7:$AD$7,0)),IF('Monthly Cash Flow'!AT$4&gt;4,-'Monthly Cash Flow'!AT$63*'Sponsor Pro Forma'!$Q9,-'Monthly Cash Flow'!AT$63*INDEX('Sponsor Pro Forma'!$M$8:$P$9,MATCH('Monthly Cash Flow'!$B65,'Sponsor Pro Forma'!$B$8:$B$9,0),MATCH('Monthly Cash Flow'!AT$4,'Sponsor Pro Forma'!$M$7:$P$7,0))))</f>
        <v>-21698.456268846556</v>
      </c>
      <c r="AU65" s="286">
        <f>IF(AND(AU$4='Sponsor Pro Forma'!$M$7,'Sponsor Pro Forma'!$R9="Override"),-'Monthly Cash Flow'!AU$63*INDEX('Sponsor Pro Forma'!$S$8:$AD$9,MATCH('Monthly Cash Flow'!$B65,'Sponsor Pro Forma'!$B$8:$B$9,0),MATCH('Monthly Cash Flow'!AU$5,'Sponsor Pro Forma'!$S$7:$AD$7,0)),IF('Monthly Cash Flow'!AU$4&gt;4,-'Monthly Cash Flow'!AU$63*'Sponsor Pro Forma'!$Q9,-'Monthly Cash Flow'!AU$63*INDEX('Sponsor Pro Forma'!$M$8:$P$9,MATCH('Monthly Cash Flow'!$B65,'Sponsor Pro Forma'!$B$8:$B$9,0),MATCH('Monthly Cash Flow'!AU$4,'Sponsor Pro Forma'!$M$7:$P$7,0))))</f>
        <v>-21770.784456409383</v>
      </c>
      <c r="AV65" s="286">
        <f>IF(AND(AV$4='Sponsor Pro Forma'!$M$7,'Sponsor Pro Forma'!$R9="Override"),-'Monthly Cash Flow'!AV$63*INDEX('Sponsor Pro Forma'!$S$8:$AD$9,MATCH('Monthly Cash Flow'!$B65,'Sponsor Pro Forma'!$B$8:$B$9,0),MATCH('Monthly Cash Flow'!AV$5,'Sponsor Pro Forma'!$S$7:$AD$7,0)),IF('Monthly Cash Flow'!AV$4&gt;4,-'Monthly Cash Flow'!AV$63*'Sponsor Pro Forma'!$Q9,-'Monthly Cash Flow'!AV$63*INDEX('Sponsor Pro Forma'!$M$8:$P$9,MATCH('Monthly Cash Flow'!$B65,'Sponsor Pro Forma'!$B$8:$B$9,0),MATCH('Monthly Cash Flow'!AV$4,'Sponsor Pro Forma'!$M$7:$P$7,0))))</f>
        <v>-21843.353737930749</v>
      </c>
      <c r="AW65" s="286">
        <f>IF(AND(AW$4='Sponsor Pro Forma'!$M$7,'Sponsor Pro Forma'!$R9="Override"),-'Monthly Cash Flow'!AW$63*INDEX('Sponsor Pro Forma'!$S$8:$AD$9,MATCH('Monthly Cash Flow'!$B65,'Sponsor Pro Forma'!$B$8:$B$9,0),MATCH('Monthly Cash Flow'!AW$5,'Sponsor Pro Forma'!$S$7:$AD$7,0)),IF('Monthly Cash Flow'!AW$4&gt;4,-'Monthly Cash Flow'!AW$63*'Sponsor Pro Forma'!$Q9,-'Monthly Cash Flow'!AW$63*INDEX('Sponsor Pro Forma'!$M$8:$P$9,MATCH('Monthly Cash Flow'!$B65,'Sponsor Pro Forma'!$B$8:$B$9,0),MATCH('Monthly Cash Flow'!AW$4,'Sponsor Pro Forma'!$M$7:$P$7,0))))</f>
        <v>-21916.164917057187</v>
      </c>
      <c r="AX65" s="286">
        <f>IF(AND(AX$4='Sponsor Pro Forma'!$M$7,'Sponsor Pro Forma'!$R9="Override"),-'Monthly Cash Flow'!AX$63*INDEX('Sponsor Pro Forma'!$S$8:$AD$9,MATCH('Monthly Cash Flow'!$B65,'Sponsor Pro Forma'!$B$8:$B$9,0),MATCH('Monthly Cash Flow'!AX$5,'Sponsor Pro Forma'!$S$7:$AD$7,0)),IF('Monthly Cash Flow'!AX$4&gt;4,-'Monthly Cash Flow'!AX$63*'Sponsor Pro Forma'!$Q9,-'Monthly Cash Flow'!AX$63*INDEX('Sponsor Pro Forma'!$M$8:$P$9,MATCH('Monthly Cash Flow'!$B65,'Sponsor Pro Forma'!$B$8:$B$9,0),MATCH('Monthly Cash Flow'!AX$4,'Sponsor Pro Forma'!$M$7:$P$7,0))))</f>
        <v>-21989.218800114046</v>
      </c>
      <c r="AY65" s="286">
        <f>IF(AND(AY$4='Sponsor Pro Forma'!$M$7,'Sponsor Pro Forma'!$R9="Override"),-'Monthly Cash Flow'!AY$63*INDEX('Sponsor Pro Forma'!$S$8:$AD$9,MATCH('Monthly Cash Flow'!$B65,'Sponsor Pro Forma'!$B$8:$B$9,0),MATCH('Monthly Cash Flow'!AY$5,'Sponsor Pro Forma'!$S$7:$AD$7,0)),IF('Monthly Cash Flow'!AY$4&gt;4,-'Monthly Cash Flow'!AY$63*'Sponsor Pro Forma'!$Q9,-'Monthly Cash Flow'!AY$63*INDEX('Sponsor Pro Forma'!$M$8:$P$9,MATCH('Monthly Cash Flow'!$B65,'Sponsor Pro Forma'!$B$8:$B$9,0),MATCH('Monthly Cash Flow'!AY$4,'Sponsor Pro Forma'!$M$7:$P$7,0))))</f>
        <v>-22062.516196114429</v>
      </c>
      <c r="AZ65" s="286">
        <f>IF(AND(AZ$4='Sponsor Pro Forma'!$M$7,'Sponsor Pro Forma'!$R9="Override"),-'Monthly Cash Flow'!AZ$63*INDEX('Sponsor Pro Forma'!$S$8:$AD$9,MATCH('Monthly Cash Flow'!$B65,'Sponsor Pro Forma'!$B$8:$B$9,0),MATCH('Monthly Cash Flow'!AZ$5,'Sponsor Pro Forma'!$S$7:$AD$7,0)),IF('Monthly Cash Flow'!AZ$4&gt;4,-'Monthly Cash Flow'!AZ$63*'Sponsor Pro Forma'!$Q9,-'Monthly Cash Flow'!AZ$63*INDEX('Sponsor Pro Forma'!$M$8:$P$9,MATCH('Monthly Cash Flow'!$B65,'Sponsor Pro Forma'!$B$8:$B$9,0),MATCH('Monthly Cash Flow'!AZ$4,'Sponsor Pro Forma'!$M$7:$P$7,0))))</f>
        <v>-22136.057916768143</v>
      </c>
      <c r="BA65" s="286">
        <f>IF(AND(BA$4='Sponsor Pro Forma'!$M$7,'Sponsor Pro Forma'!$R9="Override"),-'Monthly Cash Flow'!BA$63*INDEX('Sponsor Pro Forma'!$S$8:$AD$9,MATCH('Monthly Cash Flow'!$B65,'Sponsor Pro Forma'!$B$8:$B$9,0),MATCH('Monthly Cash Flow'!BA$5,'Sponsor Pro Forma'!$S$7:$AD$7,0)),IF('Monthly Cash Flow'!BA$4&gt;4,-'Monthly Cash Flow'!BA$63*'Sponsor Pro Forma'!$Q9,-'Monthly Cash Flow'!BA$63*INDEX('Sponsor Pro Forma'!$M$8:$P$9,MATCH('Monthly Cash Flow'!$B65,'Sponsor Pro Forma'!$B$8:$B$9,0),MATCH('Monthly Cash Flow'!BA$4,'Sponsor Pro Forma'!$M$7:$P$7,0))))</f>
        <v>-22209.844776490703</v>
      </c>
      <c r="BB65" s="286">
        <f>IF(AND(BB$4='Sponsor Pro Forma'!$M$7,'Sponsor Pro Forma'!$R9="Override"),-'Monthly Cash Flow'!BB$63*INDEX('Sponsor Pro Forma'!$S$8:$AD$9,MATCH('Monthly Cash Flow'!$B65,'Sponsor Pro Forma'!$B$8:$B$9,0),MATCH('Monthly Cash Flow'!BB$5,'Sponsor Pro Forma'!$S$7:$AD$7,0)),IF('Monthly Cash Flow'!BB$4&gt;4,-'Monthly Cash Flow'!BB$63*'Sponsor Pro Forma'!$Q9,-'Monthly Cash Flow'!BB$63*INDEX('Sponsor Pro Forma'!$M$8:$P$9,MATCH('Monthly Cash Flow'!$B65,'Sponsor Pro Forma'!$B$8:$B$9,0),MATCH('Monthly Cash Flow'!BB$4,'Sponsor Pro Forma'!$M$7:$P$7,0))))</f>
        <v>-22283.87759241234</v>
      </c>
      <c r="BC65" s="286">
        <f>IF(AND(BC$4='Sponsor Pro Forma'!$M$7,'Sponsor Pro Forma'!$R9="Override"),-'Monthly Cash Flow'!BC$63*INDEX('Sponsor Pro Forma'!$S$8:$AD$9,MATCH('Monthly Cash Flow'!$B65,'Sponsor Pro Forma'!$B$8:$B$9,0),MATCH('Monthly Cash Flow'!BC$5,'Sponsor Pro Forma'!$S$7:$AD$7,0)),IF('Monthly Cash Flow'!BC$4&gt;4,-'Monthly Cash Flow'!BC$63*'Sponsor Pro Forma'!$Q9,-'Monthly Cash Flow'!BC$63*INDEX('Sponsor Pro Forma'!$M$8:$P$9,MATCH('Monthly Cash Flow'!$B65,'Sponsor Pro Forma'!$B$8:$B$9,0),MATCH('Monthly Cash Flow'!BC$4,'Sponsor Pro Forma'!$M$7:$P$7,0))))</f>
        <v>-22358.157184387052</v>
      </c>
      <c r="BD65" s="286">
        <f>IF(AND(BD$4='Sponsor Pro Forma'!$M$7,'Sponsor Pro Forma'!$R9="Override"),-'Monthly Cash Flow'!BD$63*INDEX('Sponsor Pro Forma'!$S$8:$AD$9,MATCH('Monthly Cash Flow'!$B65,'Sponsor Pro Forma'!$B$8:$B$9,0),MATCH('Monthly Cash Flow'!BD$5,'Sponsor Pro Forma'!$S$7:$AD$7,0)),IF('Monthly Cash Flow'!BD$4&gt;4,-'Monthly Cash Flow'!BD$63*'Sponsor Pro Forma'!$Q9,-'Monthly Cash Flow'!BD$63*INDEX('Sponsor Pro Forma'!$M$8:$P$9,MATCH('Monthly Cash Flow'!$B65,'Sponsor Pro Forma'!$B$8:$B$9,0),MATCH('Monthly Cash Flow'!BD$4,'Sponsor Pro Forma'!$M$7:$P$7,0))))</f>
        <v>-22432.684375001674</v>
      </c>
      <c r="BE65" s="286">
        <f>IF(AND(BE$4='Sponsor Pro Forma'!$M$7,'Sponsor Pro Forma'!$R9="Override"),-'Monthly Cash Flow'!BE$63*INDEX('Sponsor Pro Forma'!$S$8:$AD$9,MATCH('Monthly Cash Flow'!$B65,'Sponsor Pro Forma'!$B$8:$B$9,0),MATCH('Monthly Cash Flow'!BE$5,'Sponsor Pro Forma'!$S$7:$AD$7,0)),IF('Monthly Cash Flow'!BE$4&gt;4,-'Monthly Cash Flow'!BE$63*'Sponsor Pro Forma'!$Q9,-'Monthly Cash Flow'!BE$63*INDEX('Sponsor Pro Forma'!$M$8:$P$9,MATCH('Monthly Cash Flow'!$B65,'Sponsor Pro Forma'!$B$8:$B$9,0),MATCH('Monthly Cash Flow'!BE$4,'Sponsor Pro Forma'!$M$7:$P$7,0))))</f>
        <v>-22507.459989585019</v>
      </c>
      <c r="BF65" s="286">
        <f>IF(AND(BF$4='Sponsor Pro Forma'!$M$7,'Sponsor Pro Forma'!$R9="Override"),-'Monthly Cash Flow'!BF$63*INDEX('Sponsor Pro Forma'!$S$8:$AD$9,MATCH('Monthly Cash Flow'!$B65,'Sponsor Pro Forma'!$B$8:$B$9,0),MATCH('Monthly Cash Flow'!BF$5,'Sponsor Pro Forma'!$S$7:$AD$7,0)),IF('Monthly Cash Flow'!BF$4&gt;4,-'Monthly Cash Flow'!BF$63*'Sponsor Pro Forma'!$Q9,-'Monthly Cash Flow'!BF$63*INDEX('Sponsor Pro Forma'!$M$8:$P$9,MATCH('Monthly Cash Flow'!$B65,'Sponsor Pro Forma'!$B$8:$B$9,0),MATCH('Monthly Cash Flow'!BF$4,'Sponsor Pro Forma'!$M$7:$P$7,0))))</f>
        <v>-22582.484856216965</v>
      </c>
      <c r="BG65" s="286">
        <f>IF(AND(BG$4='Sponsor Pro Forma'!$M$7,'Sponsor Pro Forma'!$R9="Override"),-'Monthly Cash Flow'!BG$63*INDEX('Sponsor Pro Forma'!$S$8:$AD$9,MATCH('Monthly Cash Flow'!$B65,'Sponsor Pro Forma'!$B$8:$B$9,0),MATCH('Monthly Cash Flow'!BG$5,'Sponsor Pro Forma'!$S$7:$AD$7,0)),IF('Monthly Cash Flow'!BG$4&gt;4,-'Monthly Cash Flow'!BG$63*'Sponsor Pro Forma'!$Q9,-'Monthly Cash Flow'!BG$63*INDEX('Sponsor Pro Forma'!$M$8:$P$9,MATCH('Monthly Cash Flow'!$B65,'Sponsor Pro Forma'!$B$8:$B$9,0),MATCH('Monthly Cash Flow'!BG$4,'Sponsor Pro Forma'!$M$7:$P$7,0))))</f>
        <v>-22657.759805737693</v>
      </c>
      <c r="BH65" s="286">
        <f>IF(AND(BH$4='Sponsor Pro Forma'!$M$7,'Sponsor Pro Forma'!$R9="Override"),-'Monthly Cash Flow'!BH$63*INDEX('Sponsor Pro Forma'!$S$8:$AD$9,MATCH('Monthly Cash Flow'!$B65,'Sponsor Pro Forma'!$B$8:$B$9,0),MATCH('Monthly Cash Flow'!BH$5,'Sponsor Pro Forma'!$S$7:$AD$7,0)),IF('Monthly Cash Flow'!BH$4&gt;4,-'Monthly Cash Flow'!BH$63*'Sponsor Pro Forma'!$Q9,-'Monthly Cash Flow'!BH$63*INDEX('Sponsor Pro Forma'!$M$8:$P$9,MATCH('Monthly Cash Flow'!$B65,'Sponsor Pro Forma'!$B$8:$B$9,0),MATCH('Monthly Cash Flow'!BH$4,'Sponsor Pro Forma'!$M$7:$P$7,0))))</f>
        <v>-22733.285671756821</v>
      </c>
      <c r="BI65" s="286">
        <f>IF(AND(BI$4='Sponsor Pro Forma'!$M$7,'Sponsor Pro Forma'!$R9="Override"),-'Monthly Cash Flow'!BI$63*INDEX('Sponsor Pro Forma'!$S$8:$AD$9,MATCH('Monthly Cash Flow'!$B65,'Sponsor Pro Forma'!$B$8:$B$9,0),MATCH('Monthly Cash Flow'!BI$5,'Sponsor Pro Forma'!$S$7:$AD$7,0)),IF('Monthly Cash Flow'!BI$4&gt;4,-'Monthly Cash Flow'!BI$63*'Sponsor Pro Forma'!$Q9,-'Monthly Cash Flow'!BI$63*INDEX('Sponsor Pro Forma'!$M$8:$P$9,MATCH('Monthly Cash Flow'!$B65,'Sponsor Pro Forma'!$B$8:$B$9,0),MATCH('Monthly Cash Flow'!BI$4,'Sponsor Pro Forma'!$M$7:$P$7,0))))</f>
        <v>-22809.063290662682</v>
      </c>
      <c r="BJ65" s="286">
        <f>IF(AND(BJ$4='Sponsor Pro Forma'!$M$7,'Sponsor Pro Forma'!$R9="Override"),-'Monthly Cash Flow'!BJ$63*INDEX('Sponsor Pro Forma'!$S$8:$AD$9,MATCH('Monthly Cash Flow'!$B65,'Sponsor Pro Forma'!$B$8:$B$9,0),MATCH('Monthly Cash Flow'!BJ$5,'Sponsor Pro Forma'!$S$7:$AD$7,0)),IF('Monthly Cash Flow'!BJ$4&gt;4,-'Monthly Cash Flow'!BJ$63*'Sponsor Pro Forma'!$Q9,-'Monthly Cash Flow'!BJ$63*INDEX('Sponsor Pro Forma'!$M$8:$P$9,MATCH('Monthly Cash Flow'!$B65,'Sponsor Pro Forma'!$B$8:$B$9,0),MATCH('Monthly Cash Flow'!BJ$4,'Sponsor Pro Forma'!$M$7:$P$7,0))))</f>
        <v>-22885.093501631552</v>
      </c>
      <c r="BK65" s="286">
        <f>IF(AND(BK$4='Sponsor Pro Forma'!$M$7,'Sponsor Pro Forma'!$R9="Override"),-'Monthly Cash Flow'!BK$63*INDEX('Sponsor Pro Forma'!$S$8:$AD$9,MATCH('Monthly Cash Flow'!$B65,'Sponsor Pro Forma'!$B$8:$B$9,0),MATCH('Monthly Cash Flow'!BK$5,'Sponsor Pro Forma'!$S$7:$AD$7,0)),IF('Monthly Cash Flow'!BK$4&gt;4,-'Monthly Cash Flow'!BK$63*'Sponsor Pro Forma'!$Q9,-'Monthly Cash Flow'!BK$63*INDEX('Sponsor Pro Forma'!$M$8:$P$9,MATCH('Monthly Cash Flow'!$B65,'Sponsor Pro Forma'!$B$8:$B$9,0),MATCH('Monthly Cash Flow'!BK$4,'Sponsor Pro Forma'!$M$7:$P$7,0))))</f>
        <v>-22961.377146636998</v>
      </c>
      <c r="BL65" s="286">
        <f>IF(AND(BL$4='Sponsor Pro Forma'!$M$7,'Sponsor Pro Forma'!$R9="Override"),-'Monthly Cash Flow'!BL$63*INDEX('Sponsor Pro Forma'!$S$8:$AD$9,MATCH('Monthly Cash Flow'!$B65,'Sponsor Pro Forma'!$B$8:$B$9,0),MATCH('Monthly Cash Flow'!BL$5,'Sponsor Pro Forma'!$S$7:$AD$7,0)),IF('Monthly Cash Flow'!BL$4&gt;4,-'Monthly Cash Flow'!BL$63*'Sponsor Pro Forma'!$Q9,-'Monthly Cash Flow'!BL$63*INDEX('Sponsor Pro Forma'!$M$8:$P$9,MATCH('Monthly Cash Flow'!$B65,'Sponsor Pro Forma'!$B$8:$B$9,0),MATCH('Monthly Cash Flow'!BL$4,'Sponsor Pro Forma'!$M$7:$P$7,0))))</f>
        <v>-23037.915070459119</v>
      </c>
      <c r="BM65" s="286">
        <f>IF(AND(BM$4='Sponsor Pro Forma'!$M$7,'Sponsor Pro Forma'!$R9="Override"),-'Monthly Cash Flow'!BM$63*INDEX('Sponsor Pro Forma'!$S$8:$AD$9,MATCH('Monthly Cash Flow'!$B65,'Sponsor Pro Forma'!$B$8:$B$9,0),MATCH('Monthly Cash Flow'!BM$5,'Sponsor Pro Forma'!$S$7:$AD$7,0)),IF('Monthly Cash Flow'!BM$4&gt;4,-'Monthly Cash Flow'!BM$63*'Sponsor Pro Forma'!$Q9,-'Monthly Cash Flow'!BM$63*INDEX('Sponsor Pro Forma'!$M$8:$P$9,MATCH('Monthly Cash Flow'!$B65,'Sponsor Pro Forma'!$B$8:$B$9,0),MATCH('Monthly Cash Flow'!BM$4,'Sponsor Pro Forma'!$M$7:$P$7,0))))</f>
        <v>-23114.708120693987</v>
      </c>
      <c r="BN65" s="286">
        <f>IF(AND(BN$4='Sponsor Pro Forma'!$M$7,'Sponsor Pro Forma'!$R9="Override"),-'Monthly Cash Flow'!BN$63*INDEX('Sponsor Pro Forma'!$S$8:$AD$9,MATCH('Monthly Cash Flow'!$B65,'Sponsor Pro Forma'!$B$8:$B$9,0),MATCH('Monthly Cash Flow'!BN$5,'Sponsor Pro Forma'!$S$7:$AD$7,0)),IF('Monthly Cash Flow'!BN$4&gt;4,-'Monthly Cash Flow'!BN$63*'Sponsor Pro Forma'!$Q9,-'Monthly Cash Flow'!BN$63*INDEX('Sponsor Pro Forma'!$M$8:$P$9,MATCH('Monthly Cash Flow'!$B65,'Sponsor Pro Forma'!$B$8:$B$9,0),MATCH('Monthly Cash Flow'!BN$4,'Sponsor Pro Forma'!$M$7:$P$7,0))))</f>
        <v>-23191.757147762968</v>
      </c>
      <c r="BO65" s="286">
        <f>IF(AND(BO$4='Sponsor Pro Forma'!$M$7,'Sponsor Pro Forma'!$R9="Override"),-'Monthly Cash Flow'!BO$63*INDEX('Sponsor Pro Forma'!$S$8:$AD$9,MATCH('Monthly Cash Flow'!$B65,'Sponsor Pro Forma'!$B$8:$B$9,0),MATCH('Monthly Cash Flow'!BO$5,'Sponsor Pro Forma'!$S$7:$AD$7,0)),IF('Monthly Cash Flow'!BO$4&gt;4,-'Monthly Cash Flow'!BO$63*'Sponsor Pro Forma'!$Q9,-'Monthly Cash Flow'!BO$63*INDEX('Sponsor Pro Forma'!$M$8:$P$9,MATCH('Monthly Cash Flow'!$B65,'Sponsor Pro Forma'!$B$8:$B$9,0),MATCH('Monthly Cash Flow'!BO$4,'Sponsor Pro Forma'!$M$7:$P$7,0))))</f>
        <v>-23269.063004922176</v>
      </c>
      <c r="BP65" s="286">
        <f>IF(AND(BP$4='Sponsor Pro Forma'!$M$7,'Sponsor Pro Forma'!$R9="Override"),-'Monthly Cash Flow'!BP$63*INDEX('Sponsor Pro Forma'!$S$8:$AD$9,MATCH('Monthly Cash Flow'!$B65,'Sponsor Pro Forma'!$B$8:$B$9,0),MATCH('Monthly Cash Flow'!BP$5,'Sponsor Pro Forma'!$S$7:$AD$7,0)),IF('Monthly Cash Flow'!BP$4&gt;4,-'Monthly Cash Flow'!BP$63*'Sponsor Pro Forma'!$Q9,-'Monthly Cash Flow'!BP$63*INDEX('Sponsor Pro Forma'!$M$8:$P$9,MATCH('Monthly Cash Flow'!$B65,'Sponsor Pro Forma'!$B$8:$B$9,0),MATCH('Monthly Cash Flow'!BP$4,'Sponsor Pro Forma'!$M$7:$P$7,0))))</f>
        <v>-23346.626548271925</v>
      </c>
      <c r="BQ65" s="286">
        <f>IF(AND(BQ$4='Sponsor Pro Forma'!$M$7,'Sponsor Pro Forma'!$R9="Override"),-'Monthly Cash Flow'!BQ$63*INDEX('Sponsor Pro Forma'!$S$8:$AD$9,MATCH('Monthly Cash Flow'!$B65,'Sponsor Pro Forma'!$B$8:$B$9,0),MATCH('Monthly Cash Flow'!BQ$5,'Sponsor Pro Forma'!$S$7:$AD$7,0)),IF('Monthly Cash Flow'!BQ$4&gt;4,-'Monthly Cash Flow'!BQ$63*'Sponsor Pro Forma'!$Q9,-'Monthly Cash Flow'!BQ$63*INDEX('Sponsor Pro Forma'!$M$8:$P$9,MATCH('Monthly Cash Flow'!$B65,'Sponsor Pro Forma'!$B$8:$B$9,0),MATCH('Monthly Cash Flow'!BQ$4,'Sponsor Pro Forma'!$M$7:$P$7,0))))</f>
        <v>-23424.448636766163</v>
      </c>
      <c r="BR65" s="286">
        <f>IF(AND(BR$4='Sponsor Pro Forma'!$M$7,'Sponsor Pro Forma'!$R9="Override"),-'Monthly Cash Flow'!BR$63*INDEX('Sponsor Pro Forma'!$S$8:$AD$9,MATCH('Monthly Cash Flow'!$B65,'Sponsor Pro Forma'!$B$8:$B$9,0),MATCH('Monthly Cash Flow'!BR$5,'Sponsor Pro Forma'!$S$7:$AD$7,0)),IF('Monthly Cash Flow'!BR$4&gt;4,-'Monthly Cash Flow'!BR$63*'Sponsor Pro Forma'!$Q9,-'Monthly Cash Flow'!BR$63*INDEX('Sponsor Pro Forma'!$M$8:$P$9,MATCH('Monthly Cash Flow'!$B65,'Sponsor Pro Forma'!$B$8:$B$9,0),MATCH('Monthly Cash Flow'!BR$4,'Sponsor Pro Forma'!$M$7:$P$7,0))))</f>
        <v>-23502.530132222055</v>
      </c>
      <c r="BS65" s="286">
        <f>IF(AND(BS$4='Sponsor Pro Forma'!$M$7,'Sponsor Pro Forma'!$R9="Override"),-'Monthly Cash Flow'!BS$63*INDEX('Sponsor Pro Forma'!$S$8:$AD$9,MATCH('Monthly Cash Flow'!$B65,'Sponsor Pro Forma'!$B$8:$B$9,0),MATCH('Monthly Cash Flow'!BS$5,'Sponsor Pro Forma'!$S$7:$AD$7,0)),IF('Monthly Cash Flow'!BS$4&gt;4,-'Monthly Cash Flow'!BS$63*'Sponsor Pro Forma'!$Q9,-'Monthly Cash Flow'!BS$63*INDEX('Sponsor Pro Forma'!$M$8:$P$9,MATCH('Monthly Cash Flow'!$B65,'Sponsor Pro Forma'!$B$8:$B$9,0),MATCH('Monthly Cash Flow'!BS$4,'Sponsor Pro Forma'!$M$7:$P$7,0))))</f>
        <v>-23580.871899329461</v>
      </c>
      <c r="BT65" s="286">
        <f>IF(AND(BT$4='Sponsor Pro Forma'!$M$7,'Sponsor Pro Forma'!$R9="Override"),-'Monthly Cash Flow'!BT$63*INDEX('Sponsor Pro Forma'!$S$8:$AD$9,MATCH('Monthly Cash Flow'!$B65,'Sponsor Pro Forma'!$B$8:$B$9,0),MATCH('Monthly Cash Flow'!BT$5,'Sponsor Pro Forma'!$S$7:$AD$7,0)),IF('Monthly Cash Flow'!BT$4&gt;4,-'Monthly Cash Flow'!BT$63*'Sponsor Pro Forma'!$Q9,-'Monthly Cash Flow'!BT$63*INDEX('Sponsor Pro Forma'!$M$8:$P$9,MATCH('Monthly Cash Flow'!$B65,'Sponsor Pro Forma'!$B$8:$B$9,0),MATCH('Monthly Cash Flow'!BT$4,'Sponsor Pro Forma'!$M$7:$P$7,0))))</f>
        <v>-23659.474805660564</v>
      </c>
      <c r="BU65" s="286">
        <f>IF(AND(BU$4='Sponsor Pro Forma'!$M$7,'Sponsor Pro Forma'!$R9="Override"),-'Monthly Cash Flow'!BU$63*INDEX('Sponsor Pro Forma'!$S$8:$AD$9,MATCH('Monthly Cash Flow'!$B65,'Sponsor Pro Forma'!$B$8:$B$9,0),MATCH('Monthly Cash Flow'!BU$5,'Sponsor Pro Forma'!$S$7:$AD$7,0)),IF('Monthly Cash Flow'!BU$4&gt;4,-'Monthly Cash Flow'!BU$63*'Sponsor Pro Forma'!$Q9,-'Monthly Cash Flow'!BU$63*INDEX('Sponsor Pro Forma'!$M$8:$P$9,MATCH('Monthly Cash Flow'!$B65,'Sponsor Pro Forma'!$B$8:$B$9,0),MATCH('Monthly Cash Flow'!BU$4,'Sponsor Pro Forma'!$M$7:$P$7,0))))</f>
        <v>-23738.339721679433</v>
      </c>
      <c r="BV65" s="286">
        <f>IF(AND(BV$4='Sponsor Pro Forma'!$M$7,'Sponsor Pro Forma'!$R9="Override"),-'Monthly Cash Flow'!BV$63*INDEX('Sponsor Pro Forma'!$S$8:$AD$9,MATCH('Monthly Cash Flow'!$B65,'Sponsor Pro Forma'!$B$8:$B$9,0),MATCH('Monthly Cash Flow'!BV$5,'Sponsor Pro Forma'!$S$7:$AD$7,0)),IF('Monthly Cash Flow'!BV$4&gt;4,-'Monthly Cash Flow'!BV$63*'Sponsor Pro Forma'!$Q9,-'Monthly Cash Flow'!BV$63*INDEX('Sponsor Pro Forma'!$M$8:$P$9,MATCH('Monthly Cash Flow'!$B65,'Sponsor Pro Forma'!$B$8:$B$9,0),MATCH('Monthly Cash Flow'!BV$4,'Sponsor Pro Forma'!$M$7:$P$7,0))))</f>
        <v>-23817.467520751699</v>
      </c>
      <c r="BW65" s="286">
        <f>IF(AND(BW$4='Sponsor Pro Forma'!$M$7,'Sponsor Pro Forma'!$R9="Override"),-'Monthly Cash Flow'!BW$63*INDEX('Sponsor Pro Forma'!$S$8:$AD$9,MATCH('Monthly Cash Flow'!$B65,'Sponsor Pro Forma'!$B$8:$B$9,0),MATCH('Monthly Cash Flow'!BW$5,'Sponsor Pro Forma'!$S$7:$AD$7,0)),IF('Monthly Cash Flow'!BW$4&gt;4,-'Monthly Cash Flow'!BW$63*'Sponsor Pro Forma'!$Q9,-'Monthly Cash Flow'!BW$63*INDEX('Sponsor Pro Forma'!$M$8:$P$9,MATCH('Monthly Cash Flow'!$B65,'Sponsor Pro Forma'!$B$8:$B$9,0),MATCH('Monthly Cash Flow'!BW$4,'Sponsor Pro Forma'!$M$7:$P$7,0))))</f>
        <v>-23896.859079154208</v>
      </c>
      <c r="BX65" s="286">
        <f>IF(AND(BX$4='Sponsor Pro Forma'!$M$7,'Sponsor Pro Forma'!$R9="Override"),-'Monthly Cash Flow'!BX$63*INDEX('Sponsor Pro Forma'!$S$8:$AD$9,MATCH('Monthly Cash Flow'!$B65,'Sponsor Pro Forma'!$B$8:$B$9,0),MATCH('Monthly Cash Flow'!BX$5,'Sponsor Pro Forma'!$S$7:$AD$7,0)),IF('Monthly Cash Flow'!BX$4&gt;4,-'Monthly Cash Flow'!BX$63*'Sponsor Pro Forma'!$Q9,-'Monthly Cash Flow'!BX$63*INDEX('Sponsor Pro Forma'!$M$8:$P$9,MATCH('Monthly Cash Flow'!$B65,'Sponsor Pro Forma'!$B$8:$B$9,0),MATCH('Monthly Cash Flow'!BX$4,'Sponsor Pro Forma'!$M$7:$P$7,0))))</f>
        <v>-23976.515276084723</v>
      </c>
      <c r="BY65" s="286">
        <f>IF(AND(BY$4='Sponsor Pro Forma'!$M$7,'Sponsor Pro Forma'!$R9="Override"),-'Monthly Cash Flow'!BY$63*INDEX('Sponsor Pro Forma'!$S$8:$AD$9,MATCH('Monthly Cash Flow'!$B65,'Sponsor Pro Forma'!$B$8:$B$9,0),MATCH('Monthly Cash Flow'!BY$5,'Sponsor Pro Forma'!$S$7:$AD$7,0)),IF('Monthly Cash Flow'!BY$4&gt;4,-'Monthly Cash Flow'!BY$63*'Sponsor Pro Forma'!$Q9,-'Monthly Cash Flow'!BY$63*INDEX('Sponsor Pro Forma'!$M$8:$P$9,MATCH('Monthly Cash Flow'!$B65,'Sponsor Pro Forma'!$B$8:$B$9,0),MATCH('Monthly Cash Flow'!BY$4,'Sponsor Pro Forma'!$M$7:$P$7,0))))</f>
        <v>-24056.436993671672</v>
      </c>
      <c r="BZ65" s="286">
        <f>IF(AND(BZ$4='Sponsor Pro Forma'!$M$7,'Sponsor Pro Forma'!$R9="Override"),-'Monthly Cash Flow'!BZ$63*INDEX('Sponsor Pro Forma'!$S$8:$AD$9,MATCH('Monthly Cash Flow'!$B65,'Sponsor Pro Forma'!$B$8:$B$9,0),MATCH('Monthly Cash Flow'!BZ$5,'Sponsor Pro Forma'!$S$7:$AD$7,0)),IF('Monthly Cash Flow'!BZ$4&gt;4,-'Monthly Cash Flow'!BZ$63*'Sponsor Pro Forma'!$Q9,-'Monthly Cash Flow'!BZ$63*INDEX('Sponsor Pro Forma'!$M$8:$P$9,MATCH('Monthly Cash Flow'!$B65,'Sponsor Pro Forma'!$B$8:$B$9,0),MATCH('Monthly Cash Flow'!BZ$4,'Sponsor Pro Forma'!$M$7:$P$7,0))))</f>
        <v>-24136.625116983912</v>
      </c>
      <c r="CA65" s="286">
        <f>IF(AND(CA$4='Sponsor Pro Forma'!$M$7,'Sponsor Pro Forma'!$R9="Override"),-'Monthly Cash Flow'!CA$63*INDEX('Sponsor Pro Forma'!$S$8:$AD$9,MATCH('Monthly Cash Flow'!$B65,'Sponsor Pro Forma'!$B$8:$B$9,0),MATCH('Monthly Cash Flow'!CA$5,'Sponsor Pro Forma'!$S$7:$AD$7,0)),IF('Monthly Cash Flow'!CA$4&gt;4,-'Monthly Cash Flow'!CA$63*'Sponsor Pro Forma'!$Q9,-'Monthly Cash Flow'!CA$63*INDEX('Sponsor Pro Forma'!$M$8:$P$9,MATCH('Monthly Cash Flow'!$B65,'Sponsor Pro Forma'!$B$8:$B$9,0),MATCH('Monthly Cash Flow'!CA$4,'Sponsor Pro Forma'!$M$7:$P$7,0))))</f>
        <v>-24217.080534040531</v>
      </c>
      <c r="CB65" s="286">
        <f>IF(AND(CB$4='Sponsor Pro Forma'!$M$7,'Sponsor Pro Forma'!$R9="Override"),-'Monthly Cash Flow'!CB$63*INDEX('Sponsor Pro Forma'!$S$8:$AD$9,MATCH('Monthly Cash Flow'!$B65,'Sponsor Pro Forma'!$B$8:$B$9,0),MATCH('Monthly Cash Flow'!CB$5,'Sponsor Pro Forma'!$S$7:$AD$7,0)),IF('Monthly Cash Flow'!CB$4&gt;4,-'Monthly Cash Flow'!CB$63*'Sponsor Pro Forma'!$Q9,-'Monthly Cash Flow'!CB$63*INDEX('Sponsor Pro Forma'!$M$8:$P$9,MATCH('Monthly Cash Flow'!$B65,'Sponsor Pro Forma'!$B$8:$B$9,0),MATCH('Monthly Cash Flow'!CB$4,'Sponsor Pro Forma'!$M$7:$P$7,0))))</f>
        <v>-24297.804135820668</v>
      </c>
      <c r="CC65" s="286">
        <f>IF(AND(CC$4='Sponsor Pro Forma'!$M$7,'Sponsor Pro Forma'!$R9="Override"),-'Monthly Cash Flow'!CC$63*INDEX('Sponsor Pro Forma'!$S$8:$AD$9,MATCH('Monthly Cash Flow'!$B65,'Sponsor Pro Forma'!$B$8:$B$9,0),MATCH('Monthly Cash Flow'!CC$5,'Sponsor Pro Forma'!$S$7:$AD$7,0)),IF('Monthly Cash Flow'!CC$4&gt;4,-'Monthly Cash Flow'!CC$63*'Sponsor Pro Forma'!$Q9,-'Monthly Cash Flow'!CC$63*INDEX('Sponsor Pro Forma'!$M$8:$P$9,MATCH('Monthly Cash Flow'!$B65,'Sponsor Pro Forma'!$B$8:$B$9,0),MATCH('Monthly Cash Flow'!CC$4,'Sponsor Pro Forma'!$M$7:$P$7,0))))</f>
        <v>-24378.796816273403</v>
      </c>
      <c r="CD65" s="286">
        <f>IF(AND(CD$4='Sponsor Pro Forma'!$M$7,'Sponsor Pro Forma'!$R9="Override"),-'Monthly Cash Flow'!CD$63*INDEX('Sponsor Pro Forma'!$S$8:$AD$9,MATCH('Monthly Cash Flow'!$B65,'Sponsor Pro Forma'!$B$8:$B$9,0),MATCH('Monthly Cash Flow'!CD$5,'Sponsor Pro Forma'!$S$7:$AD$7,0)),IF('Monthly Cash Flow'!CD$4&gt;4,-'Monthly Cash Flow'!CD$63*'Sponsor Pro Forma'!$Q9,-'Monthly Cash Flow'!CD$63*INDEX('Sponsor Pro Forma'!$M$8:$P$9,MATCH('Monthly Cash Flow'!$B65,'Sponsor Pro Forma'!$B$8:$B$9,0),MATCH('Monthly Cash Flow'!CD$4,'Sponsor Pro Forma'!$M$7:$P$7,0))))</f>
        <v>-24460.059472327648</v>
      </c>
      <c r="CE65" s="286">
        <f>IF(AND(CE$4='Sponsor Pro Forma'!$M$7,'Sponsor Pro Forma'!$R9="Override"),-'Monthly Cash Flow'!CE$63*INDEX('Sponsor Pro Forma'!$S$8:$AD$9,MATCH('Monthly Cash Flow'!$B65,'Sponsor Pro Forma'!$B$8:$B$9,0),MATCH('Monthly Cash Flow'!CE$5,'Sponsor Pro Forma'!$S$7:$AD$7,0)),IF('Monthly Cash Flow'!CE$4&gt;4,-'Monthly Cash Flow'!CE$63*'Sponsor Pro Forma'!$Q9,-'Monthly Cash Flow'!CE$63*INDEX('Sponsor Pro Forma'!$M$8:$P$9,MATCH('Monthly Cash Flow'!$B65,'Sponsor Pro Forma'!$B$8:$B$9,0),MATCH('Monthly Cash Flow'!CE$4,'Sponsor Pro Forma'!$M$7:$P$7,0))))</f>
        <v>-24541.593003902075</v>
      </c>
      <c r="CF65" s="286">
        <f>IF(AND(CF$4='Sponsor Pro Forma'!$M$7,'Sponsor Pro Forma'!$R9="Override"),-'Monthly Cash Flow'!CF$63*INDEX('Sponsor Pro Forma'!$S$8:$AD$9,MATCH('Monthly Cash Flow'!$B65,'Sponsor Pro Forma'!$B$8:$B$9,0),MATCH('Monthly Cash Flow'!CF$5,'Sponsor Pro Forma'!$S$7:$AD$7,0)),IF('Monthly Cash Flow'!CF$4&gt;4,-'Monthly Cash Flow'!CF$63*'Sponsor Pro Forma'!$Q9,-'Monthly Cash Flow'!CF$63*INDEX('Sponsor Pro Forma'!$M$8:$P$9,MATCH('Monthly Cash Flow'!$B65,'Sponsor Pro Forma'!$B$8:$B$9,0),MATCH('Monthly Cash Flow'!CF$4,'Sponsor Pro Forma'!$M$7:$P$7,0))))</f>
        <v>-24623.398313915084</v>
      </c>
      <c r="CG65" s="286">
        <f>IF(AND(CG$4='Sponsor Pro Forma'!$M$7,'Sponsor Pro Forma'!$R9="Override"),-'Monthly Cash Flow'!CG$63*INDEX('Sponsor Pro Forma'!$S$8:$AD$9,MATCH('Monthly Cash Flow'!$B65,'Sponsor Pro Forma'!$B$8:$B$9,0),MATCH('Monthly Cash Flow'!CG$5,'Sponsor Pro Forma'!$S$7:$AD$7,0)),IF('Monthly Cash Flow'!CG$4&gt;4,-'Monthly Cash Flow'!CG$63*'Sponsor Pro Forma'!$Q9,-'Monthly Cash Flow'!CG$63*INDEX('Sponsor Pro Forma'!$M$8:$P$9,MATCH('Monthly Cash Flow'!$B65,'Sponsor Pro Forma'!$B$8:$B$9,0),MATCH('Monthly Cash Flow'!CG$4,'Sponsor Pro Forma'!$M$7:$P$7,0))))</f>
        <v>-24705.476308294805</v>
      </c>
      <c r="CH65" s="286">
        <f>IF(AND(CH$4='Sponsor Pro Forma'!$M$7,'Sponsor Pro Forma'!$R9="Override"),-'Monthly Cash Flow'!CH$63*INDEX('Sponsor Pro Forma'!$S$8:$AD$9,MATCH('Monthly Cash Flow'!$B65,'Sponsor Pro Forma'!$B$8:$B$9,0),MATCH('Monthly Cash Flow'!CH$5,'Sponsor Pro Forma'!$S$7:$AD$7,0)),IF('Monthly Cash Flow'!CH$4&gt;4,-'Monthly Cash Flow'!CH$63*'Sponsor Pro Forma'!$Q9,-'Monthly Cash Flow'!CH$63*INDEX('Sponsor Pro Forma'!$M$8:$P$9,MATCH('Monthly Cash Flow'!$B65,'Sponsor Pro Forma'!$B$8:$B$9,0),MATCH('Monthly Cash Flow'!CH$4,'Sponsor Pro Forma'!$M$7:$P$7,0))))</f>
        <v>-24787.827895989121</v>
      </c>
      <c r="CI65" s="286">
        <f>IF(AND(CI$4='Sponsor Pro Forma'!$M$7,'Sponsor Pro Forma'!$R9="Override"),-'Monthly Cash Flow'!CI$63*INDEX('Sponsor Pro Forma'!$S$8:$AD$9,MATCH('Monthly Cash Flow'!$B65,'Sponsor Pro Forma'!$B$8:$B$9,0),MATCH('Monthly Cash Flow'!CI$5,'Sponsor Pro Forma'!$S$7:$AD$7,0)),IF('Monthly Cash Flow'!CI$4&gt;4,-'Monthly Cash Flow'!CI$63*'Sponsor Pro Forma'!$Q9,-'Monthly Cash Flow'!CI$63*INDEX('Sponsor Pro Forma'!$M$8:$P$9,MATCH('Monthly Cash Flow'!$B65,'Sponsor Pro Forma'!$B$8:$B$9,0),MATCH('Monthly Cash Flow'!CI$4,'Sponsor Pro Forma'!$M$7:$P$7,0))))</f>
        <v>-24870.453988975754</v>
      </c>
      <c r="CJ65" s="286">
        <f>IF(AND(CJ$4='Sponsor Pro Forma'!$M$7,'Sponsor Pro Forma'!$R9="Override"),-'Monthly Cash Flow'!CJ$63*INDEX('Sponsor Pro Forma'!$S$8:$AD$9,MATCH('Monthly Cash Flow'!$B65,'Sponsor Pro Forma'!$B$8:$B$9,0),MATCH('Monthly Cash Flow'!CJ$5,'Sponsor Pro Forma'!$S$7:$AD$7,0)),IF('Monthly Cash Flow'!CJ$4&gt;4,-'Monthly Cash Flow'!CJ$63*'Sponsor Pro Forma'!$Q9,-'Monthly Cash Flow'!CJ$63*INDEX('Sponsor Pro Forma'!$M$8:$P$9,MATCH('Monthly Cash Flow'!$B65,'Sponsor Pro Forma'!$B$8:$B$9,0),MATCH('Monthly Cash Flow'!CJ$4,'Sponsor Pro Forma'!$M$7:$P$7,0))))</f>
        <v>-24953.355502272345</v>
      </c>
      <c r="CK65" s="286">
        <f>IF(AND(CK$4='Sponsor Pro Forma'!$M$7,'Sponsor Pro Forma'!$R9="Override"),-'Monthly Cash Flow'!CK$63*INDEX('Sponsor Pro Forma'!$S$8:$AD$9,MATCH('Monthly Cash Flow'!$B65,'Sponsor Pro Forma'!$B$8:$B$9,0),MATCH('Monthly Cash Flow'!CK$5,'Sponsor Pro Forma'!$S$7:$AD$7,0)),IF('Monthly Cash Flow'!CK$4&gt;4,-'Monthly Cash Flow'!CK$63*'Sponsor Pro Forma'!$Q9,-'Monthly Cash Flow'!CK$63*INDEX('Sponsor Pro Forma'!$M$8:$P$9,MATCH('Monthly Cash Flow'!$B65,'Sponsor Pro Forma'!$B$8:$B$9,0),MATCH('Monthly Cash Flow'!CK$4,'Sponsor Pro Forma'!$M$7:$P$7,0))))</f>
        <v>-25036.533353946586</v>
      </c>
      <c r="CL65" s="286">
        <f>IF(AND(CL$4='Sponsor Pro Forma'!$M$7,'Sponsor Pro Forma'!$R9="Override"),-'Monthly Cash Flow'!CL$63*INDEX('Sponsor Pro Forma'!$S$8:$AD$9,MATCH('Monthly Cash Flow'!$B65,'Sponsor Pro Forma'!$B$8:$B$9,0),MATCH('Monthly Cash Flow'!CL$5,'Sponsor Pro Forma'!$S$7:$AD$7,0)),IF('Monthly Cash Flow'!CL$4&gt;4,-'Monthly Cash Flow'!CL$63*'Sponsor Pro Forma'!$Q9,-'Monthly Cash Flow'!CL$63*INDEX('Sponsor Pro Forma'!$M$8:$P$9,MATCH('Monthly Cash Flow'!$B65,'Sponsor Pro Forma'!$B$8:$B$9,0),MATCH('Monthly Cash Flow'!CL$4,'Sponsor Pro Forma'!$M$7:$P$7,0))))</f>
        <v>-25119.988465126411</v>
      </c>
      <c r="CM65" s="286">
        <f>IF(AND(CM$4='Sponsor Pro Forma'!$M$7,'Sponsor Pro Forma'!$R9="Override"),-'Monthly Cash Flow'!CM$63*INDEX('Sponsor Pro Forma'!$S$8:$AD$9,MATCH('Monthly Cash Flow'!$B65,'Sponsor Pro Forma'!$B$8:$B$9,0),MATCH('Monthly Cash Flow'!CM$5,'Sponsor Pro Forma'!$S$7:$AD$7,0)),IF('Monthly Cash Flow'!CM$4&gt;4,-'Monthly Cash Flow'!CM$63*'Sponsor Pro Forma'!$Q9,-'Monthly Cash Flow'!CM$63*INDEX('Sponsor Pro Forma'!$M$8:$P$9,MATCH('Monthly Cash Flow'!$B65,'Sponsor Pro Forma'!$B$8:$B$9,0),MATCH('Monthly Cash Flow'!CM$4,'Sponsor Pro Forma'!$M$7:$P$7,0))))</f>
        <v>-25203.721760010165</v>
      </c>
      <c r="CN65" s="286">
        <f>IF(AND(CN$4='Sponsor Pro Forma'!$M$7,'Sponsor Pro Forma'!$R9="Override"),-'Monthly Cash Flow'!CN$63*INDEX('Sponsor Pro Forma'!$S$8:$AD$9,MATCH('Monthly Cash Flow'!$B65,'Sponsor Pro Forma'!$B$8:$B$9,0),MATCH('Monthly Cash Flow'!CN$5,'Sponsor Pro Forma'!$S$7:$AD$7,0)),IF('Monthly Cash Flow'!CN$4&gt;4,-'Monthly Cash Flow'!CN$63*'Sponsor Pro Forma'!$Q9,-'Monthly Cash Flow'!CN$63*INDEX('Sponsor Pro Forma'!$M$8:$P$9,MATCH('Monthly Cash Flow'!$B65,'Sponsor Pro Forma'!$B$8:$B$9,0),MATCH('Monthly Cash Flow'!CN$4,'Sponsor Pro Forma'!$M$7:$P$7,0))))</f>
        <v>-25287.734165876867</v>
      </c>
      <c r="CO65" s="286">
        <f>IF(AND(CO$4='Sponsor Pro Forma'!$M$7,'Sponsor Pro Forma'!$R9="Override"),-'Monthly Cash Flow'!CO$63*INDEX('Sponsor Pro Forma'!$S$8:$AD$9,MATCH('Monthly Cash Flow'!$B65,'Sponsor Pro Forma'!$B$8:$B$9,0),MATCH('Monthly Cash Flow'!CO$5,'Sponsor Pro Forma'!$S$7:$AD$7,0)),IF('Monthly Cash Flow'!CO$4&gt;4,-'Monthly Cash Flow'!CO$63*'Sponsor Pro Forma'!$Q9,-'Monthly Cash Flow'!CO$63*INDEX('Sponsor Pro Forma'!$M$8:$P$9,MATCH('Monthly Cash Flow'!$B65,'Sponsor Pro Forma'!$B$8:$B$9,0),MATCH('Monthly Cash Flow'!CO$4,'Sponsor Pro Forma'!$M$7:$P$7,0))))</f>
        <v>-25372.026613096459</v>
      </c>
      <c r="CP65" s="286">
        <f>IF(AND(CP$4='Sponsor Pro Forma'!$M$7,'Sponsor Pro Forma'!$R9="Override"),-'Monthly Cash Flow'!CP$63*INDEX('Sponsor Pro Forma'!$S$8:$AD$9,MATCH('Monthly Cash Flow'!$B65,'Sponsor Pro Forma'!$B$8:$B$9,0),MATCH('Monthly Cash Flow'!CP$5,'Sponsor Pro Forma'!$S$7:$AD$7,0)),IF('Monthly Cash Flow'!CP$4&gt;4,-'Monthly Cash Flow'!CP$63*'Sponsor Pro Forma'!$Q9,-'Monthly Cash Flow'!CP$63*INDEX('Sponsor Pro Forma'!$M$8:$P$9,MATCH('Monthly Cash Flow'!$B65,'Sponsor Pro Forma'!$B$8:$B$9,0),MATCH('Monthly Cash Flow'!CP$4,'Sponsor Pro Forma'!$M$7:$P$7,0))))</f>
        <v>-25456.600035140116</v>
      </c>
      <c r="CQ65" s="286">
        <f>IF(AND(CQ$4='Sponsor Pro Forma'!$M$7,'Sponsor Pro Forma'!$R9="Override"),-'Monthly Cash Flow'!CQ$63*INDEX('Sponsor Pro Forma'!$S$8:$AD$9,MATCH('Monthly Cash Flow'!$B65,'Sponsor Pro Forma'!$B$8:$B$9,0),MATCH('Monthly Cash Flow'!CQ$5,'Sponsor Pro Forma'!$S$7:$AD$7,0)),IF('Monthly Cash Flow'!CQ$4&gt;4,-'Monthly Cash Flow'!CQ$63*'Sponsor Pro Forma'!$Q9,-'Monthly Cash Flow'!CQ$63*INDEX('Sponsor Pro Forma'!$M$8:$P$9,MATCH('Monthly Cash Flow'!$B65,'Sponsor Pro Forma'!$B$8:$B$9,0),MATCH('Monthly Cash Flow'!CQ$4,'Sponsor Pro Forma'!$M$7:$P$7,0))))</f>
        <v>-25541.455368590588</v>
      </c>
      <c r="CR65" s="286">
        <f>IF(AND(CR$4='Sponsor Pro Forma'!$M$7,'Sponsor Pro Forma'!$R9="Override"),-'Monthly Cash Flow'!CR$63*INDEX('Sponsor Pro Forma'!$S$8:$AD$9,MATCH('Monthly Cash Flow'!$B65,'Sponsor Pro Forma'!$B$8:$B$9,0),MATCH('Monthly Cash Flow'!CR$5,'Sponsor Pro Forma'!$S$7:$AD$7,0)),IF('Monthly Cash Flow'!CR$4&gt;4,-'Monthly Cash Flow'!CR$63*'Sponsor Pro Forma'!$Q9,-'Monthly Cash Flow'!CR$63*INDEX('Sponsor Pro Forma'!$M$8:$P$9,MATCH('Monthly Cash Flow'!$B65,'Sponsor Pro Forma'!$B$8:$B$9,0),MATCH('Monthly Cash Flow'!CR$4,'Sponsor Pro Forma'!$M$7:$P$7,0))))</f>
        <v>-25626.593553152557</v>
      </c>
      <c r="CS65" s="286">
        <f>IF(AND(CS$4='Sponsor Pro Forma'!$M$7,'Sponsor Pro Forma'!$R9="Override"),-'Monthly Cash Flow'!CS$63*INDEX('Sponsor Pro Forma'!$S$8:$AD$9,MATCH('Monthly Cash Flow'!$B65,'Sponsor Pro Forma'!$B$8:$B$9,0),MATCH('Monthly Cash Flow'!CS$5,'Sponsor Pro Forma'!$S$7:$AD$7,0)),IF('Monthly Cash Flow'!CS$4&gt;4,-'Monthly Cash Flow'!CS$63*'Sponsor Pro Forma'!$Q9,-'Monthly Cash Flow'!CS$63*INDEX('Sponsor Pro Forma'!$M$8:$P$9,MATCH('Monthly Cash Flow'!$B65,'Sponsor Pro Forma'!$B$8:$B$9,0),MATCH('Monthly Cash Flow'!CS$4,'Sponsor Pro Forma'!$M$7:$P$7,0))))</f>
        <v>-25712.015531663066</v>
      </c>
      <c r="CT65" s="286">
        <f>IF(AND(CT$4='Sponsor Pro Forma'!$M$7,'Sponsor Pro Forma'!$R9="Override"),-'Monthly Cash Flow'!CT$63*INDEX('Sponsor Pro Forma'!$S$8:$AD$9,MATCH('Monthly Cash Flow'!$B65,'Sponsor Pro Forma'!$B$8:$B$9,0),MATCH('Monthly Cash Flow'!CT$5,'Sponsor Pro Forma'!$S$7:$AD$7,0)),IF('Monthly Cash Flow'!CT$4&gt;4,-'Monthly Cash Flow'!CT$63*'Sponsor Pro Forma'!$Q9,-'Monthly Cash Flow'!CT$63*INDEX('Sponsor Pro Forma'!$M$8:$P$9,MATCH('Monthly Cash Flow'!$B65,'Sponsor Pro Forma'!$B$8:$B$9,0),MATCH('Monthly Cash Flow'!CT$4,'Sponsor Pro Forma'!$M$7:$P$7,0))))</f>
        <v>-25797.722250101942</v>
      </c>
      <c r="CU65" s="286">
        <f>IF(AND(CU$4='Sponsor Pro Forma'!$M$7,'Sponsor Pro Forma'!$R9="Override"),-'Monthly Cash Flow'!CU$63*INDEX('Sponsor Pro Forma'!$S$8:$AD$9,MATCH('Monthly Cash Flow'!$B65,'Sponsor Pro Forma'!$B$8:$B$9,0),MATCH('Monthly Cash Flow'!CU$5,'Sponsor Pro Forma'!$S$7:$AD$7,0)),IF('Monthly Cash Flow'!CU$4&gt;4,-'Monthly Cash Flow'!CU$63*'Sponsor Pro Forma'!$Q9,-'Monthly Cash Flow'!CU$63*INDEX('Sponsor Pro Forma'!$M$8:$P$9,MATCH('Monthly Cash Flow'!$B65,'Sponsor Pro Forma'!$B$8:$B$9,0),MATCH('Monthly Cash Flow'!CU$4,'Sponsor Pro Forma'!$M$7:$P$7,0))))</f>
        <v>-25883.714657602286</v>
      </c>
      <c r="CV65" s="286">
        <f>IF(AND(CV$4='Sponsor Pro Forma'!$M$7,'Sponsor Pro Forma'!$R9="Override"),-'Monthly Cash Flow'!CV$63*INDEX('Sponsor Pro Forma'!$S$8:$AD$9,MATCH('Monthly Cash Flow'!$B65,'Sponsor Pro Forma'!$B$8:$B$9,0),MATCH('Monthly Cash Flow'!CV$5,'Sponsor Pro Forma'!$S$7:$AD$7,0)),IF('Monthly Cash Flow'!CV$4&gt;4,-'Monthly Cash Flow'!CV$63*'Sponsor Pro Forma'!$Q9,-'Monthly Cash Flow'!CV$63*INDEX('Sponsor Pro Forma'!$M$8:$P$9,MATCH('Monthly Cash Flow'!$B65,'Sponsor Pro Forma'!$B$8:$B$9,0),MATCH('Monthly Cash Flow'!CV$4,'Sponsor Pro Forma'!$M$7:$P$7,0))))</f>
        <v>-25969.993706460962</v>
      </c>
      <c r="CW65" s="286">
        <f>IF(AND(CW$4='Sponsor Pro Forma'!$M$7,'Sponsor Pro Forma'!$R9="Override"),-'Monthly Cash Flow'!CW$63*INDEX('Sponsor Pro Forma'!$S$8:$AD$9,MATCH('Monthly Cash Flow'!$B65,'Sponsor Pro Forma'!$B$8:$B$9,0),MATCH('Monthly Cash Flow'!CW$5,'Sponsor Pro Forma'!$S$7:$AD$7,0)),IF('Monthly Cash Flow'!CW$4&gt;4,-'Monthly Cash Flow'!CW$63*'Sponsor Pro Forma'!$Q9,-'Monthly Cash Flow'!CW$63*INDEX('Sponsor Pro Forma'!$M$8:$P$9,MATCH('Monthly Cash Flow'!$B65,'Sponsor Pro Forma'!$B$8:$B$9,0),MATCH('Monthly Cash Flow'!CW$4,'Sponsor Pro Forma'!$M$7:$P$7,0))))</f>
        <v>-26056.560352149168</v>
      </c>
      <c r="CX65" s="286">
        <f>IF(AND(CX$4='Sponsor Pro Forma'!$M$7,'Sponsor Pro Forma'!$R9="Override"),-'Monthly Cash Flow'!CX$63*INDEX('Sponsor Pro Forma'!$S$8:$AD$9,MATCH('Monthly Cash Flow'!$B65,'Sponsor Pro Forma'!$B$8:$B$9,0),MATCH('Monthly Cash Flow'!CX$5,'Sponsor Pro Forma'!$S$7:$AD$7,0)),IF('Monthly Cash Flow'!CX$4&gt;4,-'Monthly Cash Flow'!CX$63*'Sponsor Pro Forma'!$Q9,-'Monthly Cash Flow'!CX$63*INDEX('Sponsor Pro Forma'!$M$8:$P$9,MATCH('Monthly Cash Flow'!$B65,'Sponsor Pro Forma'!$B$8:$B$9,0),MATCH('Monthly Cash Flow'!CX$4,'Sponsor Pro Forma'!$M$7:$P$7,0))))</f>
        <v>-26143.415553323</v>
      </c>
      <c r="CY65" s="286">
        <f>IF(AND(CY$4='Sponsor Pro Forma'!$M$7,'Sponsor Pro Forma'!$R9="Override"),-'Monthly Cash Flow'!CY$63*INDEX('Sponsor Pro Forma'!$S$8:$AD$9,MATCH('Monthly Cash Flow'!$B65,'Sponsor Pro Forma'!$B$8:$B$9,0),MATCH('Monthly Cash Flow'!CY$5,'Sponsor Pro Forma'!$S$7:$AD$7,0)),IF('Monthly Cash Flow'!CY$4&gt;4,-'Monthly Cash Flow'!CY$63*'Sponsor Pro Forma'!$Q9,-'Monthly Cash Flow'!CY$63*INDEX('Sponsor Pro Forma'!$M$8:$P$9,MATCH('Monthly Cash Flow'!$B65,'Sponsor Pro Forma'!$B$8:$B$9,0),MATCH('Monthly Cash Flow'!CY$4,'Sponsor Pro Forma'!$M$7:$P$7,0))))</f>
        <v>-26230.560271834078</v>
      </c>
      <c r="CZ65" s="286">
        <f>IF(AND(CZ$4='Sponsor Pro Forma'!$M$7,'Sponsor Pro Forma'!$R9="Override"),-'Monthly Cash Flow'!CZ$63*INDEX('Sponsor Pro Forma'!$S$8:$AD$9,MATCH('Monthly Cash Flow'!$B65,'Sponsor Pro Forma'!$B$8:$B$9,0),MATCH('Monthly Cash Flow'!CZ$5,'Sponsor Pro Forma'!$S$7:$AD$7,0)),IF('Monthly Cash Flow'!CZ$4&gt;4,-'Monthly Cash Flow'!CZ$63*'Sponsor Pro Forma'!$Q9,-'Monthly Cash Flow'!CZ$63*INDEX('Sponsor Pro Forma'!$M$8:$P$9,MATCH('Monthly Cash Flow'!$B65,'Sponsor Pro Forma'!$B$8:$B$9,0),MATCH('Monthly Cash Flow'!CZ$4,'Sponsor Pro Forma'!$M$7:$P$7,0))))</f>
        <v>-26317.995472740196</v>
      </c>
      <c r="DA65" s="286">
        <f>IF(AND(DA$4='Sponsor Pro Forma'!$M$7,'Sponsor Pro Forma'!$R9="Override"),-'Monthly Cash Flow'!DA$63*INDEX('Sponsor Pro Forma'!$S$8:$AD$9,MATCH('Monthly Cash Flow'!$B65,'Sponsor Pro Forma'!$B$8:$B$9,0),MATCH('Monthly Cash Flow'!DA$5,'Sponsor Pro Forma'!$S$7:$AD$7,0)),IF('Monthly Cash Flow'!DA$4&gt;4,-'Monthly Cash Flow'!DA$63*'Sponsor Pro Forma'!$Q9,-'Monthly Cash Flow'!DA$63*INDEX('Sponsor Pro Forma'!$M$8:$P$9,MATCH('Monthly Cash Flow'!$B65,'Sponsor Pro Forma'!$B$8:$B$9,0),MATCH('Monthly Cash Flow'!DA$4,'Sponsor Pro Forma'!$M$7:$P$7,0))))</f>
        <v>-26405.722124315998</v>
      </c>
      <c r="DB65" s="286">
        <f>IF(AND(DB$4='Sponsor Pro Forma'!$M$7,'Sponsor Pro Forma'!$R9="Override"),-'Monthly Cash Flow'!DB$63*INDEX('Sponsor Pro Forma'!$S$8:$AD$9,MATCH('Monthly Cash Flow'!$B65,'Sponsor Pro Forma'!$B$8:$B$9,0),MATCH('Monthly Cash Flow'!DB$5,'Sponsor Pro Forma'!$S$7:$AD$7,0)),IF('Monthly Cash Flow'!DB$4&gt;4,-'Monthly Cash Flow'!DB$63*'Sponsor Pro Forma'!$Q9,-'Monthly Cash Flow'!DB$63*INDEX('Sponsor Pro Forma'!$M$8:$P$9,MATCH('Monthly Cash Flow'!$B65,'Sponsor Pro Forma'!$B$8:$B$9,0),MATCH('Monthly Cash Flow'!DB$4,'Sponsor Pro Forma'!$M$7:$P$7,0))))</f>
        <v>-26493.741198063719</v>
      </c>
      <c r="DC65" s="286">
        <f>IF(AND(DC$4='Sponsor Pro Forma'!$M$7,'Sponsor Pro Forma'!$R9="Override"),-'Monthly Cash Flow'!DC$63*INDEX('Sponsor Pro Forma'!$S$8:$AD$9,MATCH('Monthly Cash Flow'!$B65,'Sponsor Pro Forma'!$B$8:$B$9,0),MATCH('Monthly Cash Flow'!DC$5,'Sponsor Pro Forma'!$S$7:$AD$7,0)),IF('Monthly Cash Flow'!DC$4&gt;4,-'Monthly Cash Flow'!DC$63*'Sponsor Pro Forma'!$Q9,-'Monthly Cash Flow'!DC$63*INDEX('Sponsor Pro Forma'!$M$8:$P$9,MATCH('Monthly Cash Flow'!$B65,'Sponsor Pro Forma'!$B$8:$B$9,0),MATCH('Monthly Cash Flow'!DC$4,'Sponsor Pro Forma'!$M$7:$P$7,0))))</f>
        <v>-26582.053668723933</v>
      </c>
      <c r="DD65" s="286">
        <f>IF(AND(DD$4='Sponsor Pro Forma'!$M$7,'Sponsor Pro Forma'!$R9="Override"),-'Monthly Cash Flow'!DD$63*INDEX('Sponsor Pro Forma'!$S$8:$AD$9,MATCH('Monthly Cash Flow'!$B65,'Sponsor Pro Forma'!$B$8:$B$9,0),MATCH('Monthly Cash Flow'!DD$5,'Sponsor Pro Forma'!$S$7:$AD$7,0)),IF('Monthly Cash Flow'!DD$4&gt;4,-'Monthly Cash Flow'!DD$63*'Sponsor Pro Forma'!$Q9,-'Monthly Cash Flow'!DD$63*INDEX('Sponsor Pro Forma'!$M$8:$P$9,MATCH('Monthly Cash Flow'!$B65,'Sponsor Pro Forma'!$B$8:$B$9,0),MATCH('Monthly Cash Flow'!DD$4,'Sponsor Pro Forma'!$M$7:$P$7,0))))</f>
        <v>-26670.660514286348</v>
      </c>
      <c r="DE65" s="286">
        <f>IF(AND(DE$4='Sponsor Pro Forma'!$M$7,'Sponsor Pro Forma'!$R9="Override"),-'Monthly Cash Flow'!DE$63*INDEX('Sponsor Pro Forma'!$S$8:$AD$9,MATCH('Monthly Cash Flow'!$B65,'Sponsor Pro Forma'!$B$8:$B$9,0),MATCH('Monthly Cash Flow'!DE$5,'Sponsor Pro Forma'!$S$7:$AD$7,0)),IF('Monthly Cash Flow'!DE$4&gt;4,-'Monthly Cash Flow'!DE$63*'Sponsor Pro Forma'!$Q9,-'Monthly Cash Flow'!DE$63*INDEX('Sponsor Pro Forma'!$M$8:$P$9,MATCH('Monthly Cash Flow'!$B65,'Sponsor Pro Forma'!$B$8:$B$9,0),MATCH('Monthly Cash Flow'!DE$4,'Sponsor Pro Forma'!$M$7:$P$7,0))))</f>
        <v>-26759.562716000641</v>
      </c>
      <c r="DF65" s="286">
        <f>IF(AND(DF$4='Sponsor Pro Forma'!$M$7,'Sponsor Pro Forma'!$R9="Override"),-'Monthly Cash Flow'!DF$63*INDEX('Sponsor Pro Forma'!$S$8:$AD$9,MATCH('Monthly Cash Flow'!$B65,'Sponsor Pro Forma'!$B$8:$B$9,0),MATCH('Monthly Cash Flow'!DF$5,'Sponsor Pro Forma'!$S$7:$AD$7,0)),IF('Monthly Cash Flow'!DF$4&gt;4,-'Monthly Cash Flow'!DF$63*'Sponsor Pro Forma'!$Q9,-'Monthly Cash Flow'!DF$63*INDEX('Sponsor Pro Forma'!$M$8:$P$9,MATCH('Monthly Cash Flow'!$B65,'Sponsor Pro Forma'!$B$8:$B$9,0),MATCH('Monthly Cash Flow'!DF$4,'Sponsor Pro Forma'!$M$7:$P$7,0))))</f>
        <v>-26848.761258387312</v>
      </c>
      <c r="DG65" s="286">
        <f>IF(AND(DG$4='Sponsor Pro Forma'!$M$7,'Sponsor Pro Forma'!$R9="Override"),-'Monthly Cash Flow'!DG$63*INDEX('Sponsor Pro Forma'!$S$8:$AD$9,MATCH('Monthly Cash Flow'!$B65,'Sponsor Pro Forma'!$B$8:$B$9,0),MATCH('Monthly Cash Flow'!DG$5,'Sponsor Pro Forma'!$S$7:$AD$7,0)),IF('Monthly Cash Flow'!DG$4&gt;4,-'Monthly Cash Flow'!DG$63*'Sponsor Pro Forma'!$Q9,-'Monthly Cash Flow'!DG$63*INDEX('Sponsor Pro Forma'!$M$8:$P$9,MATCH('Monthly Cash Flow'!$B65,'Sponsor Pro Forma'!$B$8:$B$9,0),MATCH('Monthly Cash Flow'!DG$4,'Sponsor Pro Forma'!$M$7:$P$7,0))))</f>
        <v>-26938.257129248599</v>
      </c>
      <c r="DH65" s="286">
        <f>IF(AND(DH$4='Sponsor Pro Forma'!$M$7,'Sponsor Pro Forma'!$R9="Override"),-'Monthly Cash Flow'!DH$63*INDEX('Sponsor Pro Forma'!$S$8:$AD$9,MATCH('Monthly Cash Flow'!$B65,'Sponsor Pro Forma'!$B$8:$B$9,0),MATCH('Monthly Cash Flow'!DH$5,'Sponsor Pro Forma'!$S$7:$AD$7,0)),IF('Monthly Cash Flow'!DH$4&gt;4,-'Monthly Cash Flow'!DH$63*'Sponsor Pro Forma'!$Q9,-'Monthly Cash Flow'!DH$63*INDEX('Sponsor Pro Forma'!$M$8:$P$9,MATCH('Monthly Cash Flow'!$B65,'Sponsor Pro Forma'!$B$8:$B$9,0),MATCH('Monthly Cash Flow'!DH$4,'Sponsor Pro Forma'!$M$7:$P$7,0))))</f>
        <v>-27028.051319679435</v>
      </c>
      <c r="DI65" s="286">
        <f>IF(AND(DI$4='Sponsor Pro Forma'!$M$7,'Sponsor Pro Forma'!$R9="Override"),-'Monthly Cash Flow'!DI$63*INDEX('Sponsor Pro Forma'!$S$8:$AD$9,MATCH('Monthly Cash Flow'!$B65,'Sponsor Pro Forma'!$B$8:$B$9,0),MATCH('Monthly Cash Flow'!DI$5,'Sponsor Pro Forma'!$S$7:$AD$7,0)),IF('Monthly Cash Flow'!DI$4&gt;4,-'Monthly Cash Flow'!DI$63*'Sponsor Pro Forma'!$Q9,-'Monthly Cash Flow'!DI$63*INDEX('Sponsor Pro Forma'!$M$8:$P$9,MATCH('Monthly Cash Flow'!$B65,'Sponsor Pro Forma'!$B$8:$B$9,0),MATCH('Monthly Cash Flow'!DI$4,'Sponsor Pro Forma'!$M$7:$P$7,0))))</f>
        <v>-27118.144824078365</v>
      </c>
      <c r="DJ65" s="286">
        <f>IF(AND(DJ$4='Sponsor Pro Forma'!$M$7,'Sponsor Pro Forma'!$R9="Override"),-'Monthly Cash Flow'!DJ$63*INDEX('Sponsor Pro Forma'!$S$8:$AD$9,MATCH('Monthly Cash Flow'!$B65,'Sponsor Pro Forma'!$B$8:$B$9,0),MATCH('Monthly Cash Flow'!DJ$5,'Sponsor Pro Forma'!$S$7:$AD$7,0)),IF('Monthly Cash Flow'!DJ$4&gt;4,-'Monthly Cash Flow'!DJ$63*'Sponsor Pro Forma'!$Q9,-'Monthly Cash Flow'!DJ$63*INDEX('Sponsor Pro Forma'!$M$8:$P$9,MATCH('Monthly Cash Flow'!$B65,'Sponsor Pro Forma'!$B$8:$B$9,0),MATCH('Monthly Cash Flow'!DJ$4,'Sponsor Pro Forma'!$M$7:$P$7,0))))</f>
        <v>-27208.538640158626</v>
      </c>
      <c r="DK65" s="286">
        <f>IF(AND(DK$4='Sponsor Pro Forma'!$M$7,'Sponsor Pro Forma'!$R9="Override"),-'Monthly Cash Flow'!DK$63*INDEX('Sponsor Pro Forma'!$S$8:$AD$9,MATCH('Monthly Cash Flow'!$B65,'Sponsor Pro Forma'!$B$8:$B$9,0),MATCH('Monthly Cash Flow'!DK$5,'Sponsor Pro Forma'!$S$7:$AD$7,0)),IF('Monthly Cash Flow'!DK$4&gt;4,-'Monthly Cash Flow'!DK$63*'Sponsor Pro Forma'!$Q9,-'Monthly Cash Flow'!DK$63*INDEX('Sponsor Pro Forma'!$M$8:$P$9,MATCH('Monthly Cash Flow'!$B65,'Sponsor Pro Forma'!$B$8:$B$9,0),MATCH('Monthly Cash Flow'!DK$4,'Sponsor Pro Forma'!$M$7:$P$7,0))))</f>
        <v>-27299.233768959159</v>
      </c>
      <c r="DL65" s="286">
        <f>IF(AND(DL$4='Sponsor Pro Forma'!$M$7,'Sponsor Pro Forma'!$R9="Override"),-'Monthly Cash Flow'!DL$63*INDEX('Sponsor Pro Forma'!$S$8:$AD$9,MATCH('Monthly Cash Flow'!$B65,'Sponsor Pro Forma'!$B$8:$B$9,0),MATCH('Monthly Cash Flow'!DL$5,'Sponsor Pro Forma'!$S$7:$AD$7,0)),IF('Monthly Cash Flow'!DL$4&gt;4,-'Monthly Cash Flow'!DL$63*'Sponsor Pro Forma'!$Q9,-'Monthly Cash Flow'!DL$63*INDEX('Sponsor Pro Forma'!$M$8:$P$9,MATCH('Monthly Cash Flow'!$B65,'Sponsor Pro Forma'!$B$8:$B$9,0),MATCH('Monthly Cash Flow'!DL$4,'Sponsor Pro Forma'!$M$7:$P$7,0))))</f>
        <v>-27390.231214855696</v>
      </c>
      <c r="DM65" s="286">
        <f>IF(AND(DM$4='Sponsor Pro Forma'!$M$7,'Sponsor Pro Forma'!$R9="Override"),-'Monthly Cash Flow'!DM$63*INDEX('Sponsor Pro Forma'!$S$8:$AD$9,MATCH('Monthly Cash Flow'!$B65,'Sponsor Pro Forma'!$B$8:$B$9,0),MATCH('Monthly Cash Flow'!DM$5,'Sponsor Pro Forma'!$S$7:$AD$7,0)),IF('Monthly Cash Flow'!DM$4&gt;4,-'Monthly Cash Flow'!DM$63*'Sponsor Pro Forma'!$Q9,-'Monthly Cash Flow'!DM$63*INDEX('Sponsor Pro Forma'!$M$8:$P$9,MATCH('Monthly Cash Flow'!$B65,'Sponsor Pro Forma'!$B$8:$B$9,0),MATCH('Monthly Cash Flow'!DM$4,'Sponsor Pro Forma'!$M$7:$P$7,0))))</f>
        <v>-27481.531985571877</v>
      </c>
      <c r="DN65" s="286">
        <f>IF(AND(DN$4='Sponsor Pro Forma'!$M$7,'Sponsor Pro Forma'!$R9="Override"),-'Monthly Cash Flow'!DN$63*INDEX('Sponsor Pro Forma'!$S$8:$AD$9,MATCH('Monthly Cash Flow'!$B65,'Sponsor Pro Forma'!$B$8:$B$9,0),MATCH('Monthly Cash Flow'!DN$5,'Sponsor Pro Forma'!$S$7:$AD$7,0)),IF('Monthly Cash Flow'!DN$4&gt;4,-'Monthly Cash Flow'!DN$63*'Sponsor Pro Forma'!$Q9,-'Monthly Cash Flow'!DN$63*INDEX('Sponsor Pro Forma'!$M$8:$P$9,MATCH('Monthly Cash Flow'!$B65,'Sponsor Pro Forma'!$B$8:$B$9,0),MATCH('Monthly Cash Flow'!DN$4,'Sponsor Pro Forma'!$M$7:$P$7,0))))</f>
        <v>-27573.137092190453</v>
      </c>
      <c r="DO65" s="286">
        <f>IF(AND(DO$4='Sponsor Pro Forma'!$M$7,'Sponsor Pro Forma'!$R9="Override"),-'Monthly Cash Flow'!DO$63*INDEX('Sponsor Pro Forma'!$S$8:$AD$9,MATCH('Monthly Cash Flow'!$B65,'Sponsor Pro Forma'!$B$8:$B$9,0),MATCH('Monthly Cash Flow'!DO$5,'Sponsor Pro Forma'!$S$7:$AD$7,0)),IF('Monthly Cash Flow'!DO$4&gt;4,-'Monthly Cash Flow'!DO$63*'Sponsor Pro Forma'!$Q9,-'Monthly Cash Flow'!DO$63*INDEX('Sponsor Pro Forma'!$M$8:$P$9,MATCH('Monthly Cash Flow'!$B65,'Sponsor Pro Forma'!$B$8:$B$9,0),MATCH('Monthly Cash Flow'!DO$4,'Sponsor Pro Forma'!$M$7:$P$7,0))))</f>
        <v>-27665.047549164425</v>
      </c>
      <c r="DP65" s="286">
        <f>IF(AND(DP$4='Sponsor Pro Forma'!$M$7,'Sponsor Pro Forma'!$R9="Override"),-'Monthly Cash Flow'!DP$63*INDEX('Sponsor Pro Forma'!$S$8:$AD$9,MATCH('Monthly Cash Flow'!$B65,'Sponsor Pro Forma'!$B$8:$B$9,0),MATCH('Monthly Cash Flow'!DP$5,'Sponsor Pro Forma'!$S$7:$AD$7,0)),IF('Monthly Cash Flow'!DP$4&gt;4,-'Monthly Cash Flow'!DP$63*'Sponsor Pro Forma'!$Q9,-'Monthly Cash Flow'!DP$63*INDEX('Sponsor Pro Forma'!$M$8:$P$9,MATCH('Monthly Cash Flow'!$B65,'Sponsor Pro Forma'!$B$8:$B$9,0),MATCH('Monthly Cash Flow'!DP$4,'Sponsor Pro Forma'!$M$7:$P$7,0))))</f>
        <v>-27757.264374328308</v>
      </c>
      <c r="DQ65" s="286">
        <f>IF(AND(DQ$4='Sponsor Pro Forma'!$M$7,'Sponsor Pro Forma'!$R9="Override"),-'Monthly Cash Flow'!DQ$63*INDEX('Sponsor Pro Forma'!$S$8:$AD$9,MATCH('Monthly Cash Flow'!$B65,'Sponsor Pro Forma'!$B$8:$B$9,0),MATCH('Monthly Cash Flow'!DQ$5,'Sponsor Pro Forma'!$S$7:$AD$7,0)),IF('Monthly Cash Flow'!DQ$4&gt;4,-'Monthly Cash Flow'!DQ$63*'Sponsor Pro Forma'!$Q9,-'Monthly Cash Flow'!DQ$63*INDEX('Sponsor Pro Forma'!$M$8:$P$9,MATCH('Monthly Cash Flow'!$B65,'Sponsor Pro Forma'!$B$8:$B$9,0),MATCH('Monthly Cash Flow'!DQ$4,'Sponsor Pro Forma'!$M$7:$P$7,0))))</f>
        <v>-27849.788588909403</v>
      </c>
      <c r="DR65" s="286">
        <f>IF(AND(DR$4='Sponsor Pro Forma'!$M$7,'Sponsor Pro Forma'!$R9="Override"),-'Monthly Cash Flow'!DR$63*INDEX('Sponsor Pro Forma'!$S$8:$AD$9,MATCH('Monthly Cash Flow'!$B65,'Sponsor Pro Forma'!$B$8:$B$9,0),MATCH('Monthly Cash Flow'!DR$5,'Sponsor Pro Forma'!$S$7:$AD$7,0)),IF('Monthly Cash Flow'!DR$4&gt;4,-'Monthly Cash Flow'!DR$63*'Sponsor Pro Forma'!$Q9,-'Monthly Cash Flow'!DR$63*INDEX('Sponsor Pro Forma'!$M$8:$P$9,MATCH('Monthly Cash Flow'!$B65,'Sponsor Pro Forma'!$B$8:$B$9,0),MATCH('Monthly Cash Flow'!DR$4,'Sponsor Pro Forma'!$M$7:$P$7,0))))</f>
        <v>-27942.621217539105</v>
      </c>
      <c r="DS65" s="286">
        <f>IF(AND(DS$4='Sponsor Pro Forma'!$M$7,'Sponsor Pro Forma'!$R9="Override"),-'Monthly Cash Flow'!DS$63*INDEX('Sponsor Pro Forma'!$S$8:$AD$9,MATCH('Monthly Cash Flow'!$B65,'Sponsor Pro Forma'!$B$8:$B$9,0),MATCH('Monthly Cash Flow'!DS$5,'Sponsor Pro Forma'!$S$7:$AD$7,0)),IF('Monthly Cash Flow'!DS$4&gt;4,-'Monthly Cash Flow'!DS$63*'Sponsor Pro Forma'!$Q9,-'Monthly Cash Flow'!DS$63*INDEX('Sponsor Pro Forma'!$M$8:$P$9,MATCH('Monthly Cash Flow'!$B65,'Sponsor Pro Forma'!$B$8:$B$9,0),MATCH('Monthly Cash Flow'!DS$4,'Sponsor Pro Forma'!$M$7:$P$7,0))))</f>
        <v>-28035.763288264236</v>
      </c>
      <c r="DT65" s="286">
        <f>IF(AND(DT$4='Sponsor Pro Forma'!$M$7,'Sponsor Pro Forma'!$R9="Override"),-'Monthly Cash Flow'!DT$63*INDEX('Sponsor Pro Forma'!$S$8:$AD$9,MATCH('Monthly Cash Flow'!$B65,'Sponsor Pro Forma'!$B$8:$B$9,0),MATCH('Monthly Cash Flow'!DT$5,'Sponsor Pro Forma'!$S$7:$AD$7,0)),IF('Monthly Cash Flow'!DT$4&gt;4,-'Monthly Cash Flow'!DT$63*'Sponsor Pro Forma'!$Q9,-'Monthly Cash Flow'!DT$63*INDEX('Sponsor Pro Forma'!$M$8:$P$9,MATCH('Monthly Cash Flow'!$B65,'Sponsor Pro Forma'!$B$8:$B$9,0),MATCH('Monthly Cash Flow'!DT$4,'Sponsor Pro Forma'!$M$7:$P$7,0))))</f>
        <v>-28129.21583255845</v>
      </c>
      <c r="DU65" s="401" t="s">
        <v>557</v>
      </c>
      <c r="DV65" s="196"/>
    </row>
    <row r="66" spans="1:126" s="5" customFormat="1" ht="19">
      <c r="A66" s="399">
        <v>3</v>
      </c>
      <c r="B66" s="203" t="str">
        <f>'Debt Sizing'!A11</f>
        <v>Concessions</v>
      </c>
      <c r="C66" s="397"/>
      <c r="D66" s="398"/>
      <c r="E66" s="400">
        <f>IF(E$4&gt;4,-E$63*'Sponsor Pro Forma'!$Q10,-('Monthly Cash Flow'!E$63+E65)*INDEX('Sponsor Pro Forma'!$M$10:$P$12,MATCH('Monthly Cash Flow'!$B66,'Sponsor Pro Forma'!$B$10:$B$12,0),MATCH('Monthly Cash Flow'!E$4,'Sponsor Pro Forma'!$M$7:$P$7,0)))</f>
        <v>0</v>
      </c>
      <c r="F66" s="400">
        <f>IF(F$4&gt;4,-F$63*'Sponsor Pro Forma'!$Q10,-('Monthly Cash Flow'!F$63+F65)*INDEX('Sponsor Pro Forma'!$M$10:$P$12,MATCH('Monthly Cash Flow'!$B66,'Sponsor Pro Forma'!$B$10:$B$12,0),MATCH('Monthly Cash Flow'!F$4,'Sponsor Pro Forma'!$M$7:$P$7,0)))</f>
        <v>0</v>
      </c>
      <c r="G66" s="400">
        <f>IF(G$4&gt;4,-G$63*'Sponsor Pro Forma'!$Q10,-('Monthly Cash Flow'!G$63+G65)*INDEX('Sponsor Pro Forma'!$M$10:$P$12,MATCH('Monthly Cash Flow'!$B66,'Sponsor Pro Forma'!$B$10:$B$12,0),MATCH('Monthly Cash Flow'!G$4,'Sponsor Pro Forma'!$M$7:$P$7,0)))</f>
        <v>0</v>
      </c>
      <c r="H66" s="400">
        <f>IF(H$4&gt;4,-H$63*'Sponsor Pro Forma'!$Q10,-('Monthly Cash Flow'!H$63+H65)*INDEX('Sponsor Pro Forma'!$M$10:$P$12,MATCH('Monthly Cash Flow'!$B66,'Sponsor Pro Forma'!$B$10:$B$12,0),MATCH('Monthly Cash Flow'!H$4,'Sponsor Pro Forma'!$M$7:$P$7,0)))</f>
        <v>0</v>
      </c>
      <c r="I66" s="400">
        <f>IF(I$4&gt;4,-I$63*'Sponsor Pro Forma'!$Q10,-('Monthly Cash Flow'!I$63+I65)*INDEX('Sponsor Pro Forma'!$M$10:$P$12,MATCH('Monthly Cash Flow'!$B66,'Sponsor Pro Forma'!$B$10:$B$12,0),MATCH('Monthly Cash Flow'!I$4,'Sponsor Pro Forma'!$M$7:$P$7,0)))</f>
        <v>0</v>
      </c>
      <c r="J66" s="400">
        <f>IF(J$4&gt;4,-J$63*'Sponsor Pro Forma'!$Q10,-('Monthly Cash Flow'!J$63+J65)*INDEX('Sponsor Pro Forma'!$M$10:$P$12,MATCH('Monthly Cash Flow'!$B66,'Sponsor Pro Forma'!$B$10:$B$12,0),MATCH('Monthly Cash Flow'!J$4,'Sponsor Pro Forma'!$M$7:$P$7,0)))</f>
        <v>0</v>
      </c>
      <c r="K66" s="400">
        <f>IF(K$4&gt;4,-K$63*'Sponsor Pro Forma'!$Q10,-('Monthly Cash Flow'!K$63+K65)*INDEX('Sponsor Pro Forma'!$M$10:$P$12,MATCH('Monthly Cash Flow'!$B66,'Sponsor Pro Forma'!$B$10:$B$12,0),MATCH('Monthly Cash Flow'!K$4,'Sponsor Pro Forma'!$M$7:$P$7,0)))</f>
        <v>0</v>
      </c>
      <c r="L66" s="400">
        <f>IF(L$4&gt;4,-L$63*'Sponsor Pro Forma'!$Q10,-('Monthly Cash Flow'!L$63+L65)*INDEX('Sponsor Pro Forma'!$M$10:$P$12,MATCH('Monthly Cash Flow'!$B66,'Sponsor Pro Forma'!$B$10:$B$12,0),MATCH('Monthly Cash Flow'!L$4,'Sponsor Pro Forma'!$M$7:$P$7,0)))</f>
        <v>0</v>
      </c>
      <c r="M66" s="400">
        <f>IF(M$4&gt;4,-M$63*'Sponsor Pro Forma'!$Q10,-('Monthly Cash Flow'!M$63+M65)*INDEX('Sponsor Pro Forma'!$M$10:$P$12,MATCH('Monthly Cash Flow'!$B66,'Sponsor Pro Forma'!$B$10:$B$12,0),MATCH('Monthly Cash Flow'!M$4,'Sponsor Pro Forma'!$M$7:$P$7,0)))</f>
        <v>0</v>
      </c>
      <c r="N66" s="400">
        <f>IF(N$4&gt;4,-N$63*'Sponsor Pro Forma'!$Q10,-('Monthly Cash Flow'!N$63+N65)*INDEX('Sponsor Pro Forma'!$M$10:$P$12,MATCH('Monthly Cash Flow'!$B66,'Sponsor Pro Forma'!$B$10:$B$12,0),MATCH('Monthly Cash Flow'!N$4,'Sponsor Pro Forma'!$M$7:$P$7,0)))</f>
        <v>0</v>
      </c>
      <c r="O66" s="400">
        <f>IF(O$4&gt;4,-O$63*'Sponsor Pro Forma'!$Q10,-('Monthly Cash Flow'!O$63+O65)*INDEX('Sponsor Pro Forma'!$M$10:$P$12,MATCH('Monthly Cash Flow'!$B66,'Sponsor Pro Forma'!$B$10:$B$12,0),MATCH('Monthly Cash Flow'!O$4,'Sponsor Pro Forma'!$M$7:$P$7,0)))</f>
        <v>0</v>
      </c>
      <c r="P66" s="400">
        <f>IF(P$4&gt;4,-P$63*'Sponsor Pro Forma'!$Q10,-('Monthly Cash Flow'!P$63+P65)*INDEX('Sponsor Pro Forma'!$M$10:$P$12,MATCH('Monthly Cash Flow'!$B66,'Sponsor Pro Forma'!$B$10:$B$12,0),MATCH('Monthly Cash Flow'!P$4,'Sponsor Pro Forma'!$M$7:$P$7,0)))</f>
        <v>0</v>
      </c>
      <c r="Q66" s="400">
        <f>IF(Q$4&gt;4,-Q$63*'Sponsor Pro Forma'!$Q10,-('Monthly Cash Flow'!Q$63+Q65)*INDEX('Sponsor Pro Forma'!$M$10:$P$12,MATCH('Monthly Cash Flow'!$B66,'Sponsor Pro Forma'!$B$10:$B$12,0),MATCH('Monthly Cash Flow'!Q$4,'Sponsor Pro Forma'!$M$7:$P$7,0)))</f>
        <v>0</v>
      </c>
      <c r="R66" s="400">
        <f>IF(R$4&gt;4,-R$63*'Sponsor Pro Forma'!$Q10,-('Monthly Cash Flow'!R$63+R65)*INDEX('Sponsor Pro Forma'!$M$10:$P$12,MATCH('Monthly Cash Flow'!$B66,'Sponsor Pro Forma'!$B$10:$B$12,0),MATCH('Monthly Cash Flow'!R$4,'Sponsor Pro Forma'!$M$7:$P$7,0)))</f>
        <v>0</v>
      </c>
      <c r="S66" s="400">
        <f>IF(S$4&gt;4,-S$63*'Sponsor Pro Forma'!$Q10,-('Monthly Cash Flow'!S$63+S65)*INDEX('Sponsor Pro Forma'!$M$10:$P$12,MATCH('Monthly Cash Flow'!$B66,'Sponsor Pro Forma'!$B$10:$B$12,0),MATCH('Monthly Cash Flow'!S$4,'Sponsor Pro Forma'!$M$7:$P$7,0)))</f>
        <v>0</v>
      </c>
      <c r="T66" s="400">
        <f>IF(T$4&gt;4,-T$63*'Sponsor Pro Forma'!$Q10,-('Monthly Cash Flow'!T$63+T65)*INDEX('Sponsor Pro Forma'!$M$10:$P$12,MATCH('Monthly Cash Flow'!$B66,'Sponsor Pro Forma'!$B$10:$B$12,0),MATCH('Monthly Cash Flow'!T$4,'Sponsor Pro Forma'!$M$7:$P$7,0)))</f>
        <v>0</v>
      </c>
      <c r="U66" s="400">
        <f>IF(U$4&gt;4,-U$63*'Sponsor Pro Forma'!$Q10,-('Monthly Cash Flow'!U$63+U65)*INDEX('Sponsor Pro Forma'!$M$10:$P$12,MATCH('Monthly Cash Flow'!$B66,'Sponsor Pro Forma'!$B$10:$B$12,0),MATCH('Monthly Cash Flow'!U$4,'Sponsor Pro Forma'!$M$7:$P$7,0)))</f>
        <v>0</v>
      </c>
      <c r="V66" s="400">
        <f>IF(V$4&gt;4,-V$63*'Sponsor Pro Forma'!$Q10,-('Monthly Cash Flow'!V$63+V65)*INDEX('Sponsor Pro Forma'!$M$10:$P$12,MATCH('Monthly Cash Flow'!$B66,'Sponsor Pro Forma'!$B$10:$B$12,0),MATCH('Monthly Cash Flow'!V$4,'Sponsor Pro Forma'!$M$7:$P$7,0)))</f>
        <v>0</v>
      </c>
      <c r="W66" s="400">
        <f>IF(W$4&gt;4,-W$63*'Sponsor Pro Forma'!$Q10,-('Monthly Cash Flow'!W$63+W65)*INDEX('Sponsor Pro Forma'!$M$10:$P$12,MATCH('Monthly Cash Flow'!$B66,'Sponsor Pro Forma'!$B$10:$B$12,0),MATCH('Monthly Cash Flow'!W$4,'Sponsor Pro Forma'!$M$7:$P$7,0)))</f>
        <v>0</v>
      </c>
      <c r="X66" s="400">
        <f>IF(X$4&gt;4,-X$63*'Sponsor Pro Forma'!$Q10,-('Monthly Cash Flow'!X$63+X65)*INDEX('Sponsor Pro Forma'!$M$10:$P$12,MATCH('Monthly Cash Flow'!$B66,'Sponsor Pro Forma'!$B$10:$B$12,0),MATCH('Monthly Cash Flow'!X$4,'Sponsor Pro Forma'!$M$7:$P$7,0)))</f>
        <v>0</v>
      </c>
      <c r="Y66" s="400">
        <f>IF(Y$4&gt;4,-Y$63*'Sponsor Pro Forma'!$Q10,-('Monthly Cash Flow'!Y$63+Y65)*INDEX('Sponsor Pro Forma'!$M$10:$P$12,MATCH('Monthly Cash Flow'!$B66,'Sponsor Pro Forma'!$B$10:$B$12,0),MATCH('Monthly Cash Flow'!Y$4,'Sponsor Pro Forma'!$M$7:$P$7,0)))</f>
        <v>0</v>
      </c>
      <c r="Z66" s="400">
        <f>IF(Z$4&gt;4,-Z$63*'Sponsor Pro Forma'!$Q10,-('Monthly Cash Flow'!Z$63+Z65)*INDEX('Sponsor Pro Forma'!$M$10:$P$12,MATCH('Monthly Cash Flow'!$B66,'Sponsor Pro Forma'!$B$10:$B$12,0),MATCH('Monthly Cash Flow'!Z$4,'Sponsor Pro Forma'!$M$7:$P$7,0)))</f>
        <v>0</v>
      </c>
      <c r="AA66" s="400">
        <f>IF(AA$4&gt;4,-AA$63*'Sponsor Pro Forma'!$Q10,-('Monthly Cash Flow'!AA$63+AA65)*INDEX('Sponsor Pro Forma'!$M$10:$P$12,MATCH('Monthly Cash Flow'!$B66,'Sponsor Pro Forma'!$B$10:$B$12,0),MATCH('Monthly Cash Flow'!AA$4,'Sponsor Pro Forma'!$M$7:$P$7,0)))</f>
        <v>0</v>
      </c>
      <c r="AB66" s="400">
        <f>IF(AB$4&gt;4,-AB$63*'Sponsor Pro Forma'!$Q10,-('Monthly Cash Flow'!AB$63+AB65)*INDEX('Sponsor Pro Forma'!$M$10:$P$12,MATCH('Monthly Cash Flow'!$B66,'Sponsor Pro Forma'!$B$10:$B$12,0),MATCH('Monthly Cash Flow'!AB$4,'Sponsor Pro Forma'!$M$7:$P$7,0)))</f>
        <v>0</v>
      </c>
      <c r="AC66" s="400">
        <f>IF(AC$4&gt;4,-AC$63*'Sponsor Pro Forma'!$Q10,-('Monthly Cash Flow'!AC$63+AC65)*INDEX('Sponsor Pro Forma'!$M$10:$P$12,MATCH('Monthly Cash Flow'!$B66,'Sponsor Pro Forma'!$B$10:$B$12,0),MATCH('Monthly Cash Flow'!AC$4,'Sponsor Pro Forma'!$M$7:$P$7,0)))</f>
        <v>0</v>
      </c>
      <c r="AD66" s="400">
        <f>IF(AD$4&gt;4,-AD$63*'Sponsor Pro Forma'!$Q10,-('Monthly Cash Flow'!AD$63+AD65)*INDEX('Sponsor Pro Forma'!$M$10:$P$12,MATCH('Monthly Cash Flow'!$B66,'Sponsor Pro Forma'!$B$10:$B$12,0),MATCH('Monthly Cash Flow'!AD$4,'Sponsor Pro Forma'!$M$7:$P$7,0)))</f>
        <v>0</v>
      </c>
      <c r="AE66" s="400">
        <f>IF(AE$4&gt;4,-AE$63*'Sponsor Pro Forma'!$Q10,-('Monthly Cash Flow'!AE$63+AE65)*INDEX('Sponsor Pro Forma'!$M$10:$P$12,MATCH('Monthly Cash Flow'!$B66,'Sponsor Pro Forma'!$B$10:$B$12,0),MATCH('Monthly Cash Flow'!AE$4,'Sponsor Pro Forma'!$M$7:$P$7,0)))</f>
        <v>0</v>
      </c>
      <c r="AF66" s="400">
        <f>IF(AF$4&gt;4,-AF$63*'Sponsor Pro Forma'!$Q10,-('Monthly Cash Flow'!AF$63+AF65)*INDEX('Sponsor Pro Forma'!$M$10:$P$12,MATCH('Monthly Cash Flow'!$B66,'Sponsor Pro Forma'!$B$10:$B$12,0),MATCH('Monthly Cash Flow'!AF$4,'Sponsor Pro Forma'!$M$7:$P$7,0)))</f>
        <v>0</v>
      </c>
      <c r="AG66" s="400">
        <f>IF(AG$4&gt;4,-AG$63*'Sponsor Pro Forma'!$Q10,-('Monthly Cash Flow'!AG$63+AG65)*INDEX('Sponsor Pro Forma'!$M$10:$P$12,MATCH('Monthly Cash Flow'!$B66,'Sponsor Pro Forma'!$B$10:$B$12,0),MATCH('Monthly Cash Flow'!AG$4,'Sponsor Pro Forma'!$M$7:$P$7,0)))</f>
        <v>0</v>
      </c>
      <c r="AH66" s="400">
        <f>IF(AH$4&gt;4,-AH$63*'Sponsor Pro Forma'!$Q10,-('Monthly Cash Flow'!AH$63+AH65)*INDEX('Sponsor Pro Forma'!$M$10:$P$12,MATCH('Monthly Cash Flow'!$B66,'Sponsor Pro Forma'!$B$10:$B$12,0),MATCH('Monthly Cash Flow'!AH$4,'Sponsor Pro Forma'!$M$7:$P$7,0)))</f>
        <v>0</v>
      </c>
      <c r="AI66" s="400">
        <f>IF(AI$4&gt;4,-AI$63*'Sponsor Pro Forma'!$Q10,-('Monthly Cash Flow'!AI$63+AI65)*INDEX('Sponsor Pro Forma'!$M$10:$P$12,MATCH('Monthly Cash Flow'!$B66,'Sponsor Pro Forma'!$B$10:$B$12,0),MATCH('Monthly Cash Flow'!AI$4,'Sponsor Pro Forma'!$M$7:$P$7,0)))</f>
        <v>0</v>
      </c>
      <c r="AJ66" s="400">
        <f>IF(AJ$4&gt;4,-AJ$63*'Sponsor Pro Forma'!$Q10,-('Monthly Cash Flow'!AJ$63+AJ65)*INDEX('Sponsor Pro Forma'!$M$10:$P$12,MATCH('Monthly Cash Flow'!$B66,'Sponsor Pro Forma'!$B$10:$B$12,0),MATCH('Monthly Cash Flow'!AJ$4,'Sponsor Pro Forma'!$M$7:$P$7,0)))</f>
        <v>0</v>
      </c>
      <c r="AK66" s="400">
        <f>IF(AK$4&gt;4,-AK$63*'Sponsor Pro Forma'!$Q10,-('Monthly Cash Flow'!AK$63+AK65)*INDEX('Sponsor Pro Forma'!$M$10:$P$12,MATCH('Monthly Cash Flow'!$B66,'Sponsor Pro Forma'!$B$10:$B$12,0),MATCH('Monthly Cash Flow'!AK$4,'Sponsor Pro Forma'!$M$7:$P$7,0)))</f>
        <v>0</v>
      </c>
      <c r="AL66" s="400">
        <f>IF(AL$4&gt;4,-AL$63*'Sponsor Pro Forma'!$Q10,-('Monthly Cash Flow'!AL$63+AL65)*INDEX('Sponsor Pro Forma'!$M$10:$P$12,MATCH('Monthly Cash Flow'!$B66,'Sponsor Pro Forma'!$B$10:$B$12,0),MATCH('Monthly Cash Flow'!AL$4,'Sponsor Pro Forma'!$M$7:$P$7,0)))</f>
        <v>0</v>
      </c>
      <c r="AM66" s="400">
        <f>IF(AM$4&gt;4,-AM$63*'Sponsor Pro Forma'!$Q10,-('Monthly Cash Flow'!AM$63+AM65)*INDEX('Sponsor Pro Forma'!$M$10:$P$12,MATCH('Monthly Cash Flow'!$B66,'Sponsor Pro Forma'!$B$10:$B$12,0),MATCH('Monthly Cash Flow'!AM$4,'Sponsor Pro Forma'!$M$7:$P$7,0)))</f>
        <v>0</v>
      </c>
      <c r="AN66" s="400">
        <f>IF(AN$4&gt;4,-AN$63*'Sponsor Pro Forma'!$Q10,-('Monthly Cash Flow'!AN$63+AN65)*INDEX('Sponsor Pro Forma'!$M$10:$P$12,MATCH('Monthly Cash Flow'!$B66,'Sponsor Pro Forma'!$B$10:$B$12,0),MATCH('Monthly Cash Flow'!AN$4,'Sponsor Pro Forma'!$M$7:$P$7,0)))</f>
        <v>0</v>
      </c>
      <c r="AO66" s="400">
        <f>IF(AO$4&gt;4,-AO$63*'Sponsor Pro Forma'!$Q10,-('Monthly Cash Flow'!AO$63+AO65)*INDEX('Sponsor Pro Forma'!$M$10:$P$12,MATCH('Monthly Cash Flow'!$B66,'Sponsor Pro Forma'!$B$10:$B$12,0),MATCH('Monthly Cash Flow'!AO$4,'Sponsor Pro Forma'!$M$7:$P$7,0)))</f>
        <v>0</v>
      </c>
      <c r="AP66" s="400">
        <f>IF(AP$4&gt;4,-AP$63*'Sponsor Pro Forma'!$Q10,-('Monthly Cash Flow'!AP$63+AP65)*INDEX('Sponsor Pro Forma'!$M$10:$P$12,MATCH('Monthly Cash Flow'!$B66,'Sponsor Pro Forma'!$B$10:$B$12,0),MATCH('Monthly Cash Flow'!AP$4,'Sponsor Pro Forma'!$M$7:$P$7,0)))</f>
        <v>0</v>
      </c>
      <c r="AQ66" s="400">
        <f>IF(AQ$4&gt;4,-AQ$63*'Sponsor Pro Forma'!$Q10,-('Monthly Cash Flow'!AQ$63+AQ65)*INDEX('Sponsor Pro Forma'!$M$10:$P$12,MATCH('Monthly Cash Flow'!$B66,'Sponsor Pro Forma'!$B$10:$B$12,0),MATCH('Monthly Cash Flow'!AQ$4,'Sponsor Pro Forma'!$M$7:$P$7,0)))</f>
        <v>0</v>
      </c>
      <c r="AR66" s="400">
        <f>IF(AR$4&gt;4,-AR$63*'Sponsor Pro Forma'!$Q10,-('Monthly Cash Flow'!AR$63+AR65)*INDEX('Sponsor Pro Forma'!$M$10:$P$12,MATCH('Monthly Cash Flow'!$B66,'Sponsor Pro Forma'!$B$10:$B$12,0),MATCH('Monthly Cash Flow'!AR$4,'Sponsor Pro Forma'!$M$7:$P$7,0)))</f>
        <v>0</v>
      </c>
      <c r="AS66" s="400">
        <f>IF(AS$4&gt;4,-AS$63*'Sponsor Pro Forma'!$Q10,-('Monthly Cash Flow'!AS$63+AS65)*INDEX('Sponsor Pro Forma'!$M$10:$P$12,MATCH('Monthly Cash Flow'!$B66,'Sponsor Pro Forma'!$B$10:$B$12,0),MATCH('Monthly Cash Flow'!AS$4,'Sponsor Pro Forma'!$M$7:$P$7,0)))</f>
        <v>0</v>
      </c>
      <c r="AT66" s="400">
        <f>IF(AT$4&gt;4,-AT$63*'Sponsor Pro Forma'!$Q10,-('Monthly Cash Flow'!AT$63+AT65)*INDEX('Sponsor Pro Forma'!$M$10:$P$12,MATCH('Monthly Cash Flow'!$B66,'Sponsor Pro Forma'!$B$10:$B$12,0),MATCH('Monthly Cash Flow'!AT$4,'Sponsor Pro Forma'!$M$7:$P$7,0)))</f>
        <v>0</v>
      </c>
      <c r="AU66" s="400">
        <f>IF(AU$4&gt;4,-AU$63*'Sponsor Pro Forma'!$Q10,-('Monthly Cash Flow'!AU$63+AU65)*INDEX('Sponsor Pro Forma'!$M$10:$P$12,MATCH('Monthly Cash Flow'!$B66,'Sponsor Pro Forma'!$B$10:$B$12,0),MATCH('Monthly Cash Flow'!AU$4,'Sponsor Pro Forma'!$M$7:$P$7,0)))</f>
        <v>0</v>
      </c>
      <c r="AV66" s="400">
        <f>IF(AV$4&gt;4,-AV$63*'Sponsor Pro Forma'!$Q10,-('Monthly Cash Flow'!AV$63+AV65)*INDEX('Sponsor Pro Forma'!$M$10:$P$12,MATCH('Monthly Cash Flow'!$B66,'Sponsor Pro Forma'!$B$10:$B$12,0),MATCH('Monthly Cash Flow'!AV$4,'Sponsor Pro Forma'!$M$7:$P$7,0)))</f>
        <v>0</v>
      </c>
      <c r="AW66" s="400">
        <f>IF(AW$4&gt;4,-AW$63*'Sponsor Pro Forma'!$Q10,-('Monthly Cash Flow'!AW$63+AW65)*INDEX('Sponsor Pro Forma'!$M$10:$P$12,MATCH('Monthly Cash Flow'!$B66,'Sponsor Pro Forma'!$B$10:$B$12,0),MATCH('Monthly Cash Flow'!AW$4,'Sponsor Pro Forma'!$M$7:$P$7,0)))</f>
        <v>0</v>
      </c>
      <c r="AX66" s="400">
        <f>IF(AX$4&gt;4,-AX$63*'Sponsor Pro Forma'!$Q10,-('Monthly Cash Flow'!AX$63+AX65)*INDEX('Sponsor Pro Forma'!$M$10:$P$12,MATCH('Monthly Cash Flow'!$B66,'Sponsor Pro Forma'!$B$10:$B$12,0),MATCH('Monthly Cash Flow'!AX$4,'Sponsor Pro Forma'!$M$7:$P$7,0)))</f>
        <v>0</v>
      </c>
      <c r="AY66" s="400">
        <f>IF(AY$4&gt;4,-AY$63*'Sponsor Pro Forma'!$Q10,-('Monthly Cash Flow'!AY$63+AY65)*INDEX('Sponsor Pro Forma'!$M$10:$P$12,MATCH('Monthly Cash Flow'!$B66,'Sponsor Pro Forma'!$B$10:$B$12,0),MATCH('Monthly Cash Flow'!AY$4,'Sponsor Pro Forma'!$M$7:$P$7,0)))</f>
        <v>0</v>
      </c>
      <c r="AZ66" s="400">
        <f>IF(AZ$4&gt;4,-AZ$63*'Sponsor Pro Forma'!$Q10,-('Monthly Cash Flow'!AZ$63+AZ65)*INDEX('Sponsor Pro Forma'!$M$10:$P$12,MATCH('Monthly Cash Flow'!$B66,'Sponsor Pro Forma'!$B$10:$B$12,0),MATCH('Monthly Cash Flow'!AZ$4,'Sponsor Pro Forma'!$M$7:$P$7,0)))</f>
        <v>0</v>
      </c>
      <c r="BA66" s="400">
        <f>IF(BA$4&gt;4,-BA$63*'Sponsor Pro Forma'!$Q10,-('Monthly Cash Flow'!BA$63+BA65)*INDEX('Sponsor Pro Forma'!$M$10:$P$12,MATCH('Monthly Cash Flow'!$B66,'Sponsor Pro Forma'!$B$10:$B$12,0),MATCH('Monthly Cash Flow'!BA$4,'Sponsor Pro Forma'!$M$7:$P$7,0)))</f>
        <v>0</v>
      </c>
      <c r="BB66" s="400">
        <f>IF(BB$4&gt;4,-BB$63*'Sponsor Pro Forma'!$Q10,-('Monthly Cash Flow'!BB$63+BB65)*INDEX('Sponsor Pro Forma'!$M$10:$P$12,MATCH('Monthly Cash Flow'!$B66,'Sponsor Pro Forma'!$B$10:$B$12,0),MATCH('Monthly Cash Flow'!BB$4,'Sponsor Pro Forma'!$M$7:$P$7,0)))</f>
        <v>0</v>
      </c>
      <c r="BC66" s="400">
        <f>IF(BC$4&gt;4,-BC$63*'Sponsor Pro Forma'!$Q10,-('Monthly Cash Flow'!BC$63+BC65)*INDEX('Sponsor Pro Forma'!$M$10:$P$12,MATCH('Monthly Cash Flow'!$B66,'Sponsor Pro Forma'!$B$10:$B$12,0),MATCH('Monthly Cash Flow'!BC$4,'Sponsor Pro Forma'!$M$7:$P$7,0)))</f>
        <v>0</v>
      </c>
      <c r="BD66" s="400">
        <f>IF(BD$4&gt;4,-BD$63*'Sponsor Pro Forma'!$Q10,-('Monthly Cash Flow'!BD$63+BD65)*INDEX('Sponsor Pro Forma'!$M$10:$P$12,MATCH('Monthly Cash Flow'!$B66,'Sponsor Pro Forma'!$B$10:$B$12,0),MATCH('Monthly Cash Flow'!BD$4,'Sponsor Pro Forma'!$M$7:$P$7,0)))</f>
        <v>0</v>
      </c>
      <c r="BE66" s="400">
        <f>IF(BE$4&gt;4,-BE$63*'Sponsor Pro Forma'!$Q10,-('Monthly Cash Flow'!BE$63+BE65)*INDEX('Sponsor Pro Forma'!$M$10:$P$12,MATCH('Monthly Cash Flow'!$B66,'Sponsor Pro Forma'!$B$10:$B$12,0),MATCH('Monthly Cash Flow'!BE$4,'Sponsor Pro Forma'!$M$7:$P$7,0)))</f>
        <v>0</v>
      </c>
      <c r="BF66" s="400">
        <f>IF(BF$4&gt;4,-BF$63*'Sponsor Pro Forma'!$Q10,-('Monthly Cash Flow'!BF$63+BF65)*INDEX('Sponsor Pro Forma'!$M$10:$P$12,MATCH('Monthly Cash Flow'!$B66,'Sponsor Pro Forma'!$B$10:$B$12,0),MATCH('Monthly Cash Flow'!BF$4,'Sponsor Pro Forma'!$M$7:$P$7,0)))</f>
        <v>0</v>
      </c>
      <c r="BG66" s="400">
        <f>IF(BG$4&gt;4,-BG$63*'Sponsor Pro Forma'!$Q10,-('Monthly Cash Flow'!BG$63+BG65)*INDEX('Sponsor Pro Forma'!$M$10:$P$12,MATCH('Monthly Cash Flow'!$B66,'Sponsor Pro Forma'!$B$10:$B$12,0),MATCH('Monthly Cash Flow'!BG$4,'Sponsor Pro Forma'!$M$7:$P$7,0)))</f>
        <v>0</v>
      </c>
      <c r="BH66" s="400">
        <f>IF(BH$4&gt;4,-BH$63*'Sponsor Pro Forma'!$Q10,-('Monthly Cash Flow'!BH$63+BH65)*INDEX('Sponsor Pro Forma'!$M$10:$P$12,MATCH('Monthly Cash Flow'!$B66,'Sponsor Pro Forma'!$B$10:$B$12,0),MATCH('Monthly Cash Flow'!BH$4,'Sponsor Pro Forma'!$M$7:$P$7,0)))</f>
        <v>0</v>
      </c>
      <c r="BI66" s="400">
        <f>IF(BI$4&gt;4,-BI$63*'Sponsor Pro Forma'!$Q10,-('Monthly Cash Flow'!BI$63+BI65)*INDEX('Sponsor Pro Forma'!$M$10:$P$12,MATCH('Monthly Cash Flow'!$B66,'Sponsor Pro Forma'!$B$10:$B$12,0),MATCH('Monthly Cash Flow'!BI$4,'Sponsor Pro Forma'!$M$7:$P$7,0)))</f>
        <v>0</v>
      </c>
      <c r="BJ66" s="400">
        <f>IF(BJ$4&gt;4,-BJ$63*'Sponsor Pro Forma'!$Q10,-('Monthly Cash Flow'!BJ$63+BJ65)*INDEX('Sponsor Pro Forma'!$M$10:$P$12,MATCH('Monthly Cash Flow'!$B66,'Sponsor Pro Forma'!$B$10:$B$12,0),MATCH('Monthly Cash Flow'!BJ$4,'Sponsor Pro Forma'!$M$7:$P$7,0)))</f>
        <v>0</v>
      </c>
      <c r="BK66" s="400">
        <f>IF(BK$4&gt;4,-BK$63*'Sponsor Pro Forma'!$Q10,-('Monthly Cash Flow'!BK$63+BK65)*INDEX('Sponsor Pro Forma'!$M$10:$P$12,MATCH('Monthly Cash Flow'!$B66,'Sponsor Pro Forma'!$B$10:$B$12,0),MATCH('Monthly Cash Flow'!BK$4,'Sponsor Pro Forma'!$M$7:$P$7,0)))</f>
        <v>0</v>
      </c>
      <c r="BL66" s="400">
        <f>IF(BL$4&gt;4,-BL$63*'Sponsor Pro Forma'!$Q10,-('Monthly Cash Flow'!BL$63+BL65)*INDEX('Sponsor Pro Forma'!$M$10:$P$12,MATCH('Monthly Cash Flow'!$B66,'Sponsor Pro Forma'!$B$10:$B$12,0),MATCH('Monthly Cash Flow'!BL$4,'Sponsor Pro Forma'!$M$7:$P$7,0)))</f>
        <v>0</v>
      </c>
      <c r="BM66" s="400">
        <f>IF(BM$4&gt;4,-BM$63*'Sponsor Pro Forma'!$Q10,-('Monthly Cash Flow'!BM$63+BM65)*INDEX('Sponsor Pro Forma'!$M$10:$P$12,MATCH('Monthly Cash Flow'!$B66,'Sponsor Pro Forma'!$B$10:$B$12,0),MATCH('Monthly Cash Flow'!BM$4,'Sponsor Pro Forma'!$M$7:$P$7,0)))</f>
        <v>0</v>
      </c>
      <c r="BN66" s="400">
        <f>IF(BN$4&gt;4,-BN$63*'Sponsor Pro Forma'!$Q10,-('Monthly Cash Flow'!BN$63+BN65)*INDEX('Sponsor Pro Forma'!$M$10:$P$12,MATCH('Monthly Cash Flow'!$B66,'Sponsor Pro Forma'!$B$10:$B$12,0),MATCH('Monthly Cash Flow'!BN$4,'Sponsor Pro Forma'!$M$7:$P$7,0)))</f>
        <v>0</v>
      </c>
      <c r="BO66" s="400">
        <f>IF(BO$4&gt;4,-BO$63*'Sponsor Pro Forma'!$Q10,-('Monthly Cash Flow'!BO$63+BO65)*INDEX('Sponsor Pro Forma'!$M$10:$P$12,MATCH('Monthly Cash Flow'!$B66,'Sponsor Pro Forma'!$B$10:$B$12,0),MATCH('Monthly Cash Flow'!BO$4,'Sponsor Pro Forma'!$M$7:$P$7,0)))</f>
        <v>0</v>
      </c>
      <c r="BP66" s="400">
        <f>IF(BP$4&gt;4,-BP$63*'Sponsor Pro Forma'!$Q10,-('Monthly Cash Flow'!BP$63+BP65)*INDEX('Sponsor Pro Forma'!$M$10:$P$12,MATCH('Monthly Cash Flow'!$B66,'Sponsor Pro Forma'!$B$10:$B$12,0),MATCH('Monthly Cash Flow'!BP$4,'Sponsor Pro Forma'!$M$7:$P$7,0)))</f>
        <v>0</v>
      </c>
      <c r="BQ66" s="400">
        <f>IF(BQ$4&gt;4,-BQ$63*'Sponsor Pro Forma'!$Q10,-('Monthly Cash Flow'!BQ$63+BQ65)*INDEX('Sponsor Pro Forma'!$M$10:$P$12,MATCH('Monthly Cash Flow'!$B66,'Sponsor Pro Forma'!$B$10:$B$12,0),MATCH('Monthly Cash Flow'!BQ$4,'Sponsor Pro Forma'!$M$7:$P$7,0)))</f>
        <v>0</v>
      </c>
      <c r="BR66" s="400">
        <f>IF(BR$4&gt;4,-BR$63*'Sponsor Pro Forma'!$Q10,-('Monthly Cash Flow'!BR$63+BR65)*INDEX('Sponsor Pro Forma'!$M$10:$P$12,MATCH('Monthly Cash Flow'!$B66,'Sponsor Pro Forma'!$B$10:$B$12,0),MATCH('Monthly Cash Flow'!BR$4,'Sponsor Pro Forma'!$M$7:$P$7,0)))</f>
        <v>0</v>
      </c>
      <c r="BS66" s="400">
        <f>IF(BS$4&gt;4,-BS$63*'Sponsor Pro Forma'!$Q10,-('Monthly Cash Flow'!BS$63+BS65)*INDEX('Sponsor Pro Forma'!$M$10:$P$12,MATCH('Monthly Cash Flow'!$B66,'Sponsor Pro Forma'!$B$10:$B$12,0),MATCH('Monthly Cash Flow'!BS$4,'Sponsor Pro Forma'!$M$7:$P$7,0)))</f>
        <v>0</v>
      </c>
      <c r="BT66" s="400">
        <f>IF(BT$4&gt;4,-BT$63*'Sponsor Pro Forma'!$Q10,-('Monthly Cash Flow'!BT$63+BT65)*INDEX('Sponsor Pro Forma'!$M$10:$P$12,MATCH('Monthly Cash Flow'!$B66,'Sponsor Pro Forma'!$B$10:$B$12,0),MATCH('Monthly Cash Flow'!BT$4,'Sponsor Pro Forma'!$M$7:$P$7,0)))</f>
        <v>0</v>
      </c>
      <c r="BU66" s="400">
        <f>IF(BU$4&gt;4,-BU$63*'Sponsor Pro Forma'!$Q10,-('Monthly Cash Flow'!BU$63+BU65)*INDEX('Sponsor Pro Forma'!$M$10:$P$12,MATCH('Monthly Cash Flow'!$B66,'Sponsor Pro Forma'!$B$10:$B$12,0),MATCH('Monthly Cash Flow'!BU$4,'Sponsor Pro Forma'!$M$7:$P$7,0)))</f>
        <v>0</v>
      </c>
      <c r="BV66" s="400">
        <f>IF(BV$4&gt;4,-BV$63*'Sponsor Pro Forma'!$Q10,-('Monthly Cash Flow'!BV$63+BV65)*INDEX('Sponsor Pro Forma'!$M$10:$P$12,MATCH('Monthly Cash Flow'!$B66,'Sponsor Pro Forma'!$B$10:$B$12,0),MATCH('Monthly Cash Flow'!BV$4,'Sponsor Pro Forma'!$M$7:$P$7,0)))</f>
        <v>0</v>
      </c>
      <c r="BW66" s="400">
        <f>IF(BW$4&gt;4,-BW$63*'Sponsor Pro Forma'!$Q10,-('Monthly Cash Flow'!BW$63+BW65)*INDEX('Sponsor Pro Forma'!$M$10:$P$12,MATCH('Monthly Cash Flow'!$B66,'Sponsor Pro Forma'!$B$10:$B$12,0),MATCH('Monthly Cash Flow'!BW$4,'Sponsor Pro Forma'!$M$7:$P$7,0)))</f>
        <v>0</v>
      </c>
      <c r="BX66" s="400">
        <f>IF(BX$4&gt;4,-BX$63*'Sponsor Pro Forma'!$Q10,-('Monthly Cash Flow'!BX$63+BX65)*INDEX('Sponsor Pro Forma'!$M$10:$P$12,MATCH('Monthly Cash Flow'!$B66,'Sponsor Pro Forma'!$B$10:$B$12,0),MATCH('Monthly Cash Flow'!BX$4,'Sponsor Pro Forma'!$M$7:$P$7,0)))</f>
        <v>0</v>
      </c>
      <c r="BY66" s="400">
        <f>IF(BY$4&gt;4,-BY$63*'Sponsor Pro Forma'!$Q10,-('Monthly Cash Flow'!BY$63+BY65)*INDEX('Sponsor Pro Forma'!$M$10:$P$12,MATCH('Monthly Cash Flow'!$B66,'Sponsor Pro Forma'!$B$10:$B$12,0),MATCH('Monthly Cash Flow'!BY$4,'Sponsor Pro Forma'!$M$7:$P$7,0)))</f>
        <v>0</v>
      </c>
      <c r="BZ66" s="400">
        <f>IF(BZ$4&gt;4,-BZ$63*'Sponsor Pro Forma'!$Q10,-('Monthly Cash Flow'!BZ$63+BZ65)*INDEX('Sponsor Pro Forma'!$M$10:$P$12,MATCH('Monthly Cash Flow'!$B66,'Sponsor Pro Forma'!$B$10:$B$12,0),MATCH('Monthly Cash Flow'!BZ$4,'Sponsor Pro Forma'!$M$7:$P$7,0)))</f>
        <v>0</v>
      </c>
      <c r="CA66" s="400">
        <f>IF(CA$4&gt;4,-CA$63*'Sponsor Pro Forma'!$Q10,-('Monthly Cash Flow'!CA$63+CA65)*INDEX('Sponsor Pro Forma'!$M$10:$P$12,MATCH('Monthly Cash Flow'!$B66,'Sponsor Pro Forma'!$B$10:$B$12,0),MATCH('Monthly Cash Flow'!CA$4,'Sponsor Pro Forma'!$M$7:$P$7,0)))</f>
        <v>0</v>
      </c>
      <c r="CB66" s="400">
        <f>IF(CB$4&gt;4,-CB$63*'Sponsor Pro Forma'!$Q10,-('Monthly Cash Flow'!CB$63+CB65)*INDEX('Sponsor Pro Forma'!$M$10:$P$12,MATCH('Monthly Cash Flow'!$B66,'Sponsor Pro Forma'!$B$10:$B$12,0),MATCH('Monthly Cash Flow'!CB$4,'Sponsor Pro Forma'!$M$7:$P$7,0)))</f>
        <v>0</v>
      </c>
      <c r="CC66" s="400">
        <f>IF(CC$4&gt;4,-CC$63*'Sponsor Pro Forma'!$Q10,-('Monthly Cash Flow'!CC$63+CC65)*INDEX('Sponsor Pro Forma'!$M$10:$P$12,MATCH('Monthly Cash Flow'!$B66,'Sponsor Pro Forma'!$B$10:$B$12,0),MATCH('Monthly Cash Flow'!CC$4,'Sponsor Pro Forma'!$M$7:$P$7,0)))</f>
        <v>0</v>
      </c>
      <c r="CD66" s="400">
        <f>IF(CD$4&gt;4,-CD$63*'Sponsor Pro Forma'!$Q10,-('Monthly Cash Flow'!CD$63+CD65)*INDEX('Sponsor Pro Forma'!$M$10:$P$12,MATCH('Monthly Cash Flow'!$B66,'Sponsor Pro Forma'!$B$10:$B$12,0),MATCH('Monthly Cash Flow'!CD$4,'Sponsor Pro Forma'!$M$7:$P$7,0)))</f>
        <v>0</v>
      </c>
      <c r="CE66" s="400">
        <f>IF(CE$4&gt;4,-CE$63*'Sponsor Pro Forma'!$Q10,-('Monthly Cash Flow'!CE$63+CE65)*INDEX('Sponsor Pro Forma'!$M$10:$P$12,MATCH('Monthly Cash Flow'!$B66,'Sponsor Pro Forma'!$B$10:$B$12,0),MATCH('Monthly Cash Flow'!CE$4,'Sponsor Pro Forma'!$M$7:$P$7,0)))</f>
        <v>0</v>
      </c>
      <c r="CF66" s="400">
        <f>IF(CF$4&gt;4,-CF$63*'Sponsor Pro Forma'!$Q10,-('Monthly Cash Flow'!CF$63+CF65)*INDEX('Sponsor Pro Forma'!$M$10:$P$12,MATCH('Monthly Cash Flow'!$B66,'Sponsor Pro Forma'!$B$10:$B$12,0),MATCH('Monthly Cash Flow'!CF$4,'Sponsor Pro Forma'!$M$7:$P$7,0)))</f>
        <v>0</v>
      </c>
      <c r="CG66" s="400">
        <f>IF(CG$4&gt;4,-CG$63*'Sponsor Pro Forma'!$Q10,-('Monthly Cash Flow'!CG$63+CG65)*INDEX('Sponsor Pro Forma'!$M$10:$P$12,MATCH('Monthly Cash Flow'!$B66,'Sponsor Pro Forma'!$B$10:$B$12,0),MATCH('Monthly Cash Flow'!CG$4,'Sponsor Pro Forma'!$M$7:$P$7,0)))</f>
        <v>0</v>
      </c>
      <c r="CH66" s="400">
        <f>IF(CH$4&gt;4,-CH$63*'Sponsor Pro Forma'!$Q10,-('Monthly Cash Flow'!CH$63+CH65)*INDEX('Sponsor Pro Forma'!$M$10:$P$12,MATCH('Monthly Cash Flow'!$B66,'Sponsor Pro Forma'!$B$10:$B$12,0),MATCH('Monthly Cash Flow'!CH$4,'Sponsor Pro Forma'!$M$7:$P$7,0)))</f>
        <v>0</v>
      </c>
      <c r="CI66" s="400">
        <f>IF(CI$4&gt;4,-CI$63*'Sponsor Pro Forma'!$Q10,-('Monthly Cash Flow'!CI$63+CI65)*INDEX('Sponsor Pro Forma'!$M$10:$P$12,MATCH('Monthly Cash Flow'!$B66,'Sponsor Pro Forma'!$B$10:$B$12,0),MATCH('Monthly Cash Flow'!CI$4,'Sponsor Pro Forma'!$M$7:$P$7,0)))</f>
        <v>0</v>
      </c>
      <c r="CJ66" s="400">
        <f>IF(CJ$4&gt;4,-CJ$63*'Sponsor Pro Forma'!$Q10,-('Monthly Cash Flow'!CJ$63+CJ65)*INDEX('Sponsor Pro Forma'!$M$10:$P$12,MATCH('Monthly Cash Flow'!$B66,'Sponsor Pro Forma'!$B$10:$B$12,0),MATCH('Monthly Cash Flow'!CJ$4,'Sponsor Pro Forma'!$M$7:$P$7,0)))</f>
        <v>0</v>
      </c>
      <c r="CK66" s="400">
        <f>IF(CK$4&gt;4,-CK$63*'Sponsor Pro Forma'!$Q10,-('Monthly Cash Flow'!CK$63+CK65)*INDEX('Sponsor Pro Forma'!$M$10:$P$12,MATCH('Monthly Cash Flow'!$B66,'Sponsor Pro Forma'!$B$10:$B$12,0),MATCH('Monthly Cash Flow'!CK$4,'Sponsor Pro Forma'!$M$7:$P$7,0)))</f>
        <v>0</v>
      </c>
      <c r="CL66" s="400">
        <f>IF(CL$4&gt;4,-CL$63*'Sponsor Pro Forma'!$Q10,-('Monthly Cash Flow'!CL$63+CL65)*INDEX('Sponsor Pro Forma'!$M$10:$P$12,MATCH('Monthly Cash Flow'!$B66,'Sponsor Pro Forma'!$B$10:$B$12,0),MATCH('Monthly Cash Flow'!CL$4,'Sponsor Pro Forma'!$M$7:$P$7,0)))</f>
        <v>0</v>
      </c>
      <c r="CM66" s="400">
        <f>IF(CM$4&gt;4,-CM$63*'Sponsor Pro Forma'!$Q10,-('Monthly Cash Flow'!CM$63+CM65)*INDEX('Sponsor Pro Forma'!$M$10:$P$12,MATCH('Monthly Cash Flow'!$B66,'Sponsor Pro Forma'!$B$10:$B$12,0),MATCH('Monthly Cash Flow'!CM$4,'Sponsor Pro Forma'!$M$7:$P$7,0)))</f>
        <v>0</v>
      </c>
      <c r="CN66" s="400">
        <f>IF(CN$4&gt;4,-CN$63*'Sponsor Pro Forma'!$Q10,-('Monthly Cash Flow'!CN$63+CN65)*INDEX('Sponsor Pro Forma'!$M$10:$P$12,MATCH('Monthly Cash Flow'!$B66,'Sponsor Pro Forma'!$B$10:$B$12,0),MATCH('Monthly Cash Flow'!CN$4,'Sponsor Pro Forma'!$M$7:$P$7,0)))</f>
        <v>0</v>
      </c>
      <c r="CO66" s="400">
        <f>IF(CO$4&gt;4,-CO$63*'Sponsor Pro Forma'!$Q10,-('Monthly Cash Flow'!CO$63+CO65)*INDEX('Sponsor Pro Forma'!$M$10:$P$12,MATCH('Monthly Cash Flow'!$B66,'Sponsor Pro Forma'!$B$10:$B$12,0),MATCH('Monthly Cash Flow'!CO$4,'Sponsor Pro Forma'!$M$7:$P$7,0)))</f>
        <v>0</v>
      </c>
      <c r="CP66" s="400">
        <f>IF(CP$4&gt;4,-CP$63*'Sponsor Pro Forma'!$Q10,-('Monthly Cash Flow'!CP$63+CP65)*INDEX('Sponsor Pro Forma'!$M$10:$P$12,MATCH('Monthly Cash Flow'!$B66,'Sponsor Pro Forma'!$B$10:$B$12,0),MATCH('Monthly Cash Flow'!CP$4,'Sponsor Pro Forma'!$M$7:$P$7,0)))</f>
        <v>0</v>
      </c>
      <c r="CQ66" s="400">
        <f>IF(CQ$4&gt;4,-CQ$63*'Sponsor Pro Forma'!$Q10,-('Monthly Cash Flow'!CQ$63+CQ65)*INDEX('Sponsor Pro Forma'!$M$10:$P$12,MATCH('Monthly Cash Flow'!$B66,'Sponsor Pro Forma'!$B$10:$B$12,0),MATCH('Monthly Cash Flow'!CQ$4,'Sponsor Pro Forma'!$M$7:$P$7,0)))</f>
        <v>0</v>
      </c>
      <c r="CR66" s="400">
        <f>IF(CR$4&gt;4,-CR$63*'Sponsor Pro Forma'!$Q10,-('Monthly Cash Flow'!CR$63+CR65)*INDEX('Sponsor Pro Forma'!$M$10:$P$12,MATCH('Monthly Cash Flow'!$B66,'Sponsor Pro Forma'!$B$10:$B$12,0),MATCH('Monthly Cash Flow'!CR$4,'Sponsor Pro Forma'!$M$7:$P$7,0)))</f>
        <v>0</v>
      </c>
      <c r="CS66" s="400">
        <f>IF(CS$4&gt;4,-CS$63*'Sponsor Pro Forma'!$Q10,-('Monthly Cash Flow'!CS$63+CS65)*INDEX('Sponsor Pro Forma'!$M$10:$P$12,MATCH('Monthly Cash Flow'!$B66,'Sponsor Pro Forma'!$B$10:$B$12,0),MATCH('Monthly Cash Flow'!CS$4,'Sponsor Pro Forma'!$M$7:$P$7,0)))</f>
        <v>0</v>
      </c>
      <c r="CT66" s="400">
        <f>IF(CT$4&gt;4,-CT$63*'Sponsor Pro Forma'!$Q10,-('Monthly Cash Flow'!CT$63+CT65)*INDEX('Sponsor Pro Forma'!$M$10:$P$12,MATCH('Monthly Cash Flow'!$B66,'Sponsor Pro Forma'!$B$10:$B$12,0),MATCH('Monthly Cash Flow'!CT$4,'Sponsor Pro Forma'!$M$7:$P$7,0)))</f>
        <v>0</v>
      </c>
      <c r="CU66" s="400">
        <f>IF(CU$4&gt;4,-CU$63*'Sponsor Pro Forma'!$Q10,-('Monthly Cash Flow'!CU$63+CU65)*INDEX('Sponsor Pro Forma'!$M$10:$P$12,MATCH('Monthly Cash Flow'!$B66,'Sponsor Pro Forma'!$B$10:$B$12,0),MATCH('Monthly Cash Flow'!CU$4,'Sponsor Pro Forma'!$M$7:$P$7,0)))</f>
        <v>0</v>
      </c>
      <c r="CV66" s="400">
        <f>IF(CV$4&gt;4,-CV$63*'Sponsor Pro Forma'!$Q10,-('Monthly Cash Flow'!CV$63+CV65)*INDEX('Sponsor Pro Forma'!$M$10:$P$12,MATCH('Monthly Cash Flow'!$B66,'Sponsor Pro Forma'!$B$10:$B$12,0),MATCH('Monthly Cash Flow'!CV$4,'Sponsor Pro Forma'!$M$7:$P$7,0)))</f>
        <v>0</v>
      </c>
      <c r="CW66" s="400">
        <f>IF(CW$4&gt;4,-CW$63*'Sponsor Pro Forma'!$Q10,-('Monthly Cash Flow'!CW$63+CW65)*INDEX('Sponsor Pro Forma'!$M$10:$P$12,MATCH('Monthly Cash Flow'!$B66,'Sponsor Pro Forma'!$B$10:$B$12,0),MATCH('Monthly Cash Flow'!CW$4,'Sponsor Pro Forma'!$M$7:$P$7,0)))</f>
        <v>0</v>
      </c>
      <c r="CX66" s="400">
        <f>IF(CX$4&gt;4,-CX$63*'Sponsor Pro Forma'!$Q10,-('Monthly Cash Flow'!CX$63+CX65)*INDEX('Sponsor Pro Forma'!$M$10:$P$12,MATCH('Monthly Cash Flow'!$B66,'Sponsor Pro Forma'!$B$10:$B$12,0),MATCH('Monthly Cash Flow'!CX$4,'Sponsor Pro Forma'!$M$7:$P$7,0)))</f>
        <v>0</v>
      </c>
      <c r="CY66" s="400">
        <f>IF(CY$4&gt;4,-CY$63*'Sponsor Pro Forma'!$Q10,-('Monthly Cash Flow'!CY$63+CY65)*INDEX('Sponsor Pro Forma'!$M$10:$P$12,MATCH('Monthly Cash Flow'!$B66,'Sponsor Pro Forma'!$B$10:$B$12,0),MATCH('Monthly Cash Flow'!CY$4,'Sponsor Pro Forma'!$M$7:$P$7,0)))</f>
        <v>0</v>
      </c>
      <c r="CZ66" s="400">
        <f>IF(CZ$4&gt;4,-CZ$63*'Sponsor Pro Forma'!$Q10,-('Monthly Cash Flow'!CZ$63+CZ65)*INDEX('Sponsor Pro Forma'!$M$10:$P$12,MATCH('Monthly Cash Flow'!$B66,'Sponsor Pro Forma'!$B$10:$B$12,0),MATCH('Monthly Cash Flow'!CZ$4,'Sponsor Pro Forma'!$M$7:$P$7,0)))</f>
        <v>0</v>
      </c>
      <c r="DA66" s="400">
        <f>IF(DA$4&gt;4,-DA$63*'Sponsor Pro Forma'!$Q10,-('Monthly Cash Flow'!DA$63+DA65)*INDEX('Sponsor Pro Forma'!$M$10:$P$12,MATCH('Monthly Cash Flow'!$B66,'Sponsor Pro Forma'!$B$10:$B$12,0),MATCH('Monthly Cash Flow'!DA$4,'Sponsor Pro Forma'!$M$7:$P$7,0)))</f>
        <v>0</v>
      </c>
      <c r="DB66" s="400">
        <f>IF(DB$4&gt;4,-DB$63*'Sponsor Pro Forma'!$Q10,-('Monthly Cash Flow'!DB$63+DB65)*INDEX('Sponsor Pro Forma'!$M$10:$P$12,MATCH('Monthly Cash Flow'!$B66,'Sponsor Pro Forma'!$B$10:$B$12,0),MATCH('Monthly Cash Flow'!DB$4,'Sponsor Pro Forma'!$M$7:$P$7,0)))</f>
        <v>0</v>
      </c>
      <c r="DC66" s="400">
        <f>IF(DC$4&gt;4,-DC$63*'Sponsor Pro Forma'!$Q10,-('Monthly Cash Flow'!DC$63+DC65)*INDEX('Sponsor Pro Forma'!$M$10:$P$12,MATCH('Monthly Cash Flow'!$B66,'Sponsor Pro Forma'!$B$10:$B$12,0),MATCH('Monthly Cash Flow'!DC$4,'Sponsor Pro Forma'!$M$7:$P$7,0)))</f>
        <v>0</v>
      </c>
      <c r="DD66" s="400">
        <f>IF(DD$4&gt;4,-DD$63*'Sponsor Pro Forma'!$Q10,-('Monthly Cash Flow'!DD$63+DD65)*INDEX('Sponsor Pro Forma'!$M$10:$P$12,MATCH('Monthly Cash Flow'!$B66,'Sponsor Pro Forma'!$B$10:$B$12,0),MATCH('Monthly Cash Flow'!DD$4,'Sponsor Pro Forma'!$M$7:$P$7,0)))</f>
        <v>0</v>
      </c>
      <c r="DE66" s="400">
        <f>IF(DE$4&gt;4,-DE$63*'Sponsor Pro Forma'!$Q10,-('Monthly Cash Flow'!DE$63+DE65)*INDEX('Sponsor Pro Forma'!$M$10:$P$12,MATCH('Monthly Cash Flow'!$B66,'Sponsor Pro Forma'!$B$10:$B$12,0),MATCH('Monthly Cash Flow'!DE$4,'Sponsor Pro Forma'!$M$7:$P$7,0)))</f>
        <v>0</v>
      </c>
      <c r="DF66" s="400">
        <f>IF(DF$4&gt;4,-DF$63*'Sponsor Pro Forma'!$Q10,-('Monthly Cash Flow'!DF$63+DF65)*INDEX('Sponsor Pro Forma'!$M$10:$P$12,MATCH('Monthly Cash Flow'!$B66,'Sponsor Pro Forma'!$B$10:$B$12,0),MATCH('Monthly Cash Flow'!DF$4,'Sponsor Pro Forma'!$M$7:$P$7,0)))</f>
        <v>0</v>
      </c>
      <c r="DG66" s="400">
        <f>IF(DG$4&gt;4,-DG$63*'Sponsor Pro Forma'!$Q10,-('Monthly Cash Flow'!DG$63+DG65)*INDEX('Sponsor Pro Forma'!$M$10:$P$12,MATCH('Monthly Cash Flow'!$B66,'Sponsor Pro Forma'!$B$10:$B$12,0),MATCH('Monthly Cash Flow'!DG$4,'Sponsor Pro Forma'!$M$7:$P$7,0)))</f>
        <v>0</v>
      </c>
      <c r="DH66" s="400">
        <f>IF(DH$4&gt;4,-DH$63*'Sponsor Pro Forma'!$Q10,-('Monthly Cash Flow'!DH$63+DH65)*INDEX('Sponsor Pro Forma'!$M$10:$P$12,MATCH('Monthly Cash Flow'!$B66,'Sponsor Pro Forma'!$B$10:$B$12,0),MATCH('Monthly Cash Flow'!DH$4,'Sponsor Pro Forma'!$M$7:$P$7,0)))</f>
        <v>0</v>
      </c>
      <c r="DI66" s="400">
        <f>IF(DI$4&gt;4,-DI$63*'Sponsor Pro Forma'!$Q10,-('Monthly Cash Flow'!DI$63+DI65)*INDEX('Sponsor Pro Forma'!$M$10:$P$12,MATCH('Monthly Cash Flow'!$B66,'Sponsor Pro Forma'!$B$10:$B$12,0),MATCH('Monthly Cash Flow'!DI$4,'Sponsor Pro Forma'!$M$7:$P$7,0)))</f>
        <v>0</v>
      </c>
      <c r="DJ66" s="400">
        <f>IF(DJ$4&gt;4,-DJ$63*'Sponsor Pro Forma'!$Q10,-('Monthly Cash Flow'!DJ$63+DJ65)*INDEX('Sponsor Pro Forma'!$M$10:$P$12,MATCH('Monthly Cash Flow'!$B66,'Sponsor Pro Forma'!$B$10:$B$12,0),MATCH('Monthly Cash Flow'!DJ$4,'Sponsor Pro Forma'!$M$7:$P$7,0)))</f>
        <v>0</v>
      </c>
      <c r="DK66" s="400">
        <f>IF(DK$4&gt;4,-DK$63*'Sponsor Pro Forma'!$Q10,-('Monthly Cash Flow'!DK$63+DK65)*INDEX('Sponsor Pro Forma'!$M$10:$P$12,MATCH('Monthly Cash Flow'!$B66,'Sponsor Pro Forma'!$B$10:$B$12,0),MATCH('Monthly Cash Flow'!DK$4,'Sponsor Pro Forma'!$M$7:$P$7,0)))</f>
        <v>0</v>
      </c>
      <c r="DL66" s="400">
        <f>IF(DL$4&gt;4,-DL$63*'Sponsor Pro Forma'!$Q10,-('Monthly Cash Flow'!DL$63+DL65)*INDEX('Sponsor Pro Forma'!$M$10:$P$12,MATCH('Monthly Cash Flow'!$B66,'Sponsor Pro Forma'!$B$10:$B$12,0),MATCH('Monthly Cash Flow'!DL$4,'Sponsor Pro Forma'!$M$7:$P$7,0)))</f>
        <v>0</v>
      </c>
      <c r="DM66" s="400">
        <f>IF(DM$4&gt;4,-DM$63*'Sponsor Pro Forma'!$Q10,-('Monthly Cash Flow'!DM$63+DM65)*INDEX('Sponsor Pro Forma'!$M$10:$P$12,MATCH('Monthly Cash Flow'!$B66,'Sponsor Pro Forma'!$B$10:$B$12,0),MATCH('Monthly Cash Flow'!DM$4,'Sponsor Pro Forma'!$M$7:$P$7,0)))</f>
        <v>0</v>
      </c>
      <c r="DN66" s="400">
        <f>IF(DN$4&gt;4,-DN$63*'Sponsor Pro Forma'!$Q10,-('Monthly Cash Flow'!DN$63+DN65)*INDEX('Sponsor Pro Forma'!$M$10:$P$12,MATCH('Monthly Cash Flow'!$B66,'Sponsor Pro Forma'!$B$10:$B$12,0),MATCH('Monthly Cash Flow'!DN$4,'Sponsor Pro Forma'!$M$7:$P$7,0)))</f>
        <v>0</v>
      </c>
      <c r="DO66" s="400">
        <f>IF(DO$4&gt;4,-DO$63*'Sponsor Pro Forma'!$Q10,-('Monthly Cash Flow'!DO$63+DO65)*INDEX('Sponsor Pro Forma'!$M$10:$P$12,MATCH('Monthly Cash Flow'!$B66,'Sponsor Pro Forma'!$B$10:$B$12,0),MATCH('Monthly Cash Flow'!DO$4,'Sponsor Pro Forma'!$M$7:$P$7,0)))</f>
        <v>0</v>
      </c>
      <c r="DP66" s="400">
        <f>IF(DP$4&gt;4,-DP$63*'Sponsor Pro Forma'!$Q10,-('Monthly Cash Flow'!DP$63+DP65)*INDEX('Sponsor Pro Forma'!$M$10:$P$12,MATCH('Monthly Cash Flow'!$B66,'Sponsor Pro Forma'!$B$10:$B$12,0),MATCH('Monthly Cash Flow'!DP$4,'Sponsor Pro Forma'!$M$7:$P$7,0)))</f>
        <v>0</v>
      </c>
      <c r="DQ66" s="400">
        <f>IF(DQ$4&gt;4,-DQ$63*'Sponsor Pro Forma'!$Q10,-('Monthly Cash Flow'!DQ$63+DQ65)*INDEX('Sponsor Pro Forma'!$M$10:$P$12,MATCH('Monthly Cash Flow'!$B66,'Sponsor Pro Forma'!$B$10:$B$12,0),MATCH('Monthly Cash Flow'!DQ$4,'Sponsor Pro Forma'!$M$7:$P$7,0)))</f>
        <v>0</v>
      </c>
      <c r="DR66" s="400">
        <f>IF(DR$4&gt;4,-DR$63*'Sponsor Pro Forma'!$Q10,-('Monthly Cash Flow'!DR$63+DR65)*INDEX('Sponsor Pro Forma'!$M$10:$P$12,MATCH('Monthly Cash Flow'!$B66,'Sponsor Pro Forma'!$B$10:$B$12,0),MATCH('Monthly Cash Flow'!DR$4,'Sponsor Pro Forma'!$M$7:$P$7,0)))</f>
        <v>0</v>
      </c>
      <c r="DS66" s="400">
        <f>IF(DS$4&gt;4,-DS$63*'Sponsor Pro Forma'!$Q10,-('Monthly Cash Flow'!DS$63+DS65)*INDEX('Sponsor Pro Forma'!$M$10:$P$12,MATCH('Monthly Cash Flow'!$B66,'Sponsor Pro Forma'!$B$10:$B$12,0),MATCH('Monthly Cash Flow'!DS$4,'Sponsor Pro Forma'!$M$7:$P$7,0)))</f>
        <v>0</v>
      </c>
      <c r="DT66" s="400">
        <f>IF(DT$4&gt;4,-DT$63*'Sponsor Pro Forma'!$Q10,-('Monthly Cash Flow'!DT$63+DT65)*INDEX('Sponsor Pro Forma'!$M$10:$P$12,MATCH('Monthly Cash Flow'!$B66,'Sponsor Pro Forma'!$B$10:$B$12,0),MATCH('Monthly Cash Flow'!DT$4,'Sponsor Pro Forma'!$M$7:$P$7,0)))</f>
        <v>0</v>
      </c>
      <c r="DU66" s="401" t="s">
        <v>557</v>
      </c>
      <c r="DV66" s="196"/>
    </row>
    <row r="67" spans="1:126" s="5" customFormat="1" ht="19">
      <c r="A67" s="399">
        <v>4</v>
      </c>
      <c r="B67" s="203" t="str">
        <f>'Debt Sizing'!A12</f>
        <v>Models/Non-Rev Units</v>
      </c>
      <c r="C67" s="397"/>
      <c r="D67" s="398"/>
      <c r="E67" s="400">
        <f>IF(E$4&gt;4,(-E$63/units)*'Sponsor Pro Forma'!$Q$11, (-'Monthly Cash Flow'!E$63/units)*INDEX('Sponsor Pro Forma'!$M$11:$P$11,MATCH('Monthly Cash Flow'!$B67,'Sponsor Pro Forma'!$B$11,0),MATCH('Monthly Cash Flow'!E$4,'Sponsor Pro Forma'!$M$7:$P$7,0)))</f>
        <v>-1335.4489135481192</v>
      </c>
      <c r="F67" s="400">
        <f>IF(F$4&gt;4,(-F$63/units)*'Sponsor Pro Forma'!$Q$11, (-'Monthly Cash Flow'!F$63/units)*INDEX('Sponsor Pro Forma'!$M$11:$P$11,MATCH('Monthly Cash Flow'!$B67,'Sponsor Pro Forma'!$B$11,0),MATCH('Monthly Cash Flow'!F$4,'Sponsor Pro Forma'!$M$7:$P$7,0)))</f>
        <v>-1344.3519063051065</v>
      </c>
      <c r="G67" s="400">
        <f>IF(G$4&gt;4,(-G$63/units)*'Sponsor Pro Forma'!$Q$11, (-'Monthly Cash Flow'!G$63/units)*INDEX('Sponsor Pro Forma'!$M$11:$P$11,MATCH('Monthly Cash Flow'!$B67,'Sponsor Pro Forma'!$B$11,0),MATCH('Monthly Cash Flow'!G$4,'Sponsor Pro Forma'!$M$7:$P$7,0)))</f>
        <v>-1353.3142523471406</v>
      </c>
      <c r="H67" s="400">
        <f>IF(H$4&gt;4,(-H$63/units)*'Sponsor Pro Forma'!$Q$11, (-'Monthly Cash Flow'!H$63/units)*INDEX('Sponsor Pro Forma'!$M$11:$P$11,MATCH('Monthly Cash Flow'!$B67,'Sponsor Pro Forma'!$B$11,0),MATCH('Monthly Cash Flow'!H$4,'Sponsor Pro Forma'!$M$7:$P$7,0)))</f>
        <v>-1362.336347362788</v>
      </c>
      <c r="I67" s="400">
        <f>IF(I$4&gt;4,(-I$63/units)*'Sponsor Pro Forma'!$Q$11, (-'Monthly Cash Flow'!I$63/units)*INDEX('Sponsor Pro Forma'!$M$11:$P$11,MATCH('Monthly Cash Flow'!$B67,'Sponsor Pro Forma'!$B$11,0),MATCH('Monthly Cash Flow'!I$4,'Sponsor Pro Forma'!$M$7:$P$7,0)))</f>
        <v>-1371.41858967854</v>
      </c>
      <c r="J67" s="400">
        <f>IF(J$4&gt;4,(-J$63/units)*'Sponsor Pro Forma'!$Q$11, (-'Monthly Cash Flow'!J$63/units)*INDEX('Sponsor Pro Forma'!$M$11:$P$11,MATCH('Monthly Cash Flow'!$B67,'Sponsor Pro Forma'!$B$11,0),MATCH('Monthly Cash Flow'!J$4,'Sponsor Pro Forma'!$M$7:$P$7,0)))</f>
        <v>-1380.5613802763967</v>
      </c>
      <c r="K67" s="400">
        <f>IF(K$4&gt;4,(-K$63/units)*'Sponsor Pro Forma'!$Q$11, (-'Monthly Cash Flow'!K$63/units)*INDEX('Sponsor Pro Forma'!$M$11:$P$11,MATCH('Monthly Cash Flow'!$B67,'Sponsor Pro Forma'!$B$11,0),MATCH('Monthly Cash Flow'!K$4,'Sponsor Pro Forma'!$M$7:$P$7,0)))</f>
        <v>-1389.7651228115728</v>
      </c>
      <c r="L67" s="400">
        <f>IF(L$4&gt;4,(-L$63/units)*'Sponsor Pro Forma'!$Q$11, (-'Monthly Cash Flow'!L$63/units)*INDEX('Sponsor Pro Forma'!$M$11:$P$11,MATCH('Monthly Cash Flow'!$B67,'Sponsor Pro Forma'!$B$11,0),MATCH('Monthly Cash Flow'!L$4,'Sponsor Pro Forma'!$M$7:$P$7,0)))</f>
        <v>-1399.0302236303162</v>
      </c>
      <c r="M67" s="400">
        <f>IF(M$4&gt;4,(-M$63/units)*'Sponsor Pro Forma'!$Q$11, (-'Monthly Cash Flow'!M$63/units)*INDEX('Sponsor Pro Forma'!$M$11:$P$11,MATCH('Monthly Cash Flow'!$B67,'Sponsor Pro Forma'!$B$11,0),MATCH('Monthly Cash Flow'!M$4,'Sponsor Pro Forma'!$M$7:$P$7,0)))</f>
        <v>-1408.3570917878515</v>
      </c>
      <c r="N67" s="400">
        <f>IF(N$4&gt;4,(-N$63/units)*'Sponsor Pro Forma'!$Q$11, (-'Monthly Cash Flow'!N$63/units)*INDEX('Sponsor Pro Forma'!$M$11:$P$11,MATCH('Monthly Cash Flow'!$B67,'Sponsor Pro Forma'!$B$11,0),MATCH('Monthly Cash Flow'!N$4,'Sponsor Pro Forma'!$M$7:$P$7,0)))</f>
        <v>-1417.7461390664373</v>
      </c>
      <c r="O67" s="400">
        <f>IF(O$4&gt;4,(-O$63/units)*'Sponsor Pro Forma'!$Q$11, (-'Monthly Cash Flow'!O$63/units)*INDEX('Sponsor Pro Forma'!$M$11:$P$11,MATCH('Monthly Cash Flow'!$B67,'Sponsor Pro Forma'!$B$11,0),MATCH('Monthly Cash Flow'!O$4,'Sponsor Pro Forma'!$M$7:$P$7,0)))</f>
        <v>-1427.1977799935469</v>
      </c>
      <c r="P67" s="400">
        <f>IF(P$4&gt;4,(-P$63/units)*'Sponsor Pro Forma'!$Q$11, (-'Monthly Cash Flow'!P$63/units)*INDEX('Sponsor Pro Forma'!$M$11:$P$11,MATCH('Monthly Cash Flow'!$B67,'Sponsor Pro Forma'!$B$11,0),MATCH('Monthly Cash Flow'!P$4,'Sponsor Pro Forma'!$M$7:$P$7,0)))</f>
        <v>-1436.7124318601702</v>
      </c>
      <c r="Q67" s="400">
        <f>IF(Q$4&gt;4,(-Q$63/units)*'Sponsor Pro Forma'!$Q$11, (-'Monthly Cash Flow'!Q$63/units)*INDEX('Sponsor Pro Forma'!$M$11:$P$11,MATCH('Monthly Cash Flow'!$B67,'Sponsor Pro Forma'!$B$11,0),MATCH('Monthly Cash Flow'!Q$4,'Sponsor Pro Forma'!$M$7:$P$7,0)))</f>
        <v>-1445.6918845592966</v>
      </c>
      <c r="R67" s="400">
        <f>IF(R$4&gt;4,(-R$63/units)*'Sponsor Pro Forma'!$Q$11, (-'Monthly Cash Flow'!R$63/units)*INDEX('Sponsor Pro Forma'!$M$11:$P$11,MATCH('Monthly Cash Flow'!$B67,'Sponsor Pro Forma'!$B$11,0),MATCH('Monthly Cash Flow'!R$4,'Sponsor Pro Forma'!$M$7:$P$7,0)))</f>
        <v>-1454.7274588377923</v>
      </c>
      <c r="S67" s="400">
        <f>IF(S$4&gt;4,(-S$63/units)*'Sponsor Pro Forma'!$Q$11, (-'Monthly Cash Flow'!S$63/units)*INDEX('Sponsor Pro Forma'!$M$11:$P$11,MATCH('Monthly Cash Flow'!$B67,'Sponsor Pro Forma'!$B$11,0),MATCH('Monthly Cash Flow'!S$4,'Sponsor Pro Forma'!$M$7:$P$7,0)))</f>
        <v>-1463.8195054555288</v>
      </c>
      <c r="T67" s="400">
        <f>IF(T$4&gt;4,(-T$63/units)*'Sponsor Pro Forma'!$Q$11, (-'Monthly Cash Flow'!T$63/units)*INDEX('Sponsor Pro Forma'!$M$11:$P$11,MATCH('Monthly Cash Flow'!$B67,'Sponsor Pro Forma'!$B$11,0),MATCH('Monthly Cash Flow'!T$4,'Sponsor Pro Forma'!$M$7:$P$7,0)))</f>
        <v>-1472.9683773646257</v>
      </c>
      <c r="U67" s="400">
        <f>IF(U$4&gt;4,(-U$63/units)*'Sponsor Pro Forma'!$Q$11, (-'Monthly Cash Flow'!U$63/units)*INDEX('Sponsor Pro Forma'!$M$11:$P$11,MATCH('Monthly Cash Flow'!$B67,'Sponsor Pro Forma'!$B$11,0),MATCH('Monthly Cash Flow'!U$4,'Sponsor Pro Forma'!$M$7:$P$7,0)))</f>
        <v>-1482.1744297231548</v>
      </c>
      <c r="V67" s="400">
        <f>IF(V$4&gt;4,(-V$63/units)*'Sponsor Pro Forma'!$Q$11, (-'Monthly Cash Flow'!V$63/units)*INDEX('Sponsor Pro Forma'!$M$11:$P$11,MATCH('Monthly Cash Flow'!$B67,'Sponsor Pro Forma'!$B$11,0),MATCH('Monthly Cash Flow'!V$4,'Sponsor Pro Forma'!$M$7:$P$7,0)))</f>
        <v>-1491.4380199089246</v>
      </c>
      <c r="W67" s="400">
        <f>IF(W$4&gt;4,(-W$63/units)*'Sponsor Pro Forma'!$Q$11, (-'Monthly Cash Flow'!W$63/units)*INDEX('Sponsor Pro Forma'!$M$11:$P$11,MATCH('Monthly Cash Flow'!$B67,'Sponsor Pro Forma'!$B$11,0),MATCH('Monthly Cash Flow'!W$4,'Sponsor Pro Forma'!$M$7:$P$7,0)))</f>
        <v>-1500.7595075333556</v>
      </c>
      <c r="X67" s="400">
        <f>IF(X$4&gt;4,(-X$63/units)*'Sponsor Pro Forma'!$Q$11, (-'Monthly Cash Flow'!X$63/units)*INDEX('Sponsor Pro Forma'!$M$11:$P$11,MATCH('Monthly Cash Flow'!$B67,'Sponsor Pro Forma'!$B$11,0),MATCH('Monthly Cash Flow'!X$4,'Sponsor Pro Forma'!$M$7:$P$7,0)))</f>
        <v>-1510.1392544554392</v>
      </c>
      <c r="Y67" s="400">
        <f>IF(Y$4&gt;4,(-Y$63/units)*'Sponsor Pro Forma'!$Q$11, (-'Monthly Cash Flow'!Y$63/units)*INDEX('Sponsor Pro Forma'!$M$11:$P$11,MATCH('Monthly Cash Flow'!$B67,'Sponsor Pro Forma'!$B$11,0),MATCH('Monthly Cash Flow'!Y$4,'Sponsor Pro Forma'!$M$7:$P$7,0)))</f>
        <v>-1519.5776247957861</v>
      </c>
      <c r="Z67" s="400">
        <f>IF(Z$4&gt;4,(-Z$63/units)*'Sponsor Pro Forma'!$Q$11, (-'Monthly Cash Flow'!Z$63/units)*INDEX('Sponsor Pro Forma'!$M$11:$P$11,MATCH('Monthly Cash Flow'!$B67,'Sponsor Pro Forma'!$B$11,0),MATCH('Monthly Cash Flow'!Z$4,'Sponsor Pro Forma'!$M$7:$P$7,0)))</f>
        <v>-1529.0749849507595</v>
      </c>
      <c r="AA67" s="400">
        <f>IF(AA$4&gt;4,(-AA$63/units)*'Sponsor Pro Forma'!$Q$11, (-'Monthly Cash Flow'!AA$63/units)*INDEX('Sponsor Pro Forma'!$M$11:$P$11,MATCH('Monthly Cash Flow'!$B67,'Sponsor Pro Forma'!$B$11,0),MATCH('Monthly Cash Flow'!AA$4,'Sponsor Pro Forma'!$M$7:$P$7,0)))</f>
        <v>-1538.6317036067019</v>
      </c>
      <c r="AB67" s="400">
        <f>IF(AB$4&gt;4,(-AB$63/units)*'Sponsor Pro Forma'!$Q$11, (-'Monthly Cash Flow'!AB$63/units)*INDEX('Sponsor Pro Forma'!$M$11:$P$11,MATCH('Monthly Cash Flow'!$B67,'Sponsor Pro Forma'!$B$11,0),MATCH('Monthly Cash Flow'!AB$4,'Sponsor Pro Forma'!$M$7:$P$7,0)))</f>
        <v>-1548.248151754244</v>
      </c>
      <c r="AC67" s="400">
        <f>IF(AC$4&gt;4,(-AC$63/units)*'Sponsor Pro Forma'!$Q$11, (-'Monthly Cash Flow'!AC$63/units)*INDEX('Sponsor Pro Forma'!$M$11:$P$11,MATCH('Monthly Cash Flow'!$B67,'Sponsor Pro Forma'!$B$11,0),MATCH('Monthly Cash Flow'!AC$4,'Sponsor Pro Forma'!$M$7:$P$7,0)))</f>
        <v>-1553.4089789267582</v>
      </c>
      <c r="AD67" s="400">
        <f>IF(AD$4&gt;4,(-AD$63/units)*'Sponsor Pro Forma'!$Q$11, (-'Monthly Cash Flow'!AD$63/units)*INDEX('Sponsor Pro Forma'!$M$11:$P$11,MATCH('Monthly Cash Flow'!$B67,'Sponsor Pro Forma'!$B$11,0),MATCH('Monthly Cash Flow'!AD$4,'Sponsor Pro Forma'!$M$7:$P$7,0)))</f>
        <v>-1558.5870088565143</v>
      </c>
      <c r="AE67" s="400">
        <f>IF(AE$4&gt;4,(-AE$63/units)*'Sponsor Pro Forma'!$Q$11, (-'Monthly Cash Flow'!AE$63/units)*INDEX('Sponsor Pro Forma'!$M$11:$P$11,MATCH('Monthly Cash Flow'!$B67,'Sponsor Pro Forma'!$B$11,0),MATCH('Monthly Cash Flow'!AE$4,'Sponsor Pro Forma'!$M$7:$P$7,0)))</f>
        <v>-1563.7822988860362</v>
      </c>
      <c r="AF67" s="400">
        <f>IF(AF$4&gt;4,(-AF$63/units)*'Sponsor Pro Forma'!$Q$11, (-'Monthly Cash Flow'!AF$63/units)*INDEX('Sponsor Pro Forma'!$M$11:$P$11,MATCH('Monthly Cash Flow'!$B67,'Sponsor Pro Forma'!$B$11,0),MATCH('Monthly Cash Flow'!AF$4,'Sponsor Pro Forma'!$M$7:$P$7,0)))</f>
        <v>-1568.9949065489895</v>
      </c>
      <c r="AG67" s="400">
        <f>IF(AG$4&gt;4,(-AG$63/units)*'Sponsor Pro Forma'!$Q$11, (-'Monthly Cash Flow'!AG$63/units)*INDEX('Sponsor Pro Forma'!$M$11:$P$11,MATCH('Monthly Cash Flow'!$B67,'Sponsor Pro Forma'!$B$11,0),MATCH('Monthly Cash Flow'!AG$4,'Sponsor Pro Forma'!$M$7:$P$7,0)))</f>
        <v>-1574.2248895708196</v>
      </c>
      <c r="AH67" s="400">
        <f>IF(AH$4&gt;4,(-AH$63/units)*'Sponsor Pro Forma'!$Q$11, (-'Monthly Cash Flow'!AH$63/units)*INDEX('Sponsor Pro Forma'!$M$11:$P$11,MATCH('Monthly Cash Flow'!$B67,'Sponsor Pro Forma'!$B$11,0),MATCH('Monthly Cash Flow'!AH$4,'Sponsor Pro Forma'!$M$7:$P$7,0)))</f>
        <v>-1579.4723058693894</v>
      </c>
      <c r="AI67" s="400">
        <f>IF(AI$4&gt;4,(-AI$63/units)*'Sponsor Pro Forma'!$Q$11, (-'Monthly Cash Flow'!AI$63/units)*INDEX('Sponsor Pro Forma'!$M$11:$P$11,MATCH('Monthly Cash Flow'!$B67,'Sponsor Pro Forma'!$B$11,0),MATCH('Monthly Cash Flow'!AI$4,'Sponsor Pro Forma'!$M$7:$P$7,0)))</f>
        <v>-1584.7372135556209</v>
      </c>
      <c r="AJ67" s="400">
        <f>IF(AJ$4&gt;4,(-AJ$63/units)*'Sponsor Pro Forma'!$Q$11, (-'Monthly Cash Flow'!AJ$63/units)*INDEX('Sponsor Pro Forma'!$M$11:$P$11,MATCH('Monthly Cash Flow'!$B67,'Sponsor Pro Forma'!$B$11,0),MATCH('Monthly Cash Flow'!AJ$4,'Sponsor Pro Forma'!$M$7:$P$7,0)))</f>
        <v>-1590.0196709341396</v>
      </c>
      <c r="AK67" s="400">
        <f>IF(AK$4&gt;4,(-AK$63/units)*'Sponsor Pro Forma'!$Q$11, (-'Monthly Cash Flow'!AK$63/units)*INDEX('Sponsor Pro Forma'!$M$11:$P$11,MATCH('Monthly Cash Flow'!$B67,'Sponsor Pro Forma'!$B$11,0),MATCH('Monthly Cash Flow'!AK$4,'Sponsor Pro Forma'!$M$7:$P$7,0)))</f>
        <v>-1595.3197365039198</v>
      </c>
      <c r="AL67" s="400">
        <f>IF(AL$4&gt;4,(-AL$63/units)*'Sponsor Pro Forma'!$Q$11, (-'Monthly Cash Flow'!AL$63/units)*INDEX('Sponsor Pro Forma'!$M$11:$P$11,MATCH('Monthly Cash Flow'!$B67,'Sponsor Pro Forma'!$B$11,0),MATCH('Monthly Cash Flow'!AL$4,'Sponsor Pro Forma'!$M$7:$P$7,0)))</f>
        <v>-1600.6374689589334</v>
      </c>
      <c r="AM67" s="400">
        <f>IF(AM$4&gt;4,(-AM$63/units)*'Sponsor Pro Forma'!$Q$11, (-'Monthly Cash Flow'!AM$63/units)*INDEX('Sponsor Pro Forma'!$M$11:$P$11,MATCH('Monthly Cash Flow'!$B67,'Sponsor Pro Forma'!$B$11,0),MATCH('Monthly Cash Flow'!AM$4,'Sponsor Pro Forma'!$M$7:$P$7,0)))</f>
        <v>-1605.9729271887963</v>
      </c>
      <c r="AN67" s="400">
        <f>IF(AN$4&gt;4,(-AN$63/units)*'Sponsor Pro Forma'!$Q$11, (-'Monthly Cash Flow'!AN$63/units)*INDEX('Sponsor Pro Forma'!$M$11:$P$11,MATCH('Monthly Cash Flow'!$B67,'Sponsor Pro Forma'!$B$11,0),MATCH('Monthly Cash Flow'!AN$4,'Sponsor Pro Forma'!$M$7:$P$7,0)))</f>
        <v>-1611.3261702794262</v>
      </c>
      <c r="AO67" s="400">
        <f>IF(AO$4&gt;4,(-AO$63/units)*'Sponsor Pro Forma'!$Q$11, (-'Monthly Cash Flow'!AO$63/units)*INDEX('Sponsor Pro Forma'!$M$11:$P$11,MATCH('Monthly Cash Flow'!$B67,'Sponsor Pro Forma'!$B$11,0),MATCH('Monthly Cash Flow'!AO$4,'Sponsor Pro Forma'!$M$7:$P$7,0)))</f>
        <v>-1616.6972575136908</v>
      </c>
      <c r="AP67" s="400">
        <f>IF(AP$4&gt;4,(-AP$63/units)*'Sponsor Pro Forma'!$Q$11, (-'Monthly Cash Flow'!AP$63/units)*INDEX('Sponsor Pro Forma'!$M$11:$P$11,MATCH('Monthly Cash Flow'!$B67,'Sponsor Pro Forma'!$B$11,0),MATCH('Monthly Cash Flow'!AP$4,'Sponsor Pro Forma'!$M$7:$P$7,0)))</f>
        <v>-1622.0862483720703</v>
      </c>
      <c r="AQ67" s="400">
        <f>IF(AQ$4&gt;4,(-AQ$63/units)*'Sponsor Pro Forma'!$Q$11, (-'Monthly Cash Flow'!AQ$63/units)*INDEX('Sponsor Pro Forma'!$M$11:$P$11,MATCH('Monthly Cash Flow'!$B67,'Sponsor Pro Forma'!$B$11,0),MATCH('Monthly Cash Flow'!AQ$4,'Sponsor Pro Forma'!$M$7:$P$7,0)))</f>
        <v>-1627.4932025333103</v>
      </c>
      <c r="AR67" s="400">
        <f>IF(AR$4&gt;4,(-AR$63/units)*'Sponsor Pro Forma'!$Q$11, (-'Monthly Cash Flow'!AR$63/units)*INDEX('Sponsor Pro Forma'!$M$11:$P$11,MATCH('Monthly Cash Flow'!$B67,'Sponsor Pro Forma'!$B$11,0),MATCH('Monthly Cash Flow'!AR$4,'Sponsor Pro Forma'!$M$7:$P$7,0)))</f>
        <v>-1632.9181798750883</v>
      </c>
      <c r="AS67" s="400">
        <f>IF(AS$4&gt;4,(-AS$63/units)*'Sponsor Pro Forma'!$Q$11, (-'Monthly Cash Flow'!AS$63/units)*INDEX('Sponsor Pro Forma'!$M$11:$P$11,MATCH('Monthly Cash Flow'!$B67,'Sponsor Pro Forma'!$B$11,0),MATCH('Monthly Cash Flow'!AS$4,'Sponsor Pro Forma'!$M$7:$P$7,0)))</f>
        <v>-1638.3612404746721</v>
      </c>
      <c r="AT67" s="400">
        <f>IF(AT$4&gt;4,(-AT$63/units)*'Sponsor Pro Forma'!$Q$11, (-'Monthly Cash Flow'!AT$63/units)*INDEX('Sponsor Pro Forma'!$M$11:$P$11,MATCH('Monthly Cash Flow'!$B67,'Sponsor Pro Forma'!$B$11,0),MATCH('Monthly Cash Flow'!AT$4,'Sponsor Pro Forma'!$M$7:$P$7,0)))</f>
        <v>-1643.8224446095876</v>
      </c>
      <c r="AU67" s="400">
        <f>IF(AU$4&gt;4,(-AU$63/units)*'Sponsor Pro Forma'!$Q$11, (-'Monthly Cash Flow'!AU$63/units)*INDEX('Sponsor Pro Forma'!$M$11:$P$11,MATCH('Monthly Cash Flow'!$B67,'Sponsor Pro Forma'!$B$11,0),MATCH('Monthly Cash Flow'!AU$4,'Sponsor Pro Forma'!$M$7:$P$7,0)))</f>
        <v>-1649.3018527582865</v>
      </c>
      <c r="AV67" s="400">
        <f>IF(AV$4&gt;4,(-AV$63/units)*'Sponsor Pro Forma'!$Q$11, (-'Monthly Cash Flow'!AV$63/units)*INDEX('Sponsor Pro Forma'!$M$11:$P$11,MATCH('Monthly Cash Flow'!$B67,'Sponsor Pro Forma'!$B$11,0),MATCH('Monthly Cash Flow'!AV$4,'Sponsor Pro Forma'!$M$7:$P$7,0)))</f>
        <v>-1654.7995256008141</v>
      </c>
      <c r="AW67" s="400">
        <f>IF(AW$4&gt;4,(-AW$63/units)*'Sponsor Pro Forma'!$Q$11, (-'Monthly Cash Flow'!AW$63/units)*INDEX('Sponsor Pro Forma'!$M$11:$P$11,MATCH('Monthly Cash Flow'!$B67,'Sponsor Pro Forma'!$B$11,0),MATCH('Monthly Cash Flow'!AW$4,'Sponsor Pro Forma'!$M$7:$P$7,0)))</f>
        <v>-1660.3155240194837</v>
      </c>
      <c r="AX67" s="400">
        <f>IF(AX$4&gt;4,(-AX$63/units)*'Sponsor Pro Forma'!$Q$11, (-'Monthly Cash Flow'!AX$63/units)*INDEX('Sponsor Pro Forma'!$M$11:$P$11,MATCH('Monthly Cash Flow'!$B67,'Sponsor Pro Forma'!$B$11,0),MATCH('Monthly Cash Flow'!AX$4,'Sponsor Pro Forma'!$M$7:$P$7,0)))</f>
        <v>-1665.8499090995488</v>
      </c>
      <c r="AY67" s="400">
        <f>IF(AY$4&gt;4,(-AY$63/units)*'Sponsor Pro Forma'!$Q$11, (-'Monthly Cash Flow'!AY$63/units)*INDEX('Sponsor Pro Forma'!$M$11:$P$11,MATCH('Monthly Cash Flow'!$B67,'Sponsor Pro Forma'!$B$11,0),MATCH('Monthly Cash Flow'!AY$4,'Sponsor Pro Forma'!$M$7:$P$7,0)))</f>
        <v>-1671.4027421298808</v>
      </c>
      <c r="AZ67" s="400">
        <f>IF(AZ$4&gt;4,(-AZ$63/units)*'Sponsor Pro Forma'!$Q$11, (-'Monthly Cash Flow'!AZ$63/units)*INDEX('Sponsor Pro Forma'!$M$11:$P$11,MATCH('Monthly Cash Flow'!$B67,'Sponsor Pro Forma'!$B$11,0),MATCH('Monthly Cash Flow'!AZ$4,'Sponsor Pro Forma'!$M$7:$P$7,0)))</f>
        <v>-1676.9740846036473</v>
      </c>
      <c r="BA67" s="400">
        <f>IF(BA$4&gt;4,(-BA$63/units)*'Sponsor Pro Forma'!$Q$11, (-'Monthly Cash Flow'!BA$63/units)*INDEX('Sponsor Pro Forma'!$M$11:$P$11,MATCH('Monthly Cash Flow'!$B67,'Sponsor Pro Forma'!$B$11,0),MATCH('Monthly Cash Flow'!BA$4,'Sponsor Pro Forma'!$M$7:$P$7,0)))</f>
        <v>-1682.5639982189928</v>
      </c>
      <c r="BB67" s="400">
        <f>IF(BB$4&gt;4,(-BB$63/units)*'Sponsor Pro Forma'!$Q$11, (-'Monthly Cash Flow'!BB$63/units)*INDEX('Sponsor Pro Forma'!$M$11:$P$11,MATCH('Monthly Cash Flow'!$B67,'Sponsor Pro Forma'!$B$11,0),MATCH('Monthly Cash Flow'!BB$4,'Sponsor Pro Forma'!$M$7:$P$7,0)))</f>
        <v>-1688.1725448797226</v>
      </c>
      <c r="BC67" s="400">
        <f>IF(BC$4&gt;4,(-BC$63/units)*'Sponsor Pro Forma'!$Q$11, (-'Monthly Cash Flow'!BC$63/units)*INDEX('Sponsor Pro Forma'!$M$11:$P$11,MATCH('Monthly Cash Flow'!$B67,'Sponsor Pro Forma'!$B$11,0),MATCH('Monthly Cash Flow'!BC$4,'Sponsor Pro Forma'!$M$7:$P$7,0)))</f>
        <v>-1693.7997866959886</v>
      </c>
      <c r="BD67" s="400">
        <f>IF(BD$4&gt;4,(-BD$63/units)*'Sponsor Pro Forma'!$Q$11, (-'Monthly Cash Flow'!BD$63/units)*INDEX('Sponsor Pro Forma'!$M$11:$P$11,MATCH('Monthly Cash Flow'!$B67,'Sponsor Pro Forma'!$B$11,0),MATCH('Monthly Cash Flow'!BD$4,'Sponsor Pro Forma'!$M$7:$P$7,0)))</f>
        <v>-1699.4457859849754</v>
      </c>
      <c r="BE67" s="400">
        <f>IF(BE$4&gt;4,(-BE$63/units)*'Sponsor Pro Forma'!$Q$11, (-'Monthly Cash Flow'!BE$63/units)*INDEX('Sponsor Pro Forma'!$M$11:$P$11,MATCH('Monthly Cash Flow'!$B67,'Sponsor Pro Forma'!$B$11,0),MATCH('Monthly Cash Flow'!BE$4,'Sponsor Pro Forma'!$M$7:$P$7,0)))</f>
        <v>-1705.1106052715922</v>
      </c>
      <c r="BF67" s="400">
        <f>IF(BF$4&gt;4,(-BF$63/units)*'Sponsor Pro Forma'!$Q$11, (-'Monthly Cash Flow'!BF$63/units)*INDEX('Sponsor Pro Forma'!$M$11:$P$11,MATCH('Monthly Cash Flow'!$B67,'Sponsor Pro Forma'!$B$11,0),MATCH('Monthly Cash Flow'!BF$4,'Sponsor Pro Forma'!$M$7:$P$7,0)))</f>
        <v>-1710.794307289164</v>
      </c>
      <c r="BG67" s="400">
        <f>IF(BG$4&gt;4,(-BG$63/units)*'Sponsor Pro Forma'!$Q$11, (-'Monthly Cash Flow'!BG$63/units)*INDEX('Sponsor Pro Forma'!$M$11:$P$11,MATCH('Monthly Cash Flow'!$B67,'Sponsor Pro Forma'!$B$11,0),MATCH('Monthly Cash Flow'!BG$4,'Sponsor Pro Forma'!$M$7:$P$7,0)))</f>
        <v>-1716.4969549801281</v>
      </c>
      <c r="BH67" s="400">
        <f>IF(BH$4&gt;4,(-BH$63/units)*'Sponsor Pro Forma'!$Q$11, (-'Monthly Cash Flow'!BH$63/units)*INDEX('Sponsor Pro Forma'!$M$11:$P$11,MATCH('Monthly Cash Flow'!$B67,'Sponsor Pro Forma'!$B$11,0),MATCH('Monthly Cash Flow'!BH$4,'Sponsor Pro Forma'!$M$7:$P$7,0)))</f>
        <v>-1722.2186114967287</v>
      </c>
      <c r="BI67" s="400">
        <f>IF(BI$4&gt;4,(-BI$63/units)*'Sponsor Pro Forma'!$Q$11, (-'Monthly Cash Flow'!BI$63/units)*INDEX('Sponsor Pro Forma'!$M$11:$P$11,MATCH('Monthly Cash Flow'!$B67,'Sponsor Pro Forma'!$B$11,0),MATCH('Monthly Cash Flow'!BI$4,'Sponsor Pro Forma'!$M$7:$P$7,0)))</f>
        <v>-1727.9593402017181</v>
      </c>
      <c r="BJ67" s="400">
        <f>IF(BJ$4&gt;4,(-BJ$63/units)*'Sponsor Pro Forma'!$Q$11, (-'Monthly Cash Flow'!BJ$63/units)*INDEX('Sponsor Pro Forma'!$M$11:$P$11,MATCH('Monthly Cash Flow'!$B67,'Sponsor Pro Forma'!$B$11,0),MATCH('Monthly Cash Flow'!BJ$4,'Sponsor Pro Forma'!$M$7:$P$7,0)))</f>
        <v>-1733.719204669057</v>
      </c>
      <c r="BK67" s="400">
        <f>IF(BK$4&gt;4,(-BK$63/units)*'Sponsor Pro Forma'!$Q$11, (-'Monthly Cash Flow'!BK$63/units)*INDEX('Sponsor Pro Forma'!$M$11:$P$11,MATCH('Monthly Cash Flow'!$B67,'Sponsor Pro Forma'!$B$11,0),MATCH('Monthly Cash Flow'!BK$4,'Sponsor Pro Forma'!$M$7:$P$7,0)))</f>
        <v>-1739.4982686846211</v>
      </c>
      <c r="BL67" s="400">
        <f>IF(BL$4&gt;4,(-BL$63/units)*'Sponsor Pro Forma'!$Q$11, (-'Monthly Cash Flow'!BL$63/units)*INDEX('Sponsor Pro Forma'!$M$11:$P$11,MATCH('Monthly Cash Flow'!$B67,'Sponsor Pro Forma'!$B$11,0),MATCH('Monthly Cash Flow'!BL$4,'Sponsor Pro Forma'!$M$7:$P$7,0)))</f>
        <v>-1745.2965962469029</v>
      </c>
      <c r="BM67" s="400">
        <f>IF(BM$4&gt;4,(-BM$63/units)*'Sponsor Pro Forma'!$Q$11, (-'Monthly Cash Flow'!BM$63/units)*INDEX('Sponsor Pro Forma'!$M$11:$P$11,MATCH('Monthly Cash Flow'!$B67,'Sponsor Pro Forma'!$B$11,0),MATCH('Monthly Cash Flow'!BM$4,'Sponsor Pro Forma'!$M$7:$P$7,0)))</f>
        <v>-1751.1142515677261</v>
      </c>
      <c r="BN67" s="400">
        <f>IF(BN$4&gt;4,(-BN$63/units)*'Sponsor Pro Forma'!$Q$11, (-'Monthly Cash Flow'!BN$63/units)*INDEX('Sponsor Pro Forma'!$M$11:$P$11,MATCH('Monthly Cash Flow'!$B67,'Sponsor Pro Forma'!$B$11,0),MATCH('Monthly Cash Flow'!BN$4,'Sponsor Pro Forma'!$M$7:$P$7,0)))</f>
        <v>-1756.9512990729522</v>
      </c>
      <c r="BO67" s="400">
        <f>IF(BO$4&gt;4,(-BO$63/units)*'Sponsor Pro Forma'!$Q$11, (-'Monthly Cash Flow'!BO$63/units)*INDEX('Sponsor Pro Forma'!$M$11:$P$11,MATCH('Monthly Cash Flow'!$B67,'Sponsor Pro Forma'!$B$11,0),MATCH('Monthly Cash Flow'!BO$4,'Sponsor Pro Forma'!$M$7:$P$7,0)))</f>
        <v>-1762.8078034031951</v>
      </c>
      <c r="BP67" s="400">
        <f>IF(BP$4&gt;4,(-BP$63/units)*'Sponsor Pro Forma'!$Q$11, (-'Monthly Cash Flow'!BP$63/units)*INDEX('Sponsor Pro Forma'!$M$11:$P$11,MATCH('Monthly Cash Flow'!$B67,'Sponsor Pro Forma'!$B$11,0),MATCH('Monthly Cash Flow'!BP$4,'Sponsor Pro Forma'!$M$7:$P$7,0)))</f>
        <v>-1768.6838294145396</v>
      </c>
      <c r="BQ67" s="400">
        <f>IF(BQ$4&gt;4,(-BQ$63/units)*'Sponsor Pro Forma'!$Q$11, (-'Monthly Cash Flow'!BQ$63/units)*INDEX('Sponsor Pro Forma'!$M$11:$P$11,MATCH('Monthly Cash Flow'!$B67,'Sponsor Pro Forma'!$B$11,0),MATCH('Monthly Cash Flow'!BQ$4,'Sponsor Pro Forma'!$M$7:$P$7,0)))</f>
        <v>-1774.5794421792548</v>
      </c>
      <c r="BR67" s="400">
        <f>IF(BR$4&gt;4,(-BR$63/units)*'Sponsor Pro Forma'!$Q$11, (-'Monthly Cash Flow'!BR$63/units)*INDEX('Sponsor Pro Forma'!$M$11:$P$11,MATCH('Monthly Cash Flow'!$B67,'Sponsor Pro Forma'!$B$11,0),MATCH('Monthly Cash Flow'!BR$4,'Sponsor Pro Forma'!$M$7:$P$7,0)))</f>
        <v>-1780.4947069865193</v>
      </c>
      <c r="BS67" s="400">
        <f>IF(BS$4&gt;4,(-BS$63/units)*'Sponsor Pro Forma'!$Q$11, (-'Monthly Cash Flow'!BS$63/units)*INDEX('Sponsor Pro Forma'!$M$11:$P$11,MATCH('Monthly Cash Flow'!$B67,'Sponsor Pro Forma'!$B$11,0),MATCH('Monthly Cash Flow'!BS$4,'Sponsor Pro Forma'!$M$7:$P$7,0)))</f>
        <v>-1786.4296893431408</v>
      </c>
      <c r="BT67" s="400">
        <f>IF(BT$4&gt;4,(-BT$63/units)*'Sponsor Pro Forma'!$Q$11, (-'Monthly Cash Flow'!BT$63/units)*INDEX('Sponsor Pro Forma'!$M$11:$P$11,MATCH('Monthly Cash Flow'!$B67,'Sponsor Pro Forma'!$B$11,0),MATCH('Monthly Cash Flow'!BT$4,'Sponsor Pro Forma'!$M$7:$P$7,0)))</f>
        <v>-1792.3844549742851</v>
      </c>
      <c r="BU67" s="400">
        <f>IF(BU$4&gt;4,(-BU$63/units)*'Sponsor Pro Forma'!$Q$11, (-'Monthly Cash Flow'!BU$63/units)*INDEX('Sponsor Pro Forma'!$M$11:$P$11,MATCH('Monthly Cash Flow'!$B67,'Sponsor Pro Forma'!$B$11,0),MATCH('Monthly Cash Flow'!BU$4,'Sponsor Pro Forma'!$M$7:$P$7,0)))</f>
        <v>-1798.3590698241994</v>
      </c>
      <c r="BV67" s="400">
        <f>IF(BV$4&gt;4,(-BV$63/units)*'Sponsor Pro Forma'!$Q$11, (-'Monthly Cash Flow'!BV$63/units)*INDEX('Sponsor Pro Forma'!$M$11:$P$11,MATCH('Monthly Cash Flow'!$B67,'Sponsor Pro Forma'!$B$11,0),MATCH('Monthly Cash Flow'!BV$4,'Sponsor Pro Forma'!$M$7:$P$7,0)))</f>
        <v>-1804.3536000569468</v>
      </c>
      <c r="BW67" s="400">
        <f>IF(BW$4&gt;4,(-BW$63/units)*'Sponsor Pro Forma'!$Q$11, (-'Monthly Cash Flow'!BW$63/units)*INDEX('Sponsor Pro Forma'!$M$11:$P$11,MATCH('Monthly Cash Flow'!$B67,'Sponsor Pro Forma'!$B$11,0),MATCH('Monthly Cash Flow'!BW$4,'Sponsor Pro Forma'!$M$7:$P$7,0)))</f>
        <v>-1810.3681120571371</v>
      </c>
      <c r="BX67" s="400">
        <f>IF(BX$4&gt;4,(-BX$63/units)*'Sponsor Pro Forma'!$Q$11, (-'Monthly Cash Flow'!BX$63/units)*INDEX('Sponsor Pro Forma'!$M$11:$P$11,MATCH('Monthly Cash Flow'!$B67,'Sponsor Pro Forma'!$B$11,0),MATCH('Monthly Cash Flow'!BX$4,'Sponsor Pro Forma'!$M$7:$P$7,0)))</f>
        <v>-1816.4026724306607</v>
      </c>
      <c r="BY67" s="400">
        <f>IF(BY$4&gt;4,(-BY$63/units)*'Sponsor Pro Forma'!$Q$11, (-'Monthly Cash Flow'!BY$63/units)*INDEX('Sponsor Pro Forma'!$M$11:$P$11,MATCH('Monthly Cash Flow'!$B67,'Sponsor Pro Forma'!$B$11,0),MATCH('Monthly Cash Flow'!BY$4,'Sponsor Pro Forma'!$M$7:$P$7,0)))</f>
        <v>-1822.4573480054296</v>
      </c>
      <c r="BZ67" s="400">
        <f>IF(BZ$4&gt;4,(-BZ$63/units)*'Sponsor Pro Forma'!$Q$11, (-'Monthly Cash Flow'!BZ$63/units)*INDEX('Sponsor Pro Forma'!$M$11:$P$11,MATCH('Monthly Cash Flow'!$B67,'Sponsor Pro Forma'!$B$11,0),MATCH('Monthly Cash Flow'!BZ$4,'Sponsor Pro Forma'!$M$7:$P$7,0)))</f>
        <v>-1828.5322058321144</v>
      </c>
      <c r="CA67" s="400">
        <f>IF(CA$4&gt;4,(-CA$63/units)*'Sponsor Pro Forma'!$Q$11, (-'Monthly Cash Flow'!CA$63/units)*INDEX('Sponsor Pro Forma'!$M$11:$P$11,MATCH('Monthly Cash Flow'!$B67,'Sponsor Pro Forma'!$B$11,0),MATCH('Monthly Cash Flow'!CA$4,'Sponsor Pro Forma'!$M$7:$P$7,0)))</f>
        <v>-1834.6273131848886</v>
      </c>
      <c r="CB67" s="400">
        <f>IF(CB$4&gt;4,(-CB$63/units)*'Sponsor Pro Forma'!$Q$11, (-'Monthly Cash Flow'!CB$63/units)*INDEX('Sponsor Pro Forma'!$M$11:$P$11,MATCH('Monthly Cash Flow'!$B67,'Sponsor Pro Forma'!$B$11,0),MATCH('Monthly Cash Flow'!CB$4,'Sponsor Pro Forma'!$M$7:$P$7,0)))</f>
        <v>-1840.7427375621717</v>
      </c>
      <c r="CC67" s="400">
        <f>IF(CC$4&gt;4,(-CC$63/units)*'Sponsor Pro Forma'!$Q$11, (-'Monthly Cash Flow'!CC$63/units)*INDEX('Sponsor Pro Forma'!$M$11:$P$11,MATCH('Monthly Cash Flow'!$B67,'Sponsor Pro Forma'!$B$11,0),MATCH('Monthly Cash Flow'!CC$4,'Sponsor Pro Forma'!$M$7:$P$7,0)))</f>
        <v>-1846.8785466873787</v>
      </c>
      <c r="CD67" s="400">
        <f>IF(CD$4&gt;4,(-CD$63/units)*'Sponsor Pro Forma'!$Q$11, (-'Monthly Cash Flow'!CD$63/units)*INDEX('Sponsor Pro Forma'!$M$11:$P$11,MATCH('Monthly Cash Flow'!$B67,'Sponsor Pro Forma'!$B$11,0),MATCH('Monthly Cash Flow'!CD$4,'Sponsor Pro Forma'!$M$7:$P$7,0)))</f>
        <v>-1853.0348085096703</v>
      </c>
      <c r="CE67" s="400">
        <f>IF(CE$4&gt;4,(-CE$63/units)*'Sponsor Pro Forma'!$Q$11, (-'Monthly Cash Flow'!CE$63/units)*INDEX('Sponsor Pro Forma'!$M$11:$P$11,MATCH('Monthly Cash Flow'!$B67,'Sponsor Pro Forma'!$B$11,0),MATCH('Monthly Cash Flow'!CE$4,'Sponsor Pro Forma'!$M$7:$P$7,0)))</f>
        <v>-1859.2115912047027</v>
      </c>
      <c r="CF67" s="400">
        <f>IF(CF$4&gt;4,(-CF$63/units)*'Sponsor Pro Forma'!$Q$11, (-'Monthly Cash Flow'!CF$63/units)*INDEX('Sponsor Pro Forma'!$M$11:$P$11,MATCH('Monthly Cash Flow'!$B67,'Sponsor Pro Forma'!$B$11,0),MATCH('Monthly Cash Flow'!CF$4,'Sponsor Pro Forma'!$M$7:$P$7,0)))</f>
        <v>-1865.408963175385</v>
      </c>
      <c r="CG67" s="400">
        <f>IF(CG$4&gt;4,(-CG$63/units)*'Sponsor Pro Forma'!$Q$11, (-'Monthly Cash Flow'!CG$63/units)*INDEX('Sponsor Pro Forma'!$M$11:$P$11,MATCH('Monthly Cash Flow'!$B67,'Sponsor Pro Forma'!$B$11,0),MATCH('Monthly Cash Flow'!CG$4,'Sponsor Pro Forma'!$M$7:$P$7,0)))</f>
        <v>-1871.6269930526366</v>
      </c>
      <c r="CH67" s="400">
        <f>IF(CH$4&gt;4,(-CH$63/units)*'Sponsor Pro Forma'!$Q$11, (-'Monthly Cash Flow'!CH$63/units)*INDEX('Sponsor Pro Forma'!$M$11:$P$11,MATCH('Monthly Cash Flow'!$B67,'Sponsor Pro Forma'!$B$11,0),MATCH('Monthly Cash Flow'!CH$4,'Sponsor Pro Forma'!$M$7:$P$7,0)))</f>
        <v>-1877.8657496961455</v>
      </c>
      <c r="CI67" s="400">
        <f>IF(CI$4&gt;4,(-CI$63/units)*'Sponsor Pro Forma'!$Q$11, (-'Monthly Cash Flow'!CI$63/units)*INDEX('Sponsor Pro Forma'!$M$11:$P$11,MATCH('Monthly Cash Flow'!$B67,'Sponsor Pro Forma'!$B$11,0),MATCH('Monthly Cash Flow'!CI$4,'Sponsor Pro Forma'!$M$7:$P$7,0)))</f>
        <v>-1884.1253021951327</v>
      </c>
      <c r="CJ67" s="400">
        <f>IF(CJ$4&gt;4,(-CJ$63/units)*'Sponsor Pro Forma'!$Q$11, (-'Monthly Cash Flow'!CJ$63/units)*INDEX('Sponsor Pro Forma'!$M$11:$P$11,MATCH('Monthly Cash Flow'!$B67,'Sponsor Pro Forma'!$B$11,0),MATCH('Monthly Cash Flow'!CJ$4,'Sponsor Pro Forma'!$M$7:$P$7,0)))</f>
        <v>-1890.4057198691169</v>
      </c>
      <c r="CK67" s="400">
        <f>IF(CK$4&gt;4,(-CK$63/units)*'Sponsor Pro Forma'!$Q$11, (-'Monthly Cash Flow'!CK$63/units)*INDEX('Sponsor Pro Forma'!$M$11:$P$11,MATCH('Monthly Cash Flow'!$B67,'Sponsor Pro Forma'!$B$11,0),MATCH('Monthly Cash Flow'!CK$4,'Sponsor Pro Forma'!$M$7:$P$7,0)))</f>
        <v>-1896.7070722686806</v>
      </c>
      <c r="CL67" s="400">
        <f>IF(CL$4&gt;4,(-CL$63/units)*'Sponsor Pro Forma'!$Q$11, (-'Monthly Cash Flow'!CL$63/units)*INDEX('Sponsor Pro Forma'!$M$11:$P$11,MATCH('Monthly Cash Flow'!$B67,'Sponsor Pro Forma'!$B$11,0),MATCH('Monthly Cash Flow'!CL$4,'Sponsor Pro Forma'!$M$7:$P$7,0)))</f>
        <v>-1903.0294291762432</v>
      </c>
      <c r="CM67" s="400">
        <f>IF(CM$4&gt;4,(-CM$63/units)*'Sponsor Pro Forma'!$Q$11, (-'Monthly Cash Flow'!CM$63/units)*INDEX('Sponsor Pro Forma'!$M$11:$P$11,MATCH('Monthly Cash Flow'!$B67,'Sponsor Pro Forma'!$B$11,0),MATCH('Monthly Cash Flow'!CM$4,'Sponsor Pro Forma'!$M$7:$P$7,0)))</f>
        <v>-1909.3728606068305</v>
      </c>
      <c r="CN67" s="400">
        <f>IF(CN$4&gt;4,(-CN$63/units)*'Sponsor Pro Forma'!$Q$11, (-'Monthly Cash Flow'!CN$63/units)*INDEX('Sponsor Pro Forma'!$M$11:$P$11,MATCH('Monthly Cash Flow'!$B67,'Sponsor Pro Forma'!$B$11,0),MATCH('Monthly Cash Flow'!CN$4,'Sponsor Pro Forma'!$M$7:$P$7,0)))</f>
        <v>-1915.7374368088533</v>
      </c>
      <c r="CO67" s="400">
        <f>IF(CO$4&gt;4,(-CO$63/units)*'Sponsor Pro Forma'!$Q$11, (-'Monthly Cash Flow'!CO$63/units)*INDEX('Sponsor Pro Forma'!$M$11:$P$11,MATCH('Monthly Cash Flow'!$B67,'Sponsor Pro Forma'!$B$11,0),MATCH('Monthly Cash Flow'!CO$4,'Sponsor Pro Forma'!$M$7:$P$7,0)))</f>
        <v>-1922.1232282648832</v>
      </c>
      <c r="CP67" s="400">
        <f>IF(CP$4&gt;4,(-CP$63/units)*'Sponsor Pro Forma'!$Q$11, (-'Monthly Cash Flow'!CP$63/units)*INDEX('Sponsor Pro Forma'!$M$11:$P$11,MATCH('Monthly Cash Flow'!$B67,'Sponsor Pro Forma'!$B$11,0),MATCH('Monthly Cash Flow'!CP$4,'Sponsor Pro Forma'!$M$7:$P$7,0)))</f>
        <v>-1928.5303056924331</v>
      </c>
      <c r="CQ67" s="400">
        <f>IF(CQ$4&gt;4,(-CQ$63/units)*'Sponsor Pro Forma'!$Q$11, (-'Monthly Cash Flow'!CQ$63/units)*INDEX('Sponsor Pro Forma'!$M$11:$P$11,MATCH('Monthly Cash Flow'!$B67,'Sponsor Pro Forma'!$B$11,0),MATCH('Monthly Cash Flow'!CQ$4,'Sponsor Pro Forma'!$M$7:$P$7,0)))</f>
        <v>-1934.9587400447415</v>
      </c>
      <c r="CR67" s="400">
        <f>IF(CR$4&gt;4,(-CR$63/units)*'Sponsor Pro Forma'!$Q$11, (-'Monthly Cash Flow'!CR$63/units)*INDEX('Sponsor Pro Forma'!$M$11:$P$11,MATCH('Monthly Cash Flow'!$B67,'Sponsor Pro Forma'!$B$11,0),MATCH('Monthly Cash Flow'!CR$4,'Sponsor Pro Forma'!$M$7:$P$7,0)))</f>
        <v>-1941.4086025115573</v>
      </c>
      <c r="CS67" s="400">
        <f>IF(CS$4&gt;4,(-CS$63/units)*'Sponsor Pro Forma'!$Q$11, (-'Monthly Cash Flow'!CS$63/units)*INDEX('Sponsor Pro Forma'!$M$11:$P$11,MATCH('Monthly Cash Flow'!$B67,'Sponsor Pro Forma'!$B$11,0),MATCH('Monthly Cash Flow'!CS$4,'Sponsor Pro Forma'!$M$7:$P$7,0)))</f>
        <v>-1947.879964519929</v>
      </c>
      <c r="CT67" s="400">
        <f>IF(CT$4&gt;4,(-CT$63/units)*'Sponsor Pro Forma'!$Q$11, (-'Monthly Cash Flow'!CT$63/units)*INDEX('Sponsor Pro Forma'!$M$11:$P$11,MATCH('Monthly Cash Flow'!$B67,'Sponsor Pro Forma'!$B$11,0),MATCH('Monthly Cash Flow'!CT$4,'Sponsor Pro Forma'!$M$7:$P$7,0)))</f>
        <v>-1954.3728977349956</v>
      </c>
      <c r="CU67" s="400">
        <f>IF(CU$4&gt;4,(-CU$63/units)*'Sponsor Pro Forma'!$Q$11, (-'Monthly Cash Flow'!CU$63/units)*INDEX('Sponsor Pro Forma'!$M$11:$P$11,MATCH('Monthly Cash Flow'!$B67,'Sponsor Pro Forma'!$B$11,0),MATCH('Monthly Cash Flow'!CU$4,'Sponsor Pro Forma'!$M$7:$P$7,0)))</f>
        <v>-1960.8874740607791</v>
      </c>
      <c r="CV67" s="400">
        <f>IF(CV$4&gt;4,(-CV$63/units)*'Sponsor Pro Forma'!$Q$11, (-'Monthly Cash Flow'!CV$63/units)*INDEX('Sponsor Pro Forma'!$M$11:$P$11,MATCH('Monthly Cash Flow'!$B67,'Sponsor Pro Forma'!$B$11,0),MATCH('Monthly Cash Flow'!CV$4,'Sponsor Pro Forma'!$M$7:$P$7,0)))</f>
        <v>-1967.4237656409819</v>
      </c>
      <c r="CW67" s="400">
        <f>IF(CW$4&gt;4,(-CW$63/units)*'Sponsor Pro Forma'!$Q$11, (-'Monthly Cash Flow'!CW$63/units)*INDEX('Sponsor Pro Forma'!$M$11:$P$11,MATCH('Monthly Cash Flow'!$B67,'Sponsor Pro Forma'!$B$11,0),MATCH('Monthly Cash Flow'!CW$4,'Sponsor Pro Forma'!$M$7:$P$7,0)))</f>
        <v>-1973.9818448597853</v>
      </c>
      <c r="CX67" s="400">
        <f>IF(CX$4&gt;4,(-CX$63/units)*'Sponsor Pro Forma'!$Q$11, (-'Monthly Cash Flow'!CX$63/units)*INDEX('Sponsor Pro Forma'!$M$11:$P$11,MATCH('Monthly Cash Flow'!$B67,'Sponsor Pro Forma'!$B$11,0),MATCH('Monthly Cash Flow'!CX$4,'Sponsor Pro Forma'!$M$7:$P$7,0)))</f>
        <v>-1980.5617843426514</v>
      </c>
      <c r="CY67" s="400">
        <f>IF(CY$4&gt;4,(-CY$63/units)*'Sponsor Pro Forma'!$Q$11, (-'Monthly Cash Flow'!CY$63/units)*INDEX('Sponsor Pro Forma'!$M$11:$P$11,MATCH('Monthly Cash Flow'!$B67,'Sponsor Pro Forma'!$B$11,0),MATCH('Monthly Cash Flow'!CY$4,'Sponsor Pro Forma'!$M$7:$P$7,0)))</f>
        <v>-1987.1636569571269</v>
      </c>
      <c r="CZ67" s="400">
        <f>IF(CZ$4&gt;4,(-CZ$63/units)*'Sponsor Pro Forma'!$Q$11, (-'Monthly Cash Flow'!CZ$63/units)*INDEX('Sponsor Pro Forma'!$M$11:$P$11,MATCH('Monthly Cash Flow'!$B67,'Sponsor Pro Forma'!$B$11,0),MATCH('Monthly Cash Flow'!CZ$4,'Sponsor Pro Forma'!$M$7:$P$7,0)))</f>
        <v>-1993.7875358136512</v>
      </c>
      <c r="DA67" s="400">
        <f>IF(DA$4&gt;4,(-DA$63/units)*'Sponsor Pro Forma'!$Q$11, (-'Monthly Cash Flow'!DA$63/units)*INDEX('Sponsor Pro Forma'!$M$11:$P$11,MATCH('Monthly Cash Flow'!$B67,'Sponsor Pro Forma'!$B$11,0),MATCH('Monthly Cash Flow'!DA$4,'Sponsor Pro Forma'!$M$7:$P$7,0)))</f>
        <v>-2000.4334942663634</v>
      </c>
      <c r="DB67" s="400">
        <f>IF(DB$4&gt;4,(-DB$63/units)*'Sponsor Pro Forma'!$Q$11, (-'Monthly Cash Flow'!DB$63/units)*INDEX('Sponsor Pro Forma'!$M$11:$P$11,MATCH('Monthly Cash Flow'!$B67,'Sponsor Pro Forma'!$B$11,0),MATCH('Monthly Cash Flow'!DB$4,'Sponsor Pro Forma'!$M$7:$P$7,0)))</f>
        <v>-2007.1016059139181</v>
      </c>
      <c r="DC67" s="400">
        <f>IF(DC$4&gt;4,(-DC$63/units)*'Sponsor Pro Forma'!$Q$11, (-'Monthly Cash Flow'!DC$63/units)*INDEX('Sponsor Pro Forma'!$M$11:$P$11,MATCH('Monthly Cash Flow'!$B67,'Sponsor Pro Forma'!$B$11,0),MATCH('Monthly Cash Flow'!DC$4,'Sponsor Pro Forma'!$M$7:$P$7,0)))</f>
        <v>-2013.7919446002977</v>
      </c>
      <c r="DD67" s="400">
        <f>IF(DD$4&gt;4,(-DD$63/units)*'Sponsor Pro Forma'!$Q$11, (-'Monthly Cash Flow'!DD$63/units)*INDEX('Sponsor Pro Forma'!$M$11:$P$11,MATCH('Monthly Cash Flow'!$B67,'Sponsor Pro Forma'!$B$11,0),MATCH('Monthly Cash Flow'!DD$4,'Sponsor Pro Forma'!$M$7:$P$7,0)))</f>
        <v>-2020.5045844156323</v>
      </c>
      <c r="DE67" s="400">
        <f>IF(DE$4&gt;4,(-DE$63/units)*'Sponsor Pro Forma'!$Q$11, (-'Monthly Cash Flow'!DE$63/units)*INDEX('Sponsor Pro Forma'!$M$11:$P$11,MATCH('Monthly Cash Flow'!$B67,'Sponsor Pro Forma'!$B$11,0),MATCH('Monthly Cash Flow'!DE$4,'Sponsor Pro Forma'!$M$7:$P$7,0)))</f>
        <v>-2027.2395996970181</v>
      </c>
      <c r="DF67" s="400">
        <f>IF(DF$4&gt;4,(-DF$63/units)*'Sponsor Pro Forma'!$Q$11, (-'Monthly Cash Flow'!DF$63/units)*INDEX('Sponsor Pro Forma'!$M$11:$P$11,MATCH('Monthly Cash Flow'!$B67,'Sponsor Pro Forma'!$B$11,0),MATCH('Monthly Cash Flow'!DF$4,'Sponsor Pro Forma'!$M$7:$P$7,0)))</f>
        <v>-2033.9970650293417</v>
      </c>
      <c r="DG67" s="400">
        <f>IF(DG$4&gt;4,(-DG$63/units)*'Sponsor Pro Forma'!$Q$11, (-'Monthly Cash Flow'!DG$63/units)*INDEX('Sponsor Pro Forma'!$M$11:$P$11,MATCH('Monthly Cash Flow'!$B67,'Sponsor Pro Forma'!$B$11,0),MATCH('Monthly Cash Flow'!DG$4,'Sponsor Pro Forma'!$M$7:$P$7,0)))</f>
        <v>-2040.7770552461059</v>
      </c>
      <c r="DH67" s="400">
        <f>IF(DH$4&gt;4,(-DH$63/units)*'Sponsor Pro Forma'!$Q$11, (-'Monthly Cash Flow'!DH$63/units)*INDEX('Sponsor Pro Forma'!$M$11:$P$11,MATCH('Monthly Cash Flow'!$B67,'Sponsor Pro Forma'!$B$11,0),MATCH('Monthly Cash Flow'!DH$4,'Sponsor Pro Forma'!$M$7:$P$7,0)))</f>
        <v>-2047.5796454302599</v>
      </c>
      <c r="DI67" s="400">
        <f>IF(DI$4&gt;4,(-DI$63/units)*'Sponsor Pro Forma'!$Q$11, (-'Monthly Cash Flow'!DI$63/units)*INDEX('Sponsor Pro Forma'!$M$11:$P$11,MATCH('Monthly Cash Flow'!$B67,'Sponsor Pro Forma'!$B$11,0),MATCH('Monthly Cash Flow'!DI$4,'Sponsor Pro Forma'!$M$7:$P$7,0)))</f>
        <v>-2054.4049109150278</v>
      </c>
      <c r="DJ67" s="400">
        <f>IF(DJ$4&gt;4,(-DJ$63/units)*'Sponsor Pro Forma'!$Q$11, (-'Monthly Cash Flow'!DJ$63/units)*INDEX('Sponsor Pro Forma'!$M$11:$P$11,MATCH('Monthly Cash Flow'!$B67,'Sponsor Pro Forma'!$B$11,0),MATCH('Monthly Cash Flow'!DJ$4,'Sponsor Pro Forma'!$M$7:$P$7,0)))</f>
        <v>-2061.2529272847441</v>
      </c>
      <c r="DK67" s="400">
        <f>IF(DK$4&gt;4,(-DK$63/units)*'Sponsor Pro Forma'!$Q$11, (-'Monthly Cash Flow'!DK$63/units)*INDEX('Sponsor Pro Forma'!$M$11:$P$11,MATCH('Monthly Cash Flow'!$B67,'Sponsor Pro Forma'!$B$11,0),MATCH('Monthly Cash Flow'!DK$4,'Sponsor Pro Forma'!$M$7:$P$7,0)))</f>
        <v>-2068.1237703756938</v>
      </c>
      <c r="DL67" s="400">
        <f>IF(DL$4&gt;4,(-DL$63/units)*'Sponsor Pro Forma'!$Q$11, (-'Monthly Cash Flow'!DL$63/units)*INDEX('Sponsor Pro Forma'!$M$11:$P$11,MATCH('Monthly Cash Flow'!$B67,'Sponsor Pro Forma'!$B$11,0),MATCH('Monthly Cash Flow'!DL$4,'Sponsor Pro Forma'!$M$7:$P$7,0)))</f>
        <v>-2075.0175162769465</v>
      </c>
      <c r="DM67" s="400">
        <f>IF(DM$4&gt;4,(-DM$63/units)*'Sponsor Pro Forma'!$Q$11, (-'Monthly Cash Flow'!DM$63/units)*INDEX('Sponsor Pro Forma'!$M$11:$P$11,MATCH('Monthly Cash Flow'!$B67,'Sponsor Pro Forma'!$B$11,0),MATCH('Monthly Cash Flow'!DM$4,'Sponsor Pro Forma'!$M$7:$P$7,0)))</f>
        <v>-2081.9342413312029</v>
      </c>
      <c r="DN67" s="400">
        <f>IF(DN$4&gt;4,(-DN$63/units)*'Sponsor Pro Forma'!$Q$11, (-'Monthly Cash Flow'!DN$63/units)*INDEX('Sponsor Pro Forma'!$M$11:$P$11,MATCH('Monthly Cash Flow'!$B67,'Sponsor Pro Forma'!$B$11,0),MATCH('Monthly Cash Flow'!DN$4,'Sponsor Pro Forma'!$M$7:$P$7,0)))</f>
        <v>-2088.8740221356402</v>
      </c>
      <c r="DO67" s="400">
        <f>IF(DO$4&gt;4,(-DO$63/units)*'Sponsor Pro Forma'!$Q$11, (-'Monthly Cash Flow'!DO$63/units)*INDEX('Sponsor Pro Forma'!$M$11:$P$11,MATCH('Monthly Cash Flow'!$B67,'Sponsor Pro Forma'!$B$11,0),MATCH('Monthly Cash Flow'!DO$4,'Sponsor Pro Forma'!$M$7:$P$7,0)))</f>
        <v>-2095.8369355427594</v>
      </c>
      <c r="DP67" s="400">
        <f>IF(DP$4&gt;4,(-DP$63/units)*'Sponsor Pro Forma'!$Q$11, (-'Monthly Cash Flow'!DP$63/units)*INDEX('Sponsor Pro Forma'!$M$11:$P$11,MATCH('Monthly Cash Flow'!$B67,'Sponsor Pro Forma'!$B$11,0),MATCH('Monthly Cash Flow'!DP$4,'Sponsor Pro Forma'!$M$7:$P$7,0)))</f>
        <v>-2102.8230586612353</v>
      </c>
      <c r="DQ67" s="400">
        <f>IF(DQ$4&gt;4,(-DQ$63/units)*'Sponsor Pro Forma'!$Q$11, (-'Monthly Cash Flow'!DQ$63/units)*INDEX('Sponsor Pro Forma'!$M$11:$P$11,MATCH('Monthly Cash Flow'!$B67,'Sponsor Pro Forma'!$B$11,0),MATCH('Monthly Cash Flow'!DQ$4,'Sponsor Pro Forma'!$M$7:$P$7,0)))</f>
        <v>-2109.8324688567732</v>
      </c>
      <c r="DR67" s="400">
        <f>IF(DR$4&gt;4,(-DR$63/units)*'Sponsor Pro Forma'!$Q$11, (-'Monthly Cash Flow'!DR$63/units)*INDEX('Sponsor Pro Forma'!$M$11:$P$11,MATCH('Monthly Cash Flow'!$B67,'Sponsor Pro Forma'!$B$11,0),MATCH('Monthly Cash Flow'!DR$4,'Sponsor Pro Forma'!$M$7:$P$7,0)))</f>
        <v>-2116.8652437529622</v>
      </c>
      <c r="DS67" s="400">
        <f>IF(DS$4&gt;4,(-DS$63/units)*'Sponsor Pro Forma'!$Q$11, (-'Monthly Cash Flow'!DS$63/units)*INDEX('Sponsor Pro Forma'!$M$11:$P$11,MATCH('Monthly Cash Flow'!$B67,'Sponsor Pro Forma'!$B$11,0),MATCH('Monthly Cash Flow'!DS$4,'Sponsor Pro Forma'!$M$7:$P$7,0)))</f>
        <v>-2123.9214612321389</v>
      </c>
      <c r="DT67" s="400">
        <f>IF(DT$4&gt;4,(-DT$63/units)*'Sponsor Pro Forma'!$Q$11, (-'Monthly Cash Flow'!DT$63/units)*INDEX('Sponsor Pro Forma'!$M$11:$P$11,MATCH('Monthly Cash Flow'!$B67,'Sponsor Pro Forma'!$B$11,0),MATCH('Monthly Cash Flow'!DT$4,'Sponsor Pro Forma'!$M$7:$P$7,0)))</f>
        <v>-2131.0011994362462</v>
      </c>
      <c r="DU67" s="401" t="s">
        <v>557</v>
      </c>
      <c r="DV67" s="196"/>
    </row>
    <row r="68" spans="1:126" s="5" customFormat="1" ht="19">
      <c r="A68" s="399">
        <v>5</v>
      </c>
      <c r="B68" s="203" t="str">
        <f>'Debt Sizing'!A13</f>
        <v>Bad Debt</v>
      </c>
      <c r="C68" s="402"/>
      <c r="D68" s="398"/>
      <c r="E68" s="400">
        <f>IF(E$4&gt;4,-E$63*'Sponsor Pro Forma'!$Q12,-('Monthly Cash Flow'!E$63+E65)*INDEX('Sponsor Pro Forma'!$M$10:$P$12,MATCH('Monthly Cash Flow'!$B68,'Sponsor Pro Forma'!$B$10:$B$12,0),MATCH('Monthly Cash Flow'!E$4,'Sponsor Pro Forma'!$M$7:$P$7,0)))</f>
        <v>-3349.3058751786834</v>
      </c>
      <c r="F68" s="400">
        <f>IF(F$4&gt;4,-F$63*'Sponsor Pro Forma'!$Q12,-('Monthly Cash Flow'!F$63+F65)*INDEX('Sponsor Pro Forma'!$M$10:$P$12,MATCH('Monthly Cash Flow'!$B68,'Sponsor Pro Forma'!$B$10:$B$12,0),MATCH('Monthly Cash Flow'!F$4,'Sponsor Pro Forma'!$M$7:$P$7,0)))</f>
        <v>-3371.6345810132075</v>
      </c>
      <c r="G68" s="400">
        <f>IF(G$4&gt;4,-G$63*'Sponsor Pro Forma'!$Q12,-('Monthly Cash Flow'!G$63+G65)*INDEX('Sponsor Pro Forma'!$M$10:$P$12,MATCH('Monthly Cash Flow'!$B68,'Sponsor Pro Forma'!$B$10:$B$12,0),MATCH('Monthly Cash Flow'!G$4,'Sponsor Pro Forma'!$M$7:$P$7,0)))</f>
        <v>-3394.1121448866284</v>
      </c>
      <c r="H68" s="400">
        <f>IF(H$4&gt;4,-H$63*'Sponsor Pro Forma'!$Q12,-('Monthly Cash Flow'!H$63+H65)*INDEX('Sponsor Pro Forma'!$M$10:$P$12,MATCH('Monthly Cash Flow'!$B68,'Sponsor Pro Forma'!$B$10:$B$12,0),MATCH('Monthly Cash Flow'!H$4,'Sponsor Pro Forma'!$M$7:$P$7,0)))</f>
        <v>-3416.7395591858731</v>
      </c>
      <c r="I68" s="400">
        <f>IF(I$4&gt;4,-I$63*'Sponsor Pro Forma'!$Q12,-('Monthly Cash Flow'!I$63+I65)*INDEX('Sponsor Pro Forma'!$M$10:$P$12,MATCH('Monthly Cash Flow'!$B68,'Sponsor Pro Forma'!$B$10:$B$12,0),MATCH('Monthly Cash Flow'!I$4,'Sponsor Pro Forma'!$M$7:$P$7,0)))</f>
        <v>-3439.5178229137782</v>
      </c>
      <c r="J68" s="400">
        <f>IF(J$4&gt;4,-J$63*'Sponsor Pro Forma'!$Q12,-('Monthly Cash Flow'!J$63+J65)*INDEX('Sponsor Pro Forma'!$M$10:$P$12,MATCH('Monthly Cash Flow'!$B68,'Sponsor Pro Forma'!$B$10:$B$12,0),MATCH('Monthly Cash Flow'!J$4,'Sponsor Pro Forma'!$M$7:$P$7,0)))</f>
        <v>-3462.4479417332032</v>
      </c>
      <c r="K68" s="400">
        <f>IF(K$4&gt;4,-K$63*'Sponsor Pro Forma'!$Q12,-('Monthly Cash Flow'!K$63+K65)*INDEX('Sponsor Pro Forma'!$M$10:$P$12,MATCH('Monthly Cash Flow'!$B68,'Sponsor Pro Forma'!$B$10:$B$12,0),MATCH('Monthly Cash Flow'!K$4,'Sponsor Pro Forma'!$M$7:$P$7,0)))</f>
        <v>-3485.5309280114247</v>
      </c>
      <c r="L68" s="400">
        <f>IF(L$4&gt;4,-L$63*'Sponsor Pro Forma'!$Q12,-('Monthly Cash Flow'!L$63+L65)*INDEX('Sponsor Pro Forma'!$M$10:$P$12,MATCH('Monthly Cash Flow'!$B68,'Sponsor Pro Forma'!$B$10:$B$12,0),MATCH('Monthly Cash Flow'!L$4,'Sponsor Pro Forma'!$M$7:$P$7,0)))</f>
        <v>-3508.7678008648336</v>
      </c>
      <c r="M68" s="400">
        <f>IF(M$4&gt;4,-M$63*'Sponsor Pro Forma'!$Q12,-('Monthly Cash Flow'!M$63+M65)*INDEX('Sponsor Pro Forma'!$M$10:$P$12,MATCH('Monthly Cash Flow'!$B68,'Sponsor Pro Forma'!$B$10:$B$12,0),MATCH('Monthly Cash Flow'!M$4,'Sponsor Pro Forma'!$M$7:$P$7,0)))</f>
        <v>-3532.1595862039321</v>
      </c>
      <c r="N68" s="400">
        <f>IF(N$4&gt;4,-N$63*'Sponsor Pro Forma'!$Q12,-('Monthly Cash Flow'!N$63+N65)*INDEX('Sponsor Pro Forma'!$M$10:$P$12,MATCH('Monthly Cash Flow'!$B68,'Sponsor Pro Forma'!$B$10:$B$12,0),MATCH('Monthly Cash Flow'!N$4,'Sponsor Pro Forma'!$M$7:$P$7,0)))</f>
        <v>-3555.7073167786248</v>
      </c>
      <c r="O68" s="400">
        <f>IF(O$4&gt;4,-O$63*'Sponsor Pro Forma'!$Q12,-('Monthly Cash Flow'!O$63+O65)*INDEX('Sponsor Pro Forma'!$M$10:$P$12,MATCH('Monthly Cash Flow'!$B68,'Sponsor Pro Forma'!$B$10:$B$12,0),MATCH('Monthly Cash Flow'!O$4,'Sponsor Pro Forma'!$M$7:$P$7,0)))</f>
        <v>-3579.4120322238159</v>
      </c>
      <c r="P68" s="400">
        <f>IF(P$4&gt;4,-P$63*'Sponsor Pro Forma'!$Q12,-('Monthly Cash Flow'!P$63+P65)*INDEX('Sponsor Pro Forma'!$M$10:$P$12,MATCH('Monthly Cash Flow'!$B68,'Sponsor Pro Forma'!$B$10:$B$12,0),MATCH('Monthly Cash Flow'!P$4,'Sponsor Pro Forma'!$M$7:$P$7,0)))</f>
        <v>-3603.2747791053071</v>
      </c>
      <c r="Q68" s="400">
        <f>IF(Q$4&gt;4,-Q$63*'Sponsor Pro Forma'!$Q12,-('Monthly Cash Flow'!Q$63+Q65)*INDEX('Sponsor Pro Forma'!$M$10:$P$12,MATCH('Monthly Cash Flow'!$B68,'Sponsor Pro Forma'!$B$10:$B$12,0),MATCH('Monthly Cash Flow'!Q$4,'Sponsor Pro Forma'!$M$7:$P$7,0)))</f>
        <v>-3625.7952464747154</v>
      </c>
      <c r="R68" s="400">
        <f>IF(R$4&gt;4,-R$63*'Sponsor Pro Forma'!$Q12,-('Monthly Cash Flow'!R$63+R65)*INDEX('Sponsor Pro Forma'!$M$10:$P$12,MATCH('Monthly Cash Flow'!$B68,'Sponsor Pro Forma'!$B$10:$B$12,0),MATCH('Monthly Cash Flow'!R$4,'Sponsor Pro Forma'!$M$7:$P$7,0)))</f>
        <v>-3648.456466765183</v>
      </c>
      <c r="S68" s="400">
        <f>IF(S$4&gt;4,-S$63*'Sponsor Pro Forma'!$Q12,-('Monthly Cash Flow'!S$63+S65)*INDEX('Sponsor Pro Forma'!$M$10:$P$12,MATCH('Monthly Cash Flow'!$B68,'Sponsor Pro Forma'!$B$10:$B$12,0),MATCH('Monthly Cash Flow'!S$4,'Sponsor Pro Forma'!$M$7:$P$7,0)))</f>
        <v>-3671.259319682466</v>
      </c>
      <c r="T68" s="400">
        <f>IF(T$4&gt;4,-T$63*'Sponsor Pro Forma'!$Q12,-('Monthly Cash Flow'!T$63+T65)*INDEX('Sponsor Pro Forma'!$M$10:$P$12,MATCH('Monthly Cash Flow'!$B68,'Sponsor Pro Forma'!$B$10:$B$12,0),MATCH('Monthly Cash Flow'!T$4,'Sponsor Pro Forma'!$M$7:$P$7,0)))</f>
        <v>-3694.2046904304812</v>
      </c>
      <c r="U68" s="400">
        <f>IF(U$4&gt;4,-U$63*'Sponsor Pro Forma'!$Q12,-('Monthly Cash Flow'!U$63+U65)*INDEX('Sponsor Pro Forma'!$M$10:$P$12,MATCH('Monthly Cash Flow'!$B68,'Sponsor Pro Forma'!$B$10:$B$12,0),MATCH('Monthly Cash Flow'!U$4,'Sponsor Pro Forma'!$M$7:$P$7,0)))</f>
        <v>-3717.2934697456722</v>
      </c>
      <c r="V68" s="400">
        <f>IF(V$4&gt;4,-V$63*'Sponsor Pro Forma'!$Q12,-('Monthly Cash Flow'!V$63+V65)*INDEX('Sponsor Pro Forma'!$M$10:$P$12,MATCH('Monthly Cash Flow'!$B68,'Sponsor Pro Forma'!$B$10:$B$12,0),MATCH('Monthly Cash Flow'!V$4,'Sponsor Pro Forma'!$M$7:$P$7,0)))</f>
        <v>-3740.5265539315833</v>
      </c>
      <c r="W68" s="400">
        <f>IF(W$4&gt;4,-W$63*'Sponsor Pro Forma'!$Q12,-('Monthly Cash Flow'!W$63+W65)*INDEX('Sponsor Pro Forma'!$M$10:$P$12,MATCH('Monthly Cash Flow'!$B68,'Sponsor Pro Forma'!$B$10:$B$12,0),MATCH('Monthly Cash Flow'!W$4,'Sponsor Pro Forma'!$M$7:$P$7,0)))</f>
        <v>-3763.904844893656</v>
      </c>
      <c r="X68" s="400">
        <f>IF(X$4&gt;4,-X$63*'Sponsor Pro Forma'!$Q12,-('Monthly Cash Flow'!X$63+X65)*INDEX('Sponsor Pro Forma'!$M$10:$P$12,MATCH('Monthly Cash Flow'!$B68,'Sponsor Pro Forma'!$B$10:$B$12,0),MATCH('Monthly Cash Flow'!X$4,'Sponsor Pro Forma'!$M$7:$P$7,0)))</f>
        <v>-3787.4292501742416</v>
      </c>
      <c r="Y68" s="400">
        <f>IF(Y$4&gt;4,-Y$63*'Sponsor Pro Forma'!$Q12,-('Monthly Cash Flow'!Y$63+Y65)*INDEX('Sponsor Pro Forma'!$M$10:$P$12,MATCH('Monthly Cash Flow'!$B68,'Sponsor Pro Forma'!$B$10:$B$12,0),MATCH('Monthly Cash Flow'!Y$4,'Sponsor Pro Forma'!$M$7:$P$7,0)))</f>
        <v>-3811.1006829878315</v>
      </c>
      <c r="Z68" s="400">
        <f>IF(Z$4&gt;4,-Z$63*'Sponsor Pro Forma'!$Q12,-('Monthly Cash Flow'!Z$63+Z65)*INDEX('Sponsor Pro Forma'!$M$10:$P$12,MATCH('Monthly Cash Flow'!$B68,'Sponsor Pro Forma'!$B$10:$B$12,0),MATCH('Monthly Cash Flow'!Z$4,'Sponsor Pro Forma'!$M$7:$P$7,0)))</f>
        <v>-3834.9200622565049</v>
      </c>
      <c r="AA68" s="400">
        <f>IF(AA$4&gt;4,-AA$63*'Sponsor Pro Forma'!$Q12,-('Monthly Cash Flow'!AA$63+AA65)*INDEX('Sponsor Pro Forma'!$M$10:$P$12,MATCH('Monthly Cash Flow'!$B68,'Sponsor Pro Forma'!$B$10:$B$12,0),MATCH('Monthly Cash Flow'!AA$4,'Sponsor Pro Forma'!$M$7:$P$7,0)))</f>
        <v>-3858.8883126456089</v>
      </c>
      <c r="AB68" s="400">
        <f>IF(AB$4&gt;4,-AB$63*'Sponsor Pro Forma'!$Q12,-('Monthly Cash Flow'!AB$63+AB65)*INDEX('Sponsor Pro Forma'!$M$10:$P$12,MATCH('Monthly Cash Flow'!$B68,'Sponsor Pro Forma'!$B$10:$B$12,0),MATCH('Monthly Cash Flow'!AB$4,'Sponsor Pro Forma'!$M$7:$P$7,0)))</f>
        <v>-3883.0063645996438</v>
      </c>
      <c r="AC68" s="400">
        <f>IF(AC$4&gt;4,-AC$63*'Sponsor Pro Forma'!$Q12,-('Monthly Cash Flow'!AC$63+AC65)*INDEX('Sponsor Pro Forma'!$M$10:$P$12,MATCH('Monthly Cash Flow'!$B68,'Sponsor Pro Forma'!$B$10:$B$12,0),MATCH('Monthly Cash Flow'!AC$4,'Sponsor Pro Forma'!$M$7:$P$7,0)))</f>
        <v>-3895.9497191483097</v>
      </c>
      <c r="AD68" s="400">
        <f>IF(AD$4&gt;4,-AD$63*'Sponsor Pro Forma'!$Q12,-('Monthly Cash Flow'!AD$63+AD65)*INDEX('Sponsor Pro Forma'!$M$10:$P$12,MATCH('Monthly Cash Flow'!$B68,'Sponsor Pro Forma'!$B$10:$B$12,0),MATCH('Monthly Cash Flow'!AD$4,'Sponsor Pro Forma'!$M$7:$P$7,0)))</f>
        <v>-3908.9362182121381</v>
      </c>
      <c r="AE68" s="400">
        <f>IF(AE$4&gt;4,-AE$63*'Sponsor Pro Forma'!$Q12,-('Monthly Cash Flow'!AE$63+AE65)*INDEX('Sponsor Pro Forma'!$M$10:$P$12,MATCH('Monthly Cash Flow'!$B68,'Sponsor Pro Forma'!$B$10:$B$12,0),MATCH('Monthly Cash Flow'!AE$4,'Sponsor Pro Forma'!$M$7:$P$7,0)))</f>
        <v>-3921.9660056061789</v>
      </c>
      <c r="AF68" s="400">
        <f>IF(AF$4&gt;4,-AF$63*'Sponsor Pro Forma'!$Q12,-('Monthly Cash Flow'!AF$63+AF65)*INDEX('Sponsor Pro Forma'!$M$10:$P$12,MATCH('Monthly Cash Flow'!$B68,'Sponsor Pro Forma'!$B$10:$B$12,0),MATCH('Monthly Cash Flow'!AF$4,'Sponsor Pro Forma'!$M$7:$P$7,0)))</f>
        <v>-3935.039225624866</v>
      </c>
      <c r="AG68" s="400">
        <f>IF(AG$4&gt;4,-AG$63*'Sponsor Pro Forma'!$Q12,-('Monthly Cash Flow'!AG$63+AG65)*INDEX('Sponsor Pro Forma'!$M$10:$P$12,MATCH('Monthly Cash Flow'!$B68,'Sponsor Pro Forma'!$B$10:$B$12,0),MATCH('Monthly Cash Flow'!AG$4,'Sponsor Pro Forma'!$M$7:$P$7,0)))</f>
        <v>-3948.1560230436153</v>
      </c>
      <c r="AH68" s="400">
        <f>IF(AH$4&gt;4,-AH$63*'Sponsor Pro Forma'!$Q12,-('Monthly Cash Flow'!AH$63+AH65)*INDEX('Sponsor Pro Forma'!$M$10:$P$12,MATCH('Monthly Cash Flow'!$B68,'Sponsor Pro Forma'!$B$10:$B$12,0),MATCH('Monthly Cash Flow'!AH$4,'Sponsor Pro Forma'!$M$7:$P$7,0)))</f>
        <v>-3961.3165431204288</v>
      </c>
      <c r="AI68" s="400">
        <f>IF(AI$4&gt;4,-AI$63*'Sponsor Pro Forma'!$Q12,-('Monthly Cash Flow'!AI$63+AI65)*INDEX('Sponsor Pro Forma'!$M$10:$P$12,MATCH('Monthly Cash Flow'!$B68,'Sponsor Pro Forma'!$B$10:$B$12,0),MATCH('Monthly Cash Flow'!AI$4,'Sponsor Pro Forma'!$M$7:$P$7,0)))</f>
        <v>-3974.5209315974971</v>
      </c>
      <c r="AJ68" s="400">
        <f>IF(AJ$4&gt;4,-AJ$63*'Sponsor Pro Forma'!$Q12,-('Monthly Cash Flow'!AJ$63+AJ65)*INDEX('Sponsor Pro Forma'!$M$10:$P$12,MATCH('Monthly Cash Flow'!$B68,'Sponsor Pro Forma'!$B$10:$B$12,0),MATCH('Monthly Cash Flow'!AJ$4,'Sponsor Pro Forma'!$M$7:$P$7,0)))</f>
        <v>-3987.7693347028226</v>
      </c>
      <c r="AK68" s="400">
        <f>IF(AK$4&gt;4,-AK$63*'Sponsor Pro Forma'!$Q12,-('Monthly Cash Flow'!AK$63+AK65)*INDEX('Sponsor Pro Forma'!$M$10:$P$12,MATCH('Monthly Cash Flow'!$B68,'Sponsor Pro Forma'!$B$10:$B$12,0),MATCH('Monthly Cash Flow'!AK$4,'Sponsor Pro Forma'!$M$7:$P$7,0)))</f>
        <v>-4001.0618991518313</v>
      </c>
      <c r="AL68" s="400">
        <f>IF(AL$4&gt;4,-AL$63*'Sponsor Pro Forma'!$Q12,-('Monthly Cash Flow'!AL$63+AL65)*INDEX('Sponsor Pro Forma'!$M$10:$P$12,MATCH('Monthly Cash Flow'!$B68,'Sponsor Pro Forma'!$B$10:$B$12,0),MATCH('Monthly Cash Flow'!AL$4,'Sponsor Pro Forma'!$M$7:$P$7,0)))</f>
        <v>-4014.3987721490053</v>
      </c>
      <c r="AM68" s="400">
        <f>IF(AM$4&gt;4,-AM$63*'Sponsor Pro Forma'!$Q12,-('Monthly Cash Flow'!AM$63+AM65)*INDEX('Sponsor Pro Forma'!$M$10:$P$12,MATCH('Monthly Cash Flow'!$B68,'Sponsor Pro Forma'!$B$10:$B$12,0),MATCH('Monthly Cash Flow'!AM$4,'Sponsor Pro Forma'!$M$7:$P$7,0)))</f>
        <v>-4027.7801013895014</v>
      </c>
      <c r="AN68" s="400">
        <f>IF(AN$4&gt;4,-AN$63*'Sponsor Pro Forma'!$Q12,-('Monthly Cash Flow'!AN$63+AN65)*INDEX('Sponsor Pro Forma'!$M$10:$P$12,MATCH('Monthly Cash Flow'!$B68,'Sponsor Pro Forma'!$B$10:$B$12,0),MATCH('Monthly Cash Flow'!AN$4,'Sponsor Pro Forma'!$M$7:$P$7,0)))</f>
        <v>-4041.2060350608012</v>
      </c>
      <c r="AO68" s="400">
        <f>IF(AO$4&gt;4,-AO$63*'Sponsor Pro Forma'!$Q12,-('Monthly Cash Flow'!AO$63+AO65)*INDEX('Sponsor Pro Forma'!$M$10:$P$12,MATCH('Monthly Cash Flow'!$B68,'Sponsor Pro Forma'!$B$10:$B$12,0),MATCH('Monthly Cash Flow'!AO$4,'Sponsor Pro Forma'!$M$7:$P$7,0)))</f>
        <v>-4054.676721844337</v>
      </c>
      <c r="AP68" s="400">
        <f>IF(AP$4&gt;4,-AP$63*'Sponsor Pro Forma'!$Q12,-('Monthly Cash Flow'!AP$63+AP65)*INDEX('Sponsor Pro Forma'!$M$10:$P$12,MATCH('Monthly Cash Flow'!$B68,'Sponsor Pro Forma'!$B$10:$B$12,0),MATCH('Monthly Cash Flow'!AP$4,'Sponsor Pro Forma'!$M$7:$P$7,0)))</f>
        <v>-4068.1923109171521</v>
      </c>
      <c r="AQ68" s="400">
        <f>IF(AQ$4&gt;4,-AQ$63*'Sponsor Pro Forma'!$Q12,-('Monthly Cash Flow'!AQ$63+AQ65)*INDEX('Sponsor Pro Forma'!$M$10:$P$12,MATCH('Monthly Cash Flow'!$B68,'Sponsor Pro Forma'!$B$10:$B$12,0),MATCH('Monthly Cash Flow'!AQ$4,'Sponsor Pro Forma'!$M$7:$P$7,0)))</f>
        <v>-4081.7529519535424</v>
      </c>
      <c r="AR68" s="400">
        <f>IF(AR$4&gt;4,-AR$63*'Sponsor Pro Forma'!$Q12,-('Monthly Cash Flow'!AR$63+AR65)*INDEX('Sponsor Pro Forma'!$M$10:$P$12,MATCH('Monthly Cash Flow'!$B68,'Sponsor Pro Forma'!$B$10:$B$12,0),MATCH('Monthly Cash Flow'!AR$4,'Sponsor Pro Forma'!$M$7:$P$7,0)))</f>
        <v>-4095.3587951267214</v>
      </c>
      <c r="AS68" s="400">
        <f>IF(AS$4&gt;4,-AS$63*'Sponsor Pro Forma'!$Q12,-('Monthly Cash Flow'!AS$63+AS65)*INDEX('Sponsor Pro Forma'!$M$10:$P$12,MATCH('Monthly Cash Flow'!$B68,'Sponsor Pro Forma'!$B$10:$B$12,0),MATCH('Monthly Cash Flow'!AS$4,'Sponsor Pro Forma'!$M$7:$P$7,0)))</f>
        <v>-4109.009991110478</v>
      </c>
      <c r="AT68" s="400">
        <f>IF(AT$4&gt;4,-AT$63*'Sponsor Pro Forma'!$Q12,-('Monthly Cash Flow'!AT$63+AT65)*INDEX('Sponsor Pro Forma'!$M$10:$P$12,MATCH('Monthly Cash Flow'!$B68,'Sponsor Pro Forma'!$B$10:$B$12,0),MATCH('Monthly Cash Flow'!AT$4,'Sponsor Pro Forma'!$M$7:$P$7,0)))</f>
        <v>-4122.7066910808453</v>
      </c>
      <c r="AU68" s="400">
        <f>IF(AU$4&gt;4,-AU$63*'Sponsor Pro Forma'!$Q12,-('Monthly Cash Flow'!AU$63+AU65)*INDEX('Sponsor Pro Forma'!$M$10:$P$12,MATCH('Monthly Cash Flow'!$B68,'Sponsor Pro Forma'!$B$10:$B$12,0),MATCH('Monthly Cash Flow'!AU$4,'Sponsor Pro Forma'!$M$7:$P$7,0)))</f>
        <v>-4136.4490467177829</v>
      </c>
      <c r="AV68" s="400">
        <f>IF(AV$4&gt;4,-AV$63*'Sponsor Pro Forma'!$Q12,-('Monthly Cash Flow'!AV$63+AV65)*INDEX('Sponsor Pro Forma'!$M$10:$P$12,MATCH('Monthly Cash Flow'!$B68,'Sponsor Pro Forma'!$B$10:$B$12,0),MATCH('Monthly Cash Flow'!AV$4,'Sponsor Pro Forma'!$M$7:$P$7,0)))</f>
        <v>-4150.2372102068421</v>
      </c>
      <c r="AW68" s="400">
        <f>IF(AW$4&gt;4,-AW$63*'Sponsor Pro Forma'!$Q12,-('Monthly Cash Flow'!AW$63+AW65)*INDEX('Sponsor Pro Forma'!$M$10:$P$12,MATCH('Monthly Cash Flow'!$B68,'Sponsor Pro Forma'!$B$10:$B$12,0),MATCH('Monthly Cash Flow'!AW$4,'Sponsor Pro Forma'!$M$7:$P$7,0)))</f>
        <v>-4164.0713342408653</v>
      </c>
      <c r="AX68" s="400">
        <f>IF(AX$4&gt;4,-AX$63*'Sponsor Pro Forma'!$Q12,-('Monthly Cash Flow'!AX$63+AX65)*INDEX('Sponsor Pro Forma'!$M$10:$P$12,MATCH('Monthly Cash Flow'!$B68,'Sponsor Pro Forma'!$B$10:$B$12,0),MATCH('Monthly Cash Flow'!AX$4,'Sponsor Pro Forma'!$M$7:$P$7,0)))</f>
        <v>-4177.9515720216677</v>
      </c>
      <c r="AY68" s="400">
        <f>IF(AY$4&gt;4,-AY$63*'Sponsor Pro Forma'!$Q12,-('Monthly Cash Flow'!AY$63+AY65)*INDEX('Sponsor Pro Forma'!$M$10:$P$12,MATCH('Monthly Cash Flow'!$B68,'Sponsor Pro Forma'!$B$10:$B$12,0),MATCH('Monthly Cash Flow'!AY$4,'Sponsor Pro Forma'!$M$7:$P$7,0)))</f>
        <v>-4191.8780772617411</v>
      </c>
      <c r="AZ68" s="400">
        <f>IF(AZ$4&gt;4,-AZ$63*'Sponsor Pro Forma'!$Q12,-('Monthly Cash Flow'!AZ$63+AZ65)*INDEX('Sponsor Pro Forma'!$M$10:$P$12,MATCH('Monthly Cash Flow'!$B68,'Sponsor Pro Forma'!$B$10:$B$12,0),MATCH('Monthly Cash Flow'!AZ$4,'Sponsor Pro Forma'!$M$7:$P$7,0)))</f>
        <v>-4205.8510041859472</v>
      </c>
      <c r="BA68" s="400">
        <f>IF(BA$4&gt;4,-BA$63*'Sponsor Pro Forma'!$Q12,-('Monthly Cash Flow'!BA$63+BA65)*INDEX('Sponsor Pro Forma'!$M$10:$P$12,MATCH('Monthly Cash Flow'!$B68,'Sponsor Pro Forma'!$B$10:$B$12,0),MATCH('Monthly Cash Flow'!BA$4,'Sponsor Pro Forma'!$M$7:$P$7,0)))</f>
        <v>-4441.9689552981408</v>
      </c>
      <c r="BB68" s="400">
        <f>IF(BB$4&gt;4,-BB$63*'Sponsor Pro Forma'!$Q12,-('Monthly Cash Flow'!BB$63+BB65)*INDEX('Sponsor Pro Forma'!$M$10:$P$12,MATCH('Monthly Cash Flow'!$B68,'Sponsor Pro Forma'!$B$10:$B$12,0),MATCH('Monthly Cash Flow'!BB$4,'Sponsor Pro Forma'!$M$7:$P$7,0)))</f>
        <v>-4456.7755184824682</v>
      </c>
      <c r="BC68" s="400">
        <f>IF(BC$4&gt;4,-BC$63*'Sponsor Pro Forma'!$Q12,-('Monthly Cash Flow'!BC$63+BC65)*INDEX('Sponsor Pro Forma'!$M$10:$P$12,MATCH('Monthly Cash Flow'!$B68,'Sponsor Pro Forma'!$B$10:$B$12,0),MATCH('Monthly Cash Flow'!BC$4,'Sponsor Pro Forma'!$M$7:$P$7,0)))</f>
        <v>-4471.6314368774101</v>
      </c>
      <c r="BD68" s="400">
        <f>IF(BD$4&gt;4,-BD$63*'Sponsor Pro Forma'!$Q12,-('Monthly Cash Flow'!BD$63+BD65)*INDEX('Sponsor Pro Forma'!$M$10:$P$12,MATCH('Monthly Cash Flow'!$B68,'Sponsor Pro Forma'!$B$10:$B$12,0),MATCH('Monthly Cash Flow'!BD$4,'Sponsor Pro Forma'!$M$7:$P$7,0)))</f>
        <v>-4486.5368750003345</v>
      </c>
      <c r="BE68" s="400">
        <f>IF(BE$4&gt;4,-BE$63*'Sponsor Pro Forma'!$Q12,-('Monthly Cash Flow'!BE$63+BE65)*INDEX('Sponsor Pro Forma'!$M$10:$P$12,MATCH('Monthly Cash Flow'!$B68,'Sponsor Pro Forma'!$B$10:$B$12,0),MATCH('Monthly Cash Flow'!BE$4,'Sponsor Pro Forma'!$M$7:$P$7,0)))</f>
        <v>-4501.4919979170036</v>
      </c>
      <c r="BF68" s="400">
        <f>IF(BF$4&gt;4,-BF$63*'Sponsor Pro Forma'!$Q12,-('Monthly Cash Flow'!BF$63+BF65)*INDEX('Sponsor Pro Forma'!$M$10:$P$12,MATCH('Monthly Cash Flow'!$B68,'Sponsor Pro Forma'!$B$10:$B$12,0),MATCH('Monthly Cash Flow'!BF$4,'Sponsor Pro Forma'!$M$7:$P$7,0)))</f>
        <v>-4516.4969712433931</v>
      </c>
      <c r="BG68" s="400">
        <f>IF(BG$4&gt;4,-BG$63*'Sponsor Pro Forma'!$Q12,-('Monthly Cash Flow'!BG$63+BG65)*INDEX('Sponsor Pro Forma'!$M$10:$P$12,MATCH('Monthly Cash Flow'!$B68,'Sponsor Pro Forma'!$B$10:$B$12,0),MATCH('Monthly Cash Flow'!BG$4,'Sponsor Pro Forma'!$M$7:$P$7,0)))</f>
        <v>-4531.5519611475383</v>
      </c>
      <c r="BH68" s="400">
        <f>IF(BH$4&gt;4,-BH$63*'Sponsor Pro Forma'!$Q12,-('Monthly Cash Flow'!BH$63+BH65)*INDEX('Sponsor Pro Forma'!$M$10:$P$12,MATCH('Monthly Cash Flow'!$B68,'Sponsor Pro Forma'!$B$10:$B$12,0),MATCH('Monthly Cash Flow'!BH$4,'Sponsor Pro Forma'!$M$7:$P$7,0)))</f>
        <v>-4546.6571343513633</v>
      </c>
      <c r="BI68" s="400">
        <f>IF(BI$4&gt;4,-BI$63*'Sponsor Pro Forma'!$Q12,-('Monthly Cash Flow'!BI$63+BI65)*INDEX('Sponsor Pro Forma'!$M$10:$P$12,MATCH('Monthly Cash Flow'!$B68,'Sponsor Pro Forma'!$B$10:$B$12,0),MATCH('Monthly Cash Flow'!BI$4,'Sponsor Pro Forma'!$M$7:$P$7,0)))</f>
        <v>-4561.8126581325359</v>
      </c>
      <c r="BJ68" s="400">
        <f>IF(BJ$4&gt;4,-BJ$63*'Sponsor Pro Forma'!$Q12,-('Monthly Cash Flow'!BJ$63+BJ65)*INDEX('Sponsor Pro Forma'!$M$10:$P$12,MATCH('Monthly Cash Flow'!$B68,'Sponsor Pro Forma'!$B$10:$B$12,0),MATCH('Monthly Cash Flow'!BJ$4,'Sponsor Pro Forma'!$M$7:$P$7,0)))</f>
        <v>-4577.0187003263109</v>
      </c>
      <c r="BK68" s="400">
        <f>IF(BK$4&gt;4,-BK$63*'Sponsor Pro Forma'!$Q12,-('Monthly Cash Flow'!BK$63+BK65)*INDEX('Sponsor Pro Forma'!$M$10:$P$12,MATCH('Monthly Cash Flow'!$B68,'Sponsor Pro Forma'!$B$10:$B$12,0),MATCH('Monthly Cash Flow'!BK$4,'Sponsor Pro Forma'!$M$7:$P$7,0)))</f>
        <v>-4592.2754293273993</v>
      </c>
      <c r="BL68" s="400">
        <f>IF(BL$4&gt;4,-BL$63*'Sponsor Pro Forma'!$Q12,-('Monthly Cash Flow'!BL$63+BL65)*INDEX('Sponsor Pro Forma'!$M$10:$P$12,MATCH('Monthly Cash Flow'!$B68,'Sponsor Pro Forma'!$B$10:$B$12,0),MATCH('Monthly Cash Flow'!BL$4,'Sponsor Pro Forma'!$M$7:$P$7,0)))</f>
        <v>-4607.5830140918242</v>
      </c>
      <c r="BM68" s="400">
        <f>IF(BM$4&gt;4,-BM$63*'Sponsor Pro Forma'!$Q12,-('Monthly Cash Flow'!BM$63+BM65)*INDEX('Sponsor Pro Forma'!$M$10:$P$12,MATCH('Monthly Cash Flow'!$B68,'Sponsor Pro Forma'!$B$10:$B$12,0),MATCH('Monthly Cash Flow'!BM$4,'Sponsor Pro Forma'!$M$7:$P$7,0)))</f>
        <v>-4622.9416241387971</v>
      </c>
      <c r="BN68" s="400">
        <f>IF(BN$4&gt;4,-BN$63*'Sponsor Pro Forma'!$Q12,-('Monthly Cash Flow'!BN$63+BN65)*INDEX('Sponsor Pro Forma'!$M$10:$P$12,MATCH('Monthly Cash Flow'!$B68,'Sponsor Pro Forma'!$B$10:$B$12,0),MATCH('Monthly Cash Flow'!BN$4,'Sponsor Pro Forma'!$M$7:$P$7,0)))</f>
        <v>-4638.3514295525938</v>
      </c>
      <c r="BO68" s="400">
        <f>IF(BO$4&gt;4,-BO$63*'Sponsor Pro Forma'!$Q12,-('Monthly Cash Flow'!BO$63+BO65)*INDEX('Sponsor Pro Forma'!$M$10:$P$12,MATCH('Monthly Cash Flow'!$B68,'Sponsor Pro Forma'!$B$10:$B$12,0),MATCH('Monthly Cash Flow'!BO$4,'Sponsor Pro Forma'!$M$7:$P$7,0)))</f>
        <v>-4653.8126009844345</v>
      </c>
      <c r="BP68" s="400">
        <f>IF(BP$4&gt;4,-BP$63*'Sponsor Pro Forma'!$Q12,-('Monthly Cash Flow'!BP$63+BP65)*INDEX('Sponsor Pro Forma'!$M$10:$P$12,MATCH('Monthly Cash Flow'!$B68,'Sponsor Pro Forma'!$B$10:$B$12,0),MATCH('Monthly Cash Flow'!BP$4,'Sponsor Pro Forma'!$M$7:$P$7,0)))</f>
        <v>-4669.3253096543849</v>
      </c>
      <c r="BQ68" s="400">
        <f>IF(BQ$4&gt;4,-BQ$63*'Sponsor Pro Forma'!$Q12,-('Monthly Cash Flow'!BQ$63+BQ65)*INDEX('Sponsor Pro Forma'!$M$10:$P$12,MATCH('Monthly Cash Flow'!$B68,'Sponsor Pro Forma'!$B$10:$B$12,0),MATCH('Monthly Cash Flow'!BQ$4,'Sponsor Pro Forma'!$M$7:$P$7,0)))</f>
        <v>-4684.889727353233</v>
      </c>
      <c r="BR68" s="400">
        <f>IF(BR$4&gt;4,-BR$63*'Sponsor Pro Forma'!$Q12,-('Monthly Cash Flow'!BR$63+BR65)*INDEX('Sponsor Pro Forma'!$M$10:$P$12,MATCH('Monthly Cash Flow'!$B68,'Sponsor Pro Forma'!$B$10:$B$12,0),MATCH('Monthly Cash Flow'!BR$4,'Sponsor Pro Forma'!$M$7:$P$7,0)))</f>
        <v>-4700.506026444411</v>
      </c>
      <c r="BS68" s="400">
        <f>IF(BS$4&gt;4,-BS$63*'Sponsor Pro Forma'!$Q12,-('Monthly Cash Flow'!BS$63+BS65)*INDEX('Sponsor Pro Forma'!$M$10:$P$12,MATCH('Monthly Cash Flow'!$B68,'Sponsor Pro Forma'!$B$10:$B$12,0),MATCH('Monthly Cash Flow'!BS$4,'Sponsor Pro Forma'!$M$7:$P$7,0)))</f>
        <v>-4716.1743798658918</v>
      </c>
      <c r="BT68" s="400">
        <f>IF(BT$4&gt;4,-BT$63*'Sponsor Pro Forma'!$Q12,-('Monthly Cash Flow'!BT$63+BT65)*INDEX('Sponsor Pro Forma'!$M$10:$P$12,MATCH('Monthly Cash Flow'!$B68,'Sponsor Pro Forma'!$B$10:$B$12,0),MATCH('Monthly Cash Flow'!BT$4,'Sponsor Pro Forma'!$M$7:$P$7,0)))</f>
        <v>-4731.8949611321132</v>
      </c>
      <c r="BU68" s="400">
        <f>IF(BU$4&gt;4,-BU$63*'Sponsor Pro Forma'!$Q12,-('Monthly Cash Flow'!BU$63+BU65)*INDEX('Sponsor Pro Forma'!$M$10:$P$12,MATCH('Monthly Cash Flow'!$B68,'Sponsor Pro Forma'!$B$10:$B$12,0),MATCH('Monthly Cash Flow'!BU$4,'Sponsor Pro Forma'!$M$7:$P$7,0)))</f>
        <v>-4747.6679443358862</v>
      </c>
      <c r="BV68" s="400">
        <f>IF(BV$4&gt;4,-BV$63*'Sponsor Pro Forma'!$Q12,-('Monthly Cash Flow'!BV$63+BV65)*INDEX('Sponsor Pro Forma'!$M$10:$P$12,MATCH('Monthly Cash Flow'!$B68,'Sponsor Pro Forma'!$B$10:$B$12,0),MATCH('Monthly Cash Flow'!BV$4,'Sponsor Pro Forma'!$M$7:$P$7,0)))</f>
        <v>-4763.4935041503395</v>
      </c>
      <c r="BW68" s="400">
        <f>IF(BW$4&gt;4,-BW$63*'Sponsor Pro Forma'!$Q12,-('Monthly Cash Flow'!BW$63+BW65)*INDEX('Sponsor Pro Forma'!$M$10:$P$12,MATCH('Monthly Cash Flow'!$B68,'Sponsor Pro Forma'!$B$10:$B$12,0),MATCH('Monthly Cash Flow'!BW$4,'Sponsor Pro Forma'!$M$7:$P$7,0)))</f>
        <v>-4779.371815830842</v>
      </c>
      <c r="BX68" s="400">
        <f>IF(BX$4&gt;4,-BX$63*'Sponsor Pro Forma'!$Q12,-('Monthly Cash Flow'!BX$63+BX65)*INDEX('Sponsor Pro Forma'!$M$10:$P$12,MATCH('Monthly Cash Flow'!$B68,'Sponsor Pro Forma'!$B$10:$B$12,0),MATCH('Monthly Cash Flow'!BX$4,'Sponsor Pro Forma'!$M$7:$P$7,0)))</f>
        <v>-4795.3030552169439</v>
      </c>
      <c r="BY68" s="400">
        <f>IF(BY$4&gt;4,-BY$63*'Sponsor Pro Forma'!$Q12,-('Monthly Cash Flow'!BY$63+BY65)*INDEX('Sponsor Pro Forma'!$M$10:$P$12,MATCH('Monthly Cash Flow'!$B68,'Sponsor Pro Forma'!$B$10:$B$12,0),MATCH('Monthly Cash Flow'!BY$4,'Sponsor Pro Forma'!$M$7:$P$7,0)))</f>
        <v>-4811.2873987343346</v>
      </c>
      <c r="BZ68" s="400">
        <f>IF(BZ$4&gt;4,-BZ$63*'Sponsor Pro Forma'!$Q12,-('Monthly Cash Flow'!BZ$63+BZ65)*INDEX('Sponsor Pro Forma'!$M$10:$P$12,MATCH('Monthly Cash Flow'!$B68,'Sponsor Pro Forma'!$B$10:$B$12,0),MATCH('Monthly Cash Flow'!BZ$4,'Sponsor Pro Forma'!$M$7:$P$7,0)))</f>
        <v>-4827.3250233967829</v>
      </c>
      <c r="CA68" s="400">
        <f>IF(CA$4&gt;4,-CA$63*'Sponsor Pro Forma'!$Q12,-('Monthly Cash Flow'!CA$63+CA65)*INDEX('Sponsor Pro Forma'!$M$10:$P$12,MATCH('Monthly Cash Flow'!$B68,'Sponsor Pro Forma'!$B$10:$B$12,0),MATCH('Monthly Cash Flow'!CA$4,'Sponsor Pro Forma'!$M$7:$P$7,0)))</f>
        <v>-4843.4161068081057</v>
      </c>
      <c r="CB68" s="400">
        <f>IF(CB$4&gt;4,-CB$63*'Sponsor Pro Forma'!$Q12,-('Monthly Cash Flow'!CB$63+CB65)*INDEX('Sponsor Pro Forma'!$M$10:$P$12,MATCH('Monthly Cash Flow'!$B68,'Sponsor Pro Forma'!$B$10:$B$12,0),MATCH('Monthly Cash Flow'!CB$4,'Sponsor Pro Forma'!$M$7:$P$7,0)))</f>
        <v>-4859.5608271641331</v>
      </c>
      <c r="CC68" s="400">
        <f>IF(CC$4&gt;4,-CC$63*'Sponsor Pro Forma'!$Q12,-('Monthly Cash Flow'!CC$63+CC65)*INDEX('Sponsor Pro Forma'!$M$10:$P$12,MATCH('Monthly Cash Flow'!$B68,'Sponsor Pro Forma'!$B$10:$B$12,0),MATCH('Monthly Cash Flow'!CC$4,'Sponsor Pro Forma'!$M$7:$P$7,0)))</f>
        <v>-4875.7593632546805</v>
      </c>
      <c r="CD68" s="400">
        <f>IF(CD$4&gt;4,-CD$63*'Sponsor Pro Forma'!$Q12,-('Monthly Cash Flow'!CD$63+CD65)*INDEX('Sponsor Pro Forma'!$M$10:$P$12,MATCH('Monthly Cash Flow'!$B68,'Sponsor Pro Forma'!$B$10:$B$12,0),MATCH('Monthly Cash Flow'!CD$4,'Sponsor Pro Forma'!$M$7:$P$7,0)))</f>
        <v>-4892.0118944655296</v>
      </c>
      <c r="CE68" s="400">
        <f>IF(CE$4&gt;4,-CE$63*'Sponsor Pro Forma'!$Q12,-('Monthly Cash Flow'!CE$63+CE65)*INDEX('Sponsor Pro Forma'!$M$10:$P$12,MATCH('Monthly Cash Flow'!$B68,'Sponsor Pro Forma'!$B$10:$B$12,0),MATCH('Monthly Cash Flow'!CE$4,'Sponsor Pro Forma'!$M$7:$P$7,0)))</f>
        <v>-4908.3186007804152</v>
      </c>
      <c r="CF68" s="400">
        <f>IF(CF$4&gt;4,-CF$63*'Sponsor Pro Forma'!$Q12,-('Monthly Cash Flow'!CF$63+CF65)*INDEX('Sponsor Pro Forma'!$M$10:$P$12,MATCH('Monthly Cash Flow'!$B68,'Sponsor Pro Forma'!$B$10:$B$12,0),MATCH('Monthly Cash Flow'!CF$4,'Sponsor Pro Forma'!$M$7:$P$7,0)))</f>
        <v>-4924.6796627830172</v>
      </c>
      <c r="CG68" s="400">
        <f>IF(CG$4&gt;4,-CG$63*'Sponsor Pro Forma'!$Q12,-('Monthly Cash Flow'!CG$63+CG65)*INDEX('Sponsor Pro Forma'!$M$10:$P$12,MATCH('Monthly Cash Flow'!$B68,'Sponsor Pro Forma'!$B$10:$B$12,0),MATCH('Monthly Cash Flow'!CG$4,'Sponsor Pro Forma'!$M$7:$P$7,0)))</f>
        <v>-4941.0952616589611</v>
      </c>
      <c r="CH68" s="400">
        <f>IF(CH$4&gt;4,-CH$63*'Sponsor Pro Forma'!$Q12,-('Monthly Cash Flow'!CH$63+CH65)*INDEX('Sponsor Pro Forma'!$M$10:$P$12,MATCH('Monthly Cash Flow'!$B68,'Sponsor Pro Forma'!$B$10:$B$12,0),MATCH('Monthly Cash Flow'!CH$4,'Sponsor Pro Forma'!$M$7:$P$7,0)))</f>
        <v>-4957.5655791978243</v>
      </c>
      <c r="CI68" s="400">
        <f>IF(CI$4&gt;4,-CI$63*'Sponsor Pro Forma'!$Q12,-('Monthly Cash Flow'!CI$63+CI65)*INDEX('Sponsor Pro Forma'!$M$10:$P$12,MATCH('Monthly Cash Flow'!$B68,'Sponsor Pro Forma'!$B$10:$B$12,0),MATCH('Monthly Cash Flow'!CI$4,'Sponsor Pro Forma'!$M$7:$P$7,0)))</f>
        <v>-4974.0907977951501</v>
      </c>
      <c r="CJ68" s="400">
        <f>IF(CJ$4&gt;4,-CJ$63*'Sponsor Pro Forma'!$Q12,-('Monthly Cash Flow'!CJ$63+CJ65)*INDEX('Sponsor Pro Forma'!$M$10:$P$12,MATCH('Monthly Cash Flow'!$B68,'Sponsor Pro Forma'!$B$10:$B$12,0),MATCH('Monthly Cash Flow'!CJ$4,'Sponsor Pro Forma'!$M$7:$P$7,0)))</f>
        <v>-4990.6711004544686</v>
      </c>
      <c r="CK68" s="400">
        <f>IF(CK$4&gt;4,-CK$63*'Sponsor Pro Forma'!$Q12,-('Monthly Cash Flow'!CK$63+CK65)*INDEX('Sponsor Pro Forma'!$M$10:$P$12,MATCH('Monthly Cash Flow'!$B68,'Sponsor Pro Forma'!$B$10:$B$12,0),MATCH('Monthly Cash Flow'!CK$4,'Sponsor Pro Forma'!$M$7:$P$7,0)))</f>
        <v>-5007.3066707893167</v>
      </c>
      <c r="CL68" s="400">
        <f>IF(CL$4&gt;4,-CL$63*'Sponsor Pro Forma'!$Q12,-('Monthly Cash Flow'!CL$63+CL65)*INDEX('Sponsor Pro Forma'!$M$10:$P$12,MATCH('Monthly Cash Flow'!$B68,'Sponsor Pro Forma'!$B$10:$B$12,0),MATCH('Monthly Cash Flow'!CL$4,'Sponsor Pro Forma'!$M$7:$P$7,0)))</f>
        <v>-5023.9976930252815</v>
      </c>
      <c r="CM68" s="400">
        <f>IF(CM$4&gt;4,-CM$63*'Sponsor Pro Forma'!$Q12,-('Monthly Cash Flow'!CM$63+CM65)*INDEX('Sponsor Pro Forma'!$M$10:$P$12,MATCH('Monthly Cash Flow'!$B68,'Sponsor Pro Forma'!$B$10:$B$12,0),MATCH('Monthly Cash Flow'!CM$4,'Sponsor Pro Forma'!$M$7:$P$7,0)))</f>
        <v>-5040.7443520020324</v>
      </c>
      <c r="CN68" s="400">
        <f>IF(CN$4&gt;4,-CN$63*'Sponsor Pro Forma'!$Q12,-('Monthly Cash Flow'!CN$63+CN65)*INDEX('Sponsor Pro Forma'!$M$10:$P$12,MATCH('Monthly Cash Flow'!$B68,'Sponsor Pro Forma'!$B$10:$B$12,0),MATCH('Monthly Cash Flow'!CN$4,'Sponsor Pro Forma'!$M$7:$P$7,0)))</f>
        <v>-5057.5468331753727</v>
      </c>
      <c r="CO68" s="400">
        <f>IF(CO$4&gt;4,-CO$63*'Sponsor Pro Forma'!$Q12,-('Monthly Cash Flow'!CO$63+CO65)*INDEX('Sponsor Pro Forma'!$M$10:$P$12,MATCH('Monthly Cash Flow'!$B68,'Sponsor Pro Forma'!$B$10:$B$12,0),MATCH('Monthly Cash Flow'!CO$4,'Sponsor Pro Forma'!$M$7:$P$7,0)))</f>
        <v>-5074.4053226192918</v>
      </c>
      <c r="CP68" s="400">
        <f>IF(CP$4&gt;4,-CP$63*'Sponsor Pro Forma'!$Q12,-('Monthly Cash Flow'!CP$63+CP65)*INDEX('Sponsor Pro Forma'!$M$10:$P$12,MATCH('Monthly Cash Flow'!$B68,'Sponsor Pro Forma'!$B$10:$B$12,0),MATCH('Monthly Cash Flow'!CP$4,'Sponsor Pro Forma'!$M$7:$P$7,0)))</f>
        <v>-5091.3200070280236</v>
      </c>
      <c r="CQ68" s="400">
        <f>IF(CQ$4&gt;4,-CQ$63*'Sponsor Pro Forma'!$Q12,-('Monthly Cash Flow'!CQ$63+CQ65)*INDEX('Sponsor Pro Forma'!$M$10:$P$12,MATCH('Monthly Cash Flow'!$B68,'Sponsor Pro Forma'!$B$10:$B$12,0),MATCH('Monthly Cash Flow'!CQ$4,'Sponsor Pro Forma'!$M$7:$P$7,0)))</f>
        <v>-5108.2910737181173</v>
      </c>
      <c r="CR68" s="400">
        <f>IF(CR$4&gt;4,-CR$63*'Sponsor Pro Forma'!$Q12,-('Monthly Cash Flow'!CR$63+CR65)*INDEX('Sponsor Pro Forma'!$M$10:$P$12,MATCH('Monthly Cash Flow'!$B68,'Sponsor Pro Forma'!$B$10:$B$12,0),MATCH('Monthly Cash Flow'!CR$4,'Sponsor Pro Forma'!$M$7:$P$7,0)))</f>
        <v>-5125.3187106305113</v>
      </c>
      <c r="CS68" s="400">
        <f>IF(CS$4&gt;4,-CS$63*'Sponsor Pro Forma'!$Q12,-('Monthly Cash Flow'!CS$63+CS65)*INDEX('Sponsor Pro Forma'!$M$10:$P$12,MATCH('Monthly Cash Flow'!$B68,'Sponsor Pro Forma'!$B$10:$B$12,0),MATCH('Monthly Cash Flow'!CS$4,'Sponsor Pro Forma'!$M$7:$P$7,0)))</f>
        <v>-5142.4031063326129</v>
      </c>
      <c r="CT68" s="400">
        <f>IF(CT$4&gt;4,-CT$63*'Sponsor Pro Forma'!$Q12,-('Monthly Cash Flow'!CT$63+CT65)*INDEX('Sponsor Pro Forma'!$M$10:$P$12,MATCH('Monthly Cash Flow'!$B68,'Sponsor Pro Forma'!$B$10:$B$12,0),MATCH('Monthly Cash Flow'!CT$4,'Sponsor Pro Forma'!$M$7:$P$7,0)))</f>
        <v>-5159.5444500203885</v>
      </c>
      <c r="CU68" s="400">
        <f>IF(CU$4&gt;4,-CU$63*'Sponsor Pro Forma'!$Q12,-('Monthly Cash Flow'!CU$63+CU65)*INDEX('Sponsor Pro Forma'!$M$10:$P$12,MATCH('Monthly Cash Flow'!$B68,'Sponsor Pro Forma'!$B$10:$B$12,0),MATCH('Monthly Cash Flow'!CU$4,'Sponsor Pro Forma'!$M$7:$P$7,0)))</f>
        <v>-5176.7429315204572</v>
      </c>
      <c r="CV68" s="400">
        <f>IF(CV$4&gt;4,-CV$63*'Sponsor Pro Forma'!$Q12,-('Monthly Cash Flow'!CV$63+CV65)*INDEX('Sponsor Pro Forma'!$M$10:$P$12,MATCH('Monthly Cash Flow'!$B68,'Sponsor Pro Forma'!$B$10:$B$12,0),MATCH('Monthly Cash Flow'!CV$4,'Sponsor Pro Forma'!$M$7:$P$7,0)))</f>
        <v>-5193.9987412921919</v>
      </c>
      <c r="CW68" s="400">
        <f>IF(CW$4&gt;4,-CW$63*'Sponsor Pro Forma'!$Q12,-('Monthly Cash Flow'!CW$63+CW65)*INDEX('Sponsor Pro Forma'!$M$10:$P$12,MATCH('Monthly Cash Flow'!$B68,'Sponsor Pro Forma'!$B$10:$B$12,0),MATCH('Monthly Cash Flow'!CW$4,'Sponsor Pro Forma'!$M$7:$P$7,0)))</f>
        <v>-5211.3120704298335</v>
      </c>
      <c r="CX68" s="400">
        <f>IF(CX$4&gt;4,-CX$63*'Sponsor Pro Forma'!$Q12,-('Monthly Cash Flow'!CX$63+CX65)*INDEX('Sponsor Pro Forma'!$M$10:$P$12,MATCH('Monthly Cash Flow'!$B68,'Sponsor Pro Forma'!$B$10:$B$12,0),MATCH('Monthly Cash Flow'!CX$4,'Sponsor Pro Forma'!$M$7:$P$7,0)))</f>
        <v>-5228.6831106645996</v>
      </c>
      <c r="CY68" s="400">
        <f>IF(CY$4&gt;4,-CY$63*'Sponsor Pro Forma'!$Q12,-('Monthly Cash Flow'!CY$63+CY65)*INDEX('Sponsor Pro Forma'!$M$10:$P$12,MATCH('Monthly Cash Flow'!$B68,'Sponsor Pro Forma'!$B$10:$B$12,0),MATCH('Monthly Cash Flow'!CY$4,'Sponsor Pro Forma'!$M$7:$P$7,0)))</f>
        <v>-5246.1120543668148</v>
      </c>
      <c r="CZ68" s="400">
        <f>IF(CZ$4&gt;4,-CZ$63*'Sponsor Pro Forma'!$Q12,-('Monthly Cash Flow'!CZ$63+CZ65)*INDEX('Sponsor Pro Forma'!$M$10:$P$12,MATCH('Monthly Cash Flow'!$B68,'Sponsor Pro Forma'!$B$10:$B$12,0),MATCH('Monthly Cash Flow'!CZ$4,'Sponsor Pro Forma'!$M$7:$P$7,0)))</f>
        <v>-5263.5990945480389</v>
      </c>
      <c r="DA68" s="400">
        <f>IF(DA$4&gt;4,-DA$63*'Sponsor Pro Forma'!$Q12,-('Monthly Cash Flow'!DA$63+DA65)*INDEX('Sponsor Pro Forma'!$M$10:$P$12,MATCH('Monthly Cash Flow'!$B68,'Sponsor Pro Forma'!$B$10:$B$12,0),MATCH('Monthly Cash Flow'!DA$4,'Sponsor Pro Forma'!$M$7:$P$7,0)))</f>
        <v>-5281.1444248631997</v>
      </c>
      <c r="DB68" s="400">
        <f>IF(DB$4&gt;4,-DB$63*'Sponsor Pro Forma'!$Q12,-('Monthly Cash Flow'!DB$63+DB65)*INDEX('Sponsor Pro Forma'!$M$10:$P$12,MATCH('Monthly Cash Flow'!$B68,'Sponsor Pro Forma'!$B$10:$B$12,0),MATCH('Monthly Cash Flow'!DB$4,'Sponsor Pro Forma'!$M$7:$P$7,0)))</f>
        <v>-5298.7482396127434</v>
      </c>
      <c r="DC68" s="400">
        <f>IF(DC$4&gt;4,-DC$63*'Sponsor Pro Forma'!$Q12,-('Monthly Cash Flow'!DC$63+DC65)*INDEX('Sponsor Pro Forma'!$M$10:$P$12,MATCH('Monthly Cash Flow'!$B68,'Sponsor Pro Forma'!$B$10:$B$12,0),MATCH('Monthly Cash Flow'!DC$4,'Sponsor Pro Forma'!$M$7:$P$7,0)))</f>
        <v>-5316.4107337447858</v>
      </c>
      <c r="DD68" s="400">
        <f>IF(DD$4&gt;4,-DD$63*'Sponsor Pro Forma'!$Q12,-('Monthly Cash Flow'!DD$63+DD65)*INDEX('Sponsor Pro Forma'!$M$10:$P$12,MATCH('Monthly Cash Flow'!$B68,'Sponsor Pro Forma'!$B$10:$B$12,0),MATCH('Monthly Cash Flow'!DD$4,'Sponsor Pro Forma'!$M$7:$P$7,0)))</f>
        <v>-5334.1321028572693</v>
      </c>
      <c r="DE68" s="400">
        <f>IF(DE$4&gt;4,-DE$63*'Sponsor Pro Forma'!$Q12,-('Monthly Cash Flow'!DE$63+DE65)*INDEX('Sponsor Pro Forma'!$M$10:$P$12,MATCH('Monthly Cash Flow'!$B68,'Sponsor Pro Forma'!$B$10:$B$12,0),MATCH('Monthly Cash Flow'!DE$4,'Sponsor Pro Forma'!$M$7:$P$7,0)))</f>
        <v>-5351.9125432001274</v>
      </c>
      <c r="DF68" s="400">
        <f>IF(DF$4&gt;4,-DF$63*'Sponsor Pro Forma'!$Q12,-('Monthly Cash Flow'!DF$63+DF65)*INDEX('Sponsor Pro Forma'!$M$10:$P$12,MATCH('Monthly Cash Flow'!$B68,'Sponsor Pro Forma'!$B$10:$B$12,0),MATCH('Monthly Cash Flow'!DF$4,'Sponsor Pro Forma'!$M$7:$P$7,0)))</f>
        <v>-5369.7522516774616</v>
      </c>
      <c r="DG68" s="400">
        <f>IF(DG$4&gt;4,-DG$63*'Sponsor Pro Forma'!$Q12,-('Monthly Cash Flow'!DG$63+DG65)*INDEX('Sponsor Pro Forma'!$M$10:$P$12,MATCH('Monthly Cash Flow'!$B68,'Sponsor Pro Forma'!$B$10:$B$12,0),MATCH('Monthly Cash Flow'!DG$4,'Sponsor Pro Forma'!$M$7:$P$7,0)))</f>
        <v>-5387.65142584972</v>
      </c>
      <c r="DH68" s="400">
        <f>IF(DH$4&gt;4,-DH$63*'Sponsor Pro Forma'!$Q12,-('Monthly Cash Flow'!DH$63+DH65)*INDEX('Sponsor Pro Forma'!$M$10:$P$12,MATCH('Monthly Cash Flow'!$B68,'Sponsor Pro Forma'!$B$10:$B$12,0),MATCH('Monthly Cash Flow'!DH$4,'Sponsor Pro Forma'!$M$7:$P$7,0)))</f>
        <v>-5405.610263935886</v>
      </c>
      <c r="DI68" s="400">
        <f>IF(DI$4&gt;4,-DI$63*'Sponsor Pro Forma'!$Q12,-('Monthly Cash Flow'!DI$63+DI65)*INDEX('Sponsor Pro Forma'!$M$10:$P$12,MATCH('Monthly Cash Flow'!$B68,'Sponsor Pro Forma'!$B$10:$B$12,0),MATCH('Monthly Cash Flow'!DI$4,'Sponsor Pro Forma'!$M$7:$P$7,0)))</f>
        <v>-5423.6289648156735</v>
      </c>
      <c r="DJ68" s="400">
        <f>IF(DJ$4&gt;4,-DJ$63*'Sponsor Pro Forma'!$Q12,-('Monthly Cash Flow'!DJ$63+DJ65)*INDEX('Sponsor Pro Forma'!$M$10:$P$12,MATCH('Monthly Cash Flow'!$B68,'Sponsor Pro Forma'!$B$10:$B$12,0),MATCH('Monthly Cash Flow'!DJ$4,'Sponsor Pro Forma'!$M$7:$P$7,0)))</f>
        <v>-5441.7077280317244</v>
      </c>
      <c r="DK68" s="400">
        <f>IF(DK$4&gt;4,-DK$63*'Sponsor Pro Forma'!$Q12,-('Monthly Cash Flow'!DK$63+DK65)*INDEX('Sponsor Pro Forma'!$M$10:$P$12,MATCH('Monthly Cash Flow'!$B68,'Sponsor Pro Forma'!$B$10:$B$12,0),MATCH('Monthly Cash Flow'!DK$4,'Sponsor Pro Forma'!$M$7:$P$7,0)))</f>
        <v>-5459.8467537918314</v>
      </c>
      <c r="DL68" s="400">
        <f>IF(DL$4&gt;4,-DL$63*'Sponsor Pro Forma'!$Q12,-('Monthly Cash Flow'!DL$63+DL65)*INDEX('Sponsor Pro Forma'!$M$10:$P$12,MATCH('Monthly Cash Flow'!$B68,'Sponsor Pro Forma'!$B$10:$B$12,0),MATCH('Monthly Cash Flow'!DL$4,'Sponsor Pro Forma'!$M$7:$P$7,0)))</f>
        <v>-5478.0462429711388</v>
      </c>
      <c r="DM68" s="400">
        <f>IF(DM$4&gt;4,-DM$63*'Sponsor Pro Forma'!$Q12,-('Monthly Cash Flow'!DM$63+DM65)*INDEX('Sponsor Pro Forma'!$M$10:$P$12,MATCH('Monthly Cash Flow'!$B68,'Sponsor Pro Forma'!$B$10:$B$12,0),MATCH('Monthly Cash Flow'!DM$4,'Sponsor Pro Forma'!$M$7:$P$7,0)))</f>
        <v>-5496.3063971143756</v>
      </c>
      <c r="DN68" s="400">
        <f>IF(DN$4&gt;4,-DN$63*'Sponsor Pro Forma'!$Q12,-('Monthly Cash Flow'!DN$63+DN65)*INDEX('Sponsor Pro Forma'!$M$10:$P$12,MATCH('Monthly Cash Flow'!$B68,'Sponsor Pro Forma'!$B$10:$B$12,0),MATCH('Monthly Cash Flow'!DN$4,'Sponsor Pro Forma'!$M$7:$P$7,0)))</f>
        <v>-5514.62741843809</v>
      </c>
      <c r="DO68" s="400">
        <f>IF(DO$4&gt;4,-DO$63*'Sponsor Pro Forma'!$Q12,-('Monthly Cash Flow'!DO$63+DO65)*INDEX('Sponsor Pro Forma'!$M$10:$P$12,MATCH('Monthly Cash Flow'!$B68,'Sponsor Pro Forma'!$B$10:$B$12,0),MATCH('Monthly Cash Flow'!DO$4,'Sponsor Pro Forma'!$M$7:$P$7,0)))</f>
        <v>-5533.0095098328848</v>
      </c>
      <c r="DP68" s="400">
        <f>IF(DP$4&gt;4,-DP$63*'Sponsor Pro Forma'!$Q12,-('Monthly Cash Flow'!DP$63+DP65)*INDEX('Sponsor Pro Forma'!$M$10:$P$12,MATCH('Monthly Cash Flow'!$B68,'Sponsor Pro Forma'!$B$10:$B$12,0),MATCH('Monthly Cash Flow'!DP$4,'Sponsor Pro Forma'!$M$7:$P$7,0)))</f>
        <v>-5551.4528748656612</v>
      </c>
      <c r="DQ68" s="400">
        <f>IF(DQ$4&gt;4,-DQ$63*'Sponsor Pro Forma'!$Q12,-('Monthly Cash Flow'!DQ$63+DQ65)*INDEX('Sponsor Pro Forma'!$M$10:$P$12,MATCH('Monthly Cash Flow'!$B68,'Sponsor Pro Forma'!$B$10:$B$12,0),MATCH('Monthly Cash Flow'!DQ$4,'Sponsor Pro Forma'!$M$7:$P$7,0)))</f>
        <v>-5569.957717781881</v>
      </c>
      <c r="DR68" s="400">
        <f>IF(DR$4&gt;4,-DR$63*'Sponsor Pro Forma'!$Q12,-('Monthly Cash Flow'!DR$63+DR65)*INDEX('Sponsor Pro Forma'!$M$10:$P$12,MATCH('Monthly Cash Flow'!$B68,'Sponsor Pro Forma'!$B$10:$B$12,0),MATCH('Monthly Cash Flow'!DR$4,'Sponsor Pro Forma'!$M$7:$P$7,0)))</f>
        <v>-5588.5242435078208</v>
      </c>
      <c r="DS68" s="400">
        <f>IF(DS$4&gt;4,-DS$63*'Sponsor Pro Forma'!$Q12,-('Monthly Cash Flow'!DS$63+DS65)*INDEX('Sponsor Pro Forma'!$M$10:$P$12,MATCH('Monthly Cash Flow'!$B68,'Sponsor Pro Forma'!$B$10:$B$12,0),MATCH('Monthly Cash Flow'!DS$4,'Sponsor Pro Forma'!$M$7:$P$7,0)))</f>
        <v>-5607.1526576528468</v>
      </c>
      <c r="DT68" s="400">
        <f>IF(DT$4&gt;4,-DT$63*'Sponsor Pro Forma'!$Q12,-('Monthly Cash Flow'!DT$63+DT65)*INDEX('Sponsor Pro Forma'!$M$10:$P$12,MATCH('Monthly Cash Flow'!$B68,'Sponsor Pro Forma'!$B$10:$B$12,0),MATCH('Monthly Cash Flow'!DT$4,'Sponsor Pro Forma'!$M$7:$P$7,0)))</f>
        <v>-5625.8431665116896</v>
      </c>
      <c r="DU68" s="401" t="s">
        <v>557</v>
      </c>
      <c r="DV68" s="196"/>
    </row>
    <row r="69" spans="1:126" s="6" customFormat="1" ht="19">
      <c r="A69" s="187"/>
      <c r="B69" s="212" t="s">
        <v>605</v>
      </c>
      <c r="C69" s="403"/>
      <c r="D69" s="404"/>
      <c r="E69" s="405">
        <f>SUM(E63:E68)</f>
        <v>330245.83272914152</v>
      </c>
      <c r="F69" s="405">
        <f t="shared" ref="F69:BQ69" si="132">SUM(F63:F68)</f>
        <v>332447.47161400237</v>
      </c>
      <c r="G69" s="405">
        <f t="shared" si="132"/>
        <v>334663.78809142904</v>
      </c>
      <c r="H69" s="405">
        <f t="shared" si="132"/>
        <v>336894.88001203863</v>
      </c>
      <c r="I69" s="405">
        <f t="shared" si="132"/>
        <v>339140.84587878553</v>
      </c>
      <c r="J69" s="405">
        <f t="shared" si="132"/>
        <v>341401.78485131072</v>
      </c>
      <c r="K69" s="405">
        <f t="shared" si="132"/>
        <v>343677.79675031948</v>
      </c>
      <c r="L69" s="405">
        <f t="shared" si="132"/>
        <v>345968.98206198821</v>
      </c>
      <c r="M69" s="405">
        <f t="shared" si="132"/>
        <v>348275.4419424014</v>
      </c>
      <c r="N69" s="405">
        <f t="shared" si="132"/>
        <v>350597.27822201746</v>
      </c>
      <c r="O69" s="405">
        <f t="shared" si="132"/>
        <v>352934.59341016423</v>
      </c>
      <c r="P69" s="405">
        <f t="shared" si="132"/>
        <v>355287.49069956521</v>
      </c>
      <c r="Q69" s="405">
        <f t="shared" si="132"/>
        <v>357508.03751643753</v>
      </c>
      <c r="R69" s="405">
        <f t="shared" si="132"/>
        <v>359742.46275091532</v>
      </c>
      <c r="S69" s="405">
        <f t="shared" si="132"/>
        <v>361990.85314310854</v>
      </c>
      <c r="T69" s="405">
        <f t="shared" si="132"/>
        <v>364253.29597525299</v>
      </c>
      <c r="U69" s="405">
        <f t="shared" si="132"/>
        <v>366529.87907509838</v>
      </c>
      <c r="V69" s="405">
        <f t="shared" si="132"/>
        <v>368820.69081931782</v>
      </c>
      <c r="W69" s="405">
        <f t="shared" si="132"/>
        <v>371125.82013693859</v>
      </c>
      <c r="X69" s="405">
        <f t="shared" si="132"/>
        <v>373445.35651279445</v>
      </c>
      <c r="Y69" s="405">
        <f t="shared" si="132"/>
        <v>375779.38999099954</v>
      </c>
      <c r="Z69" s="405">
        <f t="shared" si="132"/>
        <v>378128.01117844321</v>
      </c>
      <c r="AA69" s="405">
        <f t="shared" si="132"/>
        <v>380491.31124830857</v>
      </c>
      <c r="AB69" s="405">
        <f t="shared" si="132"/>
        <v>382869.3819436105</v>
      </c>
      <c r="AC69" s="405">
        <f t="shared" si="132"/>
        <v>384145.61321675591</v>
      </c>
      <c r="AD69" s="405">
        <f t="shared" si="132"/>
        <v>385426.09859414515</v>
      </c>
      <c r="AE69" s="405">
        <f t="shared" si="132"/>
        <v>386710.85225612565</v>
      </c>
      <c r="AF69" s="405">
        <f t="shared" si="132"/>
        <v>387999.88843031274</v>
      </c>
      <c r="AG69" s="405">
        <f t="shared" si="132"/>
        <v>389293.22139174707</v>
      </c>
      <c r="AH69" s="405">
        <f t="shared" si="132"/>
        <v>390590.86546305305</v>
      </c>
      <c r="AI69" s="405">
        <f t="shared" si="132"/>
        <v>391892.83501459658</v>
      </c>
      <c r="AJ69" s="405">
        <f t="shared" si="132"/>
        <v>393199.1444646453</v>
      </c>
      <c r="AK69" s="405">
        <f t="shared" si="132"/>
        <v>394509.80827952735</v>
      </c>
      <c r="AL69" s="405">
        <f t="shared" si="132"/>
        <v>395824.8409737926</v>
      </c>
      <c r="AM69" s="405">
        <f t="shared" si="132"/>
        <v>397144.25711037184</v>
      </c>
      <c r="AN69" s="405">
        <f t="shared" si="132"/>
        <v>398468.07130073989</v>
      </c>
      <c r="AO69" s="405">
        <f t="shared" si="132"/>
        <v>399796.29820507561</v>
      </c>
      <c r="AP69" s="405">
        <f t="shared" si="132"/>
        <v>401128.95253242605</v>
      </c>
      <c r="AQ69" s="405">
        <f t="shared" si="132"/>
        <v>402466.04904086736</v>
      </c>
      <c r="AR69" s="405">
        <f t="shared" si="132"/>
        <v>403807.60253767035</v>
      </c>
      <c r="AS69" s="405">
        <f t="shared" si="132"/>
        <v>405153.62787946261</v>
      </c>
      <c r="AT69" s="405">
        <f t="shared" si="132"/>
        <v>406504.1399723941</v>
      </c>
      <c r="AU69" s="405">
        <f t="shared" si="132"/>
        <v>407859.1537723022</v>
      </c>
      <c r="AV69" s="405">
        <f t="shared" si="132"/>
        <v>409218.68428487651</v>
      </c>
      <c r="AW69" s="405">
        <f t="shared" si="132"/>
        <v>410582.74656582618</v>
      </c>
      <c r="AX69" s="405">
        <f t="shared" si="132"/>
        <v>411951.35572104558</v>
      </c>
      <c r="AY69" s="405">
        <f t="shared" si="132"/>
        <v>413324.52690678253</v>
      </c>
      <c r="AZ69" s="405">
        <f t="shared" si="132"/>
        <v>414702.2753298051</v>
      </c>
      <c r="BA69" s="405">
        <f t="shared" si="132"/>
        <v>415862.51779980626</v>
      </c>
      <c r="BB69" s="405">
        <f t="shared" si="132"/>
        <v>417248.72619247221</v>
      </c>
      <c r="BC69" s="405">
        <f t="shared" si="132"/>
        <v>418639.55527978059</v>
      </c>
      <c r="BD69" s="405">
        <f t="shared" si="132"/>
        <v>420035.02046404645</v>
      </c>
      <c r="BE69" s="405">
        <f t="shared" si="132"/>
        <v>421435.13719892671</v>
      </c>
      <c r="BF69" s="405">
        <f t="shared" si="132"/>
        <v>422839.92098958977</v>
      </c>
      <c r="BG69" s="405">
        <f t="shared" si="132"/>
        <v>424249.38739288849</v>
      </c>
      <c r="BH69" s="405">
        <f t="shared" si="132"/>
        <v>425663.55201753142</v>
      </c>
      <c r="BI69" s="405">
        <f t="shared" si="132"/>
        <v>427082.43052425672</v>
      </c>
      <c r="BJ69" s="405">
        <f t="shared" si="132"/>
        <v>428506.03862600407</v>
      </c>
      <c r="BK69" s="405">
        <f t="shared" si="132"/>
        <v>429934.39208809094</v>
      </c>
      <c r="BL69" s="405">
        <f t="shared" si="132"/>
        <v>431367.50672838453</v>
      </c>
      <c r="BM69" s="405">
        <f t="shared" si="132"/>
        <v>432805.39841747918</v>
      </c>
      <c r="BN69" s="405">
        <f t="shared" si="132"/>
        <v>434248.08307887084</v>
      </c>
      <c r="BO69" s="405">
        <f t="shared" si="132"/>
        <v>435695.57668913371</v>
      </c>
      <c r="BP69" s="405">
        <f t="shared" si="132"/>
        <v>437147.8952780976</v>
      </c>
      <c r="BQ69" s="405">
        <f t="shared" si="132"/>
        <v>438605.0549290246</v>
      </c>
      <c r="BR69" s="405">
        <f t="shared" ref="BR69:DT69" si="133">SUM(BR63:BR68)</f>
        <v>440067.07177878806</v>
      </c>
      <c r="BS69" s="405">
        <f t="shared" si="133"/>
        <v>441533.96201805066</v>
      </c>
      <c r="BT69" s="405">
        <f t="shared" si="133"/>
        <v>443005.74189144437</v>
      </c>
      <c r="BU69" s="405">
        <f t="shared" si="133"/>
        <v>444482.42769774905</v>
      </c>
      <c r="BV69" s="405">
        <f t="shared" si="133"/>
        <v>445964.03579007491</v>
      </c>
      <c r="BW69" s="405">
        <f t="shared" si="133"/>
        <v>447450.58257604198</v>
      </c>
      <c r="BX69" s="405">
        <f t="shared" si="133"/>
        <v>448942.08451796207</v>
      </c>
      <c r="BY69" s="405">
        <f t="shared" si="133"/>
        <v>450438.55813302193</v>
      </c>
      <c r="BZ69" s="405">
        <f t="shared" si="133"/>
        <v>451940.01999346545</v>
      </c>
      <c r="CA69" s="405">
        <f t="shared" si="133"/>
        <v>453446.48672677705</v>
      </c>
      <c r="CB69" s="405">
        <f t="shared" si="133"/>
        <v>454957.97501586634</v>
      </c>
      <c r="CC69" s="405">
        <f t="shared" si="133"/>
        <v>456474.50159925252</v>
      </c>
      <c r="CD69" s="405">
        <f t="shared" si="133"/>
        <v>457996.08327125007</v>
      </c>
      <c r="CE69" s="405">
        <f t="shared" si="133"/>
        <v>459522.73688215436</v>
      </c>
      <c r="CF69" s="405">
        <f t="shared" si="133"/>
        <v>461054.47933842824</v>
      </c>
      <c r="CG69" s="405">
        <f t="shared" si="133"/>
        <v>462591.32760288968</v>
      </c>
      <c r="CH69" s="405">
        <f t="shared" si="133"/>
        <v>464133.29869489931</v>
      </c>
      <c r="CI69" s="405">
        <f t="shared" si="133"/>
        <v>465680.40969054902</v>
      </c>
      <c r="CJ69" s="405">
        <f t="shared" si="133"/>
        <v>467232.67772285093</v>
      </c>
      <c r="CK69" s="405">
        <f t="shared" si="133"/>
        <v>468790.1199819271</v>
      </c>
      <c r="CL69" s="405">
        <f t="shared" si="133"/>
        <v>470352.75371520023</v>
      </c>
      <c r="CM69" s="405">
        <f t="shared" si="133"/>
        <v>471920.59622758423</v>
      </c>
      <c r="CN69" s="405">
        <f t="shared" si="133"/>
        <v>473493.6648816762</v>
      </c>
      <c r="CO69" s="405">
        <f t="shared" si="133"/>
        <v>475071.97709794855</v>
      </c>
      <c r="CP69" s="405">
        <f t="shared" si="133"/>
        <v>476655.55035494175</v>
      </c>
      <c r="CQ69" s="405">
        <f t="shared" si="133"/>
        <v>478244.40218945831</v>
      </c>
      <c r="CR69" s="405">
        <f t="shared" si="133"/>
        <v>479838.55019675643</v>
      </c>
      <c r="CS69" s="405">
        <f t="shared" si="133"/>
        <v>481438.01203074562</v>
      </c>
      <c r="CT69" s="405">
        <f t="shared" si="133"/>
        <v>483042.80540418148</v>
      </c>
      <c r="CU69" s="405">
        <f t="shared" si="133"/>
        <v>484652.94808886218</v>
      </c>
      <c r="CV69" s="405">
        <f t="shared" si="133"/>
        <v>486268.45791582501</v>
      </c>
      <c r="CW69" s="405">
        <f t="shared" si="133"/>
        <v>487889.35277554451</v>
      </c>
      <c r="CX69" s="405">
        <f t="shared" si="133"/>
        <v>489515.65061812976</v>
      </c>
      <c r="CY69" s="405">
        <f t="shared" si="133"/>
        <v>491147.36945352354</v>
      </c>
      <c r="CZ69" s="405">
        <f t="shared" si="133"/>
        <v>492784.52735170204</v>
      </c>
      <c r="DA69" s="405">
        <f t="shared" si="133"/>
        <v>494427.14244287438</v>
      </c>
      <c r="DB69" s="405">
        <f t="shared" si="133"/>
        <v>496075.23291768401</v>
      </c>
      <c r="DC69" s="405">
        <f t="shared" si="133"/>
        <v>497728.81702740962</v>
      </c>
      <c r="DD69" s="405">
        <f t="shared" si="133"/>
        <v>499387.91308416764</v>
      </c>
      <c r="DE69" s="405">
        <f t="shared" si="133"/>
        <v>501052.53946111497</v>
      </c>
      <c r="DF69" s="405">
        <f t="shared" si="133"/>
        <v>502722.7145926521</v>
      </c>
      <c r="DG69" s="405">
        <f t="shared" si="133"/>
        <v>504398.45697462757</v>
      </c>
      <c r="DH69" s="405">
        <f t="shared" si="133"/>
        <v>506079.78516454308</v>
      </c>
      <c r="DI69" s="405">
        <f t="shared" si="133"/>
        <v>507766.71778175823</v>
      </c>
      <c r="DJ69" s="405">
        <f t="shared" si="133"/>
        <v>509459.27350769739</v>
      </c>
      <c r="DK69" s="405">
        <f t="shared" si="133"/>
        <v>511157.47108605644</v>
      </c>
      <c r="DL69" s="405">
        <f t="shared" si="133"/>
        <v>512861.32932301005</v>
      </c>
      <c r="DM69" s="405">
        <f t="shared" si="133"/>
        <v>514570.86708742008</v>
      </c>
      <c r="DN69" s="405">
        <f t="shared" si="133"/>
        <v>516286.10331104486</v>
      </c>
      <c r="DO69" s="405">
        <f t="shared" si="133"/>
        <v>518007.05698874843</v>
      </c>
      <c r="DP69" s="405">
        <f t="shared" si="133"/>
        <v>519733.74717871094</v>
      </c>
      <c r="DQ69" s="405">
        <f t="shared" si="133"/>
        <v>521466.19300263992</v>
      </c>
      <c r="DR69" s="405">
        <f t="shared" si="133"/>
        <v>523204.41364598222</v>
      </c>
      <c r="DS69" s="405">
        <f t="shared" si="133"/>
        <v>524948.4283581354</v>
      </c>
      <c r="DT69" s="405">
        <f t="shared" si="133"/>
        <v>526698.25645266252</v>
      </c>
      <c r="DU69" s="405" t="s">
        <v>557</v>
      </c>
      <c r="DV69" s="202"/>
    </row>
    <row r="70" spans="1:126" s="5" customFormat="1" ht="19">
      <c r="A70" s="399"/>
      <c r="B70" s="214" t="s">
        <v>606</v>
      </c>
      <c r="C70" s="406"/>
      <c r="D70" s="407"/>
      <c r="E70" s="408">
        <f t="shared" ref="E70:BP70" si="134">E69/12</f>
        <v>27520.486060761792</v>
      </c>
      <c r="F70" s="408">
        <f t="shared" si="134"/>
        <v>27703.955967833532</v>
      </c>
      <c r="G70" s="408">
        <f t="shared" si="134"/>
        <v>27888.649007619086</v>
      </c>
      <c r="H70" s="408">
        <f t="shared" si="134"/>
        <v>28074.573334336554</v>
      </c>
      <c r="I70" s="408">
        <f t="shared" si="134"/>
        <v>28261.737156565461</v>
      </c>
      <c r="J70" s="408">
        <f t="shared" si="134"/>
        <v>28450.148737609226</v>
      </c>
      <c r="K70" s="408">
        <f t="shared" si="134"/>
        <v>28639.816395859958</v>
      </c>
      <c r="L70" s="408">
        <f t="shared" si="134"/>
        <v>28830.748505165684</v>
      </c>
      <c r="M70" s="408">
        <f t="shared" si="134"/>
        <v>29022.953495200116</v>
      </c>
      <c r="N70" s="408">
        <f t="shared" si="134"/>
        <v>29216.439851834788</v>
      </c>
      <c r="O70" s="408">
        <f t="shared" si="134"/>
        <v>29411.216117513686</v>
      </c>
      <c r="P70" s="408">
        <f t="shared" si="134"/>
        <v>29607.290891630433</v>
      </c>
      <c r="Q70" s="408">
        <f t="shared" si="134"/>
        <v>29792.336459703129</v>
      </c>
      <c r="R70" s="408">
        <f t="shared" si="134"/>
        <v>29978.538562576276</v>
      </c>
      <c r="S70" s="408">
        <f t="shared" si="134"/>
        <v>30165.904428592377</v>
      </c>
      <c r="T70" s="408">
        <f t="shared" si="134"/>
        <v>30354.441331271082</v>
      </c>
      <c r="U70" s="408">
        <f t="shared" si="134"/>
        <v>30544.15658959153</v>
      </c>
      <c r="V70" s="408">
        <f t="shared" si="134"/>
        <v>30735.057568276487</v>
      </c>
      <c r="W70" s="408">
        <f t="shared" si="134"/>
        <v>30927.151678078215</v>
      </c>
      <c r="X70" s="408">
        <f t="shared" si="134"/>
        <v>31120.446376066204</v>
      </c>
      <c r="Y70" s="408">
        <f t="shared" si="134"/>
        <v>31314.949165916627</v>
      </c>
      <c r="Z70" s="408">
        <f t="shared" si="134"/>
        <v>31510.667598203599</v>
      </c>
      <c r="AA70" s="408">
        <f t="shared" si="134"/>
        <v>31707.609270692381</v>
      </c>
      <c r="AB70" s="408">
        <f t="shared" si="134"/>
        <v>31905.781828634208</v>
      </c>
      <c r="AC70" s="408">
        <f t="shared" si="134"/>
        <v>32012.134434729658</v>
      </c>
      <c r="AD70" s="408">
        <f t="shared" si="134"/>
        <v>32118.841549512097</v>
      </c>
      <c r="AE70" s="408">
        <f t="shared" si="134"/>
        <v>32225.904354677139</v>
      </c>
      <c r="AF70" s="408">
        <f t="shared" si="134"/>
        <v>32333.324035859394</v>
      </c>
      <c r="AG70" s="408">
        <f t="shared" si="134"/>
        <v>32441.10178264559</v>
      </c>
      <c r="AH70" s="408">
        <f t="shared" si="134"/>
        <v>32549.238788587754</v>
      </c>
      <c r="AI70" s="408">
        <f t="shared" si="134"/>
        <v>32657.736251216382</v>
      </c>
      <c r="AJ70" s="408">
        <f t="shared" si="134"/>
        <v>32766.595372053776</v>
      </c>
      <c r="AK70" s="408">
        <f t="shared" si="134"/>
        <v>32875.817356627282</v>
      </c>
      <c r="AL70" s="408">
        <f t="shared" si="134"/>
        <v>32985.403414482716</v>
      </c>
      <c r="AM70" s="408">
        <f t="shared" si="134"/>
        <v>33095.354759197653</v>
      </c>
      <c r="AN70" s="408">
        <f t="shared" si="134"/>
        <v>33205.672608394991</v>
      </c>
      <c r="AO70" s="408">
        <f t="shared" si="134"/>
        <v>33316.358183756303</v>
      </c>
      <c r="AP70" s="408">
        <f t="shared" si="134"/>
        <v>33427.412711035504</v>
      </c>
      <c r="AQ70" s="408">
        <f t="shared" si="134"/>
        <v>33538.837420072283</v>
      </c>
      <c r="AR70" s="408">
        <f t="shared" si="134"/>
        <v>33650.63354480586</v>
      </c>
      <c r="AS70" s="408">
        <f t="shared" si="134"/>
        <v>33762.802323288553</v>
      </c>
      <c r="AT70" s="408">
        <f t="shared" si="134"/>
        <v>33875.344997699511</v>
      </c>
      <c r="AU70" s="408">
        <f t="shared" si="134"/>
        <v>33988.262814358517</v>
      </c>
      <c r="AV70" s="408">
        <f t="shared" si="134"/>
        <v>34101.557023739711</v>
      </c>
      <c r="AW70" s="408">
        <f t="shared" si="134"/>
        <v>34215.228880485512</v>
      </c>
      <c r="AX70" s="408">
        <f t="shared" si="134"/>
        <v>34329.279643420465</v>
      </c>
      <c r="AY70" s="408">
        <f t="shared" si="134"/>
        <v>34443.710575565208</v>
      </c>
      <c r="AZ70" s="408">
        <f t="shared" si="134"/>
        <v>34558.522944150427</v>
      </c>
      <c r="BA70" s="408">
        <f t="shared" si="134"/>
        <v>34655.209816650524</v>
      </c>
      <c r="BB70" s="408">
        <f t="shared" si="134"/>
        <v>34770.727182706018</v>
      </c>
      <c r="BC70" s="408">
        <f t="shared" si="134"/>
        <v>34886.629606648385</v>
      </c>
      <c r="BD70" s="408">
        <f t="shared" si="134"/>
        <v>35002.918372003871</v>
      </c>
      <c r="BE70" s="408">
        <f t="shared" si="134"/>
        <v>35119.594766577226</v>
      </c>
      <c r="BF70" s="408">
        <f t="shared" si="134"/>
        <v>35236.660082465816</v>
      </c>
      <c r="BG70" s="408">
        <f t="shared" si="134"/>
        <v>35354.115616074043</v>
      </c>
      <c r="BH70" s="408">
        <f t="shared" si="134"/>
        <v>35471.96266812762</v>
      </c>
      <c r="BI70" s="408">
        <f t="shared" si="134"/>
        <v>35590.202543688058</v>
      </c>
      <c r="BJ70" s="408">
        <f t="shared" si="134"/>
        <v>35708.836552167006</v>
      </c>
      <c r="BK70" s="408">
        <f t="shared" si="134"/>
        <v>35827.866007340912</v>
      </c>
      <c r="BL70" s="408">
        <f t="shared" si="134"/>
        <v>35947.292227365375</v>
      </c>
      <c r="BM70" s="408">
        <f t="shared" si="134"/>
        <v>36067.11653478993</v>
      </c>
      <c r="BN70" s="408">
        <f t="shared" si="134"/>
        <v>36187.34025657257</v>
      </c>
      <c r="BO70" s="408">
        <f t="shared" si="134"/>
        <v>36307.964724094476</v>
      </c>
      <c r="BP70" s="408">
        <f t="shared" si="134"/>
        <v>36428.991273174797</v>
      </c>
      <c r="BQ70" s="408">
        <f t="shared" ref="BQ70:DT70" si="135">BQ69/12</f>
        <v>36550.421244085381</v>
      </c>
      <c r="BR70" s="408">
        <f t="shared" si="135"/>
        <v>36672.255981565671</v>
      </c>
      <c r="BS70" s="408">
        <f t="shared" si="135"/>
        <v>36794.496834837555</v>
      </c>
      <c r="BT70" s="408">
        <f t="shared" si="135"/>
        <v>36917.145157620362</v>
      </c>
      <c r="BU70" s="408">
        <f t="shared" si="135"/>
        <v>37040.202308145752</v>
      </c>
      <c r="BV70" s="408">
        <f t="shared" si="135"/>
        <v>37163.669649172909</v>
      </c>
      <c r="BW70" s="408">
        <f t="shared" si="135"/>
        <v>37287.548548003499</v>
      </c>
      <c r="BX70" s="408">
        <f t="shared" si="135"/>
        <v>37411.840376496839</v>
      </c>
      <c r="BY70" s="408">
        <f t="shared" si="135"/>
        <v>37536.546511085158</v>
      </c>
      <c r="BZ70" s="408">
        <f t="shared" si="135"/>
        <v>37661.668332788788</v>
      </c>
      <c r="CA70" s="408">
        <f t="shared" si="135"/>
        <v>37787.207227231418</v>
      </c>
      <c r="CB70" s="408">
        <f t="shared" si="135"/>
        <v>37913.164584655526</v>
      </c>
      <c r="CC70" s="408">
        <f t="shared" si="135"/>
        <v>38039.54179993771</v>
      </c>
      <c r="CD70" s="408">
        <f t="shared" si="135"/>
        <v>38166.340272604175</v>
      </c>
      <c r="CE70" s="408">
        <f t="shared" si="135"/>
        <v>38293.561406846195</v>
      </c>
      <c r="CF70" s="408">
        <f t="shared" si="135"/>
        <v>38421.206611535687</v>
      </c>
      <c r="CG70" s="408">
        <f t="shared" si="135"/>
        <v>38549.277300240807</v>
      </c>
      <c r="CH70" s="408">
        <f t="shared" si="135"/>
        <v>38677.774891241606</v>
      </c>
      <c r="CI70" s="408">
        <f t="shared" si="135"/>
        <v>38806.700807545749</v>
      </c>
      <c r="CJ70" s="408">
        <f t="shared" si="135"/>
        <v>38936.056476904247</v>
      </c>
      <c r="CK70" s="408">
        <f t="shared" si="135"/>
        <v>39065.843331827258</v>
      </c>
      <c r="CL70" s="408">
        <f t="shared" si="135"/>
        <v>39196.062809600022</v>
      </c>
      <c r="CM70" s="408">
        <f t="shared" si="135"/>
        <v>39326.716352298688</v>
      </c>
      <c r="CN70" s="408">
        <f t="shared" si="135"/>
        <v>39457.80540680635</v>
      </c>
      <c r="CO70" s="408">
        <f t="shared" si="135"/>
        <v>39589.331424829048</v>
      </c>
      <c r="CP70" s="408">
        <f t="shared" si="135"/>
        <v>39721.295862911815</v>
      </c>
      <c r="CQ70" s="408">
        <f t="shared" si="135"/>
        <v>39853.700182454857</v>
      </c>
      <c r="CR70" s="408">
        <f t="shared" si="135"/>
        <v>39986.5458497297</v>
      </c>
      <c r="CS70" s="408">
        <f t="shared" si="135"/>
        <v>40119.834335895466</v>
      </c>
      <c r="CT70" s="408">
        <f t="shared" si="135"/>
        <v>40253.567117015125</v>
      </c>
      <c r="CU70" s="408">
        <f t="shared" si="135"/>
        <v>40387.745674071848</v>
      </c>
      <c r="CV70" s="408">
        <f t="shared" si="135"/>
        <v>40522.371492985418</v>
      </c>
      <c r="CW70" s="408">
        <f t="shared" si="135"/>
        <v>40657.446064628712</v>
      </c>
      <c r="CX70" s="408">
        <f t="shared" si="135"/>
        <v>40792.970884844144</v>
      </c>
      <c r="CY70" s="408">
        <f t="shared" si="135"/>
        <v>40928.947454460293</v>
      </c>
      <c r="CZ70" s="408">
        <f t="shared" si="135"/>
        <v>41065.377279308501</v>
      </c>
      <c r="DA70" s="408">
        <f t="shared" si="135"/>
        <v>41202.261870239534</v>
      </c>
      <c r="DB70" s="408">
        <f t="shared" si="135"/>
        <v>41339.602743140334</v>
      </c>
      <c r="DC70" s="408">
        <f t="shared" si="135"/>
        <v>41477.401418950802</v>
      </c>
      <c r="DD70" s="408">
        <f t="shared" si="135"/>
        <v>41615.659423680634</v>
      </c>
      <c r="DE70" s="408">
        <f t="shared" si="135"/>
        <v>41754.378288426247</v>
      </c>
      <c r="DF70" s="408">
        <f t="shared" si="135"/>
        <v>41893.559549387675</v>
      </c>
      <c r="DG70" s="408">
        <f t="shared" si="135"/>
        <v>42033.204747885633</v>
      </c>
      <c r="DH70" s="408">
        <f t="shared" si="135"/>
        <v>42173.315430378592</v>
      </c>
      <c r="DI70" s="408">
        <f t="shared" si="135"/>
        <v>42313.893148479852</v>
      </c>
      <c r="DJ70" s="408">
        <f t="shared" si="135"/>
        <v>42454.939458974783</v>
      </c>
      <c r="DK70" s="408">
        <f t="shared" si="135"/>
        <v>42596.455923838039</v>
      </c>
      <c r="DL70" s="408">
        <f t="shared" si="135"/>
        <v>42738.444110250835</v>
      </c>
      <c r="DM70" s="408">
        <f t="shared" si="135"/>
        <v>42880.905590618342</v>
      </c>
      <c r="DN70" s="408">
        <f t="shared" si="135"/>
        <v>43023.841942587074</v>
      </c>
      <c r="DO70" s="408">
        <f t="shared" si="135"/>
        <v>43167.254749062369</v>
      </c>
      <c r="DP70" s="408">
        <f t="shared" si="135"/>
        <v>43311.145598225914</v>
      </c>
      <c r="DQ70" s="408">
        <f t="shared" si="135"/>
        <v>43455.516083553324</v>
      </c>
      <c r="DR70" s="408">
        <f t="shared" si="135"/>
        <v>43600.367803831854</v>
      </c>
      <c r="DS70" s="408">
        <f t="shared" si="135"/>
        <v>43745.702363177952</v>
      </c>
      <c r="DT70" s="408">
        <f t="shared" si="135"/>
        <v>43891.521371055213</v>
      </c>
      <c r="DU70" s="408" t="s">
        <v>557</v>
      </c>
      <c r="DV70" s="196"/>
    </row>
    <row r="71" spans="1:126" s="5" customFormat="1" ht="19">
      <c r="A71" s="399"/>
      <c r="B71" s="214"/>
      <c r="C71" s="409"/>
      <c r="D71" s="1302" t="s">
        <v>1086</v>
      </c>
      <c r="E71" s="410"/>
      <c r="F71" s="411"/>
      <c r="G71" s="411"/>
      <c r="H71" s="411"/>
      <c r="I71" s="411"/>
      <c r="J71" s="411"/>
      <c r="K71" s="411"/>
      <c r="L71" s="411"/>
      <c r="M71" s="411"/>
      <c r="N71" s="411"/>
      <c r="O71" s="411"/>
      <c r="P71" s="411"/>
      <c r="Q71" s="1299">
        <f>Q73/E73-1</f>
        <v>3.0000000000000027E-2</v>
      </c>
      <c r="R71" s="411"/>
      <c r="S71" s="411"/>
      <c r="T71" s="411"/>
      <c r="U71" s="411"/>
      <c r="V71" s="411"/>
      <c r="W71" s="411"/>
      <c r="X71" s="411"/>
      <c r="Y71" s="411"/>
      <c r="Z71" s="411"/>
      <c r="AA71" s="411"/>
      <c r="AB71" s="1299">
        <f>AB73/P73-1</f>
        <v>3.0000000000000027E-2</v>
      </c>
      <c r="AC71" s="1299">
        <f>AC73/Q73-1</f>
        <v>3.0000000000000027E-2</v>
      </c>
      <c r="AD71" s="411"/>
      <c r="AE71" s="411"/>
      <c r="AF71" s="411"/>
      <c r="AG71" s="411"/>
      <c r="AH71" s="411"/>
      <c r="AI71" s="411"/>
      <c r="AJ71" s="411"/>
      <c r="AK71" s="411"/>
      <c r="AL71" s="411"/>
      <c r="AM71" s="411"/>
      <c r="AN71" s="411"/>
      <c r="AO71" s="411"/>
      <c r="AP71" s="411"/>
      <c r="AQ71" s="411"/>
      <c r="AR71" s="411"/>
      <c r="AS71" s="411"/>
      <c r="AT71" s="411"/>
      <c r="AU71" s="411"/>
      <c r="AV71" s="411"/>
      <c r="AW71" s="411"/>
      <c r="AX71" s="411"/>
      <c r="AY71" s="411"/>
      <c r="AZ71" s="411"/>
      <c r="BA71" s="411"/>
      <c r="BB71" s="411"/>
      <c r="BC71" s="411"/>
      <c r="BD71" s="411"/>
      <c r="BE71" s="411"/>
      <c r="BF71" s="411"/>
      <c r="BG71" s="411"/>
      <c r="BH71" s="411"/>
      <c r="BI71" s="411"/>
      <c r="BJ71" s="411"/>
      <c r="BK71" s="411"/>
      <c r="BL71" s="411"/>
      <c r="BM71" s="411"/>
      <c r="BN71" s="411"/>
      <c r="BO71" s="411"/>
      <c r="BP71" s="411"/>
      <c r="BQ71" s="411"/>
      <c r="BR71" s="411"/>
      <c r="BS71" s="411"/>
      <c r="BT71" s="411"/>
      <c r="BU71" s="411"/>
      <c r="BV71" s="411"/>
      <c r="BW71" s="411"/>
      <c r="BX71" s="411"/>
      <c r="BY71" s="411"/>
      <c r="BZ71" s="411"/>
      <c r="CA71" s="411"/>
      <c r="CB71" s="411"/>
      <c r="CC71" s="411"/>
      <c r="CD71" s="411"/>
      <c r="CE71" s="411"/>
      <c r="CF71" s="411"/>
      <c r="CG71" s="411"/>
      <c r="CH71" s="411"/>
      <c r="CI71" s="411"/>
      <c r="CJ71" s="411"/>
      <c r="CK71" s="411"/>
      <c r="CL71" s="411"/>
      <c r="CM71" s="411"/>
      <c r="CN71" s="411"/>
      <c r="CO71" s="411"/>
      <c r="CP71" s="411"/>
      <c r="CQ71" s="411"/>
      <c r="CR71" s="411"/>
      <c r="CS71" s="411"/>
      <c r="CT71" s="411"/>
      <c r="CU71" s="411"/>
      <c r="CV71" s="411"/>
      <c r="CW71" s="411"/>
      <c r="CX71" s="411"/>
      <c r="CY71" s="411"/>
      <c r="CZ71" s="411"/>
      <c r="DA71" s="411"/>
      <c r="DB71" s="411"/>
      <c r="DC71" s="411"/>
      <c r="DD71" s="411"/>
      <c r="DE71" s="411"/>
      <c r="DF71" s="411"/>
      <c r="DG71" s="411"/>
      <c r="DH71" s="411"/>
      <c r="DI71" s="411"/>
      <c r="DJ71" s="411"/>
      <c r="DK71" s="411"/>
      <c r="DL71" s="411"/>
      <c r="DM71" s="411"/>
      <c r="DN71" s="411"/>
      <c r="DO71" s="411"/>
      <c r="DP71" s="411"/>
      <c r="DQ71" s="411"/>
      <c r="DR71" s="411"/>
      <c r="DS71" s="411"/>
      <c r="DT71" s="411"/>
      <c r="DU71" s="412" t="s">
        <v>557</v>
      </c>
      <c r="DV71" s="196"/>
    </row>
    <row r="72" spans="1:126" s="5" customFormat="1" ht="19" outlineLevel="1">
      <c r="A72" s="399">
        <v>6</v>
      </c>
      <c r="B72" s="203" t="str">
        <f>'Debt Sizing'!A17</f>
        <v>Commercial Income</v>
      </c>
      <c r="C72" s="409"/>
      <c r="D72" s="413">
        <f>IF('Sponsor Pro Forma'!$N16="Override",'Sponsor Pro Forma'!$O16/12,'Sponsor Pro Forma'!K16/12)</f>
        <v>0</v>
      </c>
      <c r="E72" s="400">
        <f>D72</f>
        <v>0</v>
      </c>
      <c r="F72" s="1300">
        <f>IF('Sponsor Pro Forma'!$N16="Override",INDEX('Sponsor Pro Forma'!$O$16:$Z$34,MATCH('Monthly Cash Flow'!$B72,'Sponsor Pro Forma'!$B$16:$B$34,0),MATCH('Monthly Cash Flow'!F$4,'Sponsor Pro Forma'!$O$15:$Z$15,0))/12,'Monthly Cash Flow'!E72*(1+'Sponsor Pro Forma'!$M16/12))</f>
        <v>0</v>
      </c>
      <c r="G72" s="1300">
        <f>IF('Sponsor Pro Forma'!$N16="Override",INDEX('Sponsor Pro Forma'!$O$16:$Z$34,MATCH('Monthly Cash Flow'!$B72,'Sponsor Pro Forma'!$B$16:$B$34,0),MATCH('Monthly Cash Flow'!G$4,'Sponsor Pro Forma'!$O$15:$Z$15,0))/12,'Monthly Cash Flow'!F72*(1+'Sponsor Pro Forma'!$M16/12))</f>
        <v>0</v>
      </c>
      <c r="H72" s="1300">
        <f>IF('Sponsor Pro Forma'!$N16="Override",INDEX('Sponsor Pro Forma'!$O$16:$Z$34,MATCH('Monthly Cash Flow'!$B72,'Sponsor Pro Forma'!$B$16:$B$34,0),MATCH('Monthly Cash Flow'!H$4,'Sponsor Pro Forma'!$O$15:$Z$15,0))/12,'Monthly Cash Flow'!G72*(1+'Sponsor Pro Forma'!$M16/12))</f>
        <v>0</v>
      </c>
      <c r="I72" s="1300">
        <f>IF('Sponsor Pro Forma'!$N16="Override",INDEX('Sponsor Pro Forma'!$O$16:$Z$34,MATCH('Monthly Cash Flow'!$B72,'Sponsor Pro Forma'!$B$16:$B$34,0),MATCH('Monthly Cash Flow'!I$4,'Sponsor Pro Forma'!$O$15:$Z$15,0))/12,'Monthly Cash Flow'!H72*(1+'Sponsor Pro Forma'!$M16/12))</f>
        <v>0</v>
      </c>
      <c r="J72" s="1300">
        <f>IF('Sponsor Pro Forma'!$N16="Override",INDEX('Sponsor Pro Forma'!$O$16:$Z$34,MATCH('Monthly Cash Flow'!$B72,'Sponsor Pro Forma'!$B$16:$B$34,0),MATCH('Monthly Cash Flow'!J$4,'Sponsor Pro Forma'!$O$15:$Z$15,0))/12,'Monthly Cash Flow'!I72*(1+'Sponsor Pro Forma'!$M16/12))</f>
        <v>0</v>
      </c>
      <c r="K72" s="1300">
        <f>IF('Sponsor Pro Forma'!$N16="Override",INDEX('Sponsor Pro Forma'!$O$16:$Z$34,MATCH('Monthly Cash Flow'!$B72,'Sponsor Pro Forma'!$B$16:$B$34,0),MATCH('Monthly Cash Flow'!K$4,'Sponsor Pro Forma'!$O$15:$Z$15,0))/12,'Monthly Cash Flow'!J72*(1+'Sponsor Pro Forma'!$M16/12))</f>
        <v>0</v>
      </c>
      <c r="L72" s="1300">
        <f>IF('Sponsor Pro Forma'!$N16="Override",INDEX('Sponsor Pro Forma'!$O$16:$Z$34,MATCH('Monthly Cash Flow'!$B72,'Sponsor Pro Forma'!$B$16:$B$34,0),MATCH('Monthly Cash Flow'!L$4,'Sponsor Pro Forma'!$O$15:$Z$15,0))/12,'Monthly Cash Flow'!K72*(1+'Sponsor Pro Forma'!$M16/12))</f>
        <v>0</v>
      </c>
      <c r="M72" s="1300">
        <f>IF('Sponsor Pro Forma'!$N16="Override",INDEX('Sponsor Pro Forma'!$O$16:$Z$34,MATCH('Monthly Cash Flow'!$B72,'Sponsor Pro Forma'!$B$16:$B$34,0),MATCH('Monthly Cash Flow'!M$4,'Sponsor Pro Forma'!$O$15:$Z$15,0))/12,'Monthly Cash Flow'!L72*(1+'Sponsor Pro Forma'!$M16/12))</f>
        <v>0</v>
      </c>
      <c r="N72" s="1300">
        <f>IF('Sponsor Pro Forma'!$N16="Override",INDEX('Sponsor Pro Forma'!$O$16:$Z$34,MATCH('Monthly Cash Flow'!$B72,'Sponsor Pro Forma'!$B$16:$B$34,0),MATCH('Monthly Cash Flow'!N$4,'Sponsor Pro Forma'!$O$15:$Z$15,0))/12,'Monthly Cash Flow'!M72*(1+'Sponsor Pro Forma'!$M16/12))</f>
        <v>0</v>
      </c>
      <c r="O72" s="1300">
        <f>IF('Sponsor Pro Forma'!$N16="Override",INDEX('Sponsor Pro Forma'!$O$16:$Z$34,MATCH('Monthly Cash Flow'!$B72,'Sponsor Pro Forma'!$B$16:$B$34,0),MATCH('Monthly Cash Flow'!O$4,'Sponsor Pro Forma'!$O$15:$Z$15,0))/12,'Monthly Cash Flow'!N72*(1+'Sponsor Pro Forma'!$M16/12))</f>
        <v>0</v>
      </c>
      <c r="P72" s="1300">
        <f>IF('Sponsor Pro Forma'!$N16="Override",INDEX('Sponsor Pro Forma'!$O$16:$Z$34,MATCH('Monthly Cash Flow'!$B72,'Sponsor Pro Forma'!$B$16:$B$34,0),MATCH('Monthly Cash Flow'!P$4,'Sponsor Pro Forma'!$O$15:$Z$15,0))/12,'Monthly Cash Flow'!O72*(1+'Sponsor Pro Forma'!$M16/12))</f>
        <v>0</v>
      </c>
      <c r="Q72" s="1300">
        <f>IF('Sponsor Pro Forma'!$N16="Override",INDEX('Sponsor Pro Forma'!$O$16:$Z$34,MATCH('Monthly Cash Flow'!$B72,'Sponsor Pro Forma'!$B$16:$B$34,0),MATCH('Monthly Cash Flow'!Q$4,'Sponsor Pro Forma'!$O$15:$Z$15,0))/12,'Monthly Cash Flow'!P72*(1+'Sponsor Pro Forma'!$M16/12))</f>
        <v>0</v>
      </c>
      <c r="R72" s="1300">
        <f>IF('Sponsor Pro Forma'!$N16="Override",INDEX('Sponsor Pro Forma'!$O$16:$Z$34,MATCH('Monthly Cash Flow'!$B72,'Sponsor Pro Forma'!$B$16:$B$34,0),MATCH('Monthly Cash Flow'!R$4,'Sponsor Pro Forma'!$O$15:$Z$15,0))/12,'Monthly Cash Flow'!Q72*(1+'Sponsor Pro Forma'!$M16/12))</f>
        <v>0</v>
      </c>
      <c r="S72" s="1300">
        <f>IF('Sponsor Pro Forma'!$N16="Override",INDEX('Sponsor Pro Forma'!$O$16:$Z$34,MATCH('Monthly Cash Flow'!$B72,'Sponsor Pro Forma'!$B$16:$B$34,0),MATCH('Monthly Cash Flow'!S$4,'Sponsor Pro Forma'!$O$15:$Z$15,0))/12,'Monthly Cash Flow'!R72*(1+'Sponsor Pro Forma'!$M16/12))</f>
        <v>0</v>
      </c>
      <c r="T72" s="1300">
        <f>IF('Sponsor Pro Forma'!$N16="Override",INDEX('Sponsor Pro Forma'!$O$16:$Z$34,MATCH('Monthly Cash Flow'!$B72,'Sponsor Pro Forma'!$B$16:$B$34,0),MATCH('Monthly Cash Flow'!T$4,'Sponsor Pro Forma'!$O$15:$Z$15,0))/12,'Monthly Cash Flow'!S72*(1+'Sponsor Pro Forma'!$M16/12))</f>
        <v>0</v>
      </c>
      <c r="U72" s="1300">
        <f>IF('Sponsor Pro Forma'!$N16="Override",INDEX('Sponsor Pro Forma'!$O$16:$Z$34,MATCH('Monthly Cash Flow'!$B72,'Sponsor Pro Forma'!$B$16:$B$34,0),MATCH('Monthly Cash Flow'!U$4,'Sponsor Pro Forma'!$O$15:$Z$15,0))/12,'Monthly Cash Flow'!T72*(1+'Sponsor Pro Forma'!$M16/12))</f>
        <v>0</v>
      </c>
      <c r="V72" s="1300">
        <f>IF('Sponsor Pro Forma'!$N16="Override",INDEX('Sponsor Pro Forma'!$O$16:$Z$34,MATCH('Monthly Cash Flow'!$B72,'Sponsor Pro Forma'!$B$16:$B$34,0),MATCH('Monthly Cash Flow'!V$4,'Sponsor Pro Forma'!$O$15:$Z$15,0))/12,'Monthly Cash Flow'!U72*(1+'Sponsor Pro Forma'!$M16/12))</f>
        <v>0</v>
      </c>
      <c r="W72" s="1300">
        <f>IF('Sponsor Pro Forma'!$N16="Override",INDEX('Sponsor Pro Forma'!$O$16:$Z$34,MATCH('Monthly Cash Flow'!$B72,'Sponsor Pro Forma'!$B$16:$B$34,0),MATCH('Monthly Cash Flow'!W$4,'Sponsor Pro Forma'!$O$15:$Z$15,0))/12,'Monthly Cash Flow'!V72*(1+'Sponsor Pro Forma'!$M16/12))</f>
        <v>0</v>
      </c>
      <c r="X72" s="1300">
        <f>IF('Sponsor Pro Forma'!$N16="Override",INDEX('Sponsor Pro Forma'!$O$16:$Z$34,MATCH('Monthly Cash Flow'!$B72,'Sponsor Pro Forma'!$B$16:$B$34,0),MATCH('Monthly Cash Flow'!X$4,'Sponsor Pro Forma'!$O$15:$Z$15,0))/12,'Monthly Cash Flow'!W72*(1+'Sponsor Pro Forma'!$M16/12))</f>
        <v>0</v>
      </c>
      <c r="Y72" s="1300">
        <f>IF('Sponsor Pro Forma'!$N16="Override",INDEX('Sponsor Pro Forma'!$O$16:$Z$34,MATCH('Monthly Cash Flow'!$B72,'Sponsor Pro Forma'!$B$16:$B$34,0),MATCH('Monthly Cash Flow'!Y$4,'Sponsor Pro Forma'!$O$15:$Z$15,0))/12,'Monthly Cash Flow'!X72*(1+'Sponsor Pro Forma'!$M16/12))</f>
        <v>0</v>
      </c>
      <c r="Z72" s="1300">
        <f>IF('Sponsor Pro Forma'!$N16="Override",INDEX('Sponsor Pro Forma'!$O$16:$Z$34,MATCH('Monthly Cash Flow'!$B72,'Sponsor Pro Forma'!$B$16:$B$34,0),MATCH('Monthly Cash Flow'!Z$4,'Sponsor Pro Forma'!$O$15:$Z$15,0))/12,'Monthly Cash Flow'!Y72*(1+'Sponsor Pro Forma'!$M16/12))</f>
        <v>0</v>
      </c>
      <c r="AA72" s="1300">
        <f>IF('Sponsor Pro Forma'!$N16="Override",INDEX('Sponsor Pro Forma'!$O$16:$Z$34,MATCH('Monthly Cash Flow'!$B72,'Sponsor Pro Forma'!$B$16:$B$34,0),MATCH('Monthly Cash Flow'!AA$4,'Sponsor Pro Forma'!$O$15:$Z$15,0))/12,'Monthly Cash Flow'!Z72*(1+'Sponsor Pro Forma'!$M16/12))</f>
        <v>0</v>
      </c>
      <c r="AB72" s="1300">
        <f>IF('Sponsor Pro Forma'!$N16="Override",INDEX('Sponsor Pro Forma'!$O$16:$Z$34,MATCH('Monthly Cash Flow'!$B72,'Sponsor Pro Forma'!$B$16:$B$34,0),MATCH('Monthly Cash Flow'!AB$4,'Sponsor Pro Forma'!$O$15:$Z$15,0))/12,'Monthly Cash Flow'!AA72*(1+'Sponsor Pro Forma'!$M16/12))</f>
        <v>0</v>
      </c>
      <c r="AC72" s="1300">
        <f>IF('Sponsor Pro Forma'!$N16="Override",INDEX('Sponsor Pro Forma'!$O$16:$Z$34,MATCH('Monthly Cash Flow'!$B72,'Sponsor Pro Forma'!$B$16:$B$34,0),MATCH('Monthly Cash Flow'!AC$4,'Sponsor Pro Forma'!$O$15:$Z$15,0))/12,'Monthly Cash Flow'!AB72*(1+'Sponsor Pro Forma'!$M16/12))</f>
        <v>0</v>
      </c>
      <c r="AD72" s="1300">
        <f>IF('Sponsor Pro Forma'!$N16="Override",INDEX('Sponsor Pro Forma'!$O$16:$Z$34,MATCH('Monthly Cash Flow'!$B72,'Sponsor Pro Forma'!$B$16:$B$34,0),MATCH('Monthly Cash Flow'!AD$4,'Sponsor Pro Forma'!$O$15:$Z$15,0))/12,'Monthly Cash Flow'!AC72*(1+'Sponsor Pro Forma'!$M16/12))</f>
        <v>0</v>
      </c>
      <c r="AE72" s="1300">
        <f>IF('Sponsor Pro Forma'!$N16="Override",INDEX('Sponsor Pro Forma'!$O$16:$Z$34,MATCH('Monthly Cash Flow'!$B72,'Sponsor Pro Forma'!$B$16:$B$34,0),MATCH('Monthly Cash Flow'!AE$4,'Sponsor Pro Forma'!$O$15:$Z$15,0))/12,'Monthly Cash Flow'!AD72*(1+'Sponsor Pro Forma'!$M16/12))</f>
        <v>0</v>
      </c>
      <c r="AF72" s="1300">
        <f>IF('Sponsor Pro Forma'!$N16="Override",INDEX('Sponsor Pro Forma'!$O$16:$Z$34,MATCH('Monthly Cash Flow'!$B72,'Sponsor Pro Forma'!$B$16:$B$34,0),MATCH('Monthly Cash Flow'!AF$4,'Sponsor Pro Forma'!$O$15:$Z$15,0))/12,'Monthly Cash Flow'!AE72*(1+'Sponsor Pro Forma'!$M16/12))</f>
        <v>0</v>
      </c>
      <c r="AG72" s="1300">
        <f>IF('Sponsor Pro Forma'!$N16="Override",INDEX('Sponsor Pro Forma'!$O$16:$Z$34,MATCH('Monthly Cash Flow'!$B72,'Sponsor Pro Forma'!$B$16:$B$34,0),MATCH('Monthly Cash Flow'!AG$4,'Sponsor Pro Forma'!$O$15:$Z$15,0))/12,'Monthly Cash Flow'!AF72*(1+'Sponsor Pro Forma'!$M16/12))</f>
        <v>0</v>
      </c>
      <c r="AH72" s="1300">
        <f>IF('Sponsor Pro Forma'!$N16="Override",INDEX('Sponsor Pro Forma'!$O$16:$Z$34,MATCH('Monthly Cash Flow'!$B72,'Sponsor Pro Forma'!$B$16:$B$34,0),MATCH('Monthly Cash Flow'!AH$4,'Sponsor Pro Forma'!$O$15:$Z$15,0))/12,'Monthly Cash Flow'!AG72*(1+'Sponsor Pro Forma'!$M16/12))</f>
        <v>0</v>
      </c>
      <c r="AI72" s="1300">
        <f>IF('Sponsor Pro Forma'!$N16="Override",INDEX('Sponsor Pro Forma'!$O$16:$Z$34,MATCH('Monthly Cash Flow'!$B72,'Sponsor Pro Forma'!$B$16:$B$34,0),MATCH('Monthly Cash Flow'!AI$4,'Sponsor Pro Forma'!$O$15:$Z$15,0))/12,'Monthly Cash Flow'!AH72*(1+'Sponsor Pro Forma'!$M16/12))</f>
        <v>0</v>
      </c>
      <c r="AJ72" s="1300">
        <f>IF('Sponsor Pro Forma'!$N16="Override",INDEX('Sponsor Pro Forma'!$O$16:$Z$34,MATCH('Monthly Cash Flow'!$B72,'Sponsor Pro Forma'!$B$16:$B$34,0),MATCH('Monthly Cash Flow'!AJ$4,'Sponsor Pro Forma'!$O$15:$Z$15,0))/12,'Monthly Cash Flow'!AI72*(1+'Sponsor Pro Forma'!$M16/12))</f>
        <v>0</v>
      </c>
      <c r="AK72" s="1300">
        <f>IF('Sponsor Pro Forma'!$N16="Override",INDEX('Sponsor Pro Forma'!$O$16:$Z$34,MATCH('Monthly Cash Flow'!$B72,'Sponsor Pro Forma'!$B$16:$B$34,0),MATCH('Monthly Cash Flow'!AK$4,'Sponsor Pro Forma'!$O$15:$Z$15,0))/12,'Monthly Cash Flow'!AJ72*(1+'Sponsor Pro Forma'!$M16/12))</f>
        <v>0</v>
      </c>
      <c r="AL72" s="1300">
        <f>IF('Sponsor Pro Forma'!$N16="Override",INDEX('Sponsor Pro Forma'!$O$16:$Z$34,MATCH('Monthly Cash Flow'!$B72,'Sponsor Pro Forma'!$B$16:$B$34,0),MATCH('Monthly Cash Flow'!AL$4,'Sponsor Pro Forma'!$O$15:$Z$15,0))/12,'Monthly Cash Flow'!AK72*(1+'Sponsor Pro Forma'!$M16/12))</f>
        <v>0</v>
      </c>
      <c r="AM72" s="1300">
        <f>IF('Sponsor Pro Forma'!$N16="Override",INDEX('Sponsor Pro Forma'!$O$16:$Z$34,MATCH('Monthly Cash Flow'!$B72,'Sponsor Pro Forma'!$B$16:$B$34,0),MATCH('Monthly Cash Flow'!AM$4,'Sponsor Pro Forma'!$O$15:$Z$15,0))/12,'Monthly Cash Flow'!AL72*(1+'Sponsor Pro Forma'!$M16/12))</f>
        <v>0</v>
      </c>
      <c r="AN72" s="1300">
        <f>IF('Sponsor Pro Forma'!$N16="Override",INDEX('Sponsor Pro Forma'!$O$16:$Z$34,MATCH('Monthly Cash Flow'!$B72,'Sponsor Pro Forma'!$B$16:$B$34,0),MATCH('Monthly Cash Flow'!AN$4,'Sponsor Pro Forma'!$O$15:$Z$15,0))/12,'Monthly Cash Flow'!AM72*(1+'Sponsor Pro Forma'!$M16/12))</f>
        <v>0</v>
      </c>
      <c r="AO72" s="1300">
        <f>IF('Sponsor Pro Forma'!$N16="Override",INDEX('Sponsor Pro Forma'!$O$16:$Z$34,MATCH('Monthly Cash Flow'!$B72,'Sponsor Pro Forma'!$B$16:$B$34,0),MATCH('Monthly Cash Flow'!AO$4,'Sponsor Pro Forma'!$O$15:$Z$15,0))/12,'Monthly Cash Flow'!AN72*(1+'Sponsor Pro Forma'!$M16/12))</f>
        <v>0</v>
      </c>
      <c r="AP72" s="1300">
        <f>IF('Sponsor Pro Forma'!$N16="Override",INDEX('Sponsor Pro Forma'!$O$16:$Z$34,MATCH('Monthly Cash Flow'!$B72,'Sponsor Pro Forma'!$B$16:$B$34,0),MATCH('Monthly Cash Flow'!AP$4,'Sponsor Pro Forma'!$O$15:$Z$15,0))/12,'Monthly Cash Flow'!AO72*(1+'Sponsor Pro Forma'!$M16/12))</f>
        <v>0</v>
      </c>
      <c r="AQ72" s="1300">
        <f>IF('Sponsor Pro Forma'!$N16="Override",INDEX('Sponsor Pro Forma'!$O$16:$Z$34,MATCH('Monthly Cash Flow'!$B72,'Sponsor Pro Forma'!$B$16:$B$34,0),MATCH('Monthly Cash Flow'!AQ$4,'Sponsor Pro Forma'!$O$15:$Z$15,0))/12,'Monthly Cash Flow'!AP72*(1+'Sponsor Pro Forma'!$M16/12))</f>
        <v>0</v>
      </c>
      <c r="AR72" s="1300">
        <f>IF('Sponsor Pro Forma'!$N16="Override",INDEX('Sponsor Pro Forma'!$O$16:$Z$34,MATCH('Monthly Cash Flow'!$B72,'Sponsor Pro Forma'!$B$16:$B$34,0),MATCH('Monthly Cash Flow'!AR$4,'Sponsor Pro Forma'!$O$15:$Z$15,0))/12,'Monthly Cash Flow'!AQ72*(1+'Sponsor Pro Forma'!$M16/12))</f>
        <v>0</v>
      </c>
      <c r="AS72" s="1300">
        <f>IF('Sponsor Pro Forma'!$N16="Override",INDEX('Sponsor Pro Forma'!$O$16:$Z$34,MATCH('Monthly Cash Flow'!$B72,'Sponsor Pro Forma'!$B$16:$B$34,0),MATCH('Monthly Cash Flow'!AS$4,'Sponsor Pro Forma'!$O$15:$Z$15,0))/12,'Monthly Cash Flow'!AR72*(1+'Sponsor Pro Forma'!$M16/12))</f>
        <v>0</v>
      </c>
      <c r="AT72" s="1300">
        <f>IF('Sponsor Pro Forma'!$N16="Override",INDEX('Sponsor Pro Forma'!$O$16:$Z$34,MATCH('Monthly Cash Flow'!$B72,'Sponsor Pro Forma'!$B$16:$B$34,0),MATCH('Monthly Cash Flow'!AT$4,'Sponsor Pro Forma'!$O$15:$Z$15,0))/12,'Monthly Cash Flow'!AS72*(1+'Sponsor Pro Forma'!$M16/12))</f>
        <v>0</v>
      </c>
      <c r="AU72" s="1300">
        <f>IF('Sponsor Pro Forma'!$N16="Override",INDEX('Sponsor Pro Forma'!$O$16:$Z$34,MATCH('Monthly Cash Flow'!$B72,'Sponsor Pro Forma'!$B$16:$B$34,0),MATCH('Monthly Cash Flow'!AU$4,'Sponsor Pro Forma'!$O$15:$Z$15,0))/12,'Monthly Cash Flow'!AT72*(1+'Sponsor Pro Forma'!$M16/12))</f>
        <v>0</v>
      </c>
      <c r="AV72" s="1300">
        <f>IF('Sponsor Pro Forma'!$N16="Override",INDEX('Sponsor Pro Forma'!$O$16:$Z$34,MATCH('Monthly Cash Flow'!$B72,'Sponsor Pro Forma'!$B$16:$B$34,0),MATCH('Monthly Cash Flow'!AV$4,'Sponsor Pro Forma'!$O$15:$Z$15,0))/12,'Monthly Cash Flow'!AU72*(1+'Sponsor Pro Forma'!$M16/12))</f>
        <v>0</v>
      </c>
      <c r="AW72" s="1300">
        <f>IF('Sponsor Pro Forma'!$N16="Override",INDEX('Sponsor Pro Forma'!$O$16:$Z$34,MATCH('Monthly Cash Flow'!$B72,'Sponsor Pro Forma'!$B$16:$B$34,0),MATCH('Monthly Cash Flow'!AW$4,'Sponsor Pro Forma'!$O$15:$Z$15,0))/12,'Monthly Cash Flow'!AV72*(1+'Sponsor Pro Forma'!$M16/12))</f>
        <v>0</v>
      </c>
      <c r="AX72" s="1300">
        <f>IF('Sponsor Pro Forma'!$N16="Override",INDEX('Sponsor Pro Forma'!$O$16:$Z$34,MATCH('Monthly Cash Flow'!$B72,'Sponsor Pro Forma'!$B$16:$B$34,0),MATCH('Monthly Cash Flow'!AX$4,'Sponsor Pro Forma'!$O$15:$Z$15,0))/12,'Monthly Cash Flow'!AW72*(1+'Sponsor Pro Forma'!$M16/12))</f>
        <v>0</v>
      </c>
      <c r="AY72" s="1300">
        <f>IF('Sponsor Pro Forma'!$N16="Override",INDEX('Sponsor Pro Forma'!$O$16:$Z$34,MATCH('Monthly Cash Flow'!$B72,'Sponsor Pro Forma'!$B$16:$B$34,0),MATCH('Monthly Cash Flow'!AY$4,'Sponsor Pro Forma'!$O$15:$Z$15,0))/12,'Monthly Cash Flow'!AX72*(1+'Sponsor Pro Forma'!$M16/12))</f>
        <v>0</v>
      </c>
      <c r="AZ72" s="1300">
        <f>IF('Sponsor Pro Forma'!$N16="Override",INDEX('Sponsor Pro Forma'!$O$16:$Z$34,MATCH('Monthly Cash Flow'!$B72,'Sponsor Pro Forma'!$B$16:$B$34,0),MATCH('Monthly Cash Flow'!AZ$4,'Sponsor Pro Forma'!$O$15:$Z$15,0))/12,'Monthly Cash Flow'!AY72*(1+'Sponsor Pro Forma'!$M16/12))</f>
        <v>0</v>
      </c>
      <c r="BA72" s="1300">
        <f>IF('Sponsor Pro Forma'!$N16="Override",INDEX('Sponsor Pro Forma'!$O$16:$Z$34,MATCH('Monthly Cash Flow'!$B72,'Sponsor Pro Forma'!$B$16:$B$34,0),MATCH('Monthly Cash Flow'!BA$4,'Sponsor Pro Forma'!$O$15:$Z$15,0))/12,'Monthly Cash Flow'!AZ72*(1+'Sponsor Pro Forma'!$M16/12))</f>
        <v>0</v>
      </c>
      <c r="BB72" s="1300">
        <f>IF('Sponsor Pro Forma'!$N16="Override",INDEX('Sponsor Pro Forma'!$O$16:$Z$34,MATCH('Monthly Cash Flow'!$B72,'Sponsor Pro Forma'!$B$16:$B$34,0),MATCH('Monthly Cash Flow'!BB$4,'Sponsor Pro Forma'!$O$15:$Z$15,0))/12,'Monthly Cash Flow'!BA72*(1+'Sponsor Pro Forma'!$M16/12))</f>
        <v>0</v>
      </c>
      <c r="BC72" s="1300">
        <f>IF('Sponsor Pro Forma'!$N16="Override",INDEX('Sponsor Pro Forma'!$O$16:$Z$34,MATCH('Monthly Cash Flow'!$B72,'Sponsor Pro Forma'!$B$16:$B$34,0),MATCH('Monthly Cash Flow'!BC$4,'Sponsor Pro Forma'!$O$15:$Z$15,0))/12,'Monthly Cash Flow'!BB72*(1+'Sponsor Pro Forma'!$M16/12))</f>
        <v>0</v>
      </c>
      <c r="BD72" s="1300">
        <f>IF('Sponsor Pro Forma'!$N16="Override",INDEX('Sponsor Pro Forma'!$O$16:$Z$34,MATCH('Monthly Cash Flow'!$B72,'Sponsor Pro Forma'!$B$16:$B$34,0),MATCH('Monthly Cash Flow'!BD$4,'Sponsor Pro Forma'!$O$15:$Z$15,0))/12,'Monthly Cash Flow'!BC72*(1+'Sponsor Pro Forma'!$M16/12))</f>
        <v>0</v>
      </c>
      <c r="BE72" s="1300">
        <f>IF('Sponsor Pro Forma'!$N16="Override",INDEX('Sponsor Pro Forma'!$O$16:$Z$34,MATCH('Monthly Cash Flow'!$B72,'Sponsor Pro Forma'!$B$16:$B$34,0),MATCH('Monthly Cash Flow'!BE$4,'Sponsor Pro Forma'!$O$15:$Z$15,0))/12,'Monthly Cash Flow'!BD72*(1+'Sponsor Pro Forma'!$M16/12))</f>
        <v>0</v>
      </c>
      <c r="BF72" s="1300">
        <f>IF('Sponsor Pro Forma'!$N16="Override",INDEX('Sponsor Pro Forma'!$O$16:$Z$34,MATCH('Monthly Cash Flow'!$B72,'Sponsor Pro Forma'!$B$16:$B$34,0),MATCH('Monthly Cash Flow'!BF$4,'Sponsor Pro Forma'!$O$15:$Z$15,0))/12,'Monthly Cash Flow'!BE72*(1+'Sponsor Pro Forma'!$M16/12))</f>
        <v>0</v>
      </c>
      <c r="BG72" s="1300">
        <f>IF('Sponsor Pro Forma'!$N16="Override",INDEX('Sponsor Pro Forma'!$O$16:$Z$34,MATCH('Monthly Cash Flow'!$B72,'Sponsor Pro Forma'!$B$16:$B$34,0),MATCH('Monthly Cash Flow'!BG$4,'Sponsor Pro Forma'!$O$15:$Z$15,0))/12,'Monthly Cash Flow'!BF72*(1+'Sponsor Pro Forma'!$M16/12))</f>
        <v>0</v>
      </c>
      <c r="BH72" s="1300">
        <f>IF('Sponsor Pro Forma'!$N16="Override",INDEX('Sponsor Pro Forma'!$O$16:$Z$34,MATCH('Monthly Cash Flow'!$B72,'Sponsor Pro Forma'!$B$16:$B$34,0),MATCH('Monthly Cash Flow'!BH$4,'Sponsor Pro Forma'!$O$15:$Z$15,0))/12,'Monthly Cash Flow'!BG72*(1+'Sponsor Pro Forma'!$M16/12))</f>
        <v>0</v>
      </c>
      <c r="BI72" s="1300">
        <f>IF('Sponsor Pro Forma'!$N16="Override",INDEX('Sponsor Pro Forma'!$O$16:$Z$34,MATCH('Monthly Cash Flow'!$B72,'Sponsor Pro Forma'!$B$16:$B$34,0),MATCH('Monthly Cash Flow'!BI$4,'Sponsor Pro Forma'!$O$15:$Z$15,0))/12,'Monthly Cash Flow'!BH72*(1+'Sponsor Pro Forma'!$M16/12))</f>
        <v>0</v>
      </c>
      <c r="BJ72" s="1300">
        <f>IF('Sponsor Pro Forma'!$N16="Override",INDEX('Sponsor Pro Forma'!$O$16:$Z$34,MATCH('Monthly Cash Flow'!$B72,'Sponsor Pro Forma'!$B$16:$B$34,0),MATCH('Monthly Cash Flow'!BJ$4,'Sponsor Pro Forma'!$O$15:$Z$15,0))/12,'Monthly Cash Flow'!BI72*(1+'Sponsor Pro Forma'!$M16/12))</f>
        <v>0</v>
      </c>
      <c r="BK72" s="1300">
        <f>IF('Sponsor Pro Forma'!$N16="Override",INDEX('Sponsor Pro Forma'!$O$16:$Z$34,MATCH('Monthly Cash Flow'!$B72,'Sponsor Pro Forma'!$B$16:$B$34,0),MATCH('Monthly Cash Flow'!BK$4,'Sponsor Pro Forma'!$O$15:$Z$15,0))/12,'Monthly Cash Flow'!BJ72*(1+'Sponsor Pro Forma'!$M16/12))</f>
        <v>0</v>
      </c>
      <c r="BL72" s="1300">
        <f>IF('Sponsor Pro Forma'!$N16="Override",INDEX('Sponsor Pro Forma'!$O$16:$Z$34,MATCH('Monthly Cash Flow'!$B72,'Sponsor Pro Forma'!$B$16:$B$34,0),MATCH('Monthly Cash Flow'!BL$4,'Sponsor Pro Forma'!$O$15:$Z$15,0))/12,'Monthly Cash Flow'!BK72*(1+'Sponsor Pro Forma'!$M16/12))</f>
        <v>0</v>
      </c>
      <c r="BM72" s="1300">
        <f>IF('Sponsor Pro Forma'!$N16="Override",INDEX('Sponsor Pro Forma'!$O$16:$Z$34,MATCH('Monthly Cash Flow'!$B72,'Sponsor Pro Forma'!$B$16:$B$34,0),MATCH('Monthly Cash Flow'!BM$4,'Sponsor Pro Forma'!$O$15:$Z$15,0))/12,'Monthly Cash Flow'!BL72*(1+'Sponsor Pro Forma'!$M16/12))</f>
        <v>0</v>
      </c>
      <c r="BN72" s="1300">
        <f>IF('Sponsor Pro Forma'!$N16="Override",INDEX('Sponsor Pro Forma'!$O$16:$Z$34,MATCH('Monthly Cash Flow'!$B72,'Sponsor Pro Forma'!$B$16:$B$34,0),MATCH('Monthly Cash Flow'!BN$4,'Sponsor Pro Forma'!$O$15:$Z$15,0))/12,'Monthly Cash Flow'!BM72*(1+'Sponsor Pro Forma'!$M16/12))</f>
        <v>0</v>
      </c>
      <c r="BO72" s="1300">
        <f>IF('Sponsor Pro Forma'!$N16="Override",INDEX('Sponsor Pro Forma'!$O$16:$Z$34,MATCH('Monthly Cash Flow'!$B72,'Sponsor Pro Forma'!$B$16:$B$34,0),MATCH('Monthly Cash Flow'!BO$4,'Sponsor Pro Forma'!$O$15:$Z$15,0))/12,'Monthly Cash Flow'!BN72*(1+'Sponsor Pro Forma'!$M16/12))</f>
        <v>0</v>
      </c>
      <c r="BP72" s="1300">
        <f>IF('Sponsor Pro Forma'!$N16="Override",INDEX('Sponsor Pro Forma'!$O$16:$Z$34,MATCH('Monthly Cash Flow'!$B72,'Sponsor Pro Forma'!$B$16:$B$34,0),MATCH('Monthly Cash Flow'!BP$4,'Sponsor Pro Forma'!$O$15:$Z$15,0))/12,'Monthly Cash Flow'!BO72*(1+'Sponsor Pro Forma'!$M16/12))</f>
        <v>0</v>
      </c>
      <c r="BQ72" s="1300">
        <f>IF('Sponsor Pro Forma'!$N16="Override",INDEX('Sponsor Pro Forma'!$O$16:$Z$34,MATCH('Monthly Cash Flow'!$B72,'Sponsor Pro Forma'!$B$16:$B$34,0),MATCH('Monthly Cash Flow'!BQ$4,'Sponsor Pro Forma'!$O$15:$Z$15,0))/12,'Monthly Cash Flow'!BP72*(1+'Sponsor Pro Forma'!$M16/12))</f>
        <v>0</v>
      </c>
      <c r="BR72" s="1300">
        <f>IF('Sponsor Pro Forma'!$N16="Override",INDEX('Sponsor Pro Forma'!$O$16:$Z$34,MATCH('Monthly Cash Flow'!$B72,'Sponsor Pro Forma'!$B$16:$B$34,0),MATCH('Monthly Cash Flow'!BR$4,'Sponsor Pro Forma'!$O$15:$Z$15,0))/12,'Monthly Cash Flow'!BQ72*(1+'Sponsor Pro Forma'!$M16/12))</f>
        <v>0</v>
      </c>
      <c r="BS72" s="1300">
        <f>IF('Sponsor Pro Forma'!$N16="Override",INDEX('Sponsor Pro Forma'!$O$16:$Z$34,MATCH('Monthly Cash Flow'!$B72,'Sponsor Pro Forma'!$B$16:$B$34,0),MATCH('Monthly Cash Flow'!BS$4,'Sponsor Pro Forma'!$O$15:$Z$15,0))/12,'Monthly Cash Flow'!BR72*(1+'Sponsor Pro Forma'!$M16/12))</f>
        <v>0</v>
      </c>
      <c r="BT72" s="1300">
        <f>IF('Sponsor Pro Forma'!$N16="Override",INDEX('Sponsor Pro Forma'!$O$16:$Z$34,MATCH('Monthly Cash Flow'!$B72,'Sponsor Pro Forma'!$B$16:$B$34,0),MATCH('Monthly Cash Flow'!BT$4,'Sponsor Pro Forma'!$O$15:$Z$15,0))/12,'Monthly Cash Flow'!BS72*(1+'Sponsor Pro Forma'!$M16/12))</f>
        <v>0</v>
      </c>
      <c r="BU72" s="1300">
        <f>IF('Sponsor Pro Forma'!$N16="Override",INDEX('Sponsor Pro Forma'!$O$16:$Z$34,MATCH('Monthly Cash Flow'!$B72,'Sponsor Pro Forma'!$B$16:$B$34,0),MATCH('Monthly Cash Flow'!BU$4,'Sponsor Pro Forma'!$O$15:$Z$15,0))/12,'Monthly Cash Flow'!BT72*(1+'Sponsor Pro Forma'!$M16/12))</f>
        <v>0</v>
      </c>
      <c r="BV72" s="1300">
        <f>IF('Sponsor Pro Forma'!$N16="Override",INDEX('Sponsor Pro Forma'!$O$16:$Z$34,MATCH('Monthly Cash Flow'!$B72,'Sponsor Pro Forma'!$B$16:$B$34,0),MATCH('Monthly Cash Flow'!BV$4,'Sponsor Pro Forma'!$O$15:$Z$15,0))/12,'Monthly Cash Flow'!BU72*(1+'Sponsor Pro Forma'!$M16/12))</f>
        <v>0</v>
      </c>
      <c r="BW72" s="1300">
        <f>IF('Sponsor Pro Forma'!$N16="Override",INDEX('Sponsor Pro Forma'!$O$16:$Z$34,MATCH('Monthly Cash Flow'!$B72,'Sponsor Pro Forma'!$B$16:$B$34,0),MATCH('Monthly Cash Flow'!BW$4,'Sponsor Pro Forma'!$O$15:$Z$15,0))/12,'Monthly Cash Flow'!BV72*(1+'Sponsor Pro Forma'!$M16/12))</f>
        <v>0</v>
      </c>
      <c r="BX72" s="1300">
        <f>IF('Sponsor Pro Forma'!$N16="Override",INDEX('Sponsor Pro Forma'!$O$16:$Z$34,MATCH('Monthly Cash Flow'!$B72,'Sponsor Pro Forma'!$B$16:$B$34,0),MATCH('Monthly Cash Flow'!BX$4,'Sponsor Pro Forma'!$O$15:$Z$15,0))/12,'Monthly Cash Flow'!BW72*(1+'Sponsor Pro Forma'!$M16/12))</f>
        <v>0</v>
      </c>
      <c r="BY72" s="1300">
        <f>IF('Sponsor Pro Forma'!$N16="Override",INDEX('Sponsor Pro Forma'!$O$16:$Z$34,MATCH('Monthly Cash Flow'!$B72,'Sponsor Pro Forma'!$B$16:$B$34,0),MATCH('Monthly Cash Flow'!BY$4,'Sponsor Pro Forma'!$O$15:$Z$15,0))/12,'Monthly Cash Flow'!BX72*(1+'Sponsor Pro Forma'!$M16/12))</f>
        <v>0</v>
      </c>
      <c r="BZ72" s="1300">
        <f>IF('Sponsor Pro Forma'!$N16="Override",INDEX('Sponsor Pro Forma'!$O$16:$Z$34,MATCH('Monthly Cash Flow'!$B72,'Sponsor Pro Forma'!$B$16:$B$34,0),MATCH('Monthly Cash Flow'!BZ$4,'Sponsor Pro Forma'!$O$15:$Z$15,0))/12,'Monthly Cash Flow'!BY72*(1+'Sponsor Pro Forma'!$M16/12))</f>
        <v>0</v>
      </c>
      <c r="CA72" s="1300">
        <f>IF('Sponsor Pro Forma'!$N16="Override",INDEX('Sponsor Pro Forma'!$O$16:$Z$34,MATCH('Monthly Cash Flow'!$B72,'Sponsor Pro Forma'!$B$16:$B$34,0),MATCH('Monthly Cash Flow'!CA$4,'Sponsor Pro Forma'!$O$15:$Z$15,0))/12,'Monthly Cash Flow'!BZ72*(1+'Sponsor Pro Forma'!$M16/12))</f>
        <v>0</v>
      </c>
      <c r="CB72" s="1300">
        <f>IF('Sponsor Pro Forma'!$N16="Override",INDEX('Sponsor Pro Forma'!$O$16:$Z$34,MATCH('Monthly Cash Flow'!$B72,'Sponsor Pro Forma'!$B$16:$B$34,0),MATCH('Monthly Cash Flow'!CB$4,'Sponsor Pro Forma'!$O$15:$Z$15,0))/12,'Monthly Cash Flow'!CA72*(1+'Sponsor Pro Forma'!$M16/12))</f>
        <v>0</v>
      </c>
      <c r="CC72" s="1300">
        <f>IF('Sponsor Pro Forma'!$N16="Override",INDEX('Sponsor Pro Forma'!$O$16:$Z$34,MATCH('Monthly Cash Flow'!$B72,'Sponsor Pro Forma'!$B$16:$B$34,0),MATCH('Monthly Cash Flow'!CC$4,'Sponsor Pro Forma'!$O$15:$Z$15,0))/12,'Monthly Cash Flow'!CB72*(1+'Sponsor Pro Forma'!$M16/12))</f>
        <v>0</v>
      </c>
      <c r="CD72" s="1300">
        <f>IF('Sponsor Pro Forma'!$N16="Override",INDEX('Sponsor Pro Forma'!$O$16:$Z$34,MATCH('Monthly Cash Flow'!$B72,'Sponsor Pro Forma'!$B$16:$B$34,0),MATCH('Monthly Cash Flow'!CD$4,'Sponsor Pro Forma'!$O$15:$Z$15,0))/12,'Monthly Cash Flow'!CC72*(1+'Sponsor Pro Forma'!$M16/12))</f>
        <v>0</v>
      </c>
      <c r="CE72" s="1300">
        <f>IF('Sponsor Pro Forma'!$N16="Override",INDEX('Sponsor Pro Forma'!$O$16:$Z$34,MATCH('Monthly Cash Flow'!$B72,'Sponsor Pro Forma'!$B$16:$B$34,0),MATCH('Monthly Cash Flow'!CE$4,'Sponsor Pro Forma'!$O$15:$Z$15,0))/12,'Monthly Cash Flow'!CD72*(1+'Sponsor Pro Forma'!$M16/12))</f>
        <v>0</v>
      </c>
      <c r="CF72" s="1300">
        <f>IF('Sponsor Pro Forma'!$N16="Override",INDEX('Sponsor Pro Forma'!$O$16:$Z$34,MATCH('Monthly Cash Flow'!$B72,'Sponsor Pro Forma'!$B$16:$B$34,0),MATCH('Monthly Cash Flow'!CF$4,'Sponsor Pro Forma'!$O$15:$Z$15,0))/12,'Monthly Cash Flow'!CE72*(1+'Sponsor Pro Forma'!$M16/12))</f>
        <v>0</v>
      </c>
      <c r="CG72" s="1300">
        <f>IF('Sponsor Pro Forma'!$N16="Override",INDEX('Sponsor Pro Forma'!$O$16:$Z$34,MATCH('Monthly Cash Flow'!$B72,'Sponsor Pro Forma'!$B$16:$B$34,0),MATCH('Monthly Cash Flow'!CG$4,'Sponsor Pro Forma'!$O$15:$Z$15,0))/12,'Monthly Cash Flow'!CF72*(1+'Sponsor Pro Forma'!$M16/12))</f>
        <v>0</v>
      </c>
      <c r="CH72" s="1300">
        <f>IF('Sponsor Pro Forma'!$N16="Override",INDEX('Sponsor Pro Forma'!$O$16:$Z$34,MATCH('Monthly Cash Flow'!$B72,'Sponsor Pro Forma'!$B$16:$B$34,0),MATCH('Monthly Cash Flow'!CH$4,'Sponsor Pro Forma'!$O$15:$Z$15,0))/12,'Monthly Cash Flow'!CG72*(1+'Sponsor Pro Forma'!$M16/12))</f>
        <v>0</v>
      </c>
      <c r="CI72" s="1300">
        <f>IF('Sponsor Pro Forma'!$N16="Override",INDEX('Sponsor Pro Forma'!$O$16:$Z$34,MATCH('Monthly Cash Flow'!$B72,'Sponsor Pro Forma'!$B$16:$B$34,0),MATCH('Monthly Cash Flow'!CI$4,'Sponsor Pro Forma'!$O$15:$Z$15,0))/12,'Monthly Cash Flow'!CH72*(1+'Sponsor Pro Forma'!$M16/12))</f>
        <v>0</v>
      </c>
      <c r="CJ72" s="1300">
        <f>IF('Sponsor Pro Forma'!$N16="Override",INDEX('Sponsor Pro Forma'!$O$16:$Z$34,MATCH('Monthly Cash Flow'!$B72,'Sponsor Pro Forma'!$B$16:$B$34,0),MATCH('Monthly Cash Flow'!CJ$4,'Sponsor Pro Forma'!$O$15:$Z$15,0))/12,'Monthly Cash Flow'!CI72*(1+'Sponsor Pro Forma'!$M16/12))</f>
        <v>0</v>
      </c>
      <c r="CK72" s="1300">
        <f>IF('Sponsor Pro Forma'!$N16="Override",INDEX('Sponsor Pro Forma'!$O$16:$Z$34,MATCH('Monthly Cash Flow'!$B72,'Sponsor Pro Forma'!$B$16:$B$34,0),MATCH('Monthly Cash Flow'!CK$4,'Sponsor Pro Forma'!$O$15:$Z$15,0))/12,'Monthly Cash Flow'!CJ72*(1+'Sponsor Pro Forma'!$M16/12))</f>
        <v>0</v>
      </c>
      <c r="CL72" s="1300">
        <f>IF('Sponsor Pro Forma'!$N16="Override",INDEX('Sponsor Pro Forma'!$O$16:$Z$34,MATCH('Monthly Cash Flow'!$B72,'Sponsor Pro Forma'!$B$16:$B$34,0),MATCH('Monthly Cash Flow'!CL$4,'Sponsor Pro Forma'!$O$15:$Z$15,0))/12,'Monthly Cash Flow'!CK72*(1+'Sponsor Pro Forma'!$M16/12))</f>
        <v>0</v>
      </c>
      <c r="CM72" s="1300">
        <f>IF('Sponsor Pro Forma'!$N16="Override",INDEX('Sponsor Pro Forma'!$O$16:$Z$34,MATCH('Monthly Cash Flow'!$B72,'Sponsor Pro Forma'!$B$16:$B$34,0),MATCH('Monthly Cash Flow'!CM$4,'Sponsor Pro Forma'!$O$15:$Z$15,0))/12,'Monthly Cash Flow'!CL72*(1+'Sponsor Pro Forma'!$M16/12))</f>
        <v>0</v>
      </c>
      <c r="CN72" s="1300">
        <f>IF('Sponsor Pro Forma'!$N16="Override",INDEX('Sponsor Pro Forma'!$O$16:$Z$34,MATCH('Monthly Cash Flow'!$B72,'Sponsor Pro Forma'!$B$16:$B$34,0),MATCH('Monthly Cash Flow'!CN$4,'Sponsor Pro Forma'!$O$15:$Z$15,0))/12,'Monthly Cash Flow'!CM72*(1+'Sponsor Pro Forma'!$M16/12))</f>
        <v>0</v>
      </c>
      <c r="CO72" s="1300">
        <f>IF('Sponsor Pro Forma'!$N16="Override",INDEX('Sponsor Pro Forma'!$O$16:$Z$34,MATCH('Monthly Cash Flow'!$B72,'Sponsor Pro Forma'!$B$16:$B$34,0),MATCH('Monthly Cash Flow'!CO$4,'Sponsor Pro Forma'!$O$15:$Z$15,0))/12,'Monthly Cash Flow'!CN72*(1+'Sponsor Pro Forma'!$M16/12))</f>
        <v>0</v>
      </c>
      <c r="CP72" s="1300">
        <f>IF('Sponsor Pro Forma'!$N16="Override",INDEX('Sponsor Pro Forma'!$O$16:$Z$34,MATCH('Monthly Cash Flow'!$B72,'Sponsor Pro Forma'!$B$16:$B$34,0),MATCH('Monthly Cash Flow'!CP$4,'Sponsor Pro Forma'!$O$15:$Z$15,0))/12,'Monthly Cash Flow'!CO72*(1+'Sponsor Pro Forma'!$M16/12))</f>
        <v>0</v>
      </c>
      <c r="CQ72" s="1300">
        <f>IF('Sponsor Pro Forma'!$N16="Override",INDEX('Sponsor Pro Forma'!$O$16:$Z$34,MATCH('Monthly Cash Flow'!$B72,'Sponsor Pro Forma'!$B$16:$B$34,0),MATCH('Monthly Cash Flow'!CQ$4,'Sponsor Pro Forma'!$O$15:$Z$15,0))/12,'Monthly Cash Flow'!CP72*(1+'Sponsor Pro Forma'!$M16/12))</f>
        <v>0</v>
      </c>
      <c r="CR72" s="1300">
        <f>IF('Sponsor Pro Forma'!$N16="Override",INDEX('Sponsor Pro Forma'!$O$16:$Z$34,MATCH('Monthly Cash Flow'!$B72,'Sponsor Pro Forma'!$B$16:$B$34,0),MATCH('Monthly Cash Flow'!CR$4,'Sponsor Pro Forma'!$O$15:$Z$15,0))/12,'Monthly Cash Flow'!CQ72*(1+'Sponsor Pro Forma'!$M16/12))</f>
        <v>0</v>
      </c>
      <c r="CS72" s="1300">
        <f>IF('Sponsor Pro Forma'!$N16="Override",INDEX('Sponsor Pro Forma'!$O$16:$Z$34,MATCH('Monthly Cash Flow'!$B72,'Sponsor Pro Forma'!$B$16:$B$34,0),MATCH('Monthly Cash Flow'!CS$4,'Sponsor Pro Forma'!$O$15:$Z$15,0))/12,'Monthly Cash Flow'!CR72*(1+'Sponsor Pro Forma'!$M16/12))</f>
        <v>0</v>
      </c>
      <c r="CT72" s="1300">
        <f>IF('Sponsor Pro Forma'!$N16="Override",INDEX('Sponsor Pro Forma'!$O$16:$Z$34,MATCH('Monthly Cash Flow'!$B72,'Sponsor Pro Forma'!$B$16:$B$34,0),MATCH('Monthly Cash Flow'!CT$4,'Sponsor Pro Forma'!$O$15:$Z$15,0))/12,'Monthly Cash Flow'!CS72*(1+'Sponsor Pro Forma'!$M16/12))</f>
        <v>0</v>
      </c>
      <c r="CU72" s="1300">
        <f>IF('Sponsor Pro Forma'!$N16="Override",INDEX('Sponsor Pro Forma'!$O$16:$Z$34,MATCH('Monthly Cash Flow'!$B72,'Sponsor Pro Forma'!$B$16:$B$34,0),MATCH('Monthly Cash Flow'!CU$4,'Sponsor Pro Forma'!$O$15:$Z$15,0))/12,'Monthly Cash Flow'!CT72*(1+'Sponsor Pro Forma'!$M16/12))</f>
        <v>0</v>
      </c>
      <c r="CV72" s="1300">
        <f>IF('Sponsor Pro Forma'!$N16="Override",INDEX('Sponsor Pro Forma'!$O$16:$Z$34,MATCH('Monthly Cash Flow'!$B72,'Sponsor Pro Forma'!$B$16:$B$34,0),MATCH('Monthly Cash Flow'!CV$4,'Sponsor Pro Forma'!$O$15:$Z$15,0))/12,'Monthly Cash Flow'!CU72*(1+'Sponsor Pro Forma'!$M16/12))</f>
        <v>0</v>
      </c>
      <c r="CW72" s="1300">
        <f>IF('Sponsor Pro Forma'!$N16="Override",INDEX('Sponsor Pro Forma'!$O$16:$Z$34,MATCH('Monthly Cash Flow'!$B72,'Sponsor Pro Forma'!$B$16:$B$34,0),MATCH('Monthly Cash Flow'!CW$4,'Sponsor Pro Forma'!$O$15:$Z$15,0))/12,'Monthly Cash Flow'!CV72*(1+'Sponsor Pro Forma'!$M16/12))</f>
        <v>0</v>
      </c>
      <c r="CX72" s="1300">
        <f>IF('Sponsor Pro Forma'!$N16="Override",INDEX('Sponsor Pro Forma'!$O$16:$Z$34,MATCH('Monthly Cash Flow'!$B72,'Sponsor Pro Forma'!$B$16:$B$34,0),MATCH('Monthly Cash Flow'!CX$4,'Sponsor Pro Forma'!$O$15:$Z$15,0))/12,'Monthly Cash Flow'!CW72*(1+'Sponsor Pro Forma'!$M16/12))</f>
        <v>0</v>
      </c>
      <c r="CY72" s="1300">
        <f>IF('Sponsor Pro Forma'!$N16="Override",INDEX('Sponsor Pro Forma'!$O$16:$Z$34,MATCH('Monthly Cash Flow'!$B72,'Sponsor Pro Forma'!$B$16:$B$34,0),MATCH('Monthly Cash Flow'!CY$4,'Sponsor Pro Forma'!$O$15:$Z$15,0))/12,'Monthly Cash Flow'!CX72*(1+'Sponsor Pro Forma'!$M16/12))</f>
        <v>0</v>
      </c>
      <c r="CZ72" s="1300">
        <f>IF('Sponsor Pro Forma'!$N16="Override",INDEX('Sponsor Pro Forma'!$O$16:$Z$34,MATCH('Monthly Cash Flow'!$B72,'Sponsor Pro Forma'!$B$16:$B$34,0),MATCH('Monthly Cash Flow'!CZ$4,'Sponsor Pro Forma'!$O$15:$Z$15,0))/12,'Monthly Cash Flow'!CY72*(1+'Sponsor Pro Forma'!$M16/12))</f>
        <v>0</v>
      </c>
      <c r="DA72" s="1300">
        <f>IF('Sponsor Pro Forma'!$N16="Override",INDEX('Sponsor Pro Forma'!$O$16:$Z$34,MATCH('Monthly Cash Flow'!$B72,'Sponsor Pro Forma'!$B$16:$B$34,0),MATCH('Monthly Cash Flow'!DA$4,'Sponsor Pro Forma'!$O$15:$Z$15,0))/12,'Monthly Cash Flow'!CZ72*(1+'Sponsor Pro Forma'!$M16/12))</f>
        <v>0</v>
      </c>
      <c r="DB72" s="1300">
        <f>IF('Sponsor Pro Forma'!$N16="Override",INDEX('Sponsor Pro Forma'!$O$16:$Z$34,MATCH('Monthly Cash Flow'!$B72,'Sponsor Pro Forma'!$B$16:$B$34,0),MATCH('Monthly Cash Flow'!DB$4,'Sponsor Pro Forma'!$O$15:$Z$15,0))/12,'Monthly Cash Flow'!DA72*(1+'Sponsor Pro Forma'!$M16/12))</f>
        <v>0</v>
      </c>
      <c r="DC72" s="1300">
        <f>IF('Sponsor Pro Forma'!$N16="Override",INDEX('Sponsor Pro Forma'!$O$16:$Z$34,MATCH('Monthly Cash Flow'!$B72,'Sponsor Pro Forma'!$B$16:$B$34,0),MATCH('Monthly Cash Flow'!DC$4,'Sponsor Pro Forma'!$O$15:$Z$15,0))/12,'Monthly Cash Flow'!DB72*(1+'Sponsor Pro Forma'!$M16/12))</f>
        <v>0</v>
      </c>
      <c r="DD72" s="1300">
        <f>IF('Sponsor Pro Forma'!$N16="Override",INDEX('Sponsor Pro Forma'!$O$16:$Z$34,MATCH('Monthly Cash Flow'!$B72,'Sponsor Pro Forma'!$B$16:$B$34,0),MATCH('Monthly Cash Flow'!DD$4,'Sponsor Pro Forma'!$O$15:$Z$15,0))/12,'Monthly Cash Flow'!DC72*(1+'Sponsor Pro Forma'!$M16/12))</f>
        <v>0</v>
      </c>
      <c r="DE72" s="1300">
        <f>IF('Sponsor Pro Forma'!$N16="Override",INDEX('Sponsor Pro Forma'!$O$16:$Z$34,MATCH('Monthly Cash Flow'!$B72,'Sponsor Pro Forma'!$B$16:$B$34,0),MATCH('Monthly Cash Flow'!DE$4,'Sponsor Pro Forma'!$O$15:$Z$15,0))/12,'Monthly Cash Flow'!DD72*(1+'Sponsor Pro Forma'!$M16/12))</f>
        <v>0</v>
      </c>
      <c r="DF72" s="1300">
        <f>IF('Sponsor Pro Forma'!$N16="Override",INDEX('Sponsor Pro Forma'!$O$16:$Z$34,MATCH('Monthly Cash Flow'!$B72,'Sponsor Pro Forma'!$B$16:$B$34,0),MATCH('Monthly Cash Flow'!DF$4,'Sponsor Pro Forma'!$O$15:$Z$15,0))/12,'Monthly Cash Flow'!DE72*(1+'Sponsor Pro Forma'!$M16/12))</f>
        <v>0</v>
      </c>
      <c r="DG72" s="1300">
        <f>IF('Sponsor Pro Forma'!$N16="Override",INDEX('Sponsor Pro Forma'!$O$16:$Z$34,MATCH('Monthly Cash Flow'!$B72,'Sponsor Pro Forma'!$B$16:$B$34,0),MATCH('Monthly Cash Flow'!DG$4,'Sponsor Pro Forma'!$O$15:$Z$15,0))/12,'Monthly Cash Flow'!DF72*(1+'Sponsor Pro Forma'!$M16/12))</f>
        <v>0</v>
      </c>
      <c r="DH72" s="1300">
        <f>IF('Sponsor Pro Forma'!$N16="Override",INDEX('Sponsor Pro Forma'!$O$16:$Z$34,MATCH('Monthly Cash Flow'!$B72,'Sponsor Pro Forma'!$B$16:$B$34,0),MATCH('Monthly Cash Flow'!DH$4,'Sponsor Pro Forma'!$O$15:$Z$15,0))/12,'Monthly Cash Flow'!DG72*(1+'Sponsor Pro Forma'!$M16/12))</f>
        <v>0</v>
      </c>
      <c r="DI72" s="1300">
        <f>IF('Sponsor Pro Forma'!$N16="Override",INDEX('Sponsor Pro Forma'!$O$16:$Z$34,MATCH('Monthly Cash Flow'!$B72,'Sponsor Pro Forma'!$B$16:$B$34,0),MATCH('Monthly Cash Flow'!DI$4,'Sponsor Pro Forma'!$O$15:$Z$15,0))/12,'Monthly Cash Flow'!DH72*(1+'Sponsor Pro Forma'!$M16/12))</f>
        <v>0</v>
      </c>
      <c r="DJ72" s="1300">
        <f>IF('Sponsor Pro Forma'!$N16="Override",INDEX('Sponsor Pro Forma'!$O$16:$Z$34,MATCH('Monthly Cash Flow'!$B72,'Sponsor Pro Forma'!$B$16:$B$34,0),MATCH('Monthly Cash Flow'!DJ$4,'Sponsor Pro Forma'!$O$15:$Z$15,0))/12,'Monthly Cash Flow'!DI72*(1+'Sponsor Pro Forma'!$M16/12))</f>
        <v>0</v>
      </c>
      <c r="DK72" s="1300">
        <f>IF('Sponsor Pro Forma'!$N16="Override",INDEX('Sponsor Pro Forma'!$O$16:$Z$34,MATCH('Monthly Cash Flow'!$B72,'Sponsor Pro Forma'!$B$16:$B$34,0),MATCH('Monthly Cash Flow'!DK$4,'Sponsor Pro Forma'!$O$15:$Z$15,0))/12,'Monthly Cash Flow'!DJ72*(1+'Sponsor Pro Forma'!$M16/12))</f>
        <v>0</v>
      </c>
      <c r="DL72" s="1300">
        <f>IF('Sponsor Pro Forma'!$N16="Override",INDEX('Sponsor Pro Forma'!$O$16:$Z$34,MATCH('Monthly Cash Flow'!$B72,'Sponsor Pro Forma'!$B$16:$B$34,0),MATCH('Monthly Cash Flow'!DL$4,'Sponsor Pro Forma'!$O$15:$Z$15,0))/12,'Monthly Cash Flow'!DK72*(1+'Sponsor Pro Forma'!$M16/12))</f>
        <v>0</v>
      </c>
      <c r="DM72" s="1300">
        <f>IF('Sponsor Pro Forma'!$N16="Override",INDEX('Sponsor Pro Forma'!$O$16:$Z$34,MATCH('Monthly Cash Flow'!$B72,'Sponsor Pro Forma'!$B$16:$B$34,0),MATCH('Monthly Cash Flow'!DM$4,'Sponsor Pro Forma'!$O$15:$Z$15,0))/12,'Monthly Cash Flow'!DL72*(1+'Sponsor Pro Forma'!$M16/12))</f>
        <v>0</v>
      </c>
      <c r="DN72" s="1300">
        <f>IF('Sponsor Pro Forma'!$N16="Override",INDEX('Sponsor Pro Forma'!$O$16:$Z$34,MATCH('Monthly Cash Flow'!$B72,'Sponsor Pro Forma'!$B$16:$B$34,0),MATCH('Monthly Cash Flow'!DN$4,'Sponsor Pro Forma'!$O$15:$Z$15,0))/12,'Monthly Cash Flow'!DM72*(1+'Sponsor Pro Forma'!$M16/12))</f>
        <v>0</v>
      </c>
      <c r="DO72" s="1300">
        <f>IF('Sponsor Pro Forma'!$N16="Override",INDEX('Sponsor Pro Forma'!$O$16:$Z$34,MATCH('Monthly Cash Flow'!$B72,'Sponsor Pro Forma'!$B$16:$B$34,0),MATCH('Monthly Cash Flow'!DO$4,'Sponsor Pro Forma'!$O$15:$Z$15,0))/12,'Monthly Cash Flow'!DN72*(1+'Sponsor Pro Forma'!$M16/12))</f>
        <v>0</v>
      </c>
      <c r="DP72" s="1300">
        <f>IF('Sponsor Pro Forma'!$N16="Override",INDEX('Sponsor Pro Forma'!$O$16:$Z$34,MATCH('Monthly Cash Flow'!$B72,'Sponsor Pro Forma'!$B$16:$B$34,0),MATCH('Monthly Cash Flow'!DP$4,'Sponsor Pro Forma'!$O$15:$Z$15,0))/12,'Monthly Cash Flow'!DO72*(1+'Sponsor Pro Forma'!$M16/12))</f>
        <v>0</v>
      </c>
      <c r="DQ72" s="1300">
        <f>IF('Sponsor Pro Forma'!$N16="Override",INDEX('Sponsor Pro Forma'!$O$16:$Z$34,MATCH('Monthly Cash Flow'!$B72,'Sponsor Pro Forma'!$B$16:$B$34,0),MATCH('Monthly Cash Flow'!DQ$4,'Sponsor Pro Forma'!$O$15:$Z$15,0))/12,'Monthly Cash Flow'!DP72*(1+'Sponsor Pro Forma'!$M16/12))</f>
        <v>0</v>
      </c>
      <c r="DR72" s="1300">
        <f>IF('Sponsor Pro Forma'!$N16="Override",INDEX('Sponsor Pro Forma'!$O$16:$Z$34,MATCH('Monthly Cash Flow'!$B72,'Sponsor Pro Forma'!$B$16:$B$34,0),MATCH('Monthly Cash Flow'!DR$4,'Sponsor Pro Forma'!$O$15:$Z$15,0))/12,'Monthly Cash Flow'!DQ72*(1+'Sponsor Pro Forma'!$M16/12))</f>
        <v>0</v>
      </c>
      <c r="DS72" s="1300">
        <f>IF('Sponsor Pro Forma'!$N16="Override",INDEX('Sponsor Pro Forma'!$O$16:$Z$34,MATCH('Monthly Cash Flow'!$B72,'Sponsor Pro Forma'!$B$16:$B$34,0),MATCH('Monthly Cash Flow'!DS$4,'Sponsor Pro Forma'!$O$15:$Z$15,0))/12,'Monthly Cash Flow'!DR72*(1+'Sponsor Pro Forma'!$M16/12))</f>
        <v>0</v>
      </c>
      <c r="DT72" s="1300">
        <f>IF('Sponsor Pro Forma'!$N16="Override",INDEX('Sponsor Pro Forma'!$O$16:$Z$34,MATCH('Monthly Cash Flow'!$B72,'Sponsor Pro Forma'!$B$16:$B$34,0),MATCH('Monthly Cash Flow'!DT$4,'Sponsor Pro Forma'!$O$15:$Z$15,0))/12,'Monthly Cash Flow'!DS72*(1+'Sponsor Pro Forma'!$M16/12))</f>
        <v>0</v>
      </c>
      <c r="DU72" s="401" t="s">
        <v>557</v>
      </c>
      <c r="DV72" s="196"/>
    </row>
    <row r="73" spans="1:126" s="5" customFormat="1" ht="19">
      <c r="A73" s="399">
        <v>7</v>
      </c>
      <c r="B73" s="203" t="str">
        <f>'Debt Sizing'!A18</f>
        <v>RUBS Income</v>
      </c>
      <c r="C73" s="397"/>
      <c r="D73" s="413">
        <f>IF('Sponsor Pro Forma'!$N17="Override",'Sponsor Pro Forma'!$O17/12,'Sponsor Pro Forma'!K17/12)</f>
        <v>41039.083333333336</v>
      </c>
      <c r="E73" s="400">
        <f t="shared" ref="E73:E74" si="136">D73</f>
        <v>41039.083333333336</v>
      </c>
      <c r="F73" s="1300">
        <f>IF('Sponsor Pro Forma'!$N17="Override",INDEX('Sponsor Pro Forma'!$O$16:$Z$34,MATCH('Monthly Cash Flow'!$B73,'Sponsor Pro Forma'!$B$16:$B$34,0),MATCH('Monthly Cash Flow'!F$4,'Sponsor Pro Forma'!$O$15:$Z$15,0))/12,IF('Sponsor Pro Forma'!$L$42="Annual",'Monthly Cash Flow'!E73*(1+'Sponsor Pro Forma'!$M17)^(IF(MOD(F$5,12)=1,1,0)),'Monthly Cash Flow'!E73*(1+'Sponsor Pro Forma'!$M17/12)))</f>
        <v>41039.083333333336</v>
      </c>
      <c r="G73" s="1300">
        <f>IF('Sponsor Pro Forma'!$N17="Override",INDEX('Sponsor Pro Forma'!$O$16:$Z$34,MATCH('Monthly Cash Flow'!$B73,'Sponsor Pro Forma'!$B$16:$B$34,0),MATCH('Monthly Cash Flow'!G$4,'Sponsor Pro Forma'!$O$15:$Z$15,0))/12,IF('Sponsor Pro Forma'!$L$42="Annual",'Monthly Cash Flow'!F73*(1+'Sponsor Pro Forma'!$M17)^(IF(MOD(G$5,12)=1,1,0)),'Monthly Cash Flow'!F73*(1+'Sponsor Pro Forma'!$M17/12)))</f>
        <v>41039.083333333336</v>
      </c>
      <c r="H73" s="1300">
        <f>IF('Sponsor Pro Forma'!$N17="Override",INDEX('Sponsor Pro Forma'!$O$16:$Z$34,MATCH('Monthly Cash Flow'!$B73,'Sponsor Pro Forma'!$B$16:$B$34,0),MATCH('Monthly Cash Flow'!H$4,'Sponsor Pro Forma'!$O$15:$Z$15,0))/12,IF('Sponsor Pro Forma'!$L$42="Annual",'Monthly Cash Flow'!G73*(1+'Sponsor Pro Forma'!$M17)^(IF(MOD(H$5,12)=1,1,0)),'Monthly Cash Flow'!G73*(1+'Sponsor Pro Forma'!$M17/12)))</f>
        <v>41039.083333333336</v>
      </c>
      <c r="I73" s="1300">
        <f>IF('Sponsor Pro Forma'!$N17="Override",INDEX('Sponsor Pro Forma'!$O$16:$Z$34,MATCH('Monthly Cash Flow'!$B73,'Sponsor Pro Forma'!$B$16:$B$34,0),MATCH('Monthly Cash Flow'!I$4,'Sponsor Pro Forma'!$O$15:$Z$15,0))/12,IF('Sponsor Pro Forma'!$L$42="Annual",'Monthly Cash Flow'!H73*(1+'Sponsor Pro Forma'!$M17)^(IF(MOD(I$5,12)=1,1,0)),'Monthly Cash Flow'!H73*(1+'Sponsor Pro Forma'!$M17/12)))</f>
        <v>41039.083333333336</v>
      </c>
      <c r="J73" s="1300">
        <f>IF('Sponsor Pro Forma'!$N17="Override",INDEX('Sponsor Pro Forma'!$O$16:$Z$34,MATCH('Monthly Cash Flow'!$B73,'Sponsor Pro Forma'!$B$16:$B$34,0),MATCH('Monthly Cash Flow'!J$4,'Sponsor Pro Forma'!$O$15:$Z$15,0))/12,IF('Sponsor Pro Forma'!$L$42="Annual",'Monthly Cash Flow'!I73*(1+'Sponsor Pro Forma'!$M17)^(IF(MOD(J$5,12)=1,1,0)),'Monthly Cash Flow'!I73*(1+'Sponsor Pro Forma'!$M17/12)))</f>
        <v>41039.083333333336</v>
      </c>
      <c r="K73" s="1300">
        <f>IF('Sponsor Pro Forma'!$N17="Override",INDEX('Sponsor Pro Forma'!$O$16:$Z$34,MATCH('Monthly Cash Flow'!$B73,'Sponsor Pro Forma'!$B$16:$B$34,0),MATCH('Monthly Cash Flow'!K$4,'Sponsor Pro Forma'!$O$15:$Z$15,0))/12,IF('Sponsor Pro Forma'!$L$42="Annual",'Monthly Cash Flow'!J73*(1+'Sponsor Pro Forma'!$M17)^(IF(MOD(K$5,12)=1,1,0)),'Monthly Cash Flow'!J73*(1+'Sponsor Pro Forma'!$M17/12)))</f>
        <v>41039.083333333336</v>
      </c>
      <c r="L73" s="1300">
        <f>IF('Sponsor Pro Forma'!$N17="Override",INDEX('Sponsor Pro Forma'!$O$16:$Z$34,MATCH('Monthly Cash Flow'!$B73,'Sponsor Pro Forma'!$B$16:$B$34,0),MATCH('Monthly Cash Flow'!L$4,'Sponsor Pro Forma'!$O$15:$Z$15,0))/12,IF('Sponsor Pro Forma'!$L$42="Annual",'Monthly Cash Flow'!K73*(1+'Sponsor Pro Forma'!$M17)^(IF(MOD(L$5,12)=1,1,0)),'Monthly Cash Flow'!K73*(1+'Sponsor Pro Forma'!$M17/12)))</f>
        <v>41039.083333333336</v>
      </c>
      <c r="M73" s="1300">
        <f>IF('Sponsor Pro Forma'!$N17="Override",INDEX('Sponsor Pro Forma'!$O$16:$Z$34,MATCH('Monthly Cash Flow'!$B73,'Sponsor Pro Forma'!$B$16:$B$34,0),MATCH('Monthly Cash Flow'!M$4,'Sponsor Pro Forma'!$O$15:$Z$15,0))/12,IF('Sponsor Pro Forma'!$L$42="Annual",'Monthly Cash Flow'!L73*(1+'Sponsor Pro Forma'!$M17)^(IF(MOD(M$5,12)=1,1,0)),'Monthly Cash Flow'!L73*(1+'Sponsor Pro Forma'!$M17/12)))</f>
        <v>41039.083333333336</v>
      </c>
      <c r="N73" s="1300">
        <f>IF('Sponsor Pro Forma'!$N17="Override",INDEX('Sponsor Pro Forma'!$O$16:$Z$34,MATCH('Monthly Cash Flow'!$B73,'Sponsor Pro Forma'!$B$16:$B$34,0),MATCH('Monthly Cash Flow'!N$4,'Sponsor Pro Forma'!$O$15:$Z$15,0))/12,IF('Sponsor Pro Forma'!$L$42="Annual",'Monthly Cash Flow'!M73*(1+'Sponsor Pro Forma'!$M17)^(IF(MOD(N$5,12)=1,1,0)),'Monthly Cash Flow'!M73*(1+'Sponsor Pro Forma'!$M17/12)))</f>
        <v>41039.083333333336</v>
      </c>
      <c r="O73" s="1300">
        <f>IF('Sponsor Pro Forma'!$N17="Override",INDEX('Sponsor Pro Forma'!$O$16:$Z$34,MATCH('Monthly Cash Flow'!$B73,'Sponsor Pro Forma'!$B$16:$B$34,0),MATCH('Monthly Cash Flow'!O$4,'Sponsor Pro Forma'!$O$15:$Z$15,0))/12,IF('Sponsor Pro Forma'!$L$42="Annual",'Monthly Cash Flow'!N73*(1+'Sponsor Pro Forma'!$M17)^(IF(MOD(O$5,12)=1,1,0)),'Monthly Cash Flow'!N73*(1+'Sponsor Pro Forma'!$M17/12)))</f>
        <v>41039.083333333336</v>
      </c>
      <c r="P73" s="1300">
        <f>IF('Sponsor Pro Forma'!$N17="Override",INDEX('Sponsor Pro Forma'!$O$16:$Z$34,MATCH('Monthly Cash Flow'!$B73,'Sponsor Pro Forma'!$B$16:$B$34,0),MATCH('Monthly Cash Flow'!P$4,'Sponsor Pro Forma'!$O$15:$Z$15,0))/12,IF('Sponsor Pro Forma'!$L$42="Annual",'Monthly Cash Flow'!O73*(1+'Sponsor Pro Forma'!$M17)^(IF(MOD(P$5,12)=1,1,0)),'Monthly Cash Flow'!O73*(1+'Sponsor Pro Forma'!$M17/12)))</f>
        <v>41039.083333333336</v>
      </c>
      <c r="Q73" s="1300">
        <f>IF('Sponsor Pro Forma'!$N17="Override",INDEX('Sponsor Pro Forma'!$O$16:$Z$34,MATCH('Monthly Cash Flow'!$B73,'Sponsor Pro Forma'!$B$16:$B$34,0),MATCH('Monthly Cash Flow'!Q$4,'Sponsor Pro Forma'!$O$15:$Z$15,0))/12,IF('Sponsor Pro Forma'!$L$42="Annual",'Monthly Cash Flow'!P73*(1+'Sponsor Pro Forma'!$M17)^(IF(MOD(Q$5,12)=1,1,0)),'Monthly Cash Flow'!P73*(1+'Sponsor Pro Forma'!$M17/12)))</f>
        <v>42270.255833333336</v>
      </c>
      <c r="R73" s="1300">
        <f>IF('Sponsor Pro Forma'!$N17="Override",INDEX('Sponsor Pro Forma'!$O$16:$Z$34,MATCH('Monthly Cash Flow'!$B73,'Sponsor Pro Forma'!$B$16:$B$34,0),MATCH('Monthly Cash Flow'!R$4,'Sponsor Pro Forma'!$O$15:$Z$15,0))/12,IF('Sponsor Pro Forma'!$L$42="Annual",'Monthly Cash Flow'!Q73*(1+'Sponsor Pro Forma'!$M17)^(IF(MOD(R$5,12)=1,1,0)),'Monthly Cash Flow'!Q73*(1+'Sponsor Pro Forma'!$M17/12)))</f>
        <v>42270.255833333336</v>
      </c>
      <c r="S73" s="1300">
        <f>IF('Sponsor Pro Forma'!$N17="Override",INDEX('Sponsor Pro Forma'!$O$16:$Z$34,MATCH('Monthly Cash Flow'!$B73,'Sponsor Pro Forma'!$B$16:$B$34,0),MATCH('Monthly Cash Flow'!S$4,'Sponsor Pro Forma'!$O$15:$Z$15,0))/12,IF('Sponsor Pro Forma'!$L$42="Annual",'Monthly Cash Flow'!R73*(1+'Sponsor Pro Forma'!$M17)^(IF(MOD(S$5,12)=1,1,0)),'Monthly Cash Flow'!R73*(1+'Sponsor Pro Forma'!$M17/12)))</f>
        <v>42270.255833333336</v>
      </c>
      <c r="T73" s="1300">
        <f>IF('Sponsor Pro Forma'!$N17="Override",INDEX('Sponsor Pro Forma'!$O$16:$Z$34,MATCH('Monthly Cash Flow'!$B73,'Sponsor Pro Forma'!$B$16:$B$34,0),MATCH('Monthly Cash Flow'!T$4,'Sponsor Pro Forma'!$O$15:$Z$15,0))/12,IF('Sponsor Pro Forma'!$L$42="Annual",'Monthly Cash Flow'!S73*(1+'Sponsor Pro Forma'!$M17)^(IF(MOD(T$5,12)=1,1,0)),'Monthly Cash Flow'!S73*(1+'Sponsor Pro Forma'!$M17/12)))</f>
        <v>42270.255833333336</v>
      </c>
      <c r="U73" s="1300">
        <f>IF('Sponsor Pro Forma'!$N17="Override",INDEX('Sponsor Pro Forma'!$O$16:$Z$34,MATCH('Monthly Cash Flow'!$B73,'Sponsor Pro Forma'!$B$16:$B$34,0),MATCH('Monthly Cash Flow'!U$4,'Sponsor Pro Forma'!$O$15:$Z$15,0))/12,IF('Sponsor Pro Forma'!$L$42="Annual",'Monthly Cash Flow'!T73*(1+'Sponsor Pro Forma'!$M17)^(IF(MOD(U$5,12)=1,1,0)),'Monthly Cash Flow'!T73*(1+'Sponsor Pro Forma'!$M17/12)))</f>
        <v>42270.255833333336</v>
      </c>
      <c r="V73" s="1300">
        <f>IF('Sponsor Pro Forma'!$N17="Override",INDEX('Sponsor Pro Forma'!$O$16:$Z$34,MATCH('Monthly Cash Flow'!$B73,'Sponsor Pro Forma'!$B$16:$B$34,0),MATCH('Monthly Cash Flow'!V$4,'Sponsor Pro Forma'!$O$15:$Z$15,0))/12,IF('Sponsor Pro Forma'!$L$42="Annual",'Monthly Cash Flow'!U73*(1+'Sponsor Pro Forma'!$M17)^(IF(MOD(V$5,12)=1,1,0)),'Monthly Cash Flow'!U73*(1+'Sponsor Pro Forma'!$M17/12)))</f>
        <v>42270.255833333336</v>
      </c>
      <c r="W73" s="1300">
        <f>IF('Sponsor Pro Forma'!$N17="Override",INDEX('Sponsor Pro Forma'!$O$16:$Z$34,MATCH('Monthly Cash Flow'!$B73,'Sponsor Pro Forma'!$B$16:$B$34,0),MATCH('Monthly Cash Flow'!W$4,'Sponsor Pro Forma'!$O$15:$Z$15,0))/12,IF('Sponsor Pro Forma'!$L$42="Annual",'Monthly Cash Flow'!V73*(1+'Sponsor Pro Forma'!$M17)^(IF(MOD(W$5,12)=1,1,0)),'Monthly Cash Flow'!V73*(1+'Sponsor Pro Forma'!$M17/12)))</f>
        <v>42270.255833333336</v>
      </c>
      <c r="X73" s="1300">
        <f>IF('Sponsor Pro Forma'!$N17="Override",INDEX('Sponsor Pro Forma'!$O$16:$Z$34,MATCH('Monthly Cash Flow'!$B73,'Sponsor Pro Forma'!$B$16:$B$34,0),MATCH('Monthly Cash Flow'!X$4,'Sponsor Pro Forma'!$O$15:$Z$15,0))/12,IF('Sponsor Pro Forma'!$L$42="Annual",'Monthly Cash Flow'!W73*(1+'Sponsor Pro Forma'!$M17)^(IF(MOD(X$5,12)=1,1,0)),'Monthly Cash Flow'!W73*(1+'Sponsor Pro Forma'!$M17/12)))</f>
        <v>42270.255833333336</v>
      </c>
      <c r="Y73" s="1300">
        <f>IF('Sponsor Pro Forma'!$N17="Override",INDEX('Sponsor Pro Forma'!$O$16:$Z$34,MATCH('Monthly Cash Flow'!$B73,'Sponsor Pro Forma'!$B$16:$B$34,0),MATCH('Monthly Cash Flow'!Y$4,'Sponsor Pro Forma'!$O$15:$Z$15,0))/12,IF('Sponsor Pro Forma'!$L$42="Annual",'Monthly Cash Flow'!X73*(1+'Sponsor Pro Forma'!$M17)^(IF(MOD(Y$5,12)=1,1,0)),'Monthly Cash Flow'!X73*(1+'Sponsor Pro Forma'!$M17/12)))</f>
        <v>42270.255833333336</v>
      </c>
      <c r="Z73" s="1300">
        <f>IF('Sponsor Pro Forma'!$N17="Override",INDEX('Sponsor Pro Forma'!$O$16:$Z$34,MATCH('Monthly Cash Flow'!$B73,'Sponsor Pro Forma'!$B$16:$B$34,0),MATCH('Monthly Cash Flow'!Z$4,'Sponsor Pro Forma'!$O$15:$Z$15,0))/12,IF('Sponsor Pro Forma'!$L$42="Annual",'Monthly Cash Flow'!Y73*(1+'Sponsor Pro Forma'!$M17)^(IF(MOD(Z$5,12)=1,1,0)),'Monthly Cash Flow'!Y73*(1+'Sponsor Pro Forma'!$M17/12)))</f>
        <v>42270.255833333336</v>
      </c>
      <c r="AA73" s="1300">
        <f>IF('Sponsor Pro Forma'!$N17="Override",INDEX('Sponsor Pro Forma'!$O$16:$Z$34,MATCH('Monthly Cash Flow'!$B73,'Sponsor Pro Forma'!$B$16:$B$34,0),MATCH('Monthly Cash Flow'!AA$4,'Sponsor Pro Forma'!$O$15:$Z$15,0))/12,IF('Sponsor Pro Forma'!$L$42="Annual",'Monthly Cash Flow'!Z73*(1+'Sponsor Pro Forma'!$M17)^(IF(MOD(AA$5,12)=1,1,0)),'Monthly Cash Flow'!Z73*(1+'Sponsor Pro Forma'!$M17/12)))</f>
        <v>42270.255833333336</v>
      </c>
      <c r="AB73" s="1300">
        <f>IF('Sponsor Pro Forma'!$N17="Override",INDEX('Sponsor Pro Forma'!$O$16:$Z$34,MATCH('Monthly Cash Flow'!$B73,'Sponsor Pro Forma'!$B$16:$B$34,0),MATCH('Monthly Cash Flow'!AB$4,'Sponsor Pro Forma'!$O$15:$Z$15,0))/12,IF('Sponsor Pro Forma'!$L$42="Annual",'Monthly Cash Flow'!AA73*(1+'Sponsor Pro Forma'!$M17)^(IF(MOD(AB$5,12)=1,1,0)),'Monthly Cash Flow'!AA73*(1+'Sponsor Pro Forma'!$M17/12)))</f>
        <v>42270.255833333336</v>
      </c>
      <c r="AC73" s="1300">
        <f>IF('Sponsor Pro Forma'!$N17="Override",INDEX('Sponsor Pro Forma'!$O$16:$Z$34,MATCH('Monthly Cash Flow'!$B73,'Sponsor Pro Forma'!$B$16:$B$34,0),MATCH('Monthly Cash Flow'!AC$4,'Sponsor Pro Forma'!$O$15:$Z$15,0))/12,IF('Sponsor Pro Forma'!$L$42="Annual",'Monthly Cash Flow'!AB73*(1+'Sponsor Pro Forma'!$M17)^(IF(MOD(AC$5,12)=1,1,0)),'Monthly Cash Flow'!AB73*(1+'Sponsor Pro Forma'!$M17/12)))</f>
        <v>43538.363508333336</v>
      </c>
      <c r="AD73" s="1300">
        <f>IF('Sponsor Pro Forma'!$N17="Override",INDEX('Sponsor Pro Forma'!$O$16:$Z$34,MATCH('Monthly Cash Flow'!$B73,'Sponsor Pro Forma'!$B$16:$B$34,0),MATCH('Monthly Cash Flow'!AD$4,'Sponsor Pro Forma'!$O$15:$Z$15,0))/12,IF('Sponsor Pro Forma'!$L$42="Annual",'Monthly Cash Flow'!AC73*(1+'Sponsor Pro Forma'!$M17)^(IF(MOD(AD$5,12)=1,1,0)),'Monthly Cash Flow'!AC73*(1+'Sponsor Pro Forma'!$M17/12)))</f>
        <v>43538.363508333336</v>
      </c>
      <c r="AE73" s="1300">
        <f>IF('Sponsor Pro Forma'!$N17="Override",INDEX('Sponsor Pro Forma'!$O$16:$Z$34,MATCH('Monthly Cash Flow'!$B73,'Sponsor Pro Forma'!$B$16:$B$34,0),MATCH('Monthly Cash Flow'!AE$4,'Sponsor Pro Forma'!$O$15:$Z$15,0))/12,IF('Sponsor Pro Forma'!$L$42="Annual",'Monthly Cash Flow'!AD73*(1+'Sponsor Pro Forma'!$M17)^(IF(MOD(AE$5,12)=1,1,0)),'Monthly Cash Flow'!AD73*(1+'Sponsor Pro Forma'!$M17/12)))</f>
        <v>43538.363508333336</v>
      </c>
      <c r="AF73" s="1300">
        <f>IF('Sponsor Pro Forma'!$N17="Override",INDEX('Sponsor Pro Forma'!$O$16:$Z$34,MATCH('Monthly Cash Flow'!$B73,'Sponsor Pro Forma'!$B$16:$B$34,0),MATCH('Monthly Cash Flow'!AF$4,'Sponsor Pro Forma'!$O$15:$Z$15,0))/12,IF('Sponsor Pro Forma'!$L$42="Annual",'Monthly Cash Flow'!AE73*(1+'Sponsor Pro Forma'!$M17)^(IF(MOD(AF$5,12)=1,1,0)),'Monthly Cash Flow'!AE73*(1+'Sponsor Pro Forma'!$M17/12)))</f>
        <v>43538.363508333336</v>
      </c>
      <c r="AG73" s="1300">
        <f>IF('Sponsor Pro Forma'!$N17="Override",INDEX('Sponsor Pro Forma'!$O$16:$Z$34,MATCH('Monthly Cash Flow'!$B73,'Sponsor Pro Forma'!$B$16:$B$34,0),MATCH('Monthly Cash Flow'!AG$4,'Sponsor Pro Forma'!$O$15:$Z$15,0))/12,IF('Sponsor Pro Forma'!$L$42="Annual",'Monthly Cash Flow'!AF73*(1+'Sponsor Pro Forma'!$M17)^(IF(MOD(AG$5,12)=1,1,0)),'Monthly Cash Flow'!AF73*(1+'Sponsor Pro Forma'!$M17/12)))</f>
        <v>43538.363508333336</v>
      </c>
      <c r="AH73" s="1300">
        <f>IF('Sponsor Pro Forma'!$N17="Override",INDEX('Sponsor Pro Forma'!$O$16:$Z$34,MATCH('Monthly Cash Flow'!$B73,'Sponsor Pro Forma'!$B$16:$B$34,0),MATCH('Monthly Cash Flow'!AH$4,'Sponsor Pro Forma'!$O$15:$Z$15,0))/12,IF('Sponsor Pro Forma'!$L$42="Annual",'Monthly Cash Flow'!AG73*(1+'Sponsor Pro Forma'!$M17)^(IF(MOD(AH$5,12)=1,1,0)),'Monthly Cash Flow'!AG73*(1+'Sponsor Pro Forma'!$M17/12)))</f>
        <v>43538.363508333336</v>
      </c>
      <c r="AI73" s="1300">
        <f>IF('Sponsor Pro Forma'!$N17="Override",INDEX('Sponsor Pro Forma'!$O$16:$Z$34,MATCH('Monthly Cash Flow'!$B73,'Sponsor Pro Forma'!$B$16:$B$34,0),MATCH('Monthly Cash Flow'!AI$4,'Sponsor Pro Forma'!$O$15:$Z$15,0))/12,IF('Sponsor Pro Forma'!$L$42="Annual",'Monthly Cash Flow'!AH73*(1+'Sponsor Pro Forma'!$M17)^(IF(MOD(AI$5,12)=1,1,0)),'Monthly Cash Flow'!AH73*(1+'Sponsor Pro Forma'!$M17/12)))</f>
        <v>43538.363508333336</v>
      </c>
      <c r="AJ73" s="1300">
        <f>IF('Sponsor Pro Forma'!$N17="Override",INDEX('Sponsor Pro Forma'!$O$16:$Z$34,MATCH('Monthly Cash Flow'!$B73,'Sponsor Pro Forma'!$B$16:$B$34,0),MATCH('Monthly Cash Flow'!AJ$4,'Sponsor Pro Forma'!$O$15:$Z$15,0))/12,IF('Sponsor Pro Forma'!$L$42="Annual",'Monthly Cash Flow'!AI73*(1+'Sponsor Pro Forma'!$M17)^(IF(MOD(AJ$5,12)=1,1,0)),'Monthly Cash Flow'!AI73*(1+'Sponsor Pro Forma'!$M17/12)))</f>
        <v>43538.363508333336</v>
      </c>
      <c r="AK73" s="1300">
        <f>IF('Sponsor Pro Forma'!$N17="Override",INDEX('Sponsor Pro Forma'!$O$16:$Z$34,MATCH('Monthly Cash Flow'!$B73,'Sponsor Pro Forma'!$B$16:$B$34,0),MATCH('Monthly Cash Flow'!AK$4,'Sponsor Pro Forma'!$O$15:$Z$15,0))/12,IF('Sponsor Pro Forma'!$L$42="Annual",'Monthly Cash Flow'!AJ73*(1+'Sponsor Pro Forma'!$M17)^(IF(MOD(AK$5,12)=1,1,0)),'Monthly Cash Flow'!AJ73*(1+'Sponsor Pro Forma'!$M17/12)))</f>
        <v>43538.363508333336</v>
      </c>
      <c r="AL73" s="1300">
        <f>IF('Sponsor Pro Forma'!$N17="Override",INDEX('Sponsor Pro Forma'!$O$16:$Z$34,MATCH('Monthly Cash Flow'!$B73,'Sponsor Pro Forma'!$B$16:$B$34,0),MATCH('Monthly Cash Flow'!AL$4,'Sponsor Pro Forma'!$O$15:$Z$15,0))/12,IF('Sponsor Pro Forma'!$L$42="Annual",'Monthly Cash Flow'!AK73*(1+'Sponsor Pro Forma'!$M17)^(IF(MOD(AL$5,12)=1,1,0)),'Monthly Cash Flow'!AK73*(1+'Sponsor Pro Forma'!$M17/12)))</f>
        <v>43538.363508333336</v>
      </c>
      <c r="AM73" s="1300">
        <f>IF('Sponsor Pro Forma'!$N17="Override",INDEX('Sponsor Pro Forma'!$O$16:$Z$34,MATCH('Monthly Cash Flow'!$B73,'Sponsor Pro Forma'!$B$16:$B$34,0),MATCH('Monthly Cash Flow'!AM$4,'Sponsor Pro Forma'!$O$15:$Z$15,0))/12,IF('Sponsor Pro Forma'!$L$42="Annual",'Monthly Cash Flow'!AL73*(1+'Sponsor Pro Forma'!$M17)^(IF(MOD(AM$5,12)=1,1,0)),'Monthly Cash Flow'!AL73*(1+'Sponsor Pro Forma'!$M17/12)))</f>
        <v>43538.363508333336</v>
      </c>
      <c r="AN73" s="1300">
        <f>IF('Sponsor Pro Forma'!$N17="Override",INDEX('Sponsor Pro Forma'!$O$16:$Z$34,MATCH('Monthly Cash Flow'!$B73,'Sponsor Pro Forma'!$B$16:$B$34,0),MATCH('Monthly Cash Flow'!AN$4,'Sponsor Pro Forma'!$O$15:$Z$15,0))/12,IF('Sponsor Pro Forma'!$L$42="Annual",'Monthly Cash Flow'!AM73*(1+'Sponsor Pro Forma'!$M17)^(IF(MOD(AN$5,12)=1,1,0)),'Monthly Cash Flow'!AM73*(1+'Sponsor Pro Forma'!$M17/12)))</f>
        <v>43538.363508333336</v>
      </c>
      <c r="AO73" s="1300">
        <f>IF('Sponsor Pro Forma'!$N17="Override",INDEX('Sponsor Pro Forma'!$O$16:$Z$34,MATCH('Monthly Cash Flow'!$B73,'Sponsor Pro Forma'!$B$16:$B$34,0),MATCH('Monthly Cash Flow'!AO$4,'Sponsor Pro Forma'!$O$15:$Z$15,0))/12,IF('Sponsor Pro Forma'!$L$42="Annual",'Monthly Cash Flow'!AN73*(1+'Sponsor Pro Forma'!$M17)^(IF(MOD(AO$5,12)=1,1,0)),'Monthly Cash Flow'!AN73*(1+'Sponsor Pro Forma'!$M17/12)))</f>
        <v>44844.514413583332</v>
      </c>
      <c r="AP73" s="1300">
        <f>IF('Sponsor Pro Forma'!$N17="Override",INDEX('Sponsor Pro Forma'!$O$16:$Z$34,MATCH('Monthly Cash Flow'!$B73,'Sponsor Pro Forma'!$B$16:$B$34,0),MATCH('Monthly Cash Flow'!AP$4,'Sponsor Pro Forma'!$O$15:$Z$15,0))/12,IF('Sponsor Pro Forma'!$L$42="Annual",'Monthly Cash Flow'!AO73*(1+'Sponsor Pro Forma'!$M17)^(IF(MOD(AP$5,12)=1,1,0)),'Monthly Cash Flow'!AO73*(1+'Sponsor Pro Forma'!$M17/12)))</f>
        <v>44844.514413583332</v>
      </c>
      <c r="AQ73" s="1300">
        <f>IF('Sponsor Pro Forma'!$N17="Override",INDEX('Sponsor Pro Forma'!$O$16:$Z$34,MATCH('Monthly Cash Flow'!$B73,'Sponsor Pro Forma'!$B$16:$B$34,0),MATCH('Monthly Cash Flow'!AQ$4,'Sponsor Pro Forma'!$O$15:$Z$15,0))/12,IF('Sponsor Pro Forma'!$L$42="Annual",'Monthly Cash Flow'!AP73*(1+'Sponsor Pro Forma'!$M17)^(IF(MOD(AQ$5,12)=1,1,0)),'Monthly Cash Flow'!AP73*(1+'Sponsor Pro Forma'!$M17/12)))</f>
        <v>44844.514413583332</v>
      </c>
      <c r="AR73" s="1300">
        <f>IF('Sponsor Pro Forma'!$N17="Override",INDEX('Sponsor Pro Forma'!$O$16:$Z$34,MATCH('Monthly Cash Flow'!$B73,'Sponsor Pro Forma'!$B$16:$B$34,0),MATCH('Monthly Cash Flow'!AR$4,'Sponsor Pro Forma'!$O$15:$Z$15,0))/12,IF('Sponsor Pro Forma'!$L$42="Annual",'Monthly Cash Flow'!AQ73*(1+'Sponsor Pro Forma'!$M17)^(IF(MOD(AR$5,12)=1,1,0)),'Monthly Cash Flow'!AQ73*(1+'Sponsor Pro Forma'!$M17/12)))</f>
        <v>44844.514413583332</v>
      </c>
      <c r="AS73" s="1300">
        <f>IF('Sponsor Pro Forma'!$N17="Override",INDEX('Sponsor Pro Forma'!$O$16:$Z$34,MATCH('Monthly Cash Flow'!$B73,'Sponsor Pro Forma'!$B$16:$B$34,0),MATCH('Monthly Cash Flow'!AS$4,'Sponsor Pro Forma'!$O$15:$Z$15,0))/12,IF('Sponsor Pro Forma'!$L$42="Annual",'Monthly Cash Flow'!AR73*(1+'Sponsor Pro Forma'!$M17)^(IF(MOD(AS$5,12)=1,1,0)),'Monthly Cash Flow'!AR73*(1+'Sponsor Pro Forma'!$M17/12)))</f>
        <v>44844.514413583332</v>
      </c>
      <c r="AT73" s="1300">
        <f>IF('Sponsor Pro Forma'!$N17="Override",INDEX('Sponsor Pro Forma'!$O$16:$Z$34,MATCH('Monthly Cash Flow'!$B73,'Sponsor Pro Forma'!$B$16:$B$34,0),MATCH('Monthly Cash Flow'!AT$4,'Sponsor Pro Forma'!$O$15:$Z$15,0))/12,IF('Sponsor Pro Forma'!$L$42="Annual",'Monthly Cash Flow'!AS73*(1+'Sponsor Pro Forma'!$M17)^(IF(MOD(AT$5,12)=1,1,0)),'Monthly Cash Flow'!AS73*(1+'Sponsor Pro Forma'!$M17/12)))</f>
        <v>44844.514413583332</v>
      </c>
      <c r="AU73" s="1300">
        <f>IF('Sponsor Pro Forma'!$N17="Override",INDEX('Sponsor Pro Forma'!$O$16:$Z$34,MATCH('Monthly Cash Flow'!$B73,'Sponsor Pro Forma'!$B$16:$B$34,0),MATCH('Monthly Cash Flow'!AU$4,'Sponsor Pro Forma'!$O$15:$Z$15,0))/12,IF('Sponsor Pro Forma'!$L$42="Annual",'Monthly Cash Flow'!AT73*(1+'Sponsor Pro Forma'!$M17)^(IF(MOD(AU$5,12)=1,1,0)),'Monthly Cash Flow'!AT73*(1+'Sponsor Pro Forma'!$M17/12)))</f>
        <v>44844.514413583332</v>
      </c>
      <c r="AV73" s="1300">
        <f>IF('Sponsor Pro Forma'!$N17="Override",INDEX('Sponsor Pro Forma'!$O$16:$Z$34,MATCH('Monthly Cash Flow'!$B73,'Sponsor Pro Forma'!$B$16:$B$34,0),MATCH('Monthly Cash Flow'!AV$4,'Sponsor Pro Forma'!$O$15:$Z$15,0))/12,IF('Sponsor Pro Forma'!$L$42="Annual",'Monthly Cash Flow'!AU73*(1+'Sponsor Pro Forma'!$M17)^(IF(MOD(AV$5,12)=1,1,0)),'Monthly Cash Flow'!AU73*(1+'Sponsor Pro Forma'!$M17/12)))</f>
        <v>44844.514413583332</v>
      </c>
      <c r="AW73" s="1300">
        <f>IF('Sponsor Pro Forma'!$N17="Override",INDEX('Sponsor Pro Forma'!$O$16:$Z$34,MATCH('Monthly Cash Flow'!$B73,'Sponsor Pro Forma'!$B$16:$B$34,0),MATCH('Monthly Cash Flow'!AW$4,'Sponsor Pro Forma'!$O$15:$Z$15,0))/12,IF('Sponsor Pro Forma'!$L$42="Annual",'Monthly Cash Flow'!AV73*(1+'Sponsor Pro Forma'!$M17)^(IF(MOD(AW$5,12)=1,1,0)),'Monthly Cash Flow'!AV73*(1+'Sponsor Pro Forma'!$M17/12)))</f>
        <v>44844.514413583332</v>
      </c>
      <c r="AX73" s="1300">
        <f>IF('Sponsor Pro Forma'!$N17="Override",INDEX('Sponsor Pro Forma'!$O$16:$Z$34,MATCH('Monthly Cash Flow'!$B73,'Sponsor Pro Forma'!$B$16:$B$34,0),MATCH('Monthly Cash Flow'!AX$4,'Sponsor Pro Forma'!$O$15:$Z$15,0))/12,IF('Sponsor Pro Forma'!$L$42="Annual",'Monthly Cash Flow'!AW73*(1+'Sponsor Pro Forma'!$M17)^(IF(MOD(AX$5,12)=1,1,0)),'Monthly Cash Flow'!AW73*(1+'Sponsor Pro Forma'!$M17/12)))</f>
        <v>44844.514413583332</v>
      </c>
      <c r="AY73" s="1300">
        <f>IF('Sponsor Pro Forma'!$N17="Override",INDEX('Sponsor Pro Forma'!$O$16:$Z$34,MATCH('Monthly Cash Flow'!$B73,'Sponsor Pro Forma'!$B$16:$B$34,0),MATCH('Monthly Cash Flow'!AY$4,'Sponsor Pro Forma'!$O$15:$Z$15,0))/12,IF('Sponsor Pro Forma'!$L$42="Annual",'Monthly Cash Flow'!AX73*(1+'Sponsor Pro Forma'!$M17)^(IF(MOD(AY$5,12)=1,1,0)),'Monthly Cash Flow'!AX73*(1+'Sponsor Pro Forma'!$M17/12)))</f>
        <v>44844.514413583332</v>
      </c>
      <c r="AZ73" s="1300">
        <f>IF('Sponsor Pro Forma'!$N17="Override",INDEX('Sponsor Pro Forma'!$O$16:$Z$34,MATCH('Monthly Cash Flow'!$B73,'Sponsor Pro Forma'!$B$16:$B$34,0),MATCH('Monthly Cash Flow'!AZ$4,'Sponsor Pro Forma'!$O$15:$Z$15,0))/12,IF('Sponsor Pro Forma'!$L$42="Annual",'Monthly Cash Flow'!AY73*(1+'Sponsor Pro Forma'!$M17)^(IF(MOD(AZ$5,12)=1,1,0)),'Monthly Cash Flow'!AY73*(1+'Sponsor Pro Forma'!$M17/12)))</f>
        <v>44844.514413583332</v>
      </c>
      <c r="BA73" s="1300">
        <f>IF('Sponsor Pro Forma'!$N17="Override",INDEX('Sponsor Pro Forma'!$O$16:$Z$34,MATCH('Monthly Cash Flow'!$B73,'Sponsor Pro Forma'!$B$16:$B$34,0),MATCH('Monthly Cash Flow'!BA$4,'Sponsor Pro Forma'!$O$15:$Z$15,0))/12,IF('Sponsor Pro Forma'!$L$42="Annual",'Monthly Cash Flow'!AZ73*(1+'Sponsor Pro Forma'!$M17)^(IF(MOD(BA$5,12)=1,1,0)),'Monthly Cash Flow'!AZ73*(1+'Sponsor Pro Forma'!$M17/12)))</f>
        <v>46189.849845990837</v>
      </c>
      <c r="BB73" s="1300">
        <f>IF('Sponsor Pro Forma'!$N17="Override",INDEX('Sponsor Pro Forma'!$O$16:$Z$34,MATCH('Monthly Cash Flow'!$B73,'Sponsor Pro Forma'!$B$16:$B$34,0),MATCH('Monthly Cash Flow'!BB$4,'Sponsor Pro Forma'!$O$15:$Z$15,0))/12,IF('Sponsor Pro Forma'!$L$42="Annual",'Monthly Cash Flow'!BA73*(1+'Sponsor Pro Forma'!$M17)^(IF(MOD(BB$5,12)=1,1,0)),'Monthly Cash Flow'!BA73*(1+'Sponsor Pro Forma'!$M17/12)))</f>
        <v>46189.849845990837</v>
      </c>
      <c r="BC73" s="1300">
        <f>IF('Sponsor Pro Forma'!$N17="Override",INDEX('Sponsor Pro Forma'!$O$16:$Z$34,MATCH('Monthly Cash Flow'!$B73,'Sponsor Pro Forma'!$B$16:$B$34,0),MATCH('Monthly Cash Flow'!BC$4,'Sponsor Pro Forma'!$O$15:$Z$15,0))/12,IF('Sponsor Pro Forma'!$L$42="Annual",'Monthly Cash Flow'!BB73*(1+'Sponsor Pro Forma'!$M17)^(IF(MOD(BC$5,12)=1,1,0)),'Monthly Cash Flow'!BB73*(1+'Sponsor Pro Forma'!$M17/12)))</f>
        <v>46189.849845990837</v>
      </c>
      <c r="BD73" s="1300">
        <f>IF('Sponsor Pro Forma'!$N17="Override",INDEX('Sponsor Pro Forma'!$O$16:$Z$34,MATCH('Monthly Cash Flow'!$B73,'Sponsor Pro Forma'!$B$16:$B$34,0),MATCH('Monthly Cash Flow'!BD$4,'Sponsor Pro Forma'!$O$15:$Z$15,0))/12,IF('Sponsor Pro Forma'!$L$42="Annual",'Monthly Cash Flow'!BC73*(1+'Sponsor Pro Forma'!$M17)^(IF(MOD(BD$5,12)=1,1,0)),'Monthly Cash Flow'!BC73*(1+'Sponsor Pro Forma'!$M17/12)))</f>
        <v>46189.849845990837</v>
      </c>
      <c r="BE73" s="1300">
        <f>IF('Sponsor Pro Forma'!$N17="Override",INDEX('Sponsor Pro Forma'!$O$16:$Z$34,MATCH('Monthly Cash Flow'!$B73,'Sponsor Pro Forma'!$B$16:$B$34,0),MATCH('Monthly Cash Flow'!BE$4,'Sponsor Pro Forma'!$O$15:$Z$15,0))/12,IF('Sponsor Pro Forma'!$L$42="Annual",'Monthly Cash Flow'!BD73*(1+'Sponsor Pro Forma'!$M17)^(IF(MOD(BE$5,12)=1,1,0)),'Monthly Cash Flow'!BD73*(1+'Sponsor Pro Forma'!$M17/12)))</f>
        <v>46189.849845990837</v>
      </c>
      <c r="BF73" s="1300">
        <f>IF('Sponsor Pro Forma'!$N17="Override",INDEX('Sponsor Pro Forma'!$O$16:$Z$34,MATCH('Monthly Cash Flow'!$B73,'Sponsor Pro Forma'!$B$16:$B$34,0),MATCH('Monthly Cash Flow'!BF$4,'Sponsor Pro Forma'!$O$15:$Z$15,0))/12,IF('Sponsor Pro Forma'!$L$42="Annual",'Monthly Cash Flow'!BE73*(1+'Sponsor Pro Forma'!$M17)^(IF(MOD(BF$5,12)=1,1,0)),'Monthly Cash Flow'!BE73*(1+'Sponsor Pro Forma'!$M17/12)))</f>
        <v>46189.849845990837</v>
      </c>
      <c r="BG73" s="1300">
        <f>IF('Sponsor Pro Forma'!$N17="Override",INDEX('Sponsor Pro Forma'!$O$16:$Z$34,MATCH('Monthly Cash Flow'!$B73,'Sponsor Pro Forma'!$B$16:$B$34,0),MATCH('Monthly Cash Flow'!BG$4,'Sponsor Pro Forma'!$O$15:$Z$15,0))/12,IF('Sponsor Pro Forma'!$L$42="Annual",'Monthly Cash Flow'!BF73*(1+'Sponsor Pro Forma'!$M17)^(IF(MOD(BG$5,12)=1,1,0)),'Monthly Cash Flow'!BF73*(1+'Sponsor Pro Forma'!$M17/12)))</f>
        <v>46189.849845990837</v>
      </c>
      <c r="BH73" s="1300">
        <f>IF('Sponsor Pro Forma'!$N17="Override",INDEX('Sponsor Pro Forma'!$O$16:$Z$34,MATCH('Monthly Cash Flow'!$B73,'Sponsor Pro Forma'!$B$16:$B$34,0),MATCH('Monthly Cash Flow'!BH$4,'Sponsor Pro Forma'!$O$15:$Z$15,0))/12,IF('Sponsor Pro Forma'!$L$42="Annual",'Monthly Cash Flow'!BG73*(1+'Sponsor Pro Forma'!$M17)^(IF(MOD(BH$5,12)=1,1,0)),'Monthly Cash Flow'!BG73*(1+'Sponsor Pro Forma'!$M17/12)))</f>
        <v>46189.849845990837</v>
      </c>
      <c r="BI73" s="1300">
        <f>IF('Sponsor Pro Forma'!$N17="Override",INDEX('Sponsor Pro Forma'!$O$16:$Z$34,MATCH('Monthly Cash Flow'!$B73,'Sponsor Pro Forma'!$B$16:$B$34,0),MATCH('Monthly Cash Flow'!BI$4,'Sponsor Pro Forma'!$O$15:$Z$15,0))/12,IF('Sponsor Pro Forma'!$L$42="Annual",'Monthly Cash Flow'!BH73*(1+'Sponsor Pro Forma'!$M17)^(IF(MOD(BI$5,12)=1,1,0)),'Monthly Cash Flow'!BH73*(1+'Sponsor Pro Forma'!$M17/12)))</f>
        <v>46189.849845990837</v>
      </c>
      <c r="BJ73" s="1300">
        <f>IF('Sponsor Pro Forma'!$N17="Override",INDEX('Sponsor Pro Forma'!$O$16:$Z$34,MATCH('Monthly Cash Flow'!$B73,'Sponsor Pro Forma'!$B$16:$B$34,0),MATCH('Monthly Cash Flow'!BJ$4,'Sponsor Pro Forma'!$O$15:$Z$15,0))/12,IF('Sponsor Pro Forma'!$L$42="Annual",'Monthly Cash Flow'!BI73*(1+'Sponsor Pro Forma'!$M17)^(IF(MOD(BJ$5,12)=1,1,0)),'Monthly Cash Flow'!BI73*(1+'Sponsor Pro Forma'!$M17/12)))</f>
        <v>46189.849845990837</v>
      </c>
      <c r="BK73" s="1300">
        <f>IF('Sponsor Pro Forma'!$N17="Override",INDEX('Sponsor Pro Forma'!$O$16:$Z$34,MATCH('Monthly Cash Flow'!$B73,'Sponsor Pro Forma'!$B$16:$B$34,0),MATCH('Monthly Cash Flow'!BK$4,'Sponsor Pro Forma'!$O$15:$Z$15,0))/12,IF('Sponsor Pro Forma'!$L$42="Annual",'Monthly Cash Flow'!BJ73*(1+'Sponsor Pro Forma'!$M17)^(IF(MOD(BK$5,12)=1,1,0)),'Monthly Cash Flow'!BJ73*(1+'Sponsor Pro Forma'!$M17/12)))</f>
        <v>46189.849845990837</v>
      </c>
      <c r="BL73" s="1300">
        <f>IF('Sponsor Pro Forma'!$N17="Override",INDEX('Sponsor Pro Forma'!$O$16:$Z$34,MATCH('Monthly Cash Flow'!$B73,'Sponsor Pro Forma'!$B$16:$B$34,0),MATCH('Monthly Cash Flow'!BL$4,'Sponsor Pro Forma'!$O$15:$Z$15,0))/12,IF('Sponsor Pro Forma'!$L$42="Annual",'Monthly Cash Flow'!BK73*(1+'Sponsor Pro Forma'!$M17)^(IF(MOD(BL$5,12)=1,1,0)),'Monthly Cash Flow'!BK73*(1+'Sponsor Pro Forma'!$M17/12)))</f>
        <v>46189.849845990837</v>
      </c>
      <c r="BM73" s="1300">
        <f>IF('Sponsor Pro Forma'!$N17="Override",INDEX('Sponsor Pro Forma'!$O$16:$Z$34,MATCH('Monthly Cash Flow'!$B73,'Sponsor Pro Forma'!$B$16:$B$34,0),MATCH('Monthly Cash Flow'!BM$4,'Sponsor Pro Forma'!$O$15:$Z$15,0))/12,IF('Sponsor Pro Forma'!$L$42="Annual",'Monthly Cash Flow'!BL73*(1+'Sponsor Pro Forma'!$M17)^(IF(MOD(BM$5,12)=1,1,0)),'Monthly Cash Flow'!BL73*(1+'Sponsor Pro Forma'!$M17/12)))</f>
        <v>47575.545341370569</v>
      </c>
      <c r="BN73" s="1300">
        <f>IF('Sponsor Pro Forma'!$N17="Override",INDEX('Sponsor Pro Forma'!$O$16:$Z$34,MATCH('Monthly Cash Flow'!$B73,'Sponsor Pro Forma'!$B$16:$B$34,0),MATCH('Monthly Cash Flow'!BN$4,'Sponsor Pro Forma'!$O$15:$Z$15,0))/12,IF('Sponsor Pro Forma'!$L$42="Annual",'Monthly Cash Flow'!BM73*(1+'Sponsor Pro Forma'!$M17)^(IF(MOD(BN$5,12)=1,1,0)),'Monthly Cash Flow'!BM73*(1+'Sponsor Pro Forma'!$M17/12)))</f>
        <v>47575.545341370569</v>
      </c>
      <c r="BO73" s="1300">
        <f>IF('Sponsor Pro Forma'!$N17="Override",INDEX('Sponsor Pro Forma'!$O$16:$Z$34,MATCH('Monthly Cash Flow'!$B73,'Sponsor Pro Forma'!$B$16:$B$34,0),MATCH('Monthly Cash Flow'!BO$4,'Sponsor Pro Forma'!$O$15:$Z$15,0))/12,IF('Sponsor Pro Forma'!$L$42="Annual",'Monthly Cash Flow'!BN73*(1+'Sponsor Pro Forma'!$M17)^(IF(MOD(BO$5,12)=1,1,0)),'Monthly Cash Flow'!BN73*(1+'Sponsor Pro Forma'!$M17/12)))</f>
        <v>47575.545341370569</v>
      </c>
      <c r="BP73" s="1300">
        <f>IF('Sponsor Pro Forma'!$N17="Override",INDEX('Sponsor Pro Forma'!$O$16:$Z$34,MATCH('Monthly Cash Flow'!$B73,'Sponsor Pro Forma'!$B$16:$B$34,0),MATCH('Monthly Cash Flow'!BP$4,'Sponsor Pro Forma'!$O$15:$Z$15,0))/12,IF('Sponsor Pro Forma'!$L$42="Annual",'Monthly Cash Flow'!BO73*(1+'Sponsor Pro Forma'!$M17)^(IF(MOD(BP$5,12)=1,1,0)),'Monthly Cash Flow'!BO73*(1+'Sponsor Pro Forma'!$M17/12)))</f>
        <v>47575.545341370569</v>
      </c>
      <c r="BQ73" s="1300">
        <f>IF('Sponsor Pro Forma'!$N17="Override",INDEX('Sponsor Pro Forma'!$O$16:$Z$34,MATCH('Monthly Cash Flow'!$B73,'Sponsor Pro Forma'!$B$16:$B$34,0),MATCH('Monthly Cash Flow'!BQ$4,'Sponsor Pro Forma'!$O$15:$Z$15,0))/12,IF('Sponsor Pro Forma'!$L$42="Annual",'Monthly Cash Flow'!BP73*(1+'Sponsor Pro Forma'!$M17)^(IF(MOD(BQ$5,12)=1,1,0)),'Monthly Cash Flow'!BP73*(1+'Sponsor Pro Forma'!$M17/12)))</f>
        <v>47575.545341370569</v>
      </c>
      <c r="BR73" s="1300">
        <f>IF('Sponsor Pro Forma'!$N17="Override",INDEX('Sponsor Pro Forma'!$O$16:$Z$34,MATCH('Monthly Cash Flow'!$B73,'Sponsor Pro Forma'!$B$16:$B$34,0),MATCH('Monthly Cash Flow'!BR$4,'Sponsor Pro Forma'!$O$15:$Z$15,0))/12,IF('Sponsor Pro Forma'!$L$42="Annual",'Monthly Cash Flow'!BQ73*(1+'Sponsor Pro Forma'!$M17)^(IF(MOD(BR$5,12)=1,1,0)),'Monthly Cash Flow'!BQ73*(1+'Sponsor Pro Forma'!$M17/12)))</f>
        <v>47575.545341370569</v>
      </c>
      <c r="BS73" s="1300">
        <f>IF('Sponsor Pro Forma'!$N17="Override",INDEX('Sponsor Pro Forma'!$O$16:$Z$34,MATCH('Monthly Cash Flow'!$B73,'Sponsor Pro Forma'!$B$16:$B$34,0),MATCH('Monthly Cash Flow'!BS$4,'Sponsor Pro Forma'!$O$15:$Z$15,0))/12,IF('Sponsor Pro Forma'!$L$42="Annual",'Monthly Cash Flow'!BR73*(1+'Sponsor Pro Forma'!$M17)^(IF(MOD(BS$5,12)=1,1,0)),'Monthly Cash Flow'!BR73*(1+'Sponsor Pro Forma'!$M17/12)))</f>
        <v>47575.545341370569</v>
      </c>
      <c r="BT73" s="1300">
        <f>IF('Sponsor Pro Forma'!$N17="Override",INDEX('Sponsor Pro Forma'!$O$16:$Z$34,MATCH('Monthly Cash Flow'!$B73,'Sponsor Pro Forma'!$B$16:$B$34,0),MATCH('Monthly Cash Flow'!BT$4,'Sponsor Pro Forma'!$O$15:$Z$15,0))/12,IF('Sponsor Pro Forma'!$L$42="Annual",'Monthly Cash Flow'!BS73*(1+'Sponsor Pro Forma'!$M17)^(IF(MOD(BT$5,12)=1,1,0)),'Monthly Cash Flow'!BS73*(1+'Sponsor Pro Forma'!$M17/12)))</f>
        <v>47575.545341370569</v>
      </c>
      <c r="BU73" s="1300">
        <f>IF('Sponsor Pro Forma'!$N17="Override",INDEX('Sponsor Pro Forma'!$O$16:$Z$34,MATCH('Monthly Cash Flow'!$B73,'Sponsor Pro Forma'!$B$16:$B$34,0),MATCH('Monthly Cash Flow'!BU$4,'Sponsor Pro Forma'!$O$15:$Z$15,0))/12,IF('Sponsor Pro Forma'!$L$42="Annual",'Monthly Cash Flow'!BT73*(1+'Sponsor Pro Forma'!$M17)^(IF(MOD(BU$5,12)=1,1,0)),'Monthly Cash Flow'!BT73*(1+'Sponsor Pro Forma'!$M17/12)))</f>
        <v>47575.545341370569</v>
      </c>
      <c r="BV73" s="1300">
        <f>IF('Sponsor Pro Forma'!$N17="Override",INDEX('Sponsor Pro Forma'!$O$16:$Z$34,MATCH('Monthly Cash Flow'!$B73,'Sponsor Pro Forma'!$B$16:$B$34,0),MATCH('Monthly Cash Flow'!BV$4,'Sponsor Pro Forma'!$O$15:$Z$15,0))/12,IF('Sponsor Pro Forma'!$L$42="Annual",'Monthly Cash Flow'!BU73*(1+'Sponsor Pro Forma'!$M17)^(IF(MOD(BV$5,12)=1,1,0)),'Monthly Cash Flow'!BU73*(1+'Sponsor Pro Forma'!$M17/12)))</f>
        <v>47575.545341370569</v>
      </c>
      <c r="BW73" s="1300">
        <f>IF('Sponsor Pro Forma'!$N17="Override",INDEX('Sponsor Pro Forma'!$O$16:$Z$34,MATCH('Monthly Cash Flow'!$B73,'Sponsor Pro Forma'!$B$16:$B$34,0),MATCH('Monthly Cash Flow'!BW$4,'Sponsor Pro Forma'!$O$15:$Z$15,0))/12,IF('Sponsor Pro Forma'!$L$42="Annual",'Monthly Cash Flow'!BV73*(1+'Sponsor Pro Forma'!$M17)^(IF(MOD(BW$5,12)=1,1,0)),'Monthly Cash Flow'!BV73*(1+'Sponsor Pro Forma'!$M17/12)))</f>
        <v>47575.545341370569</v>
      </c>
      <c r="BX73" s="1300">
        <f>IF('Sponsor Pro Forma'!$N17="Override",INDEX('Sponsor Pro Forma'!$O$16:$Z$34,MATCH('Monthly Cash Flow'!$B73,'Sponsor Pro Forma'!$B$16:$B$34,0),MATCH('Monthly Cash Flow'!BX$4,'Sponsor Pro Forma'!$O$15:$Z$15,0))/12,IF('Sponsor Pro Forma'!$L$42="Annual",'Monthly Cash Flow'!BW73*(1+'Sponsor Pro Forma'!$M17)^(IF(MOD(BX$5,12)=1,1,0)),'Monthly Cash Flow'!BW73*(1+'Sponsor Pro Forma'!$M17/12)))</f>
        <v>47575.545341370569</v>
      </c>
      <c r="BY73" s="1300">
        <f>IF('Sponsor Pro Forma'!$N17="Override",INDEX('Sponsor Pro Forma'!$O$16:$Z$34,MATCH('Monthly Cash Flow'!$B73,'Sponsor Pro Forma'!$B$16:$B$34,0),MATCH('Monthly Cash Flow'!BY$4,'Sponsor Pro Forma'!$O$15:$Z$15,0))/12,IF('Sponsor Pro Forma'!$L$42="Annual",'Monthly Cash Flow'!BX73*(1+'Sponsor Pro Forma'!$M17)^(IF(MOD(BY$5,12)=1,1,0)),'Monthly Cash Flow'!BX73*(1+'Sponsor Pro Forma'!$M17/12)))</f>
        <v>49002.811701611681</v>
      </c>
      <c r="BZ73" s="1300">
        <f>IF('Sponsor Pro Forma'!$N17="Override",INDEX('Sponsor Pro Forma'!$O$16:$Z$34,MATCH('Monthly Cash Flow'!$B73,'Sponsor Pro Forma'!$B$16:$B$34,0),MATCH('Monthly Cash Flow'!BZ$4,'Sponsor Pro Forma'!$O$15:$Z$15,0))/12,IF('Sponsor Pro Forma'!$L$42="Annual",'Monthly Cash Flow'!BY73*(1+'Sponsor Pro Forma'!$M17)^(IF(MOD(BZ$5,12)=1,1,0)),'Monthly Cash Flow'!BY73*(1+'Sponsor Pro Forma'!$M17/12)))</f>
        <v>49002.811701611681</v>
      </c>
      <c r="CA73" s="1300">
        <f>IF('Sponsor Pro Forma'!$N17="Override",INDEX('Sponsor Pro Forma'!$O$16:$Z$34,MATCH('Monthly Cash Flow'!$B73,'Sponsor Pro Forma'!$B$16:$B$34,0),MATCH('Monthly Cash Flow'!CA$4,'Sponsor Pro Forma'!$O$15:$Z$15,0))/12,IF('Sponsor Pro Forma'!$L$42="Annual",'Monthly Cash Flow'!BZ73*(1+'Sponsor Pro Forma'!$M17)^(IF(MOD(CA$5,12)=1,1,0)),'Monthly Cash Flow'!BZ73*(1+'Sponsor Pro Forma'!$M17/12)))</f>
        <v>49002.811701611681</v>
      </c>
      <c r="CB73" s="1300">
        <f>IF('Sponsor Pro Forma'!$N17="Override",INDEX('Sponsor Pro Forma'!$O$16:$Z$34,MATCH('Monthly Cash Flow'!$B73,'Sponsor Pro Forma'!$B$16:$B$34,0),MATCH('Monthly Cash Flow'!CB$4,'Sponsor Pro Forma'!$O$15:$Z$15,0))/12,IF('Sponsor Pro Forma'!$L$42="Annual",'Monthly Cash Flow'!CA73*(1+'Sponsor Pro Forma'!$M17)^(IF(MOD(CB$5,12)=1,1,0)),'Monthly Cash Flow'!CA73*(1+'Sponsor Pro Forma'!$M17/12)))</f>
        <v>49002.811701611681</v>
      </c>
      <c r="CC73" s="1300">
        <f>IF('Sponsor Pro Forma'!$N17="Override",INDEX('Sponsor Pro Forma'!$O$16:$Z$34,MATCH('Monthly Cash Flow'!$B73,'Sponsor Pro Forma'!$B$16:$B$34,0),MATCH('Monthly Cash Flow'!CC$4,'Sponsor Pro Forma'!$O$15:$Z$15,0))/12,IF('Sponsor Pro Forma'!$L$42="Annual",'Monthly Cash Flow'!CB73*(1+'Sponsor Pro Forma'!$M17)^(IF(MOD(CC$5,12)=1,1,0)),'Monthly Cash Flow'!CB73*(1+'Sponsor Pro Forma'!$M17/12)))</f>
        <v>49002.811701611681</v>
      </c>
      <c r="CD73" s="1300">
        <f>IF('Sponsor Pro Forma'!$N17="Override",INDEX('Sponsor Pro Forma'!$O$16:$Z$34,MATCH('Monthly Cash Flow'!$B73,'Sponsor Pro Forma'!$B$16:$B$34,0),MATCH('Monthly Cash Flow'!CD$4,'Sponsor Pro Forma'!$O$15:$Z$15,0))/12,IF('Sponsor Pro Forma'!$L$42="Annual",'Monthly Cash Flow'!CC73*(1+'Sponsor Pro Forma'!$M17)^(IF(MOD(CD$5,12)=1,1,0)),'Monthly Cash Flow'!CC73*(1+'Sponsor Pro Forma'!$M17/12)))</f>
        <v>49002.811701611681</v>
      </c>
      <c r="CE73" s="1300">
        <f>IF('Sponsor Pro Forma'!$N17="Override",INDEX('Sponsor Pro Forma'!$O$16:$Z$34,MATCH('Monthly Cash Flow'!$B73,'Sponsor Pro Forma'!$B$16:$B$34,0),MATCH('Monthly Cash Flow'!CE$4,'Sponsor Pro Forma'!$O$15:$Z$15,0))/12,IF('Sponsor Pro Forma'!$L$42="Annual",'Monthly Cash Flow'!CD73*(1+'Sponsor Pro Forma'!$M17)^(IF(MOD(CE$5,12)=1,1,0)),'Monthly Cash Flow'!CD73*(1+'Sponsor Pro Forma'!$M17/12)))</f>
        <v>49002.811701611681</v>
      </c>
      <c r="CF73" s="1300">
        <f>IF('Sponsor Pro Forma'!$N17="Override",INDEX('Sponsor Pro Forma'!$O$16:$Z$34,MATCH('Monthly Cash Flow'!$B73,'Sponsor Pro Forma'!$B$16:$B$34,0),MATCH('Monthly Cash Flow'!CF$4,'Sponsor Pro Forma'!$O$15:$Z$15,0))/12,IF('Sponsor Pro Forma'!$L$42="Annual",'Monthly Cash Flow'!CE73*(1+'Sponsor Pro Forma'!$M17)^(IF(MOD(CF$5,12)=1,1,0)),'Monthly Cash Flow'!CE73*(1+'Sponsor Pro Forma'!$M17/12)))</f>
        <v>49002.811701611681</v>
      </c>
      <c r="CG73" s="1300">
        <f>IF('Sponsor Pro Forma'!$N17="Override",INDEX('Sponsor Pro Forma'!$O$16:$Z$34,MATCH('Monthly Cash Flow'!$B73,'Sponsor Pro Forma'!$B$16:$B$34,0),MATCH('Monthly Cash Flow'!CG$4,'Sponsor Pro Forma'!$O$15:$Z$15,0))/12,IF('Sponsor Pro Forma'!$L$42="Annual",'Monthly Cash Flow'!CF73*(1+'Sponsor Pro Forma'!$M17)^(IF(MOD(CG$5,12)=1,1,0)),'Monthly Cash Flow'!CF73*(1+'Sponsor Pro Forma'!$M17/12)))</f>
        <v>49002.811701611681</v>
      </c>
      <c r="CH73" s="1300">
        <f>IF('Sponsor Pro Forma'!$N17="Override",INDEX('Sponsor Pro Forma'!$O$16:$Z$34,MATCH('Monthly Cash Flow'!$B73,'Sponsor Pro Forma'!$B$16:$B$34,0),MATCH('Monthly Cash Flow'!CH$4,'Sponsor Pro Forma'!$O$15:$Z$15,0))/12,IF('Sponsor Pro Forma'!$L$42="Annual",'Monthly Cash Flow'!CG73*(1+'Sponsor Pro Forma'!$M17)^(IF(MOD(CH$5,12)=1,1,0)),'Monthly Cash Flow'!CG73*(1+'Sponsor Pro Forma'!$M17/12)))</f>
        <v>49002.811701611681</v>
      </c>
      <c r="CI73" s="1300">
        <f>IF('Sponsor Pro Forma'!$N17="Override",INDEX('Sponsor Pro Forma'!$O$16:$Z$34,MATCH('Monthly Cash Flow'!$B73,'Sponsor Pro Forma'!$B$16:$B$34,0),MATCH('Monthly Cash Flow'!CI$4,'Sponsor Pro Forma'!$O$15:$Z$15,0))/12,IF('Sponsor Pro Forma'!$L$42="Annual",'Monthly Cash Flow'!CH73*(1+'Sponsor Pro Forma'!$M17)^(IF(MOD(CI$5,12)=1,1,0)),'Monthly Cash Flow'!CH73*(1+'Sponsor Pro Forma'!$M17/12)))</f>
        <v>49002.811701611681</v>
      </c>
      <c r="CJ73" s="1300">
        <f>IF('Sponsor Pro Forma'!$N17="Override",INDEX('Sponsor Pro Forma'!$O$16:$Z$34,MATCH('Monthly Cash Flow'!$B73,'Sponsor Pro Forma'!$B$16:$B$34,0),MATCH('Monthly Cash Flow'!CJ$4,'Sponsor Pro Forma'!$O$15:$Z$15,0))/12,IF('Sponsor Pro Forma'!$L$42="Annual",'Monthly Cash Flow'!CI73*(1+'Sponsor Pro Forma'!$M17)^(IF(MOD(CJ$5,12)=1,1,0)),'Monthly Cash Flow'!CI73*(1+'Sponsor Pro Forma'!$M17/12)))</f>
        <v>49002.811701611681</v>
      </c>
      <c r="CK73" s="1300">
        <f>IF('Sponsor Pro Forma'!$N17="Override",INDEX('Sponsor Pro Forma'!$O$16:$Z$34,MATCH('Monthly Cash Flow'!$B73,'Sponsor Pro Forma'!$B$16:$B$34,0),MATCH('Monthly Cash Flow'!CK$4,'Sponsor Pro Forma'!$O$15:$Z$15,0))/12,IF('Sponsor Pro Forma'!$L$42="Annual",'Monthly Cash Flow'!CJ73*(1+'Sponsor Pro Forma'!$M17)^(IF(MOD(CK$5,12)=1,1,0)),'Monthly Cash Flow'!CJ73*(1+'Sponsor Pro Forma'!$M17/12)))</f>
        <v>50472.896052660035</v>
      </c>
      <c r="CL73" s="1300">
        <f>IF('Sponsor Pro Forma'!$N17="Override",INDEX('Sponsor Pro Forma'!$O$16:$Z$34,MATCH('Monthly Cash Flow'!$B73,'Sponsor Pro Forma'!$B$16:$B$34,0),MATCH('Monthly Cash Flow'!CL$4,'Sponsor Pro Forma'!$O$15:$Z$15,0))/12,IF('Sponsor Pro Forma'!$L$42="Annual",'Monthly Cash Flow'!CK73*(1+'Sponsor Pro Forma'!$M17)^(IF(MOD(CL$5,12)=1,1,0)),'Monthly Cash Flow'!CK73*(1+'Sponsor Pro Forma'!$M17/12)))</f>
        <v>50472.896052660035</v>
      </c>
      <c r="CM73" s="1300">
        <f>IF('Sponsor Pro Forma'!$N17="Override",INDEX('Sponsor Pro Forma'!$O$16:$Z$34,MATCH('Monthly Cash Flow'!$B73,'Sponsor Pro Forma'!$B$16:$B$34,0),MATCH('Monthly Cash Flow'!CM$4,'Sponsor Pro Forma'!$O$15:$Z$15,0))/12,IF('Sponsor Pro Forma'!$L$42="Annual",'Monthly Cash Flow'!CL73*(1+'Sponsor Pro Forma'!$M17)^(IF(MOD(CM$5,12)=1,1,0)),'Monthly Cash Flow'!CL73*(1+'Sponsor Pro Forma'!$M17/12)))</f>
        <v>50472.896052660035</v>
      </c>
      <c r="CN73" s="1300">
        <f>IF('Sponsor Pro Forma'!$N17="Override",INDEX('Sponsor Pro Forma'!$O$16:$Z$34,MATCH('Monthly Cash Flow'!$B73,'Sponsor Pro Forma'!$B$16:$B$34,0),MATCH('Monthly Cash Flow'!CN$4,'Sponsor Pro Forma'!$O$15:$Z$15,0))/12,IF('Sponsor Pro Forma'!$L$42="Annual",'Monthly Cash Flow'!CM73*(1+'Sponsor Pro Forma'!$M17)^(IF(MOD(CN$5,12)=1,1,0)),'Monthly Cash Flow'!CM73*(1+'Sponsor Pro Forma'!$M17/12)))</f>
        <v>50472.896052660035</v>
      </c>
      <c r="CO73" s="1300">
        <f>IF('Sponsor Pro Forma'!$N17="Override",INDEX('Sponsor Pro Forma'!$O$16:$Z$34,MATCH('Monthly Cash Flow'!$B73,'Sponsor Pro Forma'!$B$16:$B$34,0),MATCH('Monthly Cash Flow'!CO$4,'Sponsor Pro Forma'!$O$15:$Z$15,0))/12,IF('Sponsor Pro Forma'!$L$42="Annual",'Monthly Cash Flow'!CN73*(1+'Sponsor Pro Forma'!$M17)^(IF(MOD(CO$5,12)=1,1,0)),'Monthly Cash Flow'!CN73*(1+'Sponsor Pro Forma'!$M17/12)))</f>
        <v>50472.896052660035</v>
      </c>
      <c r="CP73" s="1300">
        <f>IF('Sponsor Pro Forma'!$N17="Override",INDEX('Sponsor Pro Forma'!$O$16:$Z$34,MATCH('Monthly Cash Flow'!$B73,'Sponsor Pro Forma'!$B$16:$B$34,0),MATCH('Monthly Cash Flow'!CP$4,'Sponsor Pro Forma'!$O$15:$Z$15,0))/12,IF('Sponsor Pro Forma'!$L$42="Annual",'Monthly Cash Flow'!CO73*(1+'Sponsor Pro Forma'!$M17)^(IF(MOD(CP$5,12)=1,1,0)),'Monthly Cash Flow'!CO73*(1+'Sponsor Pro Forma'!$M17/12)))</f>
        <v>50472.896052660035</v>
      </c>
      <c r="CQ73" s="1300">
        <f>IF('Sponsor Pro Forma'!$N17="Override",INDEX('Sponsor Pro Forma'!$O$16:$Z$34,MATCH('Monthly Cash Flow'!$B73,'Sponsor Pro Forma'!$B$16:$B$34,0),MATCH('Monthly Cash Flow'!CQ$4,'Sponsor Pro Forma'!$O$15:$Z$15,0))/12,IF('Sponsor Pro Forma'!$L$42="Annual",'Monthly Cash Flow'!CP73*(1+'Sponsor Pro Forma'!$M17)^(IF(MOD(CQ$5,12)=1,1,0)),'Monthly Cash Flow'!CP73*(1+'Sponsor Pro Forma'!$M17/12)))</f>
        <v>50472.896052660035</v>
      </c>
      <c r="CR73" s="1300">
        <f>IF('Sponsor Pro Forma'!$N17="Override",INDEX('Sponsor Pro Forma'!$O$16:$Z$34,MATCH('Monthly Cash Flow'!$B73,'Sponsor Pro Forma'!$B$16:$B$34,0),MATCH('Monthly Cash Flow'!CR$4,'Sponsor Pro Forma'!$O$15:$Z$15,0))/12,IF('Sponsor Pro Forma'!$L$42="Annual",'Monthly Cash Flow'!CQ73*(1+'Sponsor Pro Forma'!$M17)^(IF(MOD(CR$5,12)=1,1,0)),'Monthly Cash Flow'!CQ73*(1+'Sponsor Pro Forma'!$M17/12)))</f>
        <v>50472.896052660035</v>
      </c>
      <c r="CS73" s="1300">
        <f>IF('Sponsor Pro Forma'!$N17="Override",INDEX('Sponsor Pro Forma'!$O$16:$Z$34,MATCH('Monthly Cash Flow'!$B73,'Sponsor Pro Forma'!$B$16:$B$34,0),MATCH('Monthly Cash Flow'!CS$4,'Sponsor Pro Forma'!$O$15:$Z$15,0))/12,IF('Sponsor Pro Forma'!$L$42="Annual",'Monthly Cash Flow'!CR73*(1+'Sponsor Pro Forma'!$M17)^(IF(MOD(CS$5,12)=1,1,0)),'Monthly Cash Flow'!CR73*(1+'Sponsor Pro Forma'!$M17/12)))</f>
        <v>50472.896052660035</v>
      </c>
      <c r="CT73" s="1300">
        <f>IF('Sponsor Pro Forma'!$N17="Override",INDEX('Sponsor Pro Forma'!$O$16:$Z$34,MATCH('Monthly Cash Flow'!$B73,'Sponsor Pro Forma'!$B$16:$B$34,0),MATCH('Monthly Cash Flow'!CT$4,'Sponsor Pro Forma'!$O$15:$Z$15,0))/12,IF('Sponsor Pro Forma'!$L$42="Annual",'Monthly Cash Flow'!CS73*(1+'Sponsor Pro Forma'!$M17)^(IF(MOD(CT$5,12)=1,1,0)),'Monthly Cash Flow'!CS73*(1+'Sponsor Pro Forma'!$M17/12)))</f>
        <v>50472.896052660035</v>
      </c>
      <c r="CU73" s="1300">
        <f>IF('Sponsor Pro Forma'!$N17="Override",INDEX('Sponsor Pro Forma'!$O$16:$Z$34,MATCH('Monthly Cash Flow'!$B73,'Sponsor Pro Forma'!$B$16:$B$34,0),MATCH('Monthly Cash Flow'!CU$4,'Sponsor Pro Forma'!$O$15:$Z$15,0))/12,IF('Sponsor Pro Forma'!$L$42="Annual",'Monthly Cash Flow'!CT73*(1+'Sponsor Pro Forma'!$M17)^(IF(MOD(CU$5,12)=1,1,0)),'Monthly Cash Flow'!CT73*(1+'Sponsor Pro Forma'!$M17/12)))</f>
        <v>50472.896052660035</v>
      </c>
      <c r="CV73" s="1300">
        <f>IF('Sponsor Pro Forma'!$N17="Override",INDEX('Sponsor Pro Forma'!$O$16:$Z$34,MATCH('Monthly Cash Flow'!$B73,'Sponsor Pro Forma'!$B$16:$B$34,0),MATCH('Monthly Cash Flow'!CV$4,'Sponsor Pro Forma'!$O$15:$Z$15,0))/12,IF('Sponsor Pro Forma'!$L$42="Annual",'Monthly Cash Flow'!CU73*(1+'Sponsor Pro Forma'!$M17)^(IF(MOD(CV$5,12)=1,1,0)),'Monthly Cash Flow'!CU73*(1+'Sponsor Pro Forma'!$M17/12)))</f>
        <v>50472.896052660035</v>
      </c>
      <c r="CW73" s="1300">
        <f>IF('Sponsor Pro Forma'!$N17="Override",INDEX('Sponsor Pro Forma'!$O$16:$Z$34,MATCH('Monthly Cash Flow'!$B73,'Sponsor Pro Forma'!$B$16:$B$34,0),MATCH('Monthly Cash Flow'!CW$4,'Sponsor Pro Forma'!$O$15:$Z$15,0))/12,IF('Sponsor Pro Forma'!$L$42="Annual",'Monthly Cash Flow'!CV73*(1+'Sponsor Pro Forma'!$M17)^(IF(MOD(CW$5,12)=1,1,0)),'Monthly Cash Flow'!CV73*(1+'Sponsor Pro Forma'!$M17/12)))</f>
        <v>51987.082934239828</v>
      </c>
      <c r="CX73" s="1300">
        <f>IF('Sponsor Pro Forma'!$N17="Override",INDEX('Sponsor Pro Forma'!$O$16:$Z$34,MATCH('Monthly Cash Flow'!$B73,'Sponsor Pro Forma'!$B$16:$B$34,0),MATCH('Monthly Cash Flow'!CX$4,'Sponsor Pro Forma'!$O$15:$Z$15,0))/12,IF('Sponsor Pro Forma'!$L$42="Annual",'Monthly Cash Flow'!CW73*(1+'Sponsor Pro Forma'!$M17)^(IF(MOD(CX$5,12)=1,1,0)),'Monthly Cash Flow'!CW73*(1+'Sponsor Pro Forma'!$M17/12)))</f>
        <v>51987.082934239828</v>
      </c>
      <c r="CY73" s="1300">
        <f>IF('Sponsor Pro Forma'!$N17="Override",INDEX('Sponsor Pro Forma'!$O$16:$Z$34,MATCH('Monthly Cash Flow'!$B73,'Sponsor Pro Forma'!$B$16:$B$34,0),MATCH('Monthly Cash Flow'!CY$4,'Sponsor Pro Forma'!$O$15:$Z$15,0))/12,IF('Sponsor Pro Forma'!$L$42="Annual",'Monthly Cash Flow'!CX73*(1+'Sponsor Pro Forma'!$M17)^(IF(MOD(CY$5,12)=1,1,0)),'Monthly Cash Flow'!CX73*(1+'Sponsor Pro Forma'!$M17/12)))</f>
        <v>51987.082934239828</v>
      </c>
      <c r="CZ73" s="1300">
        <f>IF('Sponsor Pro Forma'!$N17="Override",INDEX('Sponsor Pro Forma'!$O$16:$Z$34,MATCH('Monthly Cash Flow'!$B73,'Sponsor Pro Forma'!$B$16:$B$34,0),MATCH('Monthly Cash Flow'!CZ$4,'Sponsor Pro Forma'!$O$15:$Z$15,0))/12,IF('Sponsor Pro Forma'!$L$42="Annual",'Monthly Cash Flow'!CY73*(1+'Sponsor Pro Forma'!$M17)^(IF(MOD(CZ$5,12)=1,1,0)),'Monthly Cash Flow'!CY73*(1+'Sponsor Pro Forma'!$M17/12)))</f>
        <v>51987.082934239828</v>
      </c>
      <c r="DA73" s="1300">
        <f>IF('Sponsor Pro Forma'!$N17="Override",INDEX('Sponsor Pro Forma'!$O$16:$Z$34,MATCH('Monthly Cash Flow'!$B73,'Sponsor Pro Forma'!$B$16:$B$34,0),MATCH('Monthly Cash Flow'!DA$4,'Sponsor Pro Forma'!$O$15:$Z$15,0))/12,IF('Sponsor Pro Forma'!$L$42="Annual",'Monthly Cash Flow'!CZ73*(1+'Sponsor Pro Forma'!$M17)^(IF(MOD(DA$5,12)=1,1,0)),'Monthly Cash Flow'!CZ73*(1+'Sponsor Pro Forma'!$M17/12)))</f>
        <v>51987.082934239828</v>
      </c>
      <c r="DB73" s="1300">
        <f>IF('Sponsor Pro Forma'!$N17="Override",INDEX('Sponsor Pro Forma'!$O$16:$Z$34,MATCH('Monthly Cash Flow'!$B73,'Sponsor Pro Forma'!$B$16:$B$34,0),MATCH('Monthly Cash Flow'!DB$4,'Sponsor Pro Forma'!$O$15:$Z$15,0))/12,IF('Sponsor Pro Forma'!$L$42="Annual",'Monthly Cash Flow'!DA73*(1+'Sponsor Pro Forma'!$M17)^(IF(MOD(DB$5,12)=1,1,0)),'Monthly Cash Flow'!DA73*(1+'Sponsor Pro Forma'!$M17/12)))</f>
        <v>51987.082934239828</v>
      </c>
      <c r="DC73" s="1300">
        <f>IF('Sponsor Pro Forma'!$N17="Override",INDEX('Sponsor Pro Forma'!$O$16:$Z$34,MATCH('Monthly Cash Flow'!$B73,'Sponsor Pro Forma'!$B$16:$B$34,0),MATCH('Monthly Cash Flow'!DC$4,'Sponsor Pro Forma'!$O$15:$Z$15,0))/12,IF('Sponsor Pro Forma'!$L$42="Annual",'Monthly Cash Flow'!DB73*(1+'Sponsor Pro Forma'!$M17)^(IF(MOD(DC$5,12)=1,1,0)),'Monthly Cash Flow'!DB73*(1+'Sponsor Pro Forma'!$M17/12)))</f>
        <v>51987.082934239828</v>
      </c>
      <c r="DD73" s="1300">
        <f>IF('Sponsor Pro Forma'!$N17="Override",INDEX('Sponsor Pro Forma'!$O$16:$Z$34,MATCH('Monthly Cash Flow'!$B73,'Sponsor Pro Forma'!$B$16:$B$34,0),MATCH('Monthly Cash Flow'!DD$4,'Sponsor Pro Forma'!$O$15:$Z$15,0))/12,IF('Sponsor Pro Forma'!$L$42="Annual",'Monthly Cash Flow'!DC73*(1+'Sponsor Pro Forma'!$M17)^(IF(MOD(DD$5,12)=1,1,0)),'Monthly Cash Flow'!DC73*(1+'Sponsor Pro Forma'!$M17/12)))</f>
        <v>51987.082934239828</v>
      </c>
      <c r="DE73" s="1300">
        <f>IF('Sponsor Pro Forma'!$N17="Override",INDEX('Sponsor Pro Forma'!$O$16:$Z$34,MATCH('Monthly Cash Flow'!$B73,'Sponsor Pro Forma'!$B$16:$B$34,0),MATCH('Monthly Cash Flow'!DE$4,'Sponsor Pro Forma'!$O$15:$Z$15,0))/12,IF('Sponsor Pro Forma'!$L$42="Annual",'Monthly Cash Flow'!DD73*(1+'Sponsor Pro Forma'!$M17)^(IF(MOD(DE$5,12)=1,1,0)),'Monthly Cash Flow'!DD73*(1+'Sponsor Pro Forma'!$M17/12)))</f>
        <v>51987.082934239828</v>
      </c>
      <c r="DF73" s="1300">
        <f>IF('Sponsor Pro Forma'!$N17="Override",INDEX('Sponsor Pro Forma'!$O$16:$Z$34,MATCH('Monthly Cash Flow'!$B73,'Sponsor Pro Forma'!$B$16:$B$34,0),MATCH('Monthly Cash Flow'!DF$4,'Sponsor Pro Forma'!$O$15:$Z$15,0))/12,IF('Sponsor Pro Forma'!$L$42="Annual",'Monthly Cash Flow'!DE73*(1+'Sponsor Pro Forma'!$M17)^(IF(MOD(DF$5,12)=1,1,0)),'Monthly Cash Flow'!DE73*(1+'Sponsor Pro Forma'!$M17/12)))</f>
        <v>51987.082934239828</v>
      </c>
      <c r="DG73" s="1300">
        <f>IF('Sponsor Pro Forma'!$N17="Override",INDEX('Sponsor Pro Forma'!$O$16:$Z$34,MATCH('Monthly Cash Flow'!$B73,'Sponsor Pro Forma'!$B$16:$B$34,0),MATCH('Monthly Cash Flow'!DG$4,'Sponsor Pro Forma'!$O$15:$Z$15,0))/12,IF('Sponsor Pro Forma'!$L$42="Annual",'Monthly Cash Flow'!DF73*(1+'Sponsor Pro Forma'!$M17)^(IF(MOD(DG$5,12)=1,1,0)),'Monthly Cash Flow'!DF73*(1+'Sponsor Pro Forma'!$M17/12)))</f>
        <v>51987.082934239828</v>
      </c>
      <c r="DH73" s="1300">
        <f>IF('Sponsor Pro Forma'!$N17="Override",INDEX('Sponsor Pro Forma'!$O$16:$Z$34,MATCH('Monthly Cash Flow'!$B73,'Sponsor Pro Forma'!$B$16:$B$34,0),MATCH('Monthly Cash Flow'!DH$4,'Sponsor Pro Forma'!$O$15:$Z$15,0))/12,IF('Sponsor Pro Forma'!$L$42="Annual",'Monthly Cash Flow'!DG73*(1+'Sponsor Pro Forma'!$M17)^(IF(MOD(DH$5,12)=1,1,0)),'Monthly Cash Flow'!DG73*(1+'Sponsor Pro Forma'!$M17/12)))</f>
        <v>51987.082934239828</v>
      </c>
      <c r="DI73" s="1300">
        <f>IF('Sponsor Pro Forma'!$N17="Override",INDEX('Sponsor Pro Forma'!$O$16:$Z$34,MATCH('Monthly Cash Flow'!$B73,'Sponsor Pro Forma'!$B$16:$B$34,0),MATCH('Monthly Cash Flow'!DI$4,'Sponsor Pro Forma'!$O$15:$Z$15,0))/12,IF('Sponsor Pro Forma'!$L$42="Annual",'Monthly Cash Flow'!DH73*(1+'Sponsor Pro Forma'!$M17)^(IF(MOD(DI$5,12)=1,1,0)),'Monthly Cash Flow'!DH73*(1+'Sponsor Pro Forma'!$M17/12)))</f>
        <v>53546.695422267025</v>
      </c>
      <c r="DJ73" s="1300">
        <f>IF('Sponsor Pro Forma'!$N17="Override",INDEX('Sponsor Pro Forma'!$O$16:$Z$34,MATCH('Monthly Cash Flow'!$B73,'Sponsor Pro Forma'!$B$16:$B$34,0),MATCH('Monthly Cash Flow'!DJ$4,'Sponsor Pro Forma'!$O$15:$Z$15,0))/12,IF('Sponsor Pro Forma'!$L$42="Annual",'Monthly Cash Flow'!DI73*(1+'Sponsor Pro Forma'!$M17)^(IF(MOD(DJ$5,12)=1,1,0)),'Monthly Cash Flow'!DI73*(1+'Sponsor Pro Forma'!$M17/12)))</f>
        <v>53546.695422267025</v>
      </c>
      <c r="DK73" s="1300">
        <f>IF('Sponsor Pro Forma'!$N17="Override",INDEX('Sponsor Pro Forma'!$O$16:$Z$34,MATCH('Monthly Cash Flow'!$B73,'Sponsor Pro Forma'!$B$16:$B$34,0),MATCH('Monthly Cash Flow'!DK$4,'Sponsor Pro Forma'!$O$15:$Z$15,0))/12,IF('Sponsor Pro Forma'!$L$42="Annual",'Monthly Cash Flow'!DJ73*(1+'Sponsor Pro Forma'!$M17)^(IF(MOD(DK$5,12)=1,1,0)),'Monthly Cash Flow'!DJ73*(1+'Sponsor Pro Forma'!$M17/12)))</f>
        <v>53546.695422267025</v>
      </c>
      <c r="DL73" s="1300">
        <f>IF('Sponsor Pro Forma'!$N17="Override",INDEX('Sponsor Pro Forma'!$O$16:$Z$34,MATCH('Monthly Cash Flow'!$B73,'Sponsor Pro Forma'!$B$16:$B$34,0),MATCH('Monthly Cash Flow'!DL$4,'Sponsor Pro Forma'!$O$15:$Z$15,0))/12,IF('Sponsor Pro Forma'!$L$42="Annual",'Monthly Cash Flow'!DK73*(1+'Sponsor Pro Forma'!$M17)^(IF(MOD(DL$5,12)=1,1,0)),'Monthly Cash Flow'!DK73*(1+'Sponsor Pro Forma'!$M17/12)))</f>
        <v>53546.695422267025</v>
      </c>
      <c r="DM73" s="1300">
        <f>IF('Sponsor Pro Forma'!$N17="Override",INDEX('Sponsor Pro Forma'!$O$16:$Z$34,MATCH('Monthly Cash Flow'!$B73,'Sponsor Pro Forma'!$B$16:$B$34,0),MATCH('Monthly Cash Flow'!DM$4,'Sponsor Pro Forma'!$O$15:$Z$15,0))/12,IF('Sponsor Pro Forma'!$L$42="Annual",'Monthly Cash Flow'!DL73*(1+'Sponsor Pro Forma'!$M17)^(IF(MOD(DM$5,12)=1,1,0)),'Monthly Cash Flow'!DL73*(1+'Sponsor Pro Forma'!$M17/12)))</f>
        <v>53546.695422267025</v>
      </c>
      <c r="DN73" s="1300">
        <f>IF('Sponsor Pro Forma'!$N17="Override",INDEX('Sponsor Pro Forma'!$O$16:$Z$34,MATCH('Monthly Cash Flow'!$B73,'Sponsor Pro Forma'!$B$16:$B$34,0),MATCH('Monthly Cash Flow'!DN$4,'Sponsor Pro Forma'!$O$15:$Z$15,0))/12,IF('Sponsor Pro Forma'!$L$42="Annual",'Monthly Cash Flow'!DM73*(1+'Sponsor Pro Forma'!$M17)^(IF(MOD(DN$5,12)=1,1,0)),'Monthly Cash Flow'!DM73*(1+'Sponsor Pro Forma'!$M17/12)))</f>
        <v>53546.695422267025</v>
      </c>
      <c r="DO73" s="1300">
        <f>IF('Sponsor Pro Forma'!$N17="Override",INDEX('Sponsor Pro Forma'!$O$16:$Z$34,MATCH('Monthly Cash Flow'!$B73,'Sponsor Pro Forma'!$B$16:$B$34,0),MATCH('Monthly Cash Flow'!DO$4,'Sponsor Pro Forma'!$O$15:$Z$15,0))/12,IF('Sponsor Pro Forma'!$L$42="Annual",'Monthly Cash Flow'!DN73*(1+'Sponsor Pro Forma'!$M17)^(IF(MOD(DO$5,12)=1,1,0)),'Monthly Cash Flow'!DN73*(1+'Sponsor Pro Forma'!$M17/12)))</f>
        <v>53546.695422267025</v>
      </c>
      <c r="DP73" s="1300">
        <f>IF('Sponsor Pro Forma'!$N17="Override",INDEX('Sponsor Pro Forma'!$O$16:$Z$34,MATCH('Monthly Cash Flow'!$B73,'Sponsor Pro Forma'!$B$16:$B$34,0),MATCH('Monthly Cash Flow'!DP$4,'Sponsor Pro Forma'!$O$15:$Z$15,0))/12,IF('Sponsor Pro Forma'!$L$42="Annual",'Monthly Cash Flow'!DO73*(1+'Sponsor Pro Forma'!$M17)^(IF(MOD(DP$5,12)=1,1,0)),'Monthly Cash Flow'!DO73*(1+'Sponsor Pro Forma'!$M17/12)))</f>
        <v>53546.695422267025</v>
      </c>
      <c r="DQ73" s="1300">
        <f>IF('Sponsor Pro Forma'!$N17="Override",INDEX('Sponsor Pro Forma'!$O$16:$Z$34,MATCH('Monthly Cash Flow'!$B73,'Sponsor Pro Forma'!$B$16:$B$34,0),MATCH('Monthly Cash Flow'!DQ$4,'Sponsor Pro Forma'!$O$15:$Z$15,0))/12,IF('Sponsor Pro Forma'!$L$42="Annual",'Monthly Cash Flow'!DP73*(1+'Sponsor Pro Forma'!$M17)^(IF(MOD(DQ$5,12)=1,1,0)),'Monthly Cash Flow'!DP73*(1+'Sponsor Pro Forma'!$M17/12)))</f>
        <v>53546.695422267025</v>
      </c>
      <c r="DR73" s="1300">
        <f>IF('Sponsor Pro Forma'!$N17="Override",INDEX('Sponsor Pro Forma'!$O$16:$Z$34,MATCH('Monthly Cash Flow'!$B73,'Sponsor Pro Forma'!$B$16:$B$34,0),MATCH('Monthly Cash Flow'!DR$4,'Sponsor Pro Forma'!$O$15:$Z$15,0))/12,IF('Sponsor Pro Forma'!$L$42="Annual",'Monthly Cash Flow'!DQ73*(1+'Sponsor Pro Forma'!$M17)^(IF(MOD(DR$5,12)=1,1,0)),'Monthly Cash Flow'!DQ73*(1+'Sponsor Pro Forma'!$M17/12)))</f>
        <v>53546.695422267025</v>
      </c>
      <c r="DS73" s="1300">
        <f>IF('Sponsor Pro Forma'!$N17="Override",INDEX('Sponsor Pro Forma'!$O$16:$Z$34,MATCH('Monthly Cash Flow'!$B73,'Sponsor Pro Forma'!$B$16:$B$34,0),MATCH('Monthly Cash Flow'!DS$4,'Sponsor Pro Forma'!$O$15:$Z$15,0))/12,IF('Sponsor Pro Forma'!$L$42="Annual",'Monthly Cash Flow'!DR73*(1+'Sponsor Pro Forma'!$M17)^(IF(MOD(DS$5,12)=1,1,0)),'Monthly Cash Flow'!DR73*(1+'Sponsor Pro Forma'!$M17/12)))</f>
        <v>53546.695422267025</v>
      </c>
      <c r="DT73" s="1300">
        <f>IF('Sponsor Pro Forma'!$N17="Override",INDEX('Sponsor Pro Forma'!$O$16:$Z$34,MATCH('Monthly Cash Flow'!$B73,'Sponsor Pro Forma'!$B$16:$B$34,0),MATCH('Monthly Cash Flow'!DT$4,'Sponsor Pro Forma'!$O$15:$Z$15,0))/12,IF('Sponsor Pro Forma'!$L$42="Annual",'Monthly Cash Flow'!DS73*(1+'Sponsor Pro Forma'!$M17)^(IF(MOD(DT$5,12)=1,1,0)),'Monthly Cash Flow'!DS73*(1+'Sponsor Pro Forma'!$M17/12)))</f>
        <v>53546.695422267025</v>
      </c>
      <c r="DU73" s="401" t="s">
        <v>557</v>
      </c>
      <c r="DV73" s="196"/>
    </row>
    <row r="74" spans="1:126" s="5" customFormat="1" ht="19">
      <c r="A74" s="399">
        <v>8</v>
      </c>
      <c r="B74" s="203" t="str">
        <f>'Debt Sizing'!A19</f>
        <v>Other Income</v>
      </c>
      <c r="C74" s="397"/>
      <c r="D74" s="413">
        <f>IF('Sponsor Pro Forma'!$N18="Override",'Sponsor Pro Forma'!$O18/12,'Sponsor Pro Forma'!K18/12)</f>
        <v>18919.833333333332</v>
      </c>
      <c r="E74" s="400">
        <f t="shared" si="136"/>
        <v>18919.833333333332</v>
      </c>
      <c r="F74" s="1300">
        <f>IF('Sponsor Pro Forma'!$N18="Override",INDEX('Sponsor Pro Forma'!$O$16:$Z$34,MATCH('Monthly Cash Flow'!$B74,'Sponsor Pro Forma'!$B$16:$B$34,0),MATCH('Monthly Cash Flow'!F$4,'Sponsor Pro Forma'!$O$15:$Z$15,0))/12,IF('Sponsor Pro Forma'!$L$42="Annual",'Monthly Cash Flow'!E74*(1+'Sponsor Pro Forma'!$M18)^(IF(MOD(F$5,12)=1,1,0)),'Monthly Cash Flow'!E74*(1+'Sponsor Pro Forma'!$M18/12)))</f>
        <v>18919.833333333332</v>
      </c>
      <c r="G74" s="1300">
        <f>IF('Sponsor Pro Forma'!$N18="Override",INDEX('Sponsor Pro Forma'!$O$16:$Z$34,MATCH('Monthly Cash Flow'!$B74,'Sponsor Pro Forma'!$B$16:$B$34,0),MATCH('Monthly Cash Flow'!G$4,'Sponsor Pro Forma'!$O$15:$Z$15,0))/12,IF('Sponsor Pro Forma'!$L$42="Annual",'Monthly Cash Flow'!F74*(1+'Sponsor Pro Forma'!$M18)^(IF(MOD(G$5,12)=1,1,0)),'Monthly Cash Flow'!F74*(1+'Sponsor Pro Forma'!$M18/12)))</f>
        <v>18919.833333333332</v>
      </c>
      <c r="H74" s="1300">
        <f>IF('Sponsor Pro Forma'!$N18="Override",INDEX('Sponsor Pro Forma'!$O$16:$Z$34,MATCH('Monthly Cash Flow'!$B74,'Sponsor Pro Forma'!$B$16:$B$34,0),MATCH('Monthly Cash Flow'!H$4,'Sponsor Pro Forma'!$O$15:$Z$15,0))/12,IF('Sponsor Pro Forma'!$L$42="Annual",'Monthly Cash Flow'!G74*(1+'Sponsor Pro Forma'!$M18)^(IF(MOD(H$5,12)=1,1,0)),'Monthly Cash Flow'!G74*(1+'Sponsor Pro Forma'!$M18/12)))</f>
        <v>18919.833333333332</v>
      </c>
      <c r="I74" s="1300">
        <f>IF('Sponsor Pro Forma'!$N18="Override",INDEX('Sponsor Pro Forma'!$O$16:$Z$34,MATCH('Monthly Cash Flow'!$B74,'Sponsor Pro Forma'!$B$16:$B$34,0),MATCH('Monthly Cash Flow'!I$4,'Sponsor Pro Forma'!$O$15:$Z$15,0))/12,IF('Sponsor Pro Forma'!$L$42="Annual",'Monthly Cash Flow'!H74*(1+'Sponsor Pro Forma'!$M18)^(IF(MOD(I$5,12)=1,1,0)),'Monthly Cash Flow'!H74*(1+'Sponsor Pro Forma'!$M18/12)))</f>
        <v>18919.833333333332</v>
      </c>
      <c r="J74" s="1300">
        <f>IF('Sponsor Pro Forma'!$N18="Override",INDEX('Sponsor Pro Forma'!$O$16:$Z$34,MATCH('Monthly Cash Flow'!$B74,'Sponsor Pro Forma'!$B$16:$B$34,0),MATCH('Monthly Cash Flow'!J$4,'Sponsor Pro Forma'!$O$15:$Z$15,0))/12,IF('Sponsor Pro Forma'!$L$42="Annual",'Monthly Cash Flow'!I74*(1+'Sponsor Pro Forma'!$M18)^(IF(MOD(J$5,12)=1,1,0)),'Monthly Cash Flow'!I74*(1+'Sponsor Pro Forma'!$M18/12)))</f>
        <v>18919.833333333332</v>
      </c>
      <c r="K74" s="1300">
        <f>IF('Sponsor Pro Forma'!$N18="Override",INDEX('Sponsor Pro Forma'!$O$16:$Z$34,MATCH('Monthly Cash Flow'!$B74,'Sponsor Pro Forma'!$B$16:$B$34,0),MATCH('Monthly Cash Flow'!K$4,'Sponsor Pro Forma'!$O$15:$Z$15,0))/12,IF('Sponsor Pro Forma'!$L$42="Annual",'Monthly Cash Flow'!J74*(1+'Sponsor Pro Forma'!$M18)^(IF(MOD(K$5,12)=1,1,0)),'Monthly Cash Flow'!J74*(1+'Sponsor Pro Forma'!$M18/12)))</f>
        <v>18919.833333333332</v>
      </c>
      <c r="L74" s="1300">
        <f>IF('Sponsor Pro Forma'!$N18="Override",INDEX('Sponsor Pro Forma'!$O$16:$Z$34,MATCH('Monthly Cash Flow'!$B74,'Sponsor Pro Forma'!$B$16:$B$34,0),MATCH('Monthly Cash Flow'!L$4,'Sponsor Pro Forma'!$O$15:$Z$15,0))/12,IF('Sponsor Pro Forma'!$L$42="Annual",'Monthly Cash Flow'!K74*(1+'Sponsor Pro Forma'!$M18)^(IF(MOD(L$5,12)=1,1,0)),'Monthly Cash Flow'!K74*(1+'Sponsor Pro Forma'!$M18/12)))</f>
        <v>18919.833333333332</v>
      </c>
      <c r="M74" s="1300">
        <f>IF('Sponsor Pro Forma'!$N18="Override",INDEX('Sponsor Pro Forma'!$O$16:$Z$34,MATCH('Monthly Cash Flow'!$B74,'Sponsor Pro Forma'!$B$16:$B$34,0),MATCH('Monthly Cash Flow'!M$4,'Sponsor Pro Forma'!$O$15:$Z$15,0))/12,IF('Sponsor Pro Forma'!$L$42="Annual",'Monthly Cash Flow'!L74*(1+'Sponsor Pro Forma'!$M18)^(IF(MOD(M$5,12)=1,1,0)),'Monthly Cash Flow'!L74*(1+'Sponsor Pro Forma'!$M18/12)))</f>
        <v>18919.833333333332</v>
      </c>
      <c r="N74" s="1300">
        <f>IF('Sponsor Pro Forma'!$N18="Override",INDEX('Sponsor Pro Forma'!$O$16:$Z$34,MATCH('Monthly Cash Flow'!$B74,'Sponsor Pro Forma'!$B$16:$B$34,0),MATCH('Monthly Cash Flow'!N$4,'Sponsor Pro Forma'!$O$15:$Z$15,0))/12,IF('Sponsor Pro Forma'!$L$42="Annual",'Monthly Cash Flow'!M74*(1+'Sponsor Pro Forma'!$M18)^(IF(MOD(N$5,12)=1,1,0)),'Monthly Cash Flow'!M74*(1+'Sponsor Pro Forma'!$M18/12)))</f>
        <v>18919.833333333332</v>
      </c>
      <c r="O74" s="1300">
        <f>IF('Sponsor Pro Forma'!$N18="Override",INDEX('Sponsor Pro Forma'!$O$16:$Z$34,MATCH('Monthly Cash Flow'!$B74,'Sponsor Pro Forma'!$B$16:$B$34,0),MATCH('Monthly Cash Flow'!O$4,'Sponsor Pro Forma'!$O$15:$Z$15,0))/12,IF('Sponsor Pro Forma'!$L$42="Annual",'Monthly Cash Flow'!N74*(1+'Sponsor Pro Forma'!$M18)^(IF(MOD(O$5,12)=1,1,0)),'Monthly Cash Flow'!N74*(1+'Sponsor Pro Forma'!$M18/12)))</f>
        <v>18919.833333333332</v>
      </c>
      <c r="P74" s="1300">
        <f>IF('Sponsor Pro Forma'!$N18="Override",INDEX('Sponsor Pro Forma'!$O$16:$Z$34,MATCH('Monthly Cash Flow'!$B74,'Sponsor Pro Forma'!$B$16:$B$34,0),MATCH('Monthly Cash Flow'!P$4,'Sponsor Pro Forma'!$O$15:$Z$15,0))/12,IF('Sponsor Pro Forma'!$L$42="Annual",'Monthly Cash Flow'!O74*(1+'Sponsor Pro Forma'!$M18)^(IF(MOD(P$5,12)=1,1,0)),'Monthly Cash Flow'!O74*(1+'Sponsor Pro Forma'!$M18/12)))</f>
        <v>18919.833333333332</v>
      </c>
      <c r="Q74" s="1300">
        <f>IF('Sponsor Pro Forma'!$N18="Override",INDEX('Sponsor Pro Forma'!$O$16:$Z$34,MATCH('Monthly Cash Flow'!$B74,'Sponsor Pro Forma'!$B$16:$B$34,0),MATCH('Monthly Cash Flow'!Q$4,'Sponsor Pro Forma'!$O$15:$Z$15,0))/12,IF('Sponsor Pro Forma'!$L$42="Annual",'Monthly Cash Flow'!P74*(1+'Sponsor Pro Forma'!$M18)^(IF(MOD(Q$5,12)=1,1,0)),'Monthly Cash Flow'!P74*(1+'Sponsor Pro Forma'!$M18/12)))</f>
        <v>19487.428333333333</v>
      </c>
      <c r="R74" s="1300">
        <f>IF('Sponsor Pro Forma'!$N18="Override",INDEX('Sponsor Pro Forma'!$O$16:$Z$34,MATCH('Monthly Cash Flow'!$B74,'Sponsor Pro Forma'!$B$16:$B$34,0),MATCH('Monthly Cash Flow'!R$4,'Sponsor Pro Forma'!$O$15:$Z$15,0))/12,IF('Sponsor Pro Forma'!$L$42="Annual",'Monthly Cash Flow'!Q74*(1+'Sponsor Pro Forma'!$M18)^(IF(MOD(R$5,12)=1,1,0)),'Monthly Cash Flow'!Q74*(1+'Sponsor Pro Forma'!$M18/12)))</f>
        <v>19487.428333333333</v>
      </c>
      <c r="S74" s="1300">
        <f>IF('Sponsor Pro Forma'!$N18="Override",INDEX('Sponsor Pro Forma'!$O$16:$Z$34,MATCH('Monthly Cash Flow'!$B74,'Sponsor Pro Forma'!$B$16:$B$34,0),MATCH('Monthly Cash Flow'!S$4,'Sponsor Pro Forma'!$O$15:$Z$15,0))/12,IF('Sponsor Pro Forma'!$L$42="Annual",'Monthly Cash Flow'!R74*(1+'Sponsor Pro Forma'!$M18)^(IF(MOD(S$5,12)=1,1,0)),'Monthly Cash Flow'!R74*(1+'Sponsor Pro Forma'!$M18/12)))</f>
        <v>19487.428333333333</v>
      </c>
      <c r="T74" s="1300">
        <f>IF('Sponsor Pro Forma'!$N18="Override",INDEX('Sponsor Pro Forma'!$O$16:$Z$34,MATCH('Monthly Cash Flow'!$B74,'Sponsor Pro Forma'!$B$16:$B$34,0),MATCH('Monthly Cash Flow'!T$4,'Sponsor Pro Forma'!$O$15:$Z$15,0))/12,IF('Sponsor Pro Forma'!$L$42="Annual",'Monthly Cash Flow'!S74*(1+'Sponsor Pro Forma'!$M18)^(IF(MOD(T$5,12)=1,1,0)),'Monthly Cash Flow'!S74*(1+'Sponsor Pro Forma'!$M18/12)))</f>
        <v>19487.428333333333</v>
      </c>
      <c r="U74" s="1300">
        <f>IF('Sponsor Pro Forma'!$N18="Override",INDEX('Sponsor Pro Forma'!$O$16:$Z$34,MATCH('Monthly Cash Flow'!$B74,'Sponsor Pro Forma'!$B$16:$B$34,0),MATCH('Monthly Cash Flow'!U$4,'Sponsor Pro Forma'!$O$15:$Z$15,0))/12,IF('Sponsor Pro Forma'!$L$42="Annual",'Monthly Cash Flow'!T74*(1+'Sponsor Pro Forma'!$M18)^(IF(MOD(U$5,12)=1,1,0)),'Monthly Cash Flow'!T74*(1+'Sponsor Pro Forma'!$M18/12)))</f>
        <v>19487.428333333333</v>
      </c>
      <c r="V74" s="1300">
        <f>IF('Sponsor Pro Forma'!$N18="Override",INDEX('Sponsor Pro Forma'!$O$16:$Z$34,MATCH('Monthly Cash Flow'!$B74,'Sponsor Pro Forma'!$B$16:$B$34,0),MATCH('Monthly Cash Flow'!V$4,'Sponsor Pro Forma'!$O$15:$Z$15,0))/12,IF('Sponsor Pro Forma'!$L$42="Annual",'Monthly Cash Flow'!U74*(1+'Sponsor Pro Forma'!$M18)^(IF(MOD(V$5,12)=1,1,0)),'Monthly Cash Flow'!U74*(1+'Sponsor Pro Forma'!$M18/12)))</f>
        <v>19487.428333333333</v>
      </c>
      <c r="W74" s="1300">
        <f>IF('Sponsor Pro Forma'!$N18="Override",INDEX('Sponsor Pro Forma'!$O$16:$Z$34,MATCH('Monthly Cash Flow'!$B74,'Sponsor Pro Forma'!$B$16:$B$34,0),MATCH('Monthly Cash Flow'!W$4,'Sponsor Pro Forma'!$O$15:$Z$15,0))/12,IF('Sponsor Pro Forma'!$L$42="Annual",'Monthly Cash Flow'!V74*(1+'Sponsor Pro Forma'!$M18)^(IF(MOD(W$5,12)=1,1,0)),'Monthly Cash Flow'!V74*(1+'Sponsor Pro Forma'!$M18/12)))</f>
        <v>19487.428333333333</v>
      </c>
      <c r="X74" s="1300">
        <f>IF('Sponsor Pro Forma'!$N18="Override",INDEX('Sponsor Pro Forma'!$O$16:$Z$34,MATCH('Monthly Cash Flow'!$B74,'Sponsor Pro Forma'!$B$16:$B$34,0),MATCH('Monthly Cash Flow'!X$4,'Sponsor Pro Forma'!$O$15:$Z$15,0))/12,IF('Sponsor Pro Forma'!$L$42="Annual",'Monthly Cash Flow'!W74*(1+'Sponsor Pro Forma'!$M18)^(IF(MOD(X$5,12)=1,1,0)),'Monthly Cash Flow'!W74*(1+'Sponsor Pro Forma'!$M18/12)))</f>
        <v>19487.428333333333</v>
      </c>
      <c r="Y74" s="1300">
        <f>IF('Sponsor Pro Forma'!$N18="Override",INDEX('Sponsor Pro Forma'!$O$16:$Z$34,MATCH('Monthly Cash Flow'!$B74,'Sponsor Pro Forma'!$B$16:$B$34,0),MATCH('Monthly Cash Flow'!Y$4,'Sponsor Pro Forma'!$O$15:$Z$15,0))/12,IF('Sponsor Pro Forma'!$L$42="Annual",'Monthly Cash Flow'!X74*(1+'Sponsor Pro Forma'!$M18)^(IF(MOD(Y$5,12)=1,1,0)),'Monthly Cash Flow'!X74*(1+'Sponsor Pro Forma'!$M18/12)))</f>
        <v>19487.428333333333</v>
      </c>
      <c r="Z74" s="1300">
        <f>IF('Sponsor Pro Forma'!$N18="Override",INDEX('Sponsor Pro Forma'!$O$16:$Z$34,MATCH('Monthly Cash Flow'!$B74,'Sponsor Pro Forma'!$B$16:$B$34,0),MATCH('Monthly Cash Flow'!Z$4,'Sponsor Pro Forma'!$O$15:$Z$15,0))/12,IF('Sponsor Pro Forma'!$L$42="Annual",'Monthly Cash Flow'!Y74*(1+'Sponsor Pro Forma'!$M18)^(IF(MOD(Z$5,12)=1,1,0)),'Monthly Cash Flow'!Y74*(1+'Sponsor Pro Forma'!$M18/12)))</f>
        <v>19487.428333333333</v>
      </c>
      <c r="AA74" s="1300">
        <f>IF('Sponsor Pro Forma'!$N18="Override",INDEX('Sponsor Pro Forma'!$O$16:$Z$34,MATCH('Monthly Cash Flow'!$B74,'Sponsor Pro Forma'!$B$16:$B$34,0),MATCH('Monthly Cash Flow'!AA$4,'Sponsor Pro Forma'!$O$15:$Z$15,0))/12,IF('Sponsor Pro Forma'!$L$42="Annual",'Monthly Cash Flow'!Z74*(1+'Sponsor Pro Forma'!$M18)^(IF(MOD(AA$5,12)=1,1,0)),'Monthly Cash Flow'!Z74*(1+'Sponsor Pro Forma'!$M18/12)))</f>
        <v>19487.428333333333</v>
      </c>
      <c r="AB74" s="1300">
        <f>IF('Sponsor Pro Forma'!$N18="Override",INDEX('Sponsor Pro Forma'!$O$16:$Z$34,MATCH('Monthly Cash Flow'!$B74,'Sponsor Pro Forma'!$B$16:$B$34,0),MATCH('Monthly Cash Flow'!AB$4,'Sponsor Pro Forma'!$O$15:$Z$15,0))/12,IF('Sponsor Pro Forma'!$L$42="Annual",'Monthly Cash Flow'!AA74*(1+'Sponsor Pro Forma'!$M18)^(IF(MOD(AB$5,12)=1,1,0)),'Monthly Cash Flow'!AA74*(1+'Sponsor Pro Forma'!$M18/12)))</f>
        <v>19487.428333333333</v>
      </c>
      <c r="AC74" s="1300">
        <f>IF('Sponsor Pro Forma'!$N18="Override",INDEX('Sponsor Pro Forma'!$O$16:$Z$34,MATCH('Monthly Cash Flow'!$B74,'Sponsor Pro Forma'!$B$16:$B$34,0),MATCH('Monthly Cash Flow'!AC$4,'Sponsor Pro Forma'!$O$15:$Z$15,0))/12,IF('Sponsor Pro Forma'!$L$42="Annual",'Monthly Cash Flow'!AB74*(1+'Sponsor Pro Forma'!$M18)^(IF(MOD(AC$5,12)=1,1,0)),'Monthly Cash Flow'!AB74*(1+'Sponsor Pro Forma'!$M18/12)))</f>
        <v>20072.051183333333</v>
      </c>
      <c r="AD74" s="1300">
        <f>IF('Sponsor Pro Forma'!$N18="Override",INDEX('Sponsor Pro Forma'!$O$16:$Z$34,MATCH('Monthly Cash Flow'!$B74,'Sponsor Pro Forma'!$B$16:$B$34,0),MATCH('Monthly Cash Flow'!AD$4,'Sponsor Pro Forma'!$O$15:$Z$15,0))/12,IF('Sponsor Pro Forma'!$L$42="Annual",'Monthly Cash Flow'!AC74*(1+'Sponsor Pro Forma'!$M18)^(IF(MOD(AD$5,12)=1,1,0)),'Monthly Cash Flow'!AC74*(1+'Sponsor Pro Forma'!$M18/12)))</f>
        <v>20072.051183333333</v>
      </c>
      <c r="AE74" s="1300">
        <f>IF('Sponsor Pro Forma'!$N18="Override",INDEX('Sponsor Pro Forma'!$O$16:$Z$34,MATCH('Monthly Cash Flow'!$B74,'Sponsor Pro Forma'!$B$16:$B$34,0),MATCH('Monthly Cash Flow'!AE$4,'Sponsor Pro Forma'!$O$15:$Z$15,0))/12,IF('Sponsor Pro Forma'!$L$42="Annual",'Monthly Cash Flow'!AD74*(1+'Sponsor Pro Forma'!$M18)^(IF(MOD(AE$5,12)=1,1,0)),'Monthly Cash Flow'!AD74*(1+'Sponsor Pro Forma'!$M18/12)))</f>
        <v>20072.051183333333</v>
      </c>
      <c r="AF74" s="1300">
        <f>IF('Sponsor Pro Forma'!$N18="Override",INDEX('Sponsor Pro Forma'!$O$16:$Z$34,MATCH('Monthly Cash Flow'!$B74,'Sponsor Pro Forma'!$B$16:$B$34,0),MATCH('Monthly Cash Flow'!AF$4,'Sponsor Pro Forma'!$O$15:$Z$15,0))/12,IF('Sponsor Pro Forma'!$L$42="Annual",'Monthly Cash Flow'!AE74*(1+'Sponsor Pro Forma'!$M18)^(IF(MOD(AF$5,12)=1,1,0)),'Monthly Cash Flow'!AE74*(1+'Sponsor Pro Forma'!$M18/12)))</f>
        <v>20072.051183333333</v>
      </c>
      <c r="AG74" s="1300">
        <f>IF('Sponsor Pro Forma'!$N18="Override",INDEX('Sponsor Pro Forma'!$O$16:$Z$34,MATCH('Monthly Cash Flow'!$B74,'Sponsor Pro Forma'!$B$16:$B$34,0),MATCH('Monthly Cash Flow'!AG$4,'Sponsor Pro Forma'!$O$15:$Z$15,0))/12,IF('Sponsor Pro Forma'!$L$42="Annual",'Monthly Cash Flow'!AF74*(1+'Sponsor Pro Forma'!$M18)^(IF(MOD(AG$5,12)=1,1,0)),'Monthly Cash Flow'!AF74*(1+'Sponsor Pro Forma'!$M18/12)))</f>
        <v>20072.051183333333</v>
      </c>
      <c r="AH74" s="1300">
        <f>IF('Sponsor Pro Forma'!$N18="Override",INDEX('Sponsor Pro Forma'!$O$16:$Z$34,MATCH('Monthly Cash Flow'!$B74,'Sponsor Pro Forma'!$B$16:$B$34,0),MATCH('Monthly Cash Flow'!AH$4,'Sponsor Pro Forma'!$O$15:$Z$15,0))/12,IF('Sponsor Pro Forma'!$L$42="Annual",'Monthly Cash Flow'!AG74*(1+'Sponsor Pro Forma'!$M18)^(IF(MOD(AH$5,12)=1,1,0)),'Monthly Cash Flow'!AG74*(1+'Sponsor Pro Forma'!$M18/12)))</f>
        <v>20072.051183333333</v>
      </c>
      <c r="AI74" s="1300">
        <f>IF('Sponsor Pro Forma'!$N18="Override",INDEX('Sponsor Pro Forma'!$O$16:$Z$34,MATCH('Monthly Cash Flow'!$B74,'Sponsor Pro Forma'!$B$16:$B$34,0),MATCH('Monthly Cash Flow'!AI$4,'Sponsor Pro Forma'!$O$15:$Z$15,0))/12,IF('Sponsor Pro Forma'!$L$42="Annual",'Monthly Cash Flow'!AH74*(1+'Sponsor Pro Forma'!$M18)^(IF(MOD(AI$5,12)=1,1,0)),'Monthly Cash Flow'!AH74*(1+'Sponsor Pro Forma'!$M18/12)))</f>
        <v>20072.051183333333</v>
      </c>
      <c r="AJ74" s="1300">
        <f>IF('Sponsor Pro Forma'!$N18="Override",INDEX('Sponsor Pro Forma'!$O$16:$Z$34,MATCH('Monthly Cash Flow'!$B74,'Sponsor Pro Forma'!$B$16:$B$34,0),MATCH('Monthly Cash Flow'!AJ$4,'Sponsor Pro Forma'!$O$15:$Z$15,0))/12,IF('Sponsor Pro Forma'!$L$42="Annual",'Monthly Cash Flow'!AI74*(1+'Sponsor Pro Forma'!$M18)^(IF(MOD(AJ$5,12)=1,1,0)),'Monthly Cash Flow'!AI74*(1+'Sponsor Pro Forma'!$M18/12)))</f>
        <v>20072.051183333333</v>
      </c>
      <c r="AK74" s="1300">
        <f>IF('Sponsor Pro Forma'!$N18="Override",INDEX('Sponsor Pro Forma'!$O$16:$Z$34,MATCH('Monthly Cash Flow'!$B74,'Sponsor Pro Forma'!$B$16:$B$34,0),MATCH('Monthly Cash Flow'!AK$4,'Sponsor Pro Forma'!$O$15:$Z$15,0))/12,IF('Sponsor Pro Forma'!$L$42="Annual",'Monthly Cash Flow'!AJ74*(1+'Sponsor Pro Forma'!$M18)^(IF(MOD(AK$5,12)=1,1,0)),'Monthly Cash Flow'!AJ74*(1+'Sponsor Pro Forma'!$M18/12)))</f>
        <v>20072.051183333333</v>
      </c>
      <c r="AL74" s="1300">
        <f>IF('Sponsor Pro Forma'!$N18="Override",INDEX('Sponsor Pro Forma'!$O$16:$Z$34,MATCH('Monthly Cash Flow'!$B74,'Sponsor Pro Forma'!$B$16:$B$34,0),MATCH('Monthly Cash Flow'!AL$4,'Sponsor Pro Forma'!$O$15:$Z$15,0))/12,IF('Sponsor Pro Forma'!$L$42="Annual",'Monthly Cash Flow'!AK74*(1+'Sponsor Pro Forma'!$M18)^(IF(MOD(AL$5,12)=1,1,0)),'Monthly Cash Flow'!AK74*(1+'Sponsor Pro Forma'!$M18/12)))</f>
        <v>20072.051183333333</v>
      </c>
      <c r="AM74" s="1300">
        <f>IF('Sponsor Pro Forma'!$N18="Override",INDEX('Sponsor Pro Forma'!$O$16:$Z$34,MATCH('Monthly Cash Flow'!$B74,'Sponsor Pro Forma'!$B$16:$B$34,0),MATCH('Monthly Cash Flow'!AM$4,'Sponsor Pro Forma'!$O$15:$Z$15,0))/12,IF('Sponsor Pro Forma'!$L$42="Annual",'Monthly Cash Flow'!AL74*(1+'Sponsor Pro Forma'!$M18)^(IF(MOD(AM$5,12)=1,1,0)),'Monthly Cash Flow'!AL74*(1+'Sponsor Pro Forma'!$M18/12)))</f>
        <v>20072.051183333333</v>
      </c>
      <c r="AN74" s="1300">
        <f>IF('Sponsor Pro Forma'!$N18="Override",INDEX('Sponsor Pro Forma'!$O$16:$Z$34,MATCH('Monthly Cash Flow'!$B74,'Sponsor Pro Forma'!$B$16:$B$34,0),MATCH('Monthly Cash Flow'!AN$4,'Sponsor Pro Forma'!$O$15:$Z$15,0))/12,IF('Sponsor Pro Forma'!$L$42="Annual",'Monthly Cash Flow'!AM74*(1+'Sponsor Pro Forma'!$M18)^(IF(MOD(AN$5,12)=1,1,0)),'Monthly Cash Flow'!AM74*(1+'Sponsor Pro Forma'!$M18/12)))</f>
        <v>20072.051183333333</v>
      </c>
      <c r="AO74" s="1300">
        <f>IF('Sponsor Pro Forma'!$N18="Override",INDEX('Sponsor Pro Forma'!$O$16:$Z$34,MATCH('Monthly Cash Flow'!$B74,'Sponsor Pro Forma'!$B$16:$B$34,0),MATCH('Monthly Cash Flow'!AO$4,'Sponsor Pro Forma'!$O$15:$Z$15,0))/12,IF('Sponsor Pro Forma'!$L$42="Annual",'Monthly Cash Flow'!AN74*(1+'Sponsor Pro Forma'!$M18)^(IF(MOD(AO$5,12)=1,1,0)),'Monthly Cash Flow'!AN74*(1+'Sponsor Pro Forma'!$M18/12)))</f>
        <v>20674.212718833336</v>
      </c>
      <c r="AP74" s="1300">
        <f>IF('Sponsor Pro Forma'!$N18="Override",INDEX('Sponsor Pro Forma'!$O$16:$Z$34,MATCH('Monthly Cash Flow'!$B74,'Sponsor Pro Forma'!$B$16:$B$34,0),MATCH('Monthly Cash Flow'!AP$4,'Sponsor Pro Forma'!$O$15:$Z$15,0))/12,IF('Sponsor Pro Forma'!$L$42="Annual",'Monthly Cash Flow'!AO74*(1+'Sponsor Pro Forma'!$M18)^(IF(MOD(AP$5,12)=1,1,0)),'Monthly Cash Flow'!AO74*(1+'Sponsor Pro Forma'!$M18/12)))</f>
        <v>20674.212718833336</v>
      </c>
      <c r="AQ74" s="1300">
        <f>IF('Sponsor Pro Forma'!$N18="Override",INDEX('Sponsor Pro Forma'!$O$16:$Z$34,MATCH('Monthly Cash Flow'!$B74,'Sponsor Pro Forma'!$B$16:$B$34,0),MATCH('Monthly Cash Flow'!AQ$4,'Sponsor Pro Forma'!$O$15:$Z$15,0))/12,IF('Sponsor Pro Forma'!$L$42="Annual",'Monthly Cash Flow'!AP74*(1+'Sponsor Pro Forma'!$M18)^(IF(MOD(AQ$5,12)=1,1,0)),'Monthly Cash Flow'!AP74*(1+'Sponsor Pro Forma'!$M18/12)))</f>
        <v>20674.212718833336</v>
      </c>
      <c r="AR74" s="1300">
        <f>IF('Sponsor Pro Forma'!$N18="Override",INDEX('Sponsor Pro Forma'!$O$16:$Z$34,MATCH('Monthly Cash Flow'!$B74,'Sponsor Pro Forma'!$B$16:$B$34,0),MATCH('Monthly Cash Flow'!AR$4,'Sponsor Pro Forma'!$O$15:$Z$15,0))/12,IF('Sponsor Pro Forma'!$L$42="Annual",'Monthly Cash Flow'!AQ74*(1+'Sponsor Pro Forma'!$M18)^(IF(MOD(AR$5,12)=1,1,0)),'Monthly Cash Flow'!AQ74*(1+'Sponsor Pro Forma'!$M18/12)))</f>
        <v>20674.212718833336</v>
      </c>
      <c r="AS74" s="1300">
        <f>IF('Sponsor Pro Forma'!$N18="Override",INDEX('Sponsor Pro Forma'!$O$16:$Z$34,MATCH('Monthly Cash Flow'!$B74,'Sponsor Pro Forma'!$B$16:$B$34,0),MATCH('Monthly Cash Flow'!AS$4,'Sponsor Pro Forma'!$O$15:$Z$15,0))/12,IF('Sponsor Pro Forma'!$L$42="Annual",'Monthly Cash Flow'!AR74*(1+'Sponsor Pro Forma'!$M18)^(IF(MOD(AS$5,12)=1,1,0)),'Monthly Cash Flow'!AR74*(1+'Sponsor Pro Forma'!$M18/12)))</f>
        <v>20674.212718833336</v>
      </c>
      <c r="AT74" s="1300">
        <f>IF('Sponsor Pro Forma'!$N18="Override",INDEX('Sponsor Pro Forma'!$O$16:$Z$34,MATCH('Monthly Cash Flow'!$B74,'Sponsor Pro Forma'!$B$16:$B$34,0),MATCH('Monthly Cash Flow'!AT$4,'Sponsor Pro Forma'!$O$15:$Z$15,0))/12,IF('Sponsor Pro Forma'!$L$42="Annual",'Monthly Cash Flow'!AS74*(1+'Sponsor Pro Forma'!$M18)^(IF(MOD(AT$5,12)=1,1,0)),'Monthly Cash Flow'!AS74*(1+'Sponsor Pro Forma'!$M18/12)))</f>
        <v>20674.212718833336</v>
      </c>
      <c r="AU74" s="1300">
        <f>IF('Sponsor Pro Forma'!$N18="Override",INDEX('Sponsor Pro Forma'!$O$16:$Z$34,MATCH('Monthly Cash Flow'!$B74,'Sponsor Pro Forma'!$B$16:$B$34,0),MATCH('Monthly Cash Flow'!AU$4,'Sponsor Pro Forma'!$O$15:$Z$15,0))/12,IF('Sponsor Pro Forma'!$L$42="Annual",'Monthly Cash Flow'!AT74*(1+'Sponsor Pro Forma'!$M18)^(IF(MOD(AU$5,12)=1,1,0)),'Monthly Cash Flow'!AT74*(1+'Sponsor Pro Forma'!$M18/12)))</f>
        <v>20674.212718833336</v>
      </c>
      <c r="AV74" s="1300">
        <f>IF('Sponsor Pro Forma'!$N18="Override",INDEX('Sponsor Pro Forma'!$O$16:$Z$34,MATCH('Monthly Cash Flow'!$B74,'Sponsor Pro Forma'!$B$16:$B$34,0),MATCH('Monthly Cash Flow'!AV$4,'Sponsor Pro Forma'!$O$15:$Z$15,0))/12,IF('Sponsor Pro Forma'!$L$42="Annual",'Monthly Cash Flow'!AU74*(1+'Sponsor Pro Forma'!$M18)^(IF(MOD(AV$5,12)=1,1,0)),'Monthly Cash Flow'!AU74*(1+'Sponsor Pro Forma'!$M18/12)))</f>
        <v>20674.212718833336</v>
      </c>
      <c r="AW74" s="1300">
        <f>IF('Sponsor Pro Forma'!$N18="Override",INDEX('Sponsor Pro Forma'!$O$16:$Z$34,MATCH('Monthly Cash Flow'!$B74,'Sponsor Pro Forma'!$B$16:$B$34,0),MATCH('Monthly Cash Flow'!AW$4,'Sponsor Pro Forma'!$O$15:$Z$15,0))/12,IF('Sponsor Pro Forma'!$L$42="Annual",'Monthly Cash Flow'!AV74*(1+'Sponsor Pro Forma'!$M18)^(IF(MOD(AW$5,12)=1,1,0)),'Monthly Cash Flow'!AV74*(1+'Sponsor Pro Forma'!$M18/12)))</f>
        <v>20674.212718833336</v>
      </c>
      <c r="AX74" s="1300">
        <f>IF('Sponsor Pro Forma'!$N18="Override",INDEX('Sponsor Pro Forma'!$O$16:$Z$34,MATCH('Monthly Cash Flow'!$B74,'Sponsor Pro Forma'!$B$16:$B$34,0),MATCH('Monthly Cash Flow'!AX$4,'Sponsor Pro Forma'!$O$15:$Z$15,0))/12,IF('Sponsor Pro Forma'!$L$42="Annual",'Monthly Cash Flow'!AW74*(1+'Sponsor Pro Forma'!$M18)^(IF(MOD(AX$5,12)=1,1,0)),'Monthly Cash Flow'!AW74*(1+'Sponsor Pro Forma'!$M18/12)))</f>
        <v>20674.212718833336</v>
      </c>
      <c r="AY74" s="1300">
        <f>IF('Sponsor Pro Forma'!$N18="Override",INDEX('Sponsor Pro Forma'!$O$16:$Z$34,MATCH('Monthly Cash Flow'!$B74,'Sponsor Pro Forma'!$B$16:$B$34,0),MATCH('Monthly Cash Flow'!AY$4,'Sponsor Pro Forma'!$O$15:$Z$15,0))/12,IF('Sponsor Pro Forma'!$L$42="Annual",'Monthly Cash Flow'!AX74*(1+'Sponsor Pro Forma'!$M18)^(IF(MOD(AY$5,12)=1,1,0)),'Monthly Cash Flow'!AX74*(1+'Sponsor Pro Forma'!$M18/12)))</f>
        <v>20674.212718833336</v>
      </c>
      <c r="AZ74" s="1300">
        <f>IF('Sponsor Pro Forma'!$N18="Override",INDEX('Sponsor Pro Forma'!$O$16:$Z$34,MATCH('Monthly Cash Flow'!$B74,'Sponsor Pro Forma'!$B$16:$B$34,0),MATCH('Monthly Cash Flow'!AZ$4,'Sponsor Pro Forma'!$O$15:$Z$15,0))/12,IF('Sponsor Pro Forma'!$L$42="Annual",'Monthly Cash Flow'!AY74*(1+'Sponsor Pro Forma'!$M18)^(IF(MOD(AZ$5,12)=1,1,0)),'Monthly Cash Flow'!AY74*(1+'Sponsor Pro Forma'!$M18/12)))</f>
        <v>20674.212718833336</v>
      </c>
      <c r="BA74" s="1300">
        <f>IF('Sponsor Pro Forma'!$N18="Override",INDEX('Sponsor Pro Forma'!$O$16:$Z$34,MATCH('Monthly Cash Flow'!$B74,'Sponsor Pro Forma'!$B$16:$B$34,0),MATCH('Monthly Cash Flow'!BA$4,'Sponsor Pro Forma'!$O$15:$Z$15,0))/12,IF('Sponsor Pro Forma'!$L$42="Annual",'Monthly Cash Flow'!AZ74*(1+'Sponsor Pro Forma'!$M18)^(IF(MOD(BA$5,12)=1,1,0)),'Monthly Cash Flow'!AZ74*(1+'Sponsor Pro Forma'!$M18/12)))</f>
        <v>21294.439100398336</v>
      </c>
      <c r="BB74" s="1300">
        <f>IF('Sponsor Pro Forma'!$N18="Override",INDEX('Sponsor Pro Forma'!$O$16:$Z$34,MATCH('Monthly Cash Flow'!$B74,'Sponsor Pro Forma'!$B$16:$B$34,0),MATCH('Monthly Cash Flow'!BB$4,'Sponsor Pro Forma'!$O$15:$Z$15,0))/12,IF('Sponsor Pro Forma'!$L$42="Annual",'Monthly Cash Flow'!BA74*(1+'Sponsor Pro Forma'!$M18)^(IF(MOD(BB$5,12)=1,1,0)),'Monthly Cash Flow'!BA74*(1+'Sponsor Pro Forma'!$M18/12)))</f>
        <v>21294.439100398336</v>
      </c>
      <c r="BC74" s="1300">
        <f>IF('Sponsor Pro Forma'!$N18="Override",INDEX('Sponsor Pro Forma'!$O$16:$Z$34,MATCH('Monthly Cash Flow'!$B74,'Sponsor Pro Forma'!$B$16:$B$34,0),MATCH('Monthly Cash Flow'!BC$4,'Sponsor Pro Forma'!$O$15:$Z$15,0))/12,IF('Sponsor Pro Forma'!$L$42="Annual",'Monthly Cash Flow'!BB74*(1+'Sponsor Pro Forma'!$M18)^(IF(MOD(BC$5,12)=1,1,0)),'Monthly Cash Flow'!BB74*(1+'Sponsor Pro Forma'!$M18/12)))</f>
        <v>21294.439100398336</v>
      </c>
      <c r="BD74" s="1300">
        <f>IF('Sponsor Pro Forma'!$N18="Override",INDEX('Sponsor Pro Forma'!$O$16:$Z$34,MATCH('Monthly Cash Flow'!$B74,'Sponsor Pro Forma'!$B$16:$B$34,0),MATCH('Monthly Cash Flow'!BD$4,'Sponsor Pro Forma'!$O$15:$Z$15,0))/12,IF('Sponsor Pro Forma'!$L$42="Annual",'Monthly Cash Flow'!BC74*(1+'Sponsor Pro Forma'!$M18)^(IF(MOD(BD$5,12)=1,1,0)),'Monthly Cash Flow'!BC74*(1+'Sponsor Pro Forma'!$M18/12)))</f>
        <v>21294.439100398336</v>
      </c>
      <c r="BE74" s="1300">
        <f>IF('Sponsor Pro Forma'!$N18="Override",INDEX('Sponsor Pro Forma'!$O$16:$Z$34,MATCH('Monthly Cash Flow'!$B74,'Sponsor Pro Forma'!$B$16:$B$34,0),MATCH('Monthly Cash Flow'!BE$4,'Sponsor Pro Forma'!$O$15:$Z$15,0))/12,IF('Sponsor Pro Forma'!$L$42="Annual",'Monthly Cash Flow'!BD74*(1+'Sponsor Pro Forma'!$M18)^(IF(MOD(BE$5,12)=1,1,0)),'Monthly Cash Flow'!BD74*(1+'Sponsor Pro Forma'!$M18/12)))</f>
        <v>21294.439100398336</v>
      </c>
      <c r="BF74" s="1300">
        <f>IF('Sponsor Pro Forma'!$N18="Override",INDEX('Sponsor Pro Forma'!$O$16:$Z$34,MATCH('Monthly Cash Flow'!$B74,'Sponsor Pro Forma'!$B$16:$B$34,0),MATCH('Monthly Cash Flow'!BF$4,'Sponsor Pro Forma'!$O$15:$Z$15,0))/12,IF('Sponsor Pro Forma'!$L$42="Annual",'Monthly Cash Flow'!BE74*(1+'Sponsor Pro Forma'!$M18)^(IF(MOD(BF$5,12)=1,1,0)),'Monthly Cash Flow'!BE74*(1+'Sponsor Pro Forma'!$M18/12)))</f>
        <v>21294.439100398336</v>
      </c>
      <c r="BG74" s="1300">
        <f>IF('Sponsor Pro Forma'!$N18="Override",INDEX('Sponsor Pro Forma'!$O$16:$Z$34,MATCH('Monthly Cash Flow'!$B74,'Sponsor Pro Forma'!$B$16:$B$34,0),MATCH('Monthly Cash Flow'!BG$4,'Sponsor Pro Forma'!$O$15:$Z$15,0))/12,IF('Sponsor Pro Forma'!$L$42="Annual",'Monthly Cash Flow'!BF74*(1+'Sponsor Pro Forma'!$M18)^(IF(MOD(BG$5,12)=1,1,0)),'Monthly Cash Flow'!BF74*(1+'Sponsor Pro Forma'!$M18/12)))</f>
        <v>21294.439100398336</v>
      </c>
      <c r="BH74" s="1300">
        <f>IF('Sponsor Pro Forma'!$N18="Override",INDEX('Sponsor Pro Forma'!$O$16:$Z$34,MATCH('Monthly Cash Flow'!$B74,'Sponsor Pro Forma'!$B$16:$B$34,0),MATCH('Monthly Cash Flow'!BH$4,'Sponsor Pro Forma'!$O$15:$Z$15,0))/12,IF('Sponsor Pro Forma'!$L$42="Annual",'Monthly Cash Flow'!BG74*(1+'Sponsor Pro Forma'!$M18)^(IF(MOD(BH$5,12)=1,1,0)),'Monthly Cash Flow'!BG74*(1+'Sponsor Pro Forma'!$M18/12)))</f>
        <v>21294.439100398336</v>
      </c>
      <c r="BI74" s="1300">
        <f>IF('Sponsor Pro Forma'!$N18="Override",INDEX('Sponsor Pro Forma'!$O$16:$Z$34,MATCH('Monthly Cash Flow'!$B74,'Sponsor Pro Forma'!$B$16:$B$34,0),MATCH('Monthly Cash Flow'!BI$4,'Sponsor Pro Forma'!$O$15:$Z$15,0))/12,IF('Sponsor Pro Forma'!$L$42="Annual",'Monthly Cash Flow'!BH74*(1+'Sponsor Pro Forma'!$M18)^(IF(MOD(BI$5,12)=1,1,0)),'Monthly Cash Flow'!BH74*(1+'Sponsor Pro Forma'!$M18/12)))</f>
        <v>21294.439100398336</v>
      </c>
      <c r="BJ74" s="1300">
        <f>IF('Sponsor Pro Forma'!$N18="Override",INDEX('Sponsor Pro Forma'!$O$16:$Z$34,MATCH('Monthly Cash Flow'!$B74,'Sponsor Pro Forma'!$B$16:$B$34,0),MATCH('Monthly Cash Flow'!BJ$4,'Sponsor Pro Forma'!$O$15:$Z$15,0))/12,IF('Sponsor Pro Forma'!$L$42="Annual",'Monthly Cash Flow'!BI74*(1+'Sponsor Pro Forma'!$M18)^(IF(MOD(BJ$5,12)=1,1,0)),'Monthly Cash Flow'!BI74*(1+'Sponsor Pro Forma'!$M18/12)))</f>
        <v>21294.439100398336</v>
      </c>
      <c r="BK74" s="1300">
        <f>IF('Sponsor Pro Forma'!$N18="Override",INDEX('Sponsor Pro Forma'!$O$16:$Z$34,MATCH('Monthly Cash Flow'!$B74,'Sponsor Pro Forma'!$B$16:$B$34,0),MATCH('Monthly Cash Flow'!BK$4,'Sponsor Pro Forma'!$O$15:$Z$15,0))/12,IF('Sponsor Pro Forma'!$L$42="Annual",'Monthly Cash Flow'!BJ74*(1+'Sponsor Pro Forma'!$M18)^(IF(MOD(BK$5,12)=1,1,0)),'Monthly Cash Flow'!BJ74*(1+'Sponsor Pro Forma'!$M18/12)))</f>
        <v>21294.439100398336</v>
      </c>
      <c r="BL74" s="1300">
        <f>IF('Sponsor Pro Forma'!$N18="Override",INDEX('Sponsor Pro Forma'!$O$16:$Z$34,MATCH('Monthly Cash Flow'!$B74,'Sponsor Pro Forma'!$B$16:$B$34,0),MATCH('Monthly Cash Flow'!BL$4,'Sponsor Pro Forma'!$O$15:$Z$15,0))/12,IF('Sponsor Pro Forma'!$L$42="Annual",'Monthly Cash Flow'!BK74*(1+'Sponsor Pro Forma'!$M18)^(IF(MOD(BL$5,12)=1,1,0)),'Monthly Cash Flow'!BK74*(1+'Sponsor Pro Forma'!$M18/12)))</f>
        <v>21294.439100398336</v>
      </c>
      <c r="BM74" s="1300">
        <f>IF('Sponsor Pro Forma'!$N18="Override",INDEX('Sponsor Pro Forma'!$O$16:$Z$34,MATCH('Monthly Cash Flow'!$B74,'Sponsor Pro Forma'!$B$16:$B$34,0),MATCH('Monthly Cash Flow'!BM$4,'Sponsor Pro Forma'!$O$15:$Z$15,0))/12,IF('Sponsor Pro Forma'!$L$42="Annual",'Monthly Cash Flow'!BL74*(1+'Sponsor Pro Forma'!$M18)^(IF(MOD(BM$5,12)=1,1,0)),'Monthly Cash Flow'!BL74*(1+'Sponsor Pro Forma'!$M18/12)))</f>
        <v>21933.272273410286</v>
      </c>
      <c r="BN74" s="1300">
        <f>IF('Sponsor Pro Forma'!$N18="Override",INDEX('Sponsor Pro Forma'!$O$16:$Z$34,MATCH('Monthly Cash Flow'!$B74,'Sponsor Pro Forma'!$B$16:$B$34,0),MATCH('Monthly Cash Flow'!BN$4,'Sponsor Pro Forma'!$O$15:$Z$15,0))/12,IF('Sponsor Pro Forma'!$L$42="Annual",'Monthly Cash Flow'!BM74*(1+'Sponsor Pro Forma'!$M18)^(IF(MOD(BN$5,12)=1,1,0)),'Monthly Cash Flow'!BM74*(1+'Sponsor Pro Forma'!$M18/12)))</f>
        <v>21933.272273410286</v>
      </c>
      <c r="BO74" s="1300">
        <f>IF('Sponsor Pro Forma'!$N18="Override",INDEX('Sponsor Pro Forma'!$O$16:$Z$34,MATCH('Monthly Cash Flow'!$B74,'Sponsor Pro Forma'!$B$16:$B$34,0),MATCH('Monthly Cash Flow'!BO$4,'Sponsor Pro Forma'!$O$15:$Z$15,0))/12,IF('Sponsor Pro Forma'!$L$42="Annual",'Monthly Cash Flow'!BN74*(1+'Sponsor Pro Forma'!$M18)^(IF(MOD(BO$5,12)=1,1,0)),'Monthly Cash Flow'!BN74*(1+'Sponsor Pro Forma'!$M18/12)))</f>
        <v>21933.272273410286</v>
      </c>
      <c r="BP74" s="1300">
        <f>IF('Sponsor Pro Forma'!$N18="Override",INDEX('Sponsor Pro Forma'!$O$16:$Z$34,MATCH('Monthly Cash Flow'!$B74,'Sponsor Pro Forma'!$B$16:$B$34,0),MATCH('Monthly Cash Flow'!BP$4,'Sponsor Pro Forma'!$O$15:$Z$15,0))/12,IF('Sponsor Pro Forma'!$L$42="Annual",'Monthly Cash Flow'!BO74*(1+'Sponsor Pro Forma'!$M18)^(IF(MOD(BP$5,12)=1,1,0)),'Monthly Cash Flow'!BO74*(1+'Sponsor Pro Forma'!$M18/12)))</f>
        <v>21933.272273410286</v>
      </c>
      <c r="BQ74" s="1300">
        <f>IF('Sponsor Pro Forma'!$N18="Override",INDEX('Sponsor Pro Forma'!$O$16:$Z$34,MATCH('Monthly Cash Flow'!$B74,'Sponsor Pro Forma'!$B$16:$B$34,0),MATCH('Monthly Cash Flow'!BQ$4,'Sponsor Pro Forma'!$O$15:$Z$15,0))/12,IF('Sponsor Pro Forma'!$L$42="Annual",'Monthly Cash Flow'!BP74*(1+'Sponsor Pro Forma'!$M18)^(IF(MOD(BQ$5,12)=1,1,0)),'Monthly Cash Flow'!BP74*(1+'Sponsor Pro Forma'!$M18/12)))</f>
        <v>21933.272273410286</v>
      </c>
      <c r="BR74" s="1300">
        <f>IF('Sponsor Pro Forma'!$N18="Override",INDEX('Sponsor Pro Forma'!$O$16:$Z$34,MATCH('Monthly Cash Flow'!$B74,'Sponsor Pro Forma'!$B$16:$B$34,0),MATCH('Monthly Cash Flow'!BR$4,'Sponsor Pro Forma'!$O$15:$Z$15,0))/12,IF('Sponsor Pro Forma'!$L$42="Annual",'Monthly Cash Flow'!BQ74*(1+'Sponsor Pro Forma'!$M18)^(IF(MOD(BR$5,12)=1,1,0)),'Monthly Cash Flow'!BQ74*(1+'Sponsor Pro Forma'!$M18/12)))</f>
        <v>21933.272273410286</v>
      </c>
      <c r="BS74" s="1300">
        <f>IF('Sponsor Pro Forma'!$N18="Override",INDEX('Sponsor Pro Forma'!$O$16:$Z$34,MATCH('Monthly Cash Flow'!$B74,'Sponsor Pro Forma'!$B$16:$B$34,0),MATCH('Monthly Cash Flow'!BS$4,'Sponsor Pro Forma'!$O$15:$Z$15,0))/12,IF('Sponsor Pro Forma'!$L$42="Annual",'Monthly Cash Flow'!BR74*(1+'Sponsor Pro Forma'!$M18)^(IF(MOD(BS$5,12)=1,1,0)),'Monthly Cash Flow'!BR74*(1+'Sponsor Pro Forma'!$M18/12)))</f>
        <v>21933.272273410286</v>
      </c>
      <c r="BT74" s="1300">
        <f>IF('Sponsor Pro Forma'!$N18="Override",INDEX('Sponsor Pro Forma'!$O$16:$Z$34,MATCH('Monthly Cash Flow'!$B74,'Sponsor Pro Forma'!$B$16:$B$34,0),MATCH('Monthly Cash Flow'!BT$4,'Sponsor Pro Forma'!$O$15:$Z$15,0))/12,IF('Sponsor Pro Forma'!$L$42="Annual",'Monthly Cash Flow'!BS74*(1+'Sponsor Pro Forma'!$M18)^(IF(MOD(BT$5,12)=1,1,0)),'Monthly Cash Flow'!BS74*(1+'Sponsor Pro Forma'!$M18/12)))</f>
        <v>21933.272273410286</v>
      </c>
      <c r="BU74" s="1300">
        <f>IF('Sponsor Pro Forma'!$N18="Override",INDEX('Sponsor Pro Forma'!$O$16:$Z$34,MATCH('Monthly Cash Flow'!$B74,'Sponsor Pro Forma'!$B$16:$B$34,0),MATCH('Monthly Cash Flow'!BU$4,'Sponsor Pro Forma'!$O$15:$Z$15,0))/12,IF('Sponsor Pro Forma'!$L$42="Annual",'Monthly Cash Flow'!BT74*(1+'Sponsor Pro Forma'!$M18)^(IF(MOD(BU$5,12)=1,1,0)),'Monthly Cash Flow'!BT74*(1+'Sponsor Pro Forma'!$M18/12)))</f>
        <v>21933.272273410286</v>
      </c>
      <c r="BV74" s="1300">
        <f>IF('Sponsor Pro Forma'!$N18="Override",INDEX('Sponsor Pro Forma'!$O$16:$Z$34,MATCH('Monthly Cash Flow'!$B74,'Sponsor Pro Forma'!$B$16:$B$34,0),MATCH('Monthly Cash Flow'!BV$4,'Sponsor Pro Forma'!$O$15:$Z$15,0))/12,IF('Sponsor Pro Forma'!$L$42="Annual",'Monthly Cash Flow'!BU74*(1+'Sponsor Pro Forma'!$M18)^(IF(MOD(BV$5,12)=1,1,0)),'Monthly Cash Flow'!BU74*(1+'Sponsor Pro Forma'!$M18/12)))</f>
        <v>21933.272273410286</v>
      </c>
      <c r="BW74" s="1300">
        <f>IF('Sponsor Pro Forma'!$N18="Override",INDEX('Sponsor Pro Forma'!$O$16:$Z$34,MATCH('Monthly Cash Flow'!$B74,'Sponsor Pro Forma'!$B$16:$B$34,0),MATCH('Monthly Cash Flow'!BW$4,'Sponsor Pro Forma'!$O$15:$Z$15,0))/12,IF('Sponsor Pro Forma'!$L$42="Annual",'Monthly Cash Flow'!BV74*(1+'Sponsor Pro Forma'!$M18)^(IF(MOD(BW$5,12)=1,1,0)),'Monthly Cash Flow'!BV74*(1+'Sponsor Pro Forma'!$M18/12)))</f>
        <v>21933.272273410286</v>
      </c>
      <c r="BX74" s="1300">
        <f>IF('Sponsor Pro Forma'!$N18="Override",INDEX('Sponsor Pro Forma'!$O$16:$Z$34,MATCH('Monthly Cash Flow'!$B74,'Sponsor Pro Forma'!$B$16:$B$34,0),MATCH('Monthly Cash Flow'!BX$4,'Sponsor Pro Forma'!$O$15:$Z$15,0))/12,IF('Sponsor Pro Forma'!$L$42="Annual",'Monthly Cash Flow'!BW74*(1+'Sponsor Pro Forma'!$M18)^(IF(MOD(BX$5,12)=1,1,0)),'Monthly Cash Flow'!BW74*(1+'Sponsor Pro Forma'!$M18/12)))</f>
        <v>21933.272273410286</v>
      </c>
      <c r="BY74" s="1300">
        <f>IF('Sponsor Pro Forma'!$N18="Override",INDEX('Sponsor Pro Forma'!$O$16:$Z$34,MATCH('Monthly Cash Flow'!$B74,'Sponsor Pro Forma'!$B$16:$B$34,0),MATCH('Monthly Cash Flow'!BY$4,'Sponsor Pro Forma'!$O$15:$Z$15,0))/12,IF('Sponsor Pro Forma'!$L$42="Annual",'Monthly Cash Flow'!BX74*(1+'Sponsor Pro Forma'!$M18)^(IF(MOD(BY$5,12)=1,1,0)),'Monthly Cash Flow'!BX74*(1+'Sponsor Pro Forma'!$M18/12)))</f>
        <v>22591.270441612596</v>
      </c>
      <c r="BZ74" s="1300">
        <f>IF('Sponsor Pro Forma'!$N18="Override",INDEX('Sponsor Pro Forma'!$O$16:$Z$34,MATCH('Monthly Cash Flow'!$B74,'Sponsor Pro Forma'!$B$16:$B$34,0),MATCH('Monthly Cash Flow'!BZ$4,'Sponsor Pro Forma'!$O$15:$Z$15,0))/12,IF('Sponsor Pro Forma'!$L$42="Annual",'Monthly Cash Flow'!BY74*(1+'Sponsor Pro Forma'!$M18)^(IF(MOD(BZ$5,12)=1,1,0)),'Monthly Cash Flow'!BY74*(1+'Sponsor Pro Forma'!$M18/12)))</f>
        <v>22591.270441612596</v>
      </c>
      <c r="CA74" s="1300">
        <f>IF('Sponsor Pro Forma'!$N18="Override",INDEX('Sponsor Pro Forma'!$O$16:$Z$34,MATCH('Monthly Cash Flow'!$B74,'Sponsor Pro Forma'!$B$16:$B$34,0),MATCH('Monthly Cash Flow'!CA$4,'Sponsor Pro Forma'!$O$15:$Z$15,0))/12,IF('Sponsor Pro Forma'!$L$42="Annual",'Monthly Cash Flow'!BZ74*(1+'Sponsor Pro Forma'!$M18)^(IF(MOD(CA$5,12)=1,1,0)),'Monthly Cash Flow'!BZ74*(1+'Sponsor Pro Forma'!$M18/12)))</f>
        <v>22591.270441612596</v>
      </c>
      <c r="CB74" s="1300">
        <f>IF('Sponsor Pro Forma'!$N18="Override",INDEX('Sponsor Pro Forma'!$O$16:$Z$34,MATCH('Monthly Cash Flow'!$B74,'Sponsor Pro Forma'!$B$16:$B$34,0),MATCH('Monthly Cash Flow'!CB$4,'Sponsor Pro Forma'!$O$15:$Z$15,0))/12,IF('Sponsor Pro Forma'!$L$42="Annual",'Monthly Cash Flow'!CA74*(1+'Sponsor Pro Forma'!$M18)^(IF(MOD(CB$5,12)=1,1,0)),'Monthly Cash Flow'!CA74*(1+'Sponsor Pro Forma'!$M18/12)))</f>
        <v>22591.270441612596</v>
      </c>
      <c r="CC74" s="1300">
        <f>IF('Sponsor Pro Forma'!$N18="Override",INDEX('Sponsor Pro Forma'!$O$16:$Z$34,MATCH('Monthly Cash Flow'!$B74,'Sponsor Pro Forma'!$B$16:$B$34,0),MATCH('Monthly Cash Flow'!CC$4,'Sponsor Pro Forma'!$O$15:$Z$15,0))/12,IF('Sponsor Pro Forma'!$L$42="Annual",'Monthly Cash Flow'!CB74*(1+'Sponsor Pro Forma'!$M18)^(IF(MOD(CC$5,12)=1,1,0)),'Monthly Cash Flow'!CB74*(1+'Sponsor Pro Forma'!$M18/12)))</f>
        <v>22591.270441612596</v>
      </c>
      <c r="CD74" s="1300">
        <f>IF('Sponsor Pro Forma'!$N18="Override",INDEX('Sponsor Pro Forma'!$O$16:$Z$34,MATCH('Monthly Cash Flow'!$B74,'Sponsor Pro Forma'!$B$16:$B$34,0),MATCH('Monthly Cash Flow'!CD$4,'Sponsor Pro Forma'!$O$15:$Z$15,0))/12,IF('Sponsor Pro Forma'!$L$42="Annual",'Monthly Cash Flow'!CC74*(1+'Sponsor Pro Forma'!$M18)^(IF(MOD(CD$5,12)=1,1,0)),'Monthly Cash Flow'!CC74*(1+'Sponsor Pro Forma'!$M18/12)))</f>
        <v>22591.270441612596</v>
      </c>
      <c r="CE74" s="1300">
        <f>IF('Sponsor Pro Forma'!$N18="Override",INDEX('Sponsor Pro Forma'!$O$16:$Z$34,MATCH('Monthly Cash Flow'!$B74,'Sponsor Pro Forma'!$B$16:$B$34,0),MATCH('Monthly Cash Flow'!CE$4,'Sponsor Pro Forma'!$O$15:$Z$15,0))/12,IF('Sponsor Pro Forma'!$L$42="Annual",'Monthly Cash Flow'!CD74*(1+'Sponsor Pro Forma'!$M18)^(IF(MOD(CE$5,12)=1,1,0)),'Monthly Cash Flow'!CD74*(1+'Sponsor Pro Forma'!$M18/12)))</f>
        <v>22591.270441612596</v>
      </c>
      <c r="CF74" s="1300">
        <f>IF('Sponsor Pro Forma'!$N18="Override",INDEX('Sponsor Pro Forma'!$O$16:$Z$34,MATCH('Monthly Cash Flow'!$B74,'Sponsor Pro Forma'!$B$16:$B$34,0),MATCH('Monthly Cash Flow'!CF$4,'Sponsor Pro Forma'!$O$15:$Z$15,0))/12,IF('Sponsor Pro Forma'!$L$42="Annual",'Monthly Cash Flow'!CE74*(1+'Sponsor Pro Forma'!$M18)^(IF(MOD(CF$5,12)=1,1,0)),'Monthly Cash Flow'!CE74*(1+'Sponsor Pro Forma'!$M18/12)))</f>
        <v>22591.270441612596</v>
      </c>
      <c r="CG74" s="1300">
        <f>IF('Sponsor Pro Forma'!$N18="Override",INDEX('Sponsor Pro Forma'!$O$16:$Z$34,MATCH('Monthly Cash Flow'!$B74,'Sponsor Pro Forma'!$B$16:$B$34,0),MATCH('Monthly Cash Flow'!CG$4,'Sponsor Pro Forma'!$O$15:$Z$15,0))/12,IF('Sponsor Pro Forma'!$L$42="Annual",'Monthly Cash Flow'!CF74*(1+'Sponsor Pro Forma'!$M18)^(IF(MOD(CG$5,12)=1,1,0)),'Monthly Cash Flow'!CF74*(1+'Sponsor Pro Forma'!$M18/12)))</f>
        <v>22591.270441612596</v>
      </c>
      <c r="CH74" s="1300">
        <f>IF('Sponsor Pro Forma'!$N18="Override",INDEX('Sponsor Pro Forma'!$O$16:$Z$34,MATCH('Monthly Cash Flow'!$B74,'Sponsor Pro Forma'!$B$16:$B$34,0),MATCH('Monthly Cash Flow'!CH$4,'Sponsor Pro Forma'!$O$15:$Z$15,0))/12,IF('Sponsor Pro Forma'!$L$42="Annual",'Monthly Cash Flow'!CG74*(1+'Sponsor Pro Forma'!$M18)^(IF(MOD(CH$5,12)=1,1,0)),'Monthly Cash Flow'!CG74*(1+'Sponsor Pro Forma'!$M18/12)))</f>
        <v>22591.270441612596</v>
      </c>
      <c r="CI74" s="1300">
        <f>IF('Sponsor Pro Forma'!$N18="Override",INDEX('Sponsor Pro Forma'!$O$16:$Z$34,MATCH('Monthly Cash Flow'!$B74,'Sponsor Pro Forma'!$B$16:$B$34,0),MATCH('Monthly Cash Flow'!CI$4,'Sponsor Pro Forma'!$O$15:$Z$15,0))/12,IF('Sponsor Pro Forma'!$L$42="Annual",'Monthly Cash Flow'!CH74*(1+'Sponsor Pro Forma'!$M18)^(IF(MOD(CI$5,12)=1,1,0)),'Monthly Cash Flow'!CH74*(1+'Sponsor Pro Forma'!$M18/12)))</f>
        <v>22591.270441612596</v>
      </c>
      <c r="CJ74" s="1300">
        <f>IF('Sponsor Pro Forma'!$N18="Override",INDEX('Sponsor Pro Forma'!$O$16:$Z$34,MATCH('Monthly Cash Flow'!$B74,'Sponsor Pro Forma'!$B$16:$B$34,0),MATCH('Monthly Cash Flow'!CJ$4,'Sponsor Pro Forma'!$O$15:$Z$15,0))/12,IF('Sponsor Pro Forma'!$L$42="Annual",'Monthly Cash Flow'!CI74*(1+'Sponsor Pro Forma'!$M18)^(IF(MOD(CJ$5,12)=1,1,0)),'Monthly Cash Flow'!CI74*(1+'Sponsor Pro Forma'!$M18/12)))</f>
        <v>22591.270441612596</v>
      </c>
      <c r="CK74" s="1300">
        <f>IF('Sponsor Pro Forma'!$N18="Override",INDEX('Sponsor Pro Forma'!$O$16:$Z$34,MATCH('Monthly Cash Flow'!$B74,'Sponsor Pro Forma'!$B$16:$B$34,0),MATCH('Monthly Cash Flow'!CK$4,'Sponsor Pro Forma'!$O$15:$Z$15,0))/12,IF('Sponsor Pro Forma'!$L$42="Annual",'Monthly Cash Flow'!CJ74*(1+'Sponsor Pro Forma'!$M18)^(IF(MOD(CK$5,12)=1,1,0)),'Monthly Cash Flow'!CJ74*(1+'Sponsor Pro Forma'!$M18/12)))</f>
        <v>23269.008554860975</v>
      </c>
      <c r="CL74" s="1300">
        <f>IF('Sponsor Pro Forma'!$N18="Override",INDEX('Sponsor Pro Forma'!$O$16:$Z$34,MATCH('Monthly Cash Flow'!$B74,'Sponsor Pro Forma'!$B$16:$B$34,0),MATCH('Monthly Cash Flow'!CL$4,'Sponsor Pro Forma'!$O$15:$Z$15,0))/12,IF('Sponsor Pro Forma'!$L$42="Annual",'Monthly Cash Flow'!CK74*(1+'Sponsor Pro Forma'!$M18)^(IF(MOD(CL$5,12)=1,1,0)),'Monthly Cash Flow'!CK74*(1+'Sponsor Pro Forma'!$M18/12)))</f>
        <v>23269.008554860975</v>
      </c>
      <c r="CM74" s="1300">
        <f>IF('Sponsor Pro Forma'!$N18="Override",INDEX('Sponsor Pro Forma'!$O$16:$Z$34,MATCH('Monthly Cash Flow'!$B74,'Sponsor Pro Forma'!$B$16:$B$34,0),MATCH('Monthly Cash Flow'!CM$4,'Sponsor Pro Forma'!$O$15:$Z$15,0))/12,IF('Sponsor Pro Forma'!$L$42="Annual",'Monthly Cash Flow'!CL74*(1+'Sponsor Pro Forma'!$M18)^(IF(MOD(CM$5,12)=1,1,0)),'Monthly Cash Flow'!CL74*(1+'Sponsor Pro Forma'!$M18/12)))</f>
        <v>23269.008554860975</v>
      </c>
      <c r="CN74" s="1300">
        <f>IF('Sponsor Pro Forma'!$N18="Override",INDEX('Sponsor Pro Forma'!$O$16:$Z$34,MATCH('Monthly Cash Flow'!$B74,'Sponsor Pro Forma'!$B$16:$B$34,0),MATCH('Monthly Cash Flow'!CN$4,'Sponsor Pro Forma'!$O$15:$Z$15,0))/12,IF('Sponsor Pro Forma'!$L$42="Annual",'Monthly Cash Flow'!CM74*(1+'Sponsor Pro Forma'!$M18)^(IF(MOD(CN$5,12)=1,1,0)),'Monthly Cash Flow'!CM74*(1+'Sponsor Pro Forma'!$M18/12)))</f>
        <v>23269.008554860975</v>
      </c>
      <c r="CO74" s="1300">
        <f>IF('Sponsor Pro Forma'!$N18="Override",INDEX('Sponsor Pro Forma'!$O$16:$Z$34,MATCH('Monthly Cash Flow'!$B74,'Sponsor Pro Forma'!$B$16:$B$34,0),MATCH('Monthly Cash Flow'!CO$4,'Sponsor Pro Forma'!$O$15:$Z$15,0))/12,IF('Sponsor Pro Forma'!$L$42="Annual",'Monthly Cash Flow'!CN74*(1+'Sponsor Pro Forma'!$M18)^(IF(MOD(CO$5,12)=1,1,0)),'Monthly Cash Flow'!CN74*(1+'Sponsor Pro Forma'!$M18/12)))</f>
        <v>23269.008554860975</v>
      </c>
      <c r="CP74" s="1300">
        <f>IF('Sponsor Pro Forma'!$N18="Override",INDEX('Sponsor Pro Forma'!$O$16:$Z$34,MATCH('Monthly Cash Flow'!$B74,'Sponsor Pro Forma'!$B$16:$B$34,0),MATCH('Monthly Cash Flow'!CP$4,'Sponsor Pro Forma'!$O$15:$Z$15,0))/12,IF('Sponsor Pro Forma'!$L$42="Annual",'Monthly Cash Flow'!CO74*(1+'Sponsor Pro Forma'!$M18)^(IF(MOD(CP$5,12)=1,1,0)),'Monthly Cash Flow'!CO74*(1+'Sponsor Pro Forma'!$M18/12)))</f>
        <v>23269.008554860975</v>
      </c>
      <c r="CQ74" s="1300">
        <f>IF('Sponsor Pro Forma'!$N18="Override",INDEX('Sponsor Pro Forma'!$O$16:$Z$34,MATCH('Monthly Cash Flow'!$B74,'Sponsor Pro Forma'!$B$16:$B$34,0),MATCH('Monthly Cash Flow'!CQ$4,'Sponsor Pro Forma'!$O$15:$Z$15,0))/12,IF('Sponsor Pro Forma'!$L$42="Annual",'Monthly Cash Flow'!CP74*(1+'Sponsor Pro Forma'!$M18)^(IF(MOD(CQ$5,12)=1,1,0)),'Monthly Cash Flow'!CP74*(1+'Sponsor Pro Forma'!$M18/12)))</f>
        <v>23269.008554860975</v>
      </c>
      <c r="CR74" s="1300">
        <f>IF('Sponsor Pro Forma'!$N18="Override",INDEX('Sponsor Pro Forma'!$O$16:$Z$34,MATCH('Monthly Cash Flow'!$B74,'Sponsor Pro Forma'!$B$16:$B$34,0),MATCH('Monthly Cash Flow'!CR$4,'Sponsor Pro Forma'!$O$15:$Z$15,0))/12,IF('Sponsor Pro Forma'!$L$42="Annual",'Monthly Cash Flow'!CQ74*(1+'Sponsor Pro Forma'!$M18)^(IF(MOD(CR$5,12)=1,1,0)),'Monthly Cash Flow'!CQ74*(1+'Sponsor Pro Forma'!$M18/12)))</f>
        <v>23269.008554860975</v>
      </c>
      <c r="CS74" s="1300">
        <f>IF('Sponsor Pro Forma'!$N18="Override",INDEX('Sponsor Pro Forma'!$O$16:$Z$34,MATCH('Monthly Cash Flow'!$B74,'Sponsor Pro Forma'!$B$16:$B$34,0),MATCH('Monthly Cash Flow'!CS$4,'Sponsor Pro Forma'!$O$15:$Z$15,0))/12,IF('Sponsor Pro Forma'!$L$42="Annual",'Monthly Cash Flow'!CR74*(1+'Sponsor Pro Forma'!$M18)^(IF(MOD(CS$5,12)=1,1,0)),'Monthly Cash Flow'!CR74*(1+'Sponsor Pro Forma'!$M18/12)))</f>
        <v>23269.008554860975</v>
      </c>
      <c r="CT74" s="1300">
        <f>IF('Sponsor Pro Forma'!$N18="Override",INDEX('Sponsor Pro Forma'!$O$16:$Z$34,MATCH('Monthly Cash Flow'!$B74,'Sponsor Pro Forma'!$B$16:$B$34,0),MATCH('Monthly Cash Flow'!CT$4,'Sponsor Pro Forma'!$O$15:$Z$15,0))/12,IF('Sponsor Pro Forma'!$L$42="Annual",'Monthly Cash Flow'!CS74*(1+'Sponsor Pro Forma'!$M18)^(IF(MOD(CT$5,12)=1,1,0)),'Monthly Cash Flow'!CS74*(1+'Sponsor Pro Forma'!$M18/12)))</f>
        <v>23269.008554860975</v>
      </c>
      <c r="CU74" s="1300">
        <f>IF('Sponsor Pro Forma'!$N18="Override",INDEX('Sponsor Pro Forma'!$O$16:$Z$34,MATCH('Monthly Cash Flow'!$B74,'Sponsor Pro Forma'!$B$16:$B$34,0),MATCH('Monthly Cash Flow'!CU$4,'Sponsor Pro Forma'!$O$15:$Z$15,0))/12,IF('Sponsor Pro Forma'!$L$42="Annual",'Monthly Cash Flow'!CT74*(1+'Sponsor Pro Forma'!$M18)^(IF(MOD(CU$5,12)=1,1,0)),'Monthly Cash Flow'!CT74*(1+'Sponsor Pro Forma'!$M18/12)))</f>
        <v>23269.008554860975</v>
      </c>
      <c r="CV74" s="1300">
        <f>IF('Sponsor Pro Forma'!$N18="Override",INDEX('Sponsor Pro Forma'!$O$16:$Z$34,MATCH('Monthly Cash Flow'!$B74,'Sponsor Pro Forma'!$B$16:$B$34,0),MATCH('Monthly Cash Flow'!CV$4,'Sponsor Pro Forma'!$O$15:$Z$15,0))/12,IF('Sponsor Pro Forma'!$L$42="Annual",'Monthly Cash Flow'!CU74*(1+'Sponsor Pro Forma'!$M18)^(IF(MOD(CV$5,12)=1,1,0)),'Monthly Cash Flow'!CU74*(1+'Sponsor Pro Forma'!$M18/12)))</f>
        <v>23269.008554860975</v>
      </c>
      <c r="CW74" s="1300">
        <f>IF('Sponsor Pro Forma'!$N18="Override",INDEX('Sponsor Pro Forma'!$O$16:$Z$34,MATCH('Monthly Cash Flow'!$B74,'Sponsor Pro Forma'!$B$16:$B$34,0),MATCH('Monthly Cash Flow'!CW$4,'Sponsor Pro Forma'!$O$15:$Z$15,0))/12,IF('Sponsor Pro Forma'!$L$42="Annual",'Monthly Cash Flow'!CV74*(1+'Sponsor Pro Forma'!$M18)^(IF(MOD(CW$5,12)=1,1,0)),'Monthly Cash Flow'!CV74*(1+'Sponsor Pro Forma'!$M18/12)))</f>
        <v>23967.078811506803</v>
      </c>
      <c r="CX74" s="1300">
        <f>IF('Sponsor Pro Forma'!$N18="Override",INDEX('Sponsor Pro Forma'!$O$16:$Z$34,MATCH('Monthly Cash Flow'!$B74,'Sponsor Pro Forma'!$B$16:$B$34,0),MATCH('Monthly Cash Flow'!CX$4,'Sponsor Pro Forma'!$O$15:$Z$15,0))/12,IF('Sponsor Pro Forma'!$L$42="Annual",'Monthly Cash Flow'!CW74*(1+'Sponsor Pro Forma'!$M18)^(IF(MOD(CX$5,12)=1,1,0)),'Monthly Cash Flow'!CW74*(1+'Sponsor Pro Forma'!$M18/12)))</f>
        <v>23967.078811506803</v>
      </c>
      <c r="CY74" s="1300">
        <f>IF('Sponsor Pro Forma'!$N18="Override",INDEX('Sponsor Pro Forma'!$O$16:$Z$34,MATCH('Monthly Cash Flow'!$B74,'Sponsor Pro Forma'!$B$16:$B$34,0),MATCH('Monthly Cash Flow'!CY$4,'Sponsor Pro Forma'!$O$15:$Z$15,0))/12,IF('Sponsor Pro Forma'!$L$42="Annual",'Monthly Cash Flow'!CX74*(1+'Sponsor Pro Forma'!$M18)^(IF(MOD(CY$5,12)=1,1,0)),'Monthly Cash Flow'!CX74*(1+'Sponsor Pro Forma'!$M18/12)))</f>
        <v>23967.078811506803</v>
      </c>
      <c r="CZ74" s="1300">
        <f>IF('Sponsor Pro Forma'!$N18="Override",INDEX('Sponsor Pro Forma'!$O$16:$Z$34,MATCH('Monthly Cash Flow'!$B74,'Sponsor Pro Forma'!$B$16:$B$34,0),MATCH('Monthly Cash Flow'!CZ$4,'Sponsor Pro Forma'!$O$15:$Z$15,0))/12,IF('Sponsor Pro Forma'!$L$42="Annual",'Monthly Cash Flow'!CY74*(1+'Sponsor Pro Forma'!$M18)^(IF(MOD(CZ$5,12)=1,1,0)),'Monthly Cash Flow'!CY74*(1+'Sponsor Pro Forma'!$M18/12)))</f>
        <v>23967.078811506803</v>
      </c>
      <c r="DA74" s="1300">
        <f>IF('Sponsor Pro Forma'!$N18="Override",INDEX('Sponsor Pro Forma'!$O$16:$Z$34,MATCH('Monthly Cash Flow'!$B74,'Sponsor Pro Forma'!$B$16:$B$34,0),MATCH('Monthly Cash Flow'!DA$4,'Sponsor Pro Forma'!$O$15:$Z$15,0))/12,IF('Sponsor Pro Forma'!$L$42="Annual",'Monthly Cash Flow'!CZ74*(1+'Sponsor Pro Forma'!$M18)^(IF(MOD(DA$5,12)=1,1,0)),'Monthly Cash Flow'!CZ74*(1+'Sponsor Pro Forma'!$M18/12)))</f>
        <v>23967.078811506803</v>
      </c>
      <c r="DB74" s="1300">
        <f>IF('Sponsor Pro Forma'!$N18="Override",INDEX('Sponsor Pro Forma'!$O$16:$Z$34,MATCH('Monthly Cash Flow'!$B74,'Sponsor Pro Forma'!$B$16:$B$34,0),MATCH('Monthly Cash Flow'!DB$4,'Sponsor Pro Forma'!$O$15:$Z$15,0))/12,IF('Sponsor Pro Forma'!$L$42="Annual",'Monthly Cash Flow'!DA74*(1+'Sponsor Pro Forma'!$M18)^(IF(MOD(DB$5,12)=1,1,0)),'Monthly Cash Flow'!DA74*(1+'Sponsor Pro Forma'!$M18/12)))</f>
        <v>23967.078811506803</v>
      </c>
      <c r="DC74" s="1300">
        <f>IF('Sponsor Pro Forma'!$N18="Override",INDEX('Sponsor Pro Forma'!$O$16:$Z$34,MATCH('Monthly Cash Flow'!$B74,'Sponsor Pro Forma'!$B$16:$B$34,0),MATCH('Monthly Cash Flow'!DC$4,'Sponsor Pro Forma'!$O$15:$Z$15,0))/12,IF('Sponsor Pro Forma'!$L$42="Annual",'Monthly Cash Flow'!DB74*(1+'Sponsor Pro Forma'!$M18)^(IF(MOD(DC$5,12)=1,1,0)),'Monthly Cash Flow'!DB74*(1+'Sponsor Pro Forma'!$M18/12)))</f>
        <v>23967.078811506803</v>
      </c>
      <c r="DD74" s="1300">
        <f>IF('Sponsor Pro Forma'!$N18="Override",INDEX('Sponsor Pro Forma'!$O$16:$Z$34,MATCH('Monthly Cash Flow'!$B74,'Sponsor Pro Forma'!$B$16:$B$34,0),MATCH('Monthly Cash Flow'!DD$4,'Sponsor Pro Forma'!$O$15:$Z$15,0))/12,IF('Sponsor Pro Forma'!$L$42="Annual",'Monthly Cash Flow'!DC74*(1+'Sponsor Pro Forma'!$M18)^(IF(MOD(DD$5,12)=1,1,0)),'Monthly Cash Flow'!DC74*(1+'Sponsor Pro Forma'!$M18/12)))</f>
        <v>23967.078811506803</v>
      </c>
      <c r="DE74" s="1300">
        <f>IF('Sponsor Pro Forma'!$N18="Override",INDEX('Sponsor Pro Forma'!$O$16:$Z$34,MATCH('Monthly Cash Flow'!$B74,'Sponsor Pro Forma'!$B$16:$B$34,0),MATCH('Monthly Cash Flow'!DE$4,'Sponsor Pro Forma'!$O$15:$Z$15,0))/12,IF('Sponsor Pro Forma'!$L$42="Annual",'Monthly Cash Flow'!DD74*(1+'Sponsor Pro Forma'!$M18)^(IF(MOD(DE$5,12)=1,1,0)),'Monthly Cash Flow'!DD74*(1+'Sponsor Pro Forma'!$M18/12)))</f>
        <v>23967.078811506803</v>
      </c>
      <c r="DF74" s="1300">
        <f>IF('Sponsor Pro Forma'!$N18="Override",INDEX('Sponsor Pro Forma'!$O$16:$Z$34,MATCH('Monthly Cash Flow'!$B74,'Sponsor Pro Forma'!$B$16:$B$34,0),MATCH('Monthly Cash Flow'!DF$4,'Sponsor Pro Forma'!$O$15:$Z$15,0))/12,IF('Sponsor Pro Forma'!$L$42="Annual",'Monthly Cash Flow'!DE74*(1+'Sponsor Pro Forma'!$M18)^(IF(MOD(DF$5,12)=1,1,0)),'Monthly Cash Flow'!DE74*(1+'Sponsor Pro Forma'!$M18/12)))</f>
        <v>23967.078811506803</v>
      </c>
      <c r="DG74" s="1300">
        <f>IF('Sponsor Pro Forma'!$N18="Override",INDEX('Sponsor Pro Forma'!$O$16:$Z$34,MATCH('Monthly Cash Flow'!$B74,'Sponsor Pro Forma'!$B$16:$B$34,0),MATCH('Monthly Cash Flow'!DG$4,'Sponsor Pro Forma'!$O$15:$Z$15,0))/12,IF('Sponsor Pro Forma'!$L$42="Annual",'Monthly Cash Flow'!DF74*(1+'Sponsor Pro Forma'!$M18)^(IF(MOD(DG$5,12)=1,1,0)),'Monthly Cash Flow'!DF74*(1+'Sponsor Pro Forma'!$M18/12)))</f>
        <v>23967.078811506803</v>
      </c>
      <c r="DH74" s="1300">
        <f>IF('Sponsor Pro Forma'!$N18="Override",INDEX('Sponsor Pro Forma'!$O$16:$Z$34,MATCH('Monthly Cash Flow'!$B74,'Sponsor Pro Forma'!$B$16:$B$34,0),MATCH('Monthly Cash Flow'!DH$4,'Sponsor Pro Forma'!$O$15:$Z$15,0))/12,IF('Sponsor Pro Forma'!$L$42="Annual",'Monthly Cash Flow'!DG74*(1+'Sponsor Pro Forma'!$M18)^(IF(MOD(DH$5,12)=1,1,0)),'Monthly Cash Flow'!DG74*(1+'Sponsor Pro Forma'!$M18/12)))</f>
        <v>23967.078811506803</v>
      </c>
      <c r="DI74" s="1300">
        <f>IF('Sponsor Pro Forma'!$N18="Override",INDEX('Sponsor Pro Forma'!$O$16:$Z$34,MATCH('Monthly Cash Flow'!$B74,'Sponsor Pro Forma'!$B$16:$B$34,0),MATCH('Monthly Cash Flow'!DI$4,'Sponsor Pro Forma'!$O$15:$Z$15,0))/12,IF('Sponsor Pro Forma'!$L$42="Annual",'Monthly Cash Flow'!DH74*(1+'Sponsor Pro Forma'!$M18)^(IF(MOD(DI$5,12)=1,1,0)),'Monthly Cash Flow'!DH74*(1+'Sponsor Pro Forma'!$M18/12)))</f>
        <v>24686.091175852009</v>
      </c>
      <c r="DJ74" s="1300">
        <f>IF('Sponsor Pro Forma'!$N18="Override",INDEX('Sponsor Pro Forma'!$O$16:$Z$34,MATCH('Monthly Cash Flow'!$B74,'Sponsor Pro Forma'!$B$16:$B$34,0),MATCH('Monthly Cash Flow'!DJ$4,'Sponsor Pro Forma'!$O$15:$Z$15,0))/12,IF('Sponsor Pro Forma'!$L$42="Annual",'Monthly Cash Flow'!DI74*(1+'Sponsor Pro Forma'!$M18)^(IF(MOD(DJ$5,12)=1,1,0)),'Monthly Cash Flow'!DI74*(1+'Sponsor Pro Forma'!$M18/12)))</f>
        <v>24686.091175852009</v>
      </c>
      <c r="DK74" s="1300">
        <f>IF('Sponsor Pro Forma'!$N18="Override",INDEX('Sponsor Pro Forma'!$O$16:$Z$34,MATCH('Monthly Cash Flow'!$B74,'Sponsor Pro Forma'!$B$16:$B$34,0),MATCH('Monthly Cash Flow'!DK$4,'Sponsor Pro Forma'!$O$15:$Z$15,0))/12,IF('Sponsor Pro Forma'!$L$42="Annual",'Monthly Cash Flow'!DJ74*(1+'Sponsor Pro Forma'!$M18)^(IF(MOD(DK$5,12)=1,1,0)),'Monthly Cash Flow'!DJ74*(1+'Sponsor Pro Forma'!$M18/12)))</f>
        <v>24686.091175852009</v>
      </c>
      <c r="DL74" s="1300">
        <f>IF('Sponsor Pro Forma'!$N18="Override",INDEX('Sponsor Pro Forma'!$O$16:$Z$34,MATCH('Monthly Cash Flow'!$B74,'Sponsor Pro Forma'!$B$16:$B$34,0),MATCH('Monthly Cash Flow'!DL$4,'Sponsor Pro Forma'!$O$15:$Z$15,0))/12,IF('Sponsor Pro Forma'!$L$42="Annual",'Monthly Cash Flow'!DK74*(1+'Sponsor Pro Forma'!$M18)^(IF(MOD(DL$5,12)=1,1,0)),'Monthly Cash Flow'!DK74*(1+'Sponsor Pro Forma'!$M18/12)))</f>
        <v>24686.091175852009</v>
      </c>
      <c r="DM74" s="1300">
        <f>IF('Sponsor Pro Forma'!$N18="Override",INDEX('Sponsor Pro Forma'!$O$16:$Z$34,MATCH('Monthly Cash Flow'!$B74,'Sponsor Pro Forma'!$B$16:$B$34,0),MATCH('Monthly Cash Flow'!DM$4,'Sponsor Pro Forma'!$O$15:$Z$15,0))/12,IF('Sponsor Pro Forma'!$L$42="Annual",'Monthly Cash Flow'!DL74*(1+'Sponsor Pro Forma'!$M18)^(IF(MOD(DM$5,12)=1,1,0)),'Monthly Cash Flow'!DL74*(1+'Sponsor Pro Forma'!$M18/12)))</f>
        <v>24686.091175852009</v>
      </c>
      <c r="DN74" s="1300">
        <f>IF('Sponsor Pro Forma'!$N18="Override",INDEX('Sponsor Pro Forma'!$O$16:$Z$34,MATCH('Monthly Cash Flow'!$B74,'Sponsor Pro Forma'!$B$16:$B$34,0),MATCH('Monthly Cash Flow'!DN$4,'Sponsor Pro Forma'!$O$15:$Z$15,0))/12,IF('Sponsor Pro Forma'!$L$42="Annual",'Monthly Cash Flow'!DM74*(1+'Sponsor Pro Forma'!$M18)^(IF(MOD(DN$5,12)=1,1,0)),'Monthly Cash Flow'!DM74*(1+'Sponsor Pro Forma'!$M18/12)))</f>
        <v>24686.091175852009</v>
      </c>
      <c r="DO74" s="1300">
        <f>IF('Sponsor Pro Forma'!$N18="Override",INDEX('Sponsor Pro Forma'!$O$16:$Z$34,MATCH('Monthly Cash Flow'!$B74,'Sponsor Pro Forma'!$B$16:$B$34,0),MATCH('Monthly Cash Flow'!DO$4,'Sponsor Pro Forma'!$O$15:$Z$15,0))/12,IF('Sponsor Pro Forma'!$L$42="Annual",'Monthly Cash Flow'!DN74*(1+'Sponsor Pro Forma'!$M18)^(IF(MOD(DO$5,12)=1,1,0)),'Monthly Cash Flow'!DN74*(1+'Sponsor Pro Forma'!$M18/12)))</f>
        <v>24686.091175852009</v>
      </c>
      <c r="DP74" s="1300">
        <f>IF('Sponsor Pro Forma'!$N18="Override",INDEX('Sponsor Pro Forma'!$O$16:$Z$34,MATCH('Monthly Cash Flow'!$B74,'Sponsor Pro Forma'!$B$16:$B$34,0),MATCH('Monthly Cash Flow'!DP$4,'Sponsor Pro Forma'!$O$15:$Z$15,0))/12,IF('Sponsor Pro Forma'!$L$42="Annual",'Monthly Cash Flow'!DO74*(1+'Sponsor Pro Forma'!$M18)^(IF(MOD(DP$5,12)=1,1,0)),'Monthly Cash Flow'!DO74*(1+'Sponsor Pro Forma'!$M18/12)))</f>
        <v>24686.091175852009</v>
      </c>
      <c r="DQ74" s="1300">
        <f>IF('Sponsor Pro Forma'!$N18="Override",INDEX('Sponsor Pro Forma'!$O$16:$Z$34,MATCH('Monthly Cash Flow'!$B74,'Sponsor Pro Forma'!$B$16:$B$34,0),MATCH('Monthly Cash Flow'!DQ$4,'Sponsor Pro Forma'!$O$15:$Z$15,0))/12,IF('Sponsor Pro Forma'!$L$42="Annual",'Monthly Cash Flow'!DP74*(1+'Sponsor Pro Forma'!$M18)^(IF(MOD(DQ$5,12)=1,1,0)),'Monthly Cash Flow'!DP74*(1+'Sponsor Pro Forma'!$M18/12)))</f>
        <v>24686.091175852009</v>
      </c>
      <c r="DR74" s="1300">
        <f>IF('Sponsor Pro Forma'!$N18="Override",INDEX('Sponsor Pro Forma'!$O$16:$Z$34,MATCH('Monthly Cash Flow'!$B74,'Sponsor Pro Forma'!$B$16:$B$34,0),MATCH('Monthly Cash Flow'!DR$4,'Sponsor Pro Forma'!$O$15:$Z$15,0))/12,IF('Sponsor Pro Forma'!$L$42="Annual",'Monthly Cash Flow'!DQ74*(1+'Sponsor Pro Forma'!$M18)^(IF(MOD(DR$5,12)=1,1,0)),'Monthly Cash Flow'!DQ74*(1+'Sponsor Pro Forma'!$M18/12)))</f>
        <v>24686.091175852009</v>
      </c>
      <c r="DS74" s="1300">
        <f>IF('Sponsor Pro Forma'!$N18="Override",INDEX('Sponsor Pro Forma'!$O$16:$Z$34,MATCH('Monthly Cash Flow'!$B74,'Sponsor Pro Forma'!$B$16:$B$34,0),MATCH('Monthly Cash Flow'!DS$4,'Sponsor Pro Forma'!$O$15:$Z$15,0))/12,IF('Sponsor Pro Forma'!$L$42="Annual",'Monthly Cash Flow'!DR74*(1+'Sponsor Pro Forma'!$M18)^(IF(MOD(DS$5,12)=1,1,0)),'Monthly Cash Flow'!DR74*(1+'Sponsor Pro Forma'!$M18/12)))</f>
        <v>24686.091175852009</v>
      </c>
      <c r="DT74" s="1300">
        <f>IF('Sponsor Pro Forma'!$N18="Override",INDEX('Sponsor Pro Forma'!$O$16:$Z$34,MATCH('Monthly Cash Flow'!$B74,'Sponsor Pro Forma'!$B$16:$B$34,0),MATCH('Monthly Cash Flow'!DT$4,'Sponsor Pro Forma'!$O$15:$Z$15,0))/12,IF('Sponsor Pro Forma'!$L$42="Annual",'Monthly Cash Flow'!DS74*(1+'Sponsor Pro Forma'!$M18)^(IF(MOD(DT$5,12)=1,1,0)),'Monthly Cash Flow'!DS74*(1+'Sponsor Pro Forma'!$M18/12)))</f>
        <v>24686.091175852009</v>
      </c>
      <c r="DU74" s="401" t="s">
        <v>557</v>
      </c>
      <c r="DV74" s="196"/>
    </row>
    <row r="75" spans="1:126" s="5" customFormat="1" ht="19">
      <c r="A75" s="399"/>
      <c r="B75" s="414" t="s">
        <v>608</v>
      </c>
      <c r="C75" s="403"/>
      <c r="D75" s="415">
        <f>SUM(D72:D74)</f>
        <v>59958.916666666672</v>
      </c>
      <c r="E75" s="405">
        <f>SUM(E72:E74)</f>
        <v>59958.916666666672</v>
      </c>
      <c r="F75" s="405">
        <f t="shared" ref="F75:BQ75" si="137">SUM(F72:F74)</f>
        <v>59958.916666666672</v>
      </c>
      <c r="G75" s="405">
        <f t="shared" si="137"/>
        <v>59958.916666666672</v>
      </c>
      <c r="H75" s="405">
        <f t="shared" si="137"/>
        <v>59958.916666666672</v>
      </c>
      <c r="I75" s="405">
        <f t="shared" si="137"/>
        <v>59958.916666666672</v>
      </c>
      <c r="J75" s="405">
        <f t="shared" si="137"/>
        <v>59958.916666666672</v>
      </c>
      <c r="K75" s="405">
        <f t="shared" si="137"/>
        <v>59958.916666666672</v>
      </c>
      <c r="L75" s="405">
        <f t="shared" si="137"/>
        <v>59958.916666666672</v>
      </c>
      <c r="M75" s="405">
        <f t="shared" si="137"/>
        <v>59958.916666666672</v>
      </c>
      <c r="N75" s="405">
        <f t="shared" si="137"/>
        <v>59958.916666666672</v>
      </c>
      <c r="O75" s="405">
        <f t="shared" si="137"/>
        <v>59958.916666666672</v>
      </c>
      <c r="P75" s="405">
        <f t="shared" si="137"/>
        <v>59958.916666666672</v>
      </c>
      <c r="Q75" s="405">
        <f t="shared" si="137"/>
        <v>61757.684166666673</v>
      </c>
      <c r="R75" s="405">
        <f t="shared" si="137"/>
        <v>61757.684166666673</v>
      </c>
      <c r="S75" s="405">
        <f t="shared" si="137"/>
        <v>61757.684166666673</v>
      </c>
      <c r="T75" s="405">
        <f t="shared" si="137"/>
        <v>61757.684166666673</v>
      </c>
      <c r="U75" s="405">
        <f t="shared" si="137"/>
        <v>61757.684166666673</v>
      </c>
      <c r="V75" s="405">
        <f t="shared" si="137"/>
        <v>61757.684166666673</v>
      </c>
      <c r="W75" s="405">
        <f t="shared" si="137"/>
        <v>61757.684166666673</v>
      </c>
      <c r="X75" s="405">
        <f t="shared" si="137"/>
        <v>61757.684166666673</v>
      </c>
      <c r="Y75" s="405">
        <f t="shared" si="137"/>
        <v>61757.684166666673</v>
      </c>
      <c r="Z75" s="405">
        <f t="shared" si="137"/>
        <v>61757.684166666673</v>
      </c>
      <c r="AA75" s="405">
        <f t="shared" si="137"/>
        <v>61757.684166666673</v>
      </c>
      <c r="AB75" s="405">
        <f t="shared" si="137"/>
        <v>61757.684166666673</v>
      </c>
      <c r="AC75" s="405">
        <f t="shared" si="137"/>
        <v>63610.414691666665</v>
      </c>
      <c r="AD75" s="405">
        <f t="shared" si="137"/>
        <v>63610.414691666665</v>
      </c>
      <c r="AE75" s="405">
        <f t="shared" si="137"/>
        <v>63610.414691666665</v>
      </c>
      <c r="AF75" s="405">
        <f t="shared" si="137"/>
        <v>63610.414691666665</v>
      </c>
      <c r="AG75" s="405">
        <f t="shared" si="137"/>
        <v>63610.414691666665</v>
      </c>
      <c r="AH75" s="405">
        <f t="shared" si="137"/>
        <v>63610.414691666665</v>
      </c>
      <c r="AI75" s="405">
        <f t="shared" si="137"/>
        <v>63610.414691666665</v>
      </c>
      <c r="AJ75" s="405">
        <f t="shared" si="137"/>
        <v>63610.414691666665</v>
      </c>
      <c r="AK75" s="405">
        <f t="shared" si="137"/>
        <v>63610.414691666665</v>
      </c>
      <c r="AL75" s="405">
        <f t="shared" si="137"/>
        <v>63610.414691666665</v>
      </c>
      <c r="AM75" s="405">
        <f t="shared" si="137"/>
        <v>63610.414691666665</v>
      </c>
      <c r="AN75" s="405">
        <f t="shared" si="137"/>
        <v>63610.414691666665</v>
      </c>
      <c r="AO75" s="405">
        <f t="shared" si="137"/>
        <v>65518.727132416665</v>
      </c>
      <c r="AP75" s="405">
        <f t="shared" si="137"/>
        <v>65518.727132416665</v>
      </c>
      <c r="AQ75" s="405">
        <f t="shared" si="137"/>
        <v>65518.727132416665</v>
      </c>
      <c r="AR75" s="405">
        <f t="shared" si="137"/>
        <v>65518.727132416665</v>
      </c>
      <c r="AS75" s="405">
        <f t="shared" si="137"/>
        <v>65518.727132416665</v>
      </c>
      <c r="AT75" s="405">
        <f t="shared" si="137"/>
        <v>65518.727132416665</v>
      </c>
      <c r="AU75" s="405">
        <f t="shared" si="137"/>
        <v>65518.727132416665</v>
      </c>
      <c r="AV75" s="405">
        <f t="shared" si="137"/>
        <v>65518.727132416665</v>
      </c>
      <c r="AW75" s="405">
        <f t="shared" si="137"/>
        <v>65518.727132416665</v>
      </c>
      <c r="AX75" s="405">
        <f t="shared" si="137"/>
        <v>65518.727132416665</v>
      </c>
      <c r="AY75" s="405">
        <f t="shared" si="137"/>
        <v>65518.727132416665</v>
      </c>
      <c r="AZ75" s="405">
        <f t="shared" si="137"/>
        <v>65518.727132416665</v>
      </c>
      <c r="BA75" s="405">
        <f t="shared" si="137"/>
        <v>67484.288946389177</v>
      </c>
      <c r="BB75" s="405">
        <f t="shared" si="137"/>
        <v>67484.288946389177</v>
      </c>
      <c r="BC75" s="405">
        <f t="shared" si="137"/>
        <v>67484.288946389177</v>
      </c>
      <c r="BD75" s="405">
        <f t="shared" si="137"/>
        <v>67484.288946389177</v>
      </c>
      <c r="BE75" s="405">
        <f t="shared" si="137"/>
        <v>67484.288946389177</v>
      </c>
      <c r="BF75" s="405">
        <f t="shared" si="137"/>
        <v>67484.288946389177</v>
      </c>
      <c r="BG75" s="405">
        <f t="shared" si="137"/>
        <v>67484.288946389177</v>
      </c>
      <c r="BH75" s="405">
        <f t="shared" si="137"/>
        <v>67484.288946389177</v>
      </c>
      <c r="BI75" s="405">
        <f t="shared" si="137"/>
        <v>67484.288946389177</v>
      </c>
      <c r="BJ75" s="405">
        <f t="shared" si="137"/>
        <v>67484.288946389177</v>
      </c>
      <c r="BK75" s="405">
        <f t="shared" si="137"/>
        <v>67484.288946389177</v>
      </c>
      <c r="BL75" s="405">
        <f t="shared" si="137"/>
        <v>67484.288946389177</v>
      </c>
      <c r="BM75" s="405">
        <f t="shared" si="137"/>
        <v>69508.817614780855</v>
      </c>
      <c r="BN75" s="405">
        <f t="shared" si="137"/>
        <v>69508.817614780855</v>
      </c>
      <c r="BO75" s="405">
        <f t="shared" si="137"/>
        <v>69508.817614780855</v>
      </c>
      <c r="BP75" s="405">
        <f t="shared" si="137"/>
        <v>69508.817614780855</v>
      </c>
      <c r="BQ75" s="405">
        <f t="shared" si="137"/>
        <v>69508.817614780855</v>
      </c>
      <c r="BR75" s="405">
        <f t="shared" ref="BR75:DT75" si="138">SUM(BR72:BR74)</f>
        <v>69508.817614780855</v>
      </c>
      <c r="BS75" s="405">
        <f t="shared" si="138"/>
        <v>69508.817614780855</v>
      </c>
      <c r="BT75" s="405">
        <f t="shared" si="138"/>
        <v>69508.817614780855</v>
      </c>
      <c r="BU75" s="405">
        <f t="shared" si="138"/>
        <v>69508.817614780855</v>
      </c>
      <c r="BV75" s="405">
        <f t="shared" si="138"/>
        <v>69508.817614780855</v>
      </c>
      <c r="BW75" s="405">
        <f t="shared" si="138"/>
        <v>69508.817614780855</v>
      </c>
      <c r="BX75" s="405">
        <f t="shared" si="138"/>
        <v>69508.817614780855</v>
      </c>
      <c r="BY75" s="405">
        <f t="shared" si="138"/>
        <v>71594.082143224281</v>
      </c>
      <c r="BZ75" s="405">
        <f t="shared" si="138"/>
        <v>71594.082143224281</v>
      </c>
      <c r="CA75" s="405">
        <f t="shared" si="138"/>
        <v>71594.082143224281</v>
      </c>
      <c r="CB75" s="405">
        <f t="shared" si="138"/>
        <v>71594.082143224281</v>
      </c>
      <c r="CC75" s="405">
        <f t="shared" si="138"/>
        <v>71594.082143224281</v>
      </c>
      <c r="CD75" s="405">
        <f t="shared" si="138"/>
        <v>71594.082143224281</v>
      </c>
      <c r="CE75" s="405">
        <f t="shared" si="138"/>
        <v>71594.082143224281</v>
      </c>
      <c r="CF75" s="405">
        <f t="shared" si="138"/>
        <v>71594.082143224281</v>
      </c>
      <c r="CG75" s="405">
        <f t="shared" si="138"/>
        <v>71594.082143224281</v>
      </c>
      <c r="CH75" s="405">
        <f t="shared" si="138"/>
        <v>71594.082143224281</v>
      </c>
      <c r="CI75" s="405">
        <f t="shared" si="138"/>
        <v>71594.082143224281</v>
      </c>
      <c r="CJ75" s="405">
        <f t="shared" si="138"/>
        <v>71594.082143224281</v>
      </c>
      <c r="CK75" s="405">
        <f t="shared" si="138"/>
        <v>73741.904607521006</v>
      </c>
      <c r="CL75" s="405">
        <f t="shared" si="138"/>
        <v>73741.904607521006</v>
      </c>
      <c r="CM75" s="405">
        <f t="shared" si="138"/>
        <v>73741.904607521006</v>
      </c>
      <c r="CN75" s="405">
        <f t="shared" si="138"/>
        <v>73741.904607521006</v>
      </c>
      <c r="CO75" s="405">
        <f t="shared" si="138"/>
        <v>73741.904607521006</v>
      </c>
      <c r="CP75" s="405">
        <f t="shared" si="138"/>
        <v>73741.904607521006</v>
      </c>
      <c r="CQ75" s="405">
        <f t="shared" si="138"/>
        <v>73741.904607521006</v>
      </c>
      <c r="CR75" s="405">
        <f t="shared" si="138"/>
        <v>73741.904607521006</v>
      </c>
      <c r="CS75" s="405">
        <f t="shared" si="138"/>
        <v>73741.904607521006</v>
      </c>
      <c r="CT75" s="405">
        <f t="shared" si="138"/>
        <v>73741.904607521006</v>
      </c>
      <c r="CU75" s="405">
        <f t="shared" si="138"/>
        <v>73741.904607521006</v>
      </c>
      <c r="CV75" s="405">
        <f t="shared" si="138"/>
        <v>73741.904607521006</v>
      </c>
      <c r="CW75" s="405">
        <f t="shared" si="138"/>
        <v>75954.161745746635</v>
      </c>
      <c r="CX75" s="405">
        <f t="shared" si="138"/>
        <v>75954.161745746635</v>
      </c>
      <c r="CY75" s="405">
        <f t="shared" si="138"/>
        <v>75954.161745746635</v>
      </c>
      <c r="CZ75" s="405">
        <f t="shared" si="138"/>
        <v>75954.161745746635</v>
      </c>
      <c r="DA75" s="405">
        <f t="shared" si="138"/>
        <v>75954.161745746635</v>
      </c>
      <c r="DB75" s="405">
        <f t="shared" si="138"/>
        <v>75954.161745746635</v>
      </c>
      <c r="DC75" s="405">
        <f t="shared" si="138"/>
        <v>75954.161745746635</v>
      </c>
      <c r="DD75" s="405">
        <f t="shared" si="138"/>
        <v>75954.161745746635</v>
      </c>
      <c r="DE75" s="405">
        <f t="shared" si="138"/>
        <v>75954.161745746635</v>
      </c>
      <c r="DF75" s="405">
        <f t="shared" si="138"/>
        <v>75954.161745746635</v>
      </c>
      <c r="DG75" s="405">
        <f t="shared" si="138"/>
        <v>75954.161745746635</v>
      </c>
      <c r="DH75" s="405">
        <f t="shared" si="138"/>
        <v>75954.161745746635</v>
      </c>
      <c r="DI75" s="405">
        <f t="shared" si="138"/>
        <v>78232.786598119041</v>
      </c>
      <c r="DJ75" s="405">
        <f t="shared" si="138"/>
        <v>78232.786598119041</v>
      </c>
      <c r="DK75" s="405">
        <f t="shared" si="138"/>
        <v>78232.786598119041</v>
      </c>
      <c r="DL75" s="405">
        <f t="shared" si="138"/>
        <v>78232.786598119041</v>
      </c>
      <c r="DM75" s="405">
        <f t="shared" si="138"/>
        <v>78232.786598119041</v>
      </c>
      <c r="DN75" s="405">
        <f t="shared" si="138"/>
        <v>78232.786598119041</v>
      </c>
      <c r="DO75" s="405">
        <f t="shared" si="138"/>
        <v>78232.786598119041</v>
      </c>
      <c r="DP75" s="405">
        <f t="shared" si="138"/>
        <v>78232.786598119041</v>
      </c>
      <c r="DQ75" s="405">
        <f t="shared" si="138"/>
        <v>78232.786598119041</v>
      </c>
      <c r="DR75" s="405">
        <f t="shared" si="138"/>
        <v>78232.786598119041</v>
      </c>
      <c r="DS75" s="405">
        <f t="shared" si="138"/>
        <v>78232.786598119041</v>
      </c>
      <c r="DT75" s="405">
        <f t="shared" si="138"/>
        <v>78232.786598119041</v>
      </c>
      <c r="DU75" s="405" t="s">
        <v>557</v>
      </c>
      <c r="DV75" s="196"/>
    </row>
    <row r="76" spans="1:126" s="6" customFormat="1" ht="15" customHeight="1">
      <c r="A76" s="187"/>
      <c r="B76" s="221" t="s">
        <v>609</v>
      </c>
      <c r="C76" s="403"/>
      <c r="D76" s="415">
        <f t="shared" ref="D76" si="139">D75+D69</f>
        <v>59958.916666666672</v>
      </c>
      <c r="E76" s="405">
        <f t="shared" ref="E76:BP76" si="140">E75+E69</f>
        <v>390204.74939580821</v>
      </c>
      <c r="F76" s="405">
        <f t="shared" si="140"/>
        <v>392406.38828066905</v>
      </c>
      <c r="G76" s="405">
        <f t="shared" si="140"/>
        <v>394622.70475809573</v>
      </c>
      <c r="H76" s="405">
        <f t="shared" si="140"/>
        <v>396853.79667870532</v>
      </c>
      <c r="I76" s="405">
        <f t="shared" si="140"/>
        <v>399099.76254545222</v>
      </c>
      <c r="J76" s="405">
        <f t="shared" si="140"/>
        <v>401360.7015179774</v>
      </c>
      <c r="K76" s="405">
        <f t="shared" si="140"/>
        <v>403636.71341698617</v>
      </c>
      <c r="L76" s="405">
        <f t="shared" si="140"/>
        <v>405927.89872865489</v>
      </c>
      <c r="M76" s="405">
        <f t="shared" si="140"/>
        <v>408234.35860906809</v>
      </c>
      <c r="N76" s="405">
        <f t="shared" si="140"/>
        <v>410556.19488868414</v>
      </c>
      <c r="O76" s="405">
        <f t="shared" si="140"/>
        <v>412893.51007683092</v>
      </c>
      <c r="P76" s="405">
        <f t="shared" si="140"/>
        <v>415246.4073662319</v>
      </c>
      <c r="Q76" s="405">
        <f t="shared" si="140"/>
        <v>419265.72168310417</v>
      </c>
      <c r="R76" s="405">
        <f t="shared" si="140"/>
        <v>421500.14691758202</v>
      </c>
      <c r="S76" s="405">
        <f t="shared" si="140"/>
        <v>423748.53730977525</v>
      </c>
      <c r="T76" s="405">
        <f t="shared" si="140"/>
        <v>426010.98014191969</v>
      </c>
      <c r="U76" s="405">
        <f t="shared" si="140"/>
        <v>428287.56324176502</v>
      </c>
      <c r="V76" s="405">
        <f t="shared" si="140"/>
        <v>430578.37498598453</v>
      </c>
      <c r="W76" s="405">
        <f t="shared" si="140"/>
        <v>432883.5043036053</v>
      </c>
      <c r="X76" s="405">
        <f t="shared" si="140"/>
        <v>435203.04067946109</v>
      </c>
      <c r="Y76" s="405">
        <f t="shared" si="140"/>
        <v>437537.07415766618</v>
      </c>
      <c r="Z76" s="405">
        <f t="shared" si="140"/>
        <v>439885.69534510991</v>
      </c>
      <c r="AA76" s="405">
        <f t="shared" si="140"/>
        <v>442248.99541497522</v>
      </c>
      <c r="AB76" s="405">
        <f t="shared" si="140"/>
        <v>444627.0661102772</v>
      </c>
      <c r="AC76" s="405">
        <f t="shared" si="140"/>
        <v>447756.02790842258</v>
      </c>
      <c r="AD76" s="405">
        <f t="shared" si="140"/>
        <v>449036.51328581182</v>
      </c>
      <c r="AE76" s="405">
        <f t="shared" si="140"/>
        <v>450321.26694779232</v>
      </c>
      <c r="AF76" s="405">
        <f t="shared" si="140"/>
        <v>451610.30312197941</v>
      </c>
      <c r="AG76" s="405">
        <f t="shared" si="140"/>
        <v>452903.63608341373</v>
      </c>
      <c r="AH76" s="405">
        <f t="shared" si="140"/>
        <v>454201.28015471972</v>
      </c>
      <c r="AI76" s="405">
        <f t="shared" si="140"/>
        <v>455503.24970626325</v>
      </c>
      <c r="AJ76" s="405">
        <f t="shared" si="140"/>
        <v>456809.55915631197</v>
      </c>
      <c r="AK76" s="405">
        <f t="shared" si="140"/>
        <v>458120.22297119402</v>
      </c>
      <c r="AL76" s="405">
        <f t="shared" si="140"/>
        <v>459435.25566545926</v>
      </c>
      <c r="AM76" s="405">
        <f t="shared" si="140"/>
        <v>460754.6718020385</v>
      </c>
      <c r="AN76" s="405">
        <f t="shared" si="140"/>
        <v>462078.48599240655</v>
      </c>
      <c r="AO76" s="405">
        <f t="shared" si="140"/>
        <v>465315.02533749229</v>
      </c>
      <c r="AP76" s="405">
        <f t="shared" si="140"/>
        <v>466647.67966484273</v>
      </c>
      <c r="AQ76" s="405">
        <f t="shared" si="140"/>
        <v>467984.77617328404</v>
      </c>
      <c r="AR76" s="405">
        <f t="shared" si="140"/>
        <v>469326.32967008703</v>
      </c>
      <c r="AS76" s="405">
        <f t="shared" si="140"/>
        <v>470672.35501187929</v>
      </c>
      <c r="AT76" s="405">
        <f t="shared" si="140"/>
        <v>472022.86710481078</v>
      </c>
      <c r="AU76" s="405">
        <f t="shared" si="140"/>
        <v>473377.88090471888</v>
      </c>
      <c r="AV76" s="405">
        <f t="shared" si="140"/>
        <v>474737.41141729319</v>
      </c>
      <c r="AW76" s="405">
        <f t="shared" si="140"/>
        <v>476101.47369824286</v>
      </c>
      <c r="AX76" s="405">
        <f t="shared" si="140"/>
        <v>477470.08285346226</v>
      </c>
      <c r="AY76" s="405">
        <f t="shared" si="140"/>
        <v>478843.25403919921</v>
      </c>
      <c r="AZ76" s="405">
        <f t="shared" si="140"/>
        <v>480221.00246222178</v>
      </c>
      <c r="BA76" s="405">
        <f t="shared" si="140"/>
        <v>483346.80674619542</v>
      </c>
      <c r="BB76" s="405">
        <f t="shared" si="140"/>
        <v>484733.01513886137</v>
      </c>
      <c r="BC76" s="405">
        <f t="shared" si="140"/>
        <v>486123.84422616975</v>
      </c>
      <c r="BD76" s="405">
        <f t="shared" si="140"/>
        <v>487519.30941043561</v>
      </c>
      <c r="BE76" s="405">
        <f t="shared" si="140"/>
        <v>488919.42614531587</v>
      </c>
      <c r="BF76" s="405">
        <f t="shared" si="140"/>
        <v>490324.20993597893</v>
      </c>
      <c r="BG76" s="405">
        <f t="shared" si="140"/>
        <v>491733.67633927765</v>
      </c>
      <c r="BH76" s="405">
        <f t="shared" si="140"/>
        <v>493147.84096392058</v>
      </c>
      <c r="BI76" s="405">
        <f t="shared" si="140"/>
        <v>494566.71947064588</v>
      </c>
      <c r="BJ76" s="405">
        <f t="shared" si="140"/>
        <v>495990.32757239323</v>
      </c>
      <c r="BK76" s="405">
        <f t="shared" si="140"/>
        <v>497418.68103448011</v>
      </c>
      <c r="BL76" s="405">
        <f t="shared" si="140"/>
        <v>498851.79567477369</v>
      </c>
      <c r="BM76" s="405">
        <f t="shared" si="140"/>
        <v>502314.21603226004</v>
      </c>
      <c r="BN76" s="405">
        <f t="shared" si="140"/>
        <v>503756.9006936517</v>
      </c>
      <c r="BO76" s="405">
        <f t="shared" si="140"/>
        <v>505204.39430391457</v>
      </c>
      <c r="BP76" s="405">
        <f t="shared" si="140"/>
        <v>506656.71289287845</v>
      </c>
      <c r="BQ76" s="405">
        <f t="shared" ref="BQ76:DT76" si="141">BQ75+BQ69</f>
        <v>508113.87254380545</v>
      </c>
      <c r="BR76" s="405">
        <f t="shared" si="141"/>
        <v>509575.88939356891</v>
      </c>
      <c r="BS76" s="405">
        <f t="shared" si="141"/>
        <v>511042.77963283152</v>
      </c>
      <c r="BT76" s="405">
        <f t="shared" si="141"/>
        <v>512514.55950622523</v>
      </c>
      <c r="BU76" s="405">
        <f t="shared" si="141"/>
        <v>513991.24531252991</v>
      </c>
      <c r="BV76" s="405">
        <f t="shared" si="141"/>
        <v>515472.85340485576</v>
      </c>
      <c r="BW76" s="405">
        <f t="shared" si="141"/>
        <v>516959.40019082284</v>
      </c>
      <c r="BX76" s="405">
        <f t="shared" si="141"/>
        <v>518450.90213274292</v>
      </c>
      <c r="BY76" s="405">
        <f t="shared" si="141"/>
        <v>522032.64027624624</v>
      </c>
      <c r="BZ76" s="405">
        <f t="shared" si="141"/>
        <v>523534.1021366897</v>
      </c>
      <c r="CA76" s="405">
        <f t="shared" si="141"/>
        <v>525040.56887000136</v>
      </c>
      <c r="CB76" s="405">
        <f t="shared" si="141"/>
        <v>526552.05715909065</v>
      </c>
      <c r="CC76" s="405">
        <f t="shared" si="141"/>
        <v>528068.58374247677</v>
      </c>
      <c r="CD76" s="405">
        <f t="shared" si="141"/>
        <v>529590.16541447432</v>
      </c>
      <c r="CE76" s="405">
        <f t="shared" si="141"/>
        <v>531116.81902537867</v>
      </c>
      <c r="CF76" s="405">
        <f t="shared" si="141"/>
        <v>532648.56148165255</v>
      </c>
      <c r="CG76" s="405">
        <f t="shared" si="141"/>
        <v>534185.40974611393</v>
      </c>
      <c r="CH76" s="405">
        <f t="shared" si="141"/>
        <v>535727.38083812362</v>
      </c>
      <c r="CI76" s="405">
        <f t="shared" si="141"/>
        <v>537274.49183377333</v>
      </c>
      <c r="CJ76" s="405">
        <f t="shared" si="141"/>
        <v>538826.75986607524</v>
      </c>
      <c r="CK76" s="405">
        <f t="shared" si="141"/>
        <v>542532.02458944812</v>
      </c>
      <c r="CL76" s="405">
        <f t="shared" si="141"/>
        <v>544094.65832272125</v>
      </c>
      <c r="CM76" s="405">
        <f t="shared" si="141"/>
        <v>545662.50083510519</v>
      </c>
      <c r="CN76" s="405">
        <f t="shared" si="141"/>
        <v>547235.56948919722</v>
      </c>
      <c r="CO76" s="405">
        <f t="shared" si="141"/>
        <v>548813.88170546957</v>
      </c>
      <c r="CP76" s="405">
        <f t="shared" si="141"/>
        <v>550397.45496246277</v>
      </c>
      <c r="CQ76" s="405">
        <f t="shared" si="141"/>
        <v>551986.30679697928</v>
      </c>
      <c r="CR76" s="405">
        <f t="shared" si="141"/>
        <v>553580.4548042774</v>
      </c>
      <c r="CS76" s="405">
        <f t="shared" si="141"/>
        <v>555179.91663826664</v>
      </c>
      <c r="CT76" s="405">
        <f t="shared" si="141"/>
        <v>556784.7100117025</v>
      </c>
      <c r="CU76" s="405">
        <f t="shared" si="141"/>
        <v>558394.85269638314</v>
      </c>
      <c r="CV76" s="405">
        <f t="shared" si="141"/>
        <v>560010.36252334598</v>
      </c>
      <c r="CW76" s="405">
        <f t="shared" si="141"/>
        <v>563843.51452129113</v>
      </c>
      <c r="CX76" s="405">
        <f t="shared" si="141"/>
        <v>565469.81236387638</v>
      </c>
      <c r="CY76" s="405">
        <f t="shared" si="141"/>
        <v>567101.53119927016</v>
      </c>
      <c r="CZ76" s="405">
        <f t="shared" si="141"/>
        <v>568738.68909744872</v>
      </c>
      <c r="DA76" s="405">
        <f t="shared" si="141"/>
        <v>570381.304188621</v>
      </c>
      <c r="DB76" s="405">
        <f t="shared" si="141"/>
        <v>572029.39466343063</v>
      </c>
      <c r="DC76" s="405">
        <f t="shared" si="141"/>
        <v>573682.9787731563</v>
      </c>
      <c r="DD76" s="405">
        <f t="shared" si="141"/>
        <v>575342.07482991426</v>
      </c>
      <c r="DE76" s="405">
        <f t="shared" si="141"/>
        <v>577006.70120686165</v>
      </c>
      <c r="DF76" s="405">
        <f t="shared" si="141"/>
        <v>578676.87633839878</v>
      </c>
      <c r="DG76" s="405">
        <f t="shared" si="141"/>
        <v>580352.61872037419</v>
      </c>
      <c r="DH76" s="405">
        <f t="shared" si="141"/>
        <v>582033.9469102897</v>
      </c>
      <c r="DI76" s="405">
        <f t="shared" si="141"/>
        <v>585999.50437987724</v>
      </c>
      <c r="DJ76" s="405">
        <f t="shared" si="141"/>
        <v>587692.06010581646</v>
      </c>
      <c r="DK76" s="405">
        <f t="shared" si="141"/>
        <v>589390.25768417551</v>
      </c>
      <c r="DL76" s="405">
        <f t="shared" si="141"/>
        <v>591094.11592112912</v>
      </c>
      <c r="DM76" s="405">
        <f t="shared" si="141"/>
        <v>592803.65368553915</v>
      </c>
      <c r="DN76" s="405">
        <f t="shared" si="141"/>
        <v>594518.88990916393</v>
      </c>
      <c r="DO76" s="405">
        <f t="shared" si="141"/>
        <v>596239.84358686744</v>
      </c>
      <c r="DP76" s="405">
        <f t="shared" si="141"/>
        <v>597966.53377682995</v>
      </c>
      <c r="DQ76" s="405">
        <f t="shared" si="141"/>
        <v>599698.97960075899</v>
      </c>
      <c r="DR76" s="405">
        <f t="shared" si="141"/>
        <v>601437.20024410123</v>
      </c>
      <c r="DS76" s="405">
        <f t="shared" si="141"/>
        <v>603181.21495625447</v>
      </c>
      <c r="DT76" s="405">
        <f t="shared" si="141"/>
        <v>604931.04305078159</v>
      </c>
      <c r="DU76" s="405" t="s">
        <v>557</v>
      </c>
      <c r="DV76" s="202"/>
    </row>
    <row r="77" spans="1:126" s="5" customFormat="1" ht="15" customHeight="1">
      <c r="A77" s="399"/>
      <c r="B77" s="226"/>
      <c r="C77" s="416"/>
      <c r="D77" s="417"/>
      <c r="E77" s="418">
        <f>E73*1.03</f>
        <v>42270.255833333336</v>
      </c>
      <c r="F77" s="418"/>
      <c r="G77" s="418"/>
      <c r="H77" s="418"/>
      <c r="I77" s="418"/>
      <c r="J77" s="418"/>
      <c r="K77" s="418"/>
      <c r="L77" s="418"/>
      <c r="M77" s="418"/>
      <c r="N77" s="418"/>
      <c r="O77" s="418"/>
      <c r="P77" s="418"/>
      <c r="Q77" s="418"/>
      <c r="R77" s="418"/>
      <c r="S77" s="418"/>
      <c r="T77" s="418"/>
      <c r="U77" s="418"/>
      <c r="V77" s="418"/>
      <c r="W77" s="418"/>
      <c r="X77" s="418"/>
      <c r="Y77" s="418"/>
      <c r="Z77" s="418"/>
      <c r="AA77" s="418"/>
      <c r="AB77" s="418"/>
      <c r="AC77" s="418"/>
      <c r="AD77" s="418"/>
      <c r="AE77" s="418"/>
      <c r="AF77" s="418"/>
      <c r="AG77" s="418"/>
      <c r="AH77" s="418"/>
      <c r="AI77" s="418"/>
      <c r="AJ77" s="41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418"/>
      <c r="BJ77" s="418"/>
      <c r="BK77" s="418"/>
      <c r="BL77" s="418"/>
      <c r="BM77" s="418"/>
      <c r="BN77" s="418"/>
      <c r="BO77" s="418"/>
      <c r="BP77" s="418"/>
      <c r="BQ77" s="418"/>
      <c r="BR77" s="418"/>
      <c r="BS77" s="418"/>
      <c r="BT77" s="418"/>
      <c r="BU77" s="418"/>
      <c r="BV77" s="418"/>
      <c r="BW77" s="418"/>
      <c r="BX77" s="418"/>
      <c r="BY77" s="418"/>
      <c r="BZ77" s="418"/>
      <c r="CA77" s="418"/>
      <c r="CB77" s="418"/>
      <c r="CC77" s="418"/>
      <c r="CD77" s="418"/>
      <c r="CE77" s="418"/>
      <c r="CF77" s="418"/>
      <c r="CG77" s="418"/>
      <c r="CH77" s="418"/>
      <c r="CI77" s="418"/>
      <c r="CJ77" s="418"/>
      <c r="CK77" s="418"/>
      <c r="CL77" s="418"/>
      <c r="CM77" s="418"/>
      <c r="CN77" s="418"/>
      <c r="CO77" s="418"/>
      <c r="CP77" s="418"/>
      <c r="CQ77" s="418"/>
      <c r="CR77" s="418"/>
      <c r="CS77" s="418"/>
      <c r="CT77" s="418"/>
      <c r="CU77" s="418"/>
      <c r="CV77" s="418"/>
      <c r="CW77" s="418"/>
      <c r="CX77" s="418"/>
      <c r="CY77" s="418"/>
      <c r="CZ77" s="418"/>
      <c r="DA77" s="418"/>
      <c r="DB77" s="418"/>
      <c r="DC77" s="418"/>
      <c r="DD77" s="418"/>
      <c r="DE77" s="418"/>
      <c r="DF77" s="418"/>
      <c r="DG77" s="418"/>
      <c r="DH77" s="418"/>
      <c r="DI77" s="418"/>
      <c r="DJ77" s="418"/>
      <c r="DK77" s="418"/>
      <c r="DL77" s="418"/>
      <c r="DM77" s="418"/>
      <c r="DN77" s="418"/>
      <c r="DO77" s="418"/>
      <c r="DP77" s="418"/>
      <c r="DQ77" s="418"/>
      <c r="DR77" s="418"/>
      <c r="DS77" s="418"/>
      <c r="DT77" s="418"/>
      <c r="DU77" s="419" t="s">
        <v>557</v>
      </c>
      <c r="DV77" s="196"/>
    </row>
    <row r="78" spans="1:126" s="6" customFormat="1" ht="15" customHeight="1">
      <c r="A78" s="187"/>
      <c r="B78" s="197" t="s">
        <v>610</v>
      </c>
      <c r="C78" s="249"/>
      <c r="D78" s="420"/>
      <c r="E78" s="421"/>
      <c r="F78" s="421"/>
      <c r="G78" s="421"/>
      <c r="H78" s="421"/>
      <c r="I78" s="421"/>
      <c r="J78" s="421"/>
      <c r="K78" s="421"/>
      <c r="L78" s="421"/>
      <c r="M78" s="421"/>
      <c r="N78" s="421"/>
      <c r="O78" s="421"/>
      <c r="P78" s="421"/>
      <c r="Q78" s="1296">
        <f>Q79/E79-1</f>
        <v>2.0000000000000018E-2</v>
      </c>
      <c r="R78" s="421"/>
      <c r="S78" s="421"/>
      <c r="T78" s="421"/>
      <c r="U78" s="421"/>
      <c r="V78" s="421"/>
      <c r="W78" s="421"/>
      <c r="X78" s="421"/>
      <c r="Y78" s="421"/>
      <c r="Z78" s="421"/>
      <c r="AA78" s="421"/>
      <c r="AB78" s="421"/>
      <c r="AC78" s="1296">
        <f>AC79/Q79-1</f>
        <v>2.0000000000000018E-2</v>
      </c>
      <c r="AD78" s="421"/>
      <c r="AE78" s="421"/>
      <c r="AF78" s="421"/>
      <c r="AG78" s="421"/>
      <c r="AH78" s="421"/>
      <c r="AI78" s="421"/>
      <c r="AJ78" s="421"/>
      <c r="AK78" s="421"/>
      <c r="AL78" s="421"/>
      <c r="AM78" s="421"/>
      <c r="AN78" s="421"/>
      <c r="AO78" s="1296">
        <f>AO79/AC79-1</f>
        <v>2.0000000000000018E-2</v>
      </c>
      <c r="AP78" s="421"/>
      <c r="AQ78" s="421"/>
      <c r="AR78" s="421"/>
      <c r="AS78" s="421"/>
      <c r="AT78" s="421"/>
      <c r="AU78" s="421"/>
      <c r="AV78" s="421"/>
      <c r="AW78" s="421"/>
      <c r="AX78" s="421"/>
      <c r="AY78" s="421"/>
      <c r="AZ78" s="421"/>
      <c r="BA78" s="421"/>
      <c r="BB78" s="421"/>
      <c r="BC78" s="421"/>
      <c r="BD78" s="421"/>
      <c r="BE78" s="421"/>
      <c r="BF78" s="421"/>
      <c r="BG78" s="421"/>
      <c r="BH78" s="421"/>
      <c r="BI78" s="421"/>
      <c r="BJ78" s="421"/>
      <c r="BK78" s="421"/>
      <c r="BL78" s="421"/>
      <c r="BM78" s="421"/>
      <c r="BN78" s="421"/>
      <c r="BO78" s="421"/>
      <c r="BP78" s="421"/>
      <c r="BQ78" s="421"/>
      <c r="BR78" s="421"/>
      <c r="BS78" s="421"/>
      <c r="BT78" s="421"/>
      <c r="BU78" s="421"/>
      <c r="BV78" s="421"/>
      <c r="BW78" s="421"/>
      <c r="BX78" s="421"/>
      <c r="BY78" s="421"/>
      <c r="BZ78" s="421"/>
      <c r="CA78" s="421"/>
      <c r="CB78" s="421"/>
      <c r="CC78" s="421"/>
      <c r="CD78" s="421"/>
      <c r="CE78" s="421"/>
      <c r="CF78" s="421"/>
      <c r="CG78" s="421"/>
      <c r="CH78" s="421"/>
      <c r="CI78" s="421"/>
      <c r="CJ78" s="421"/>
      <c r="CK78" s="421"/>
      <c r="CL78" s="421"/>
      <c r="CM78" s="421"/>
      <c r="CN78" s="421"/>
      <c r="CO78" s="421"/>
      <c r="CP78" s="421"/>
      <c r="CQ78" s="421"/>
      <c r="CR78" s="421"/>
      <c r="CS78" s="421"/>
      <c r="CT78" s="421"/>
      <c r="CU78" s="421"/>
      <c r="CV78" s="421"/>
      <c r="CW78" s="421"/>
      <c r="CX78" s="421"/>
      <c r="CY78" s="421"/>
      <c r="CZ78" s="421"/>
      <c r="DA78" s="421"/>
      <c r="DB78" s="421"/>
      <c r="DC78" s="421"/>
      <c r="DD78" s="421"/>
      <c r="DE78" s="421"/>
      <c r="DF78" s="421"/>
      <c r="DG78" s="421"/>
      <c r="DH78" s="421"/>
      <c r="DI78" s="421"/>
      <c r="DJ78" s="421"/>
      <c r="DK78" s="421"/>
      <c r="DL78" s="421"/>
      <c r="DM78" s="421"/>
      <c r="DN78" s="421"/>
      <c r="DO78" s="421"/>
      <c r="DP78" s="421"/>
      <c r="DQ78" s="421"/>
      <c r="DR78" s="421"/>
      <c r="DS78" s="421"/>
      <c r="DT78" s="421"/>
      <c r="DU78" s="422" t="s">
        <v>557</v>
      </c>
      <c r="DV78" s="202"/>
    </row>
    <row r="79" spans="1:126" s="5" customFormat="1" ht="15" customHeight="1">
      <c r="A79" s="399">
        <v>9</v>
      </c>
      <c r="B79" s="203" t="str">
        <f>'Debt Sizing'!A24</f>
        <v>Repairs &amp; Maint</v>
      </c>
      <c r="C79" s="397"/>
      <c r="D79" s="413">
        <f>IF('Sponsor Pro Forma'!$N23="Override",'Sponsor Pro Forma'!$O23/12,'Sponsor Pro Forma'!K23/12)</f>
        <v>6160</v>
      </c>
      <c r="E79" s="1303">
        <f>D79</f>
        <v>6160</v>
      </c>
      <c r="F79" s="1300">
        <f>IF('Sponsor Pro Forma'!$N23="Override",INDEX('Sponsor Pro Forma'!$O$16:$Z$34,MATCH('Monthly Cash Flow'!$B79,'Sponsor Pro Forma'!$B$16:$B$34,0),MATCH('Monthly Cash Flow'!F$4,'Sponsor Pro Forma'!$O$15:$Z$15,0))/12,IF('Sponsor Pro Forma'!$L$42="Annual",'Monthly Cash Flow'!E79*(1+'Sponsor Pro Forma'!$M23)^(IF(MOD(F$5,12)=1,1,0)),'Monthly Cash Flow'!E79*(1+'Sponsor Pro Forma'!$M23/12)))</f>
        <v>6160</v>
      </c>
      <c r="G79" s="1300">
        <f>IF('Sponsor Pro Forma'!$N23="Override",INDEX('Sponsor Pro Forma'!$O$16:$Z$34,MATCH('Monthly Cash Flow'!$B79,'Sponsor Pro Forma'!$B$16:$B$34,0),MATCH('Monthly Cash Flow'!G$4,'Sponsor Pro Forma'!$O$15:$Z$15,0))/12,IF('Sponsor Pro Forma'!$L$42="Annual",'Monthly Cash Flow'!F79*(1+'Sponsor Pro Forma'!$M23)^(IF(MOD(G$5,12)=1,1,0)),'Monthly Cash Flow'!F79*(1+'Sponsor Pro Forma'!$M23/12)))</f>
        <v>6160</v>
      </c>
      <c r="H79" s="1300">
        <f>IF('Sponsor Pro Forma'!$N23="Override",INDEX('Sponsor Pro Forma'!$O$16:$Z$34,MATCH('Monthly Cash Flow'!$B79,'Sponsor Pro Forma'!$B$16:$B$34,0),MATCH('Monthly Cash Flow'!H$4,'Sponsor Pro Forma'!$O$15:$Z$15,0))/12,IF('Sponsor Pro Forma'!$L$42="Annual",'Monthly Cash Flow'!G79*(1+'Sponsor Pro Forma'!$M23)^(IF(MOD(H$5,12)=1,1,0)),'Monthly Cash Flow'!G79*(1+'Sponsor Pro Forma'!$M23/12)))</f>
        <v>6160</v>
      </c>
      <c r="I79" s="1300">
        <f>IF('Sponsor Pro Forma'!$N23="Override",INDEX('Sponsor Pro Forma'!$O$16:$Z$34,MATCH('Monthly Cash Flow'!$B79,'Sponsor Pro Forma'!$B$16:$B$34,0),MATCH('Monthly Cash Flow'!I$4,'Sponsor Pro Forma'!$O$15:$Z$15,0))/12,IF('Sponsor Pro Forma'!$L$42="Annual",'Monthly Cash Flow'!H79*(1+'Sponsor Pro Forma'!$M23)^(IF(MOD(I$5,12)=1,1,0)),'Monthly Cash Flow'!H79*(1+'Sponsor Pro Forma'!$M23/12)))</f>
        <v>6160</v>
      </c>
      <c r="J79" s="1300">
        <f>IF('Sponsor Pro Forma'!$N23="Override",INDEX('Sponsor Pro Forma'!$O$16:$Z$34,MATCH('Monthly Cash Flow'!$B79,'Sponsor Pro Forma'!$B$16:$B$34,0),MATCH('Monthly Cash Flow'!J$4,'Sponsor Pro Forma'!$O$15:$Z$15,0))/12,IF('Sponsor Pro Forma'!$L$42="Annual",'Monthly Cash Flow'!I79*(1+'Sponsor Pro Forma'!$M23)^(IF(MOD(J$5,12)=1,1,0)),'Monthly Cash Flow'!I79*(1+'Sponsor Pro Forma'!$M23/12)))</f>
        <v>6160</v>
      </c>
      <c r="K79" s="1300">
        <f>IF('Sponsor Pro Forma'!$N23="Override",INDEX('Sponsor Pro Forma'!$O$16:$Z$34,MATCH('Monthly Cash Flow'!$B79,'Sponsor Pro Forma'!$B$16:$B$34,0),MATCH('Monthly Cash Flow'!K$4,'Sponsor Pro Forma'!$O$15:$Z$15,0))/12,IF('Sponsor Pro Forma'!$L$42="Annual",'Monthly Cash Flow'!J79*(1+'Sponsor Pro Forma'!$M23)^(IF(MOD(K$5,12)=1,1,0)),'Monthly Cash Flow'!J79*(1+'Sponsor Pro Forma'!$M23/12)))</f>
        <v>6160</v>
      </c>
      <c r="L79" s="1300">
        <f>IF('Sponsor Pro Forma'!$N23="Override",INDEX('Sponsor Pro Forma'!$O$16:$Z$34,MATCH('Monthly Cash Flow'!$B79,'Sponsor Pro Forma'!$B$16:$B$34,0),MATCH('Monthly Cash Flow'!L$4,'Sponsor Pro Forma'!$O$15:$Z$15,0))/12,IF('Sponsor Pro Forma'!$L$42="Annual",'Monthly Cash Flow'!K79*(1+'Sponsor Pro Forma'!$M23)^(IF(MOD(L$5,12)=1,1,0)),'Monthly Cash Flow'!K79*(1+'Sponsor Pro Forma'!$M23/12)))</f>
        <v>6160</v>
      </c>
      <c r="M79" s="1300">
        <f>IF('Sponsor Pro Forma'!$N23="Override",INDEX('Sponsor Pro Forma'!$O$16:$Z$34,MATCH('Monthly Cash Flow'!$B79,'Sponsor Pro Forma'!$B$16:$B$34,0),MATCH('Monthly Cash Flow'!M$4,'Sponsor Pro Forma'!$O$15:$Z$15,0))/12,IF('Sponsor Pro Forma'!$L$42="Annual",'Monthly Cash Flow'!L79*(1+'Sponsor Pro Forma'!$M23)^(IF(MOD(M$5,12)=1,1,0)),'Monthly Cash Flow'!L79*(1+'Sponsor Pro Forma'!$M23/12)))</f>
        <v>6160</v>
      </c>
      <c r="N79" s="1300">
        <f>IF('Sponsor Pro Forma'!$N23="Override",INDEX('Sponsor Pro Forma'!$O$16:$Z$34,MATCH('Monthly Cash Flow'!$B79,'Sponsor Pro Forma'!$B$16:$B$34,0),MATCH('Monthly Cash Flow'!N$4,'Sponsor Pro Forma'!$O$15:$Z$15,0))/12,IF('Sponsor Pro Forma'!$L$42="Annual",'Monthly Cash Flow'!M79*(1+'Sponsor Pro Forma'!$M23)^(IF(MOD(N$5,12)=1,1,0)),'Monthly Cash Flow'!M79*(1+'Sponsor Pro Forma'!$M23/12)))</f>
        <v>6160</v>
      </c>
      <c r="O79" s="1300">
        <f>IF('Sponsor Pro Forma'!$N23="Override",INDEX('Sponsor Pro Forma'!$O$16:$Z$34,MATCH('Monthly Cash Flow'!$B79,'Sponsor Pro Forma'!$B$16:$B$34,0),MATCH('Monthly Cash Flow'!O$4,'Sponsor Pro Forma'!$O$15:$Z$15,0))/12,IF('Sponsor Pro Forma'!$L$42="Annual",'Monthly Cash Flow'!N79*(1+'Sponsor Pro Forma'!$M23)^(IF(MOD(O$5,12)=1,1,0)),'Monthly Cash Flow'!N79*(1+'Sponsor Pro Forma'!$M23/12)))</f>
        <v>6160</v>
      </c>
      <c r="P79" s="1300">
        <f>IF('Sponsor Pro Forma'!$N23="Override",INDEX('Sponsor Pro Forma'!$O$16:$Z$34,MATCH('Monthly Cash Flow'!$B79,'Sponsor Pro Forma'!$B$16:$B$34,0),MATCH('Monthly Cash Flow'!P$4,'Sponsor Pro Forma'!$O$15:$Z$15,0))/12,IF('Sponsor Pro Forma'!$L$42="Annual",'Monthly Cash Flow'!O79*(1+'Sponsor Pro Forma'!$M23)^(IF(MOD(P$5,12)=1,1,0)),'Monthly Cash Flow'!O79*(1+'Sponsor Pro Forma'!$M23/12)))</f>
        <v>6160</v>
      </c>
      <c r="Q79" s="1300">
        <f>IF('Sponsor Pro Forma'!$N23="Override",INDEX('Sponsor Pro Forma'!$O$16:$Z$34,MATCH('Monthly Cash Flow'!$B79,'Sponsor Pro Forma'!$B$16:$B$34,0),MATCH('Monthly Cash Flow'!Q$4,'Sponsor Pro Forma'!$O$15:$Z$15,0))/12,IF('Sponsor Pro Forma'!$L$42="Annual",'Monthly Cash Flow'!P79*(1+'Sponsor Pro Forma'!$M23)^(IF(MOD(Q$5,12)=1,1,0)),'Monthly Cash Flow'!P79*(1+'Sponsor Pro Forma'!$M23/12)))</f>
        <v>6283.2</v>
      </c>
      <c r="R79" s="1300">
        <f>IF('Sponsor Pro Forma'!$N23="Override",INDEX('Sponsor Pro Forma'!$O$16:$Z$34,MATCH('Monthly Cash Flow'!$B79,'Sponsor Pro Forma'!$B$16:$B$34,0),MATCH('Monthly Cash Flow'!R$4,'Sponsor Pro Forma'!$O$15:$Z$15,0))/12,IF('Sponsor Pro Forma'!$L$42="Annual",'Monthly Cash Flow'!Q79*(1+'Sponsor Pro Forma'!$M23)^(IF(MOD(R$5,12)=1,1,0)),'Monthly Cash Flow'!Q79*(1+'Sponsor Pro Forma'!$M23/12)))</f>
        <v>6283.2</v>
      </c>
      <c r="S79" s="1300">
        <f>IF('Sponsor Pro Forma'!$N23="Override",INDEX('Sponsor Pro Forma'!$O$16:$Z$34,MATCH('Monthly Cash Flow'!$B79,'Sponsor Pro Forma'!$B$16:$B$34,0),MATCH('Monthly Cash Flow'!S$4,'Sponsor Pro Forma'!$O$15:$Z$15,0))/12,IF('Sponsor Pro Forma'!$L$42="Annual",'Monthly Cash Flow'!R79*(1+'Sponsor Pro Forma'!$M23)^(IF(MOD(S$5,12)=1,1,0)),'Monthly Cash Flow'!R79*(1+'Sponsor Pro Forma'!$M23/12)))</f>
        <v>6283.2</v>
      </c>
      <c r="T79" s="1300">
        <f>IF('Sponsor Pro Forma'!$N23="Override",INDEX('Sponsor Pro Forma'!$O$16:$Z$34,MATCH('Monthly Cash Flow'!$B79,'Sponsor Pro Forma'!$B$16:$B$34,0),MATCH('Monthly Cash Flow'!T$4,'Sponsor Pro Forma'!$O$15:$Z$15,0))/12,IF('Sponsor Pro Forma'!$L$42="Annual",'Monthly Cash Flow'!S79*(1+'Sponsor Pro Forma'!$M23)^(IF(MOD(T$5,12)=1,1,0)),'Monthly Cash Flow'!S79*(1+'Sponsor Pro Forma'!$M23/12)))</f>
        <v>6283.2</v>
      </c>
      <c r="U79" s="1300">
        <f>IF('Sponsor Pro Forma'!$N23="Override",INDEX('Sponsor Pro Forma'!$O$16:$Z$34,MATCH('Monthly Cash Flow'!$B79,'Sponsor Pro Forma'!$B$16:$B$34,0),MATCH('Monthly Cash Flow'!U$4,'Sponsor Pro Forma'!$O$15:$Z$15,0))/12,IF('Sponsor Pro Forma'!$L$42="Annual",'Monthly Cash Flow'!T79*(1+'Sponsor Pro Forma'!$M23)^(IF(MOD(U$5,12)=1,1,0)),'Monthly Cash Flow'!T79*(1+'Sponsor Pro Forma'!$M23/12)))</f>
        <v>6283.2</v>
      </c>
      <c r="V79" s="1300">
        <f>IF('Sponsor Pro Forma'!$N23="Override",INDEX('Sponsor Pro Forma'!$O$16:$Z$34,MATCH('Monthly Cash Flow'!$B79,'Sponsor Pro Forma'!$B$16:$B$34,0),MATCH('Monthly Cash Flow'!V$4,'Sponsor Pro Forma'!$O$15:$Z$15,0))/12,IF('Sponsor Pro Forma'!$L$42="Annual",'Monthly Cash Flow'!U79*(1+'Sponsor Pro Forma'!$M23)^(IF(MOD(V$5,12)=1,1,0)),'Monthly Cash Flow'!U79*(1+'Sponsor Pro Forma'!$M23/12)))</f>
        <v>6283.2</v>
      </c>
      <c r="W79" s="1300">
        <f>IF('Sponsor Pro Forma'!$N23="Override",INDEX('Sponsor Pro Forma'!$O$16:$Z$34,MATCH('Monthly Cash Flow'!$B79,'Sponsor Pro Forma'!$B$16:$B$34,0),MATCH('Monthly Cash Flow'!W$4,'Sponsor Pro Forma'!$O$15:$Z$15,0))/12,IF('Sponsor Pro Forma'!$L$42="Annual",'Monthly Cash Flow'!V79*(1+'Sponsor Pro Forma'!$M23)^(IF(MOD(W$5,12)=1,1,0)),'Monthly Cash Flow'!V79*(1+'Sponsor Pro Forma'!$M23/12)))</f>
        <v>6283.2</v>
      </c>
      <c r="X79" s="1300">
        <f>IF('Sponsor Pro Forma'!$N23="Override",INDEX('Sponsor Pro Forma'!$O$16:$Z$34,MATCH('Monthly Cash Flow'!$B79,'Sponsor Pro Forma'!$B$16:$B$34,0),MATCH('Monthly Cash Flow'!X$4,'Sponsor Pro Forma'!$O$15:$Z$15,0))/12,IF('Sponsor Pro Forma'!$L$42="Annual",'Monthly Cash Flow'!W79*(1+'Sponsor Pro Forma'!$M23)^(IF(MOD(X$5,12)=1,1,0)),'Monthly Cash Flow'!W79*(1+'Sponsor Pro Forma'!$M23/12)))</f>
        <v>6283.2</v>
      </c>
      <c r="Y79" s="1300">
        <f>IF('Sponsor Pro Forma'!$N23="Override",INDEX('Sponsor Pro Forma'!$O$16:$Z$34,MATCH('Monthly Cash Flow'!$B79,'Sponsor Pro Forma'!$B$16:$B$34,0),MATCH('Monthly Cash Flow'!Y$4,'Sponsor Pro Forma'!$O$15:$Z$15,0))/12,IF('Sponsor Pro Forma'!$L$42="Annual",'Monthly Cash Flow'!X79*(1+'Sponsor Pro Forma'!$M23)^(IF(MOD(Y$5,12)=1,1,0)),'Monthly Cash Flow'!X79*(1+'Sponsor Pro Forma'!$M23/12)))</f>
        <v>6283.2</v>
      </c>
      <c r="Z79" s="1300">
        <f>IF('Sponsor Pro Forma'!$N23="Override",INDEX('Sponsor Pro Forma'!$O$16:$Z$34,MATCH('Monthly Cash Flow'!$B79,'Sponsor Pro Forma'!$B$16:$B$34,0),MATCH('Monthly Cash Flow'!Z$4,'Sponsor Pro Forma'!$O$15:$Z$15,0))/12,IF('Sponsor Pro Forma'!$L$42="Annual",'Monthly Cash Flow'!Y79*(1+'Sponsor Pro Forma'!$M23)^(IF(MOD(Z$5,12)=1,1,0)),'Monthly Cash Flow'!Y79*(1+'Sponsor Pro Forma'!$M23/12)))</f>
        <v>6283.2</v>
      </c>
      <c r="AA79" s="1300">
        <f>IF('Sponsor Pro Forma'!$N23="Override",INDEX('Sponsor Pro Forma'!$O$16:$Z$34,MATCH('Monthly Cash Flow'!$B79,'Sponsor Pro Forma'!$B$16:$B$34,0),MATCH('Monthly Cash Flow'!AA$4,'Sponsor Pro Forma'!$O$15:$Z$15,0))/12,IF('Sponsor Pro Forma'!$L$42="Annual",'Monthly Cash Flow'!Z79*(1+'Sponsor Pro Forma'!$M23)^(IF(MOD(AA$5,12)=1,1,0)),'Monthly Cash Flow'!Z79*(1+'Sponsor Pro Forma'!$M23/12)))</f>
        <v>6283.2</v>
      </c>
      <c r="AB79" s="1300">
        <f>IF('Sponsor Pro Forma'!$N23="Override",INDEX('Sponsor Pro Forma'!$O$16:$Z$34,MATCH('Monthly Cash Flow'!$B79,'Sponsor Pro Forma'!$B$16:$B$34,0),MATCH('Monthly Cash Flow'!AB$4,'Sponsor Pro Forma'!$O$15:$Z$15,0))/12,IF('Sponsor Pro Forma'!$L$42="Annual",'Monthly Cash Flow'!AA79*(1+'Sponsor Pro Forma'!$M23)^(IF(MOD(AB$5,12)=1,1,0)),'Monthly Cash Flow'!AA79*(1+'Sponsor Pro Forma'!$M23/12)))</f>
        <v>6283.2</v>
      </c>
      <c r="AC79" s="1300">
        <f>IF('Sponsor Pro Forma'!$N23="Override",INDEX('Sponsor Pro Forma'!$O$16:$Z$34,MATCH('Monthly Cash Flow'!$B79,'Sponsor Pro Forma'!$B$16:$B$34,0),MATCH('Monthly Cash Flow'!AC$4,'Sponsor Pro Forma'!$O$15:$Z$15,0))/12,IF('Sponsor Pro Forma'!$L$42="Annual",'Monthly Cash Flow'!AB79*(1+'Sponsor Pro Forma'!$M23)^(IF(MOD(AC$5,12)=1,1,0)),'Monthly Cash Flow'!AB79*(1+'Sponsor Pro Forma'!$M23/12)))</f>
        <v>6408.8640000000005</v>
      </c>
      <c r="AD79" s="1300">
        <f>IF('Sponsor Pro Forma'!$N23="Override",INDEX('Sponsor Pro Forma'!$O$16:$Z$34,MATCH('Monthly Cash Flow'!$B79,'Sponsor Pro Forma'!$B$16:$B$34,0),MATCH('Monthly Cash Flow'!AD$4,'Sponsor Pro Forma'!$O$15:$Z$15,0))/12,IF('Sponsor Pro Forma'!$L$42="Annual",'Monthly Cash Flow'!AC79*(1+'Sponsor Pro Forma'!$M23)^(IF(MOD(AD$5,12)=1,1,0)),'Monthly Cash Flow'!AC79*(1+'Sponsor Pro Forma'!$M23/12)))</f>
        <v>6408.8640000000005</v>
      </c>
      <c r="AE79" s="1300">
        <f>IF('Sponsor Pro Forma'!$N23="Override",INDEX('Sponsor Pro Forma'!$O$16:$Z$34,MATCH('Monthly Cash Flow'!$B79,'Sponsor Pro Forma'!$B$16:$B$34,0),MATCH('Monthly Cash Flow'!AE$4,'Sponsor Pro Forma'!$O$15:$Z$15,0))/12,IF('Sponsor Pro Forma'!$L$42="Annual",'Monthly Cash Flow'!AD79*(1+'Sponsor Pro Forma'!$M23)^(IF(MOD(AE$5,12)=1,1,0)),'Monthly Cash Flow'!AD79*(1+'Sponsor Pro Forma'!$M23/12)))</f>
        <v>6408.8640000000005</v>
      </c>
      <c r="AF79" s="1300">
        <f>IF('Sponsor Pro Forma'!$N23="Override",INDEX('Sponsor Pro Forma'!$O$16:$Z$34,MATCH('Monthly Cash Flow'!$B79,'Sponsor Pro Forma'!$B$16:$B$34,0),MATCH('Monthly Cash Flow'!AF$4,'Sponsor Pro Forma'!$O$15:$Z$15,0))/12,IF('Sponsor Pro Forma'!$L$42="Annual",'Monthly Cash Flow'!AE79*(1+'Sponsor Pro Forma'!$M23)^(IF(MOD(AF$5,12)=1,1,0)),'Monthly Cash Flow'!AE79*(1+'Sponsor Pro Forma'!$M23/12)))</f>
        <v>6408.8640000000005</v>
      </c>
      <c r="AG79" s="1300">
        <f>IF('Sponsor Pro Forma'!$N23="Override",INDEX('Sponsor Pro Forma'!$O$16:$Z$34,MATCH('Monthly Cash Flow'!$B79,'Sponsor Pro Forma'!$B$16:$B$34,0),MATCH('Monthly Cash Flow'!AG$4,'Sponsor Pro Forma'!$O$15:$Z$15,0))/12,IF('Sponsor Pro Forma'!$L$42="Annual",'Monthly Cash Flow'!AF79*(1+'Sponsor Pro Forma'!$M23)^(IF(MOD(AG$5,12)=1,1,0)),'Monthly Cash Flow'!AF79*(1+'Sponsor Pro Forma'!$M23/12)))</f>
        <v>6408.8640000000005</v>
      </c>
      <c r="AH79" s="1300">
        <f>IF('Sponsor Pro Forma'!$N23="Override",INDEX('Sponsor Pro Forma'!$O$16:$Z$34,MATCH('Monthly Cash Flow'!$B79,'Sponsor Pro Forma'!$B$16:$B$34,0),MATCH('Monthly Cash Flow'!AH$4,'Sponsor Pro Forma'!$O$15:$Z$15,0))/12,IF('Sponsor Pro Forma'!$L$42="Annual",'Monthly Cash Flow'!AG79*(1+'Sponsor Pro Forma'!$M23)^(IF(MOD(AH$5,12)=1,1,0)),'Monthly Cash Flow'!AG79*(1+'Sponsor Pro Forma'!$M23/12)))</f>
        <v>6408.8640000000005</v>
      </c>
      <c r="AI79" s="1300">
        <f>IF('Sponsor Pro Forma'!$N23="Override",INDEX('Sponsor Pro Forma'!$O$16:$Z$34,MATCH('Monthly Cash Flow'!$B79,'Sponsor Pro Forma'!$B$16:$B$34,0),MATCH('Monthly Cash Flow'!AI$4,'Sponsor Pro Forma'!$O$15:$Z$15,0))/12,IF('Sponsor Pro Forma'!$L$42="Annual",'Monthly Cash Flow'!AH79*(1+'Sponsor Pro Forma'!$M23)^(IF(MOD(AI$5,12)=1,1,0)),'Monthly Cash Flow'!AH79*(1+'Sponsor Pro Forma'!$M23/12)))</f>
        <v>6408.8640000000005</v>
      </c>
      <c r="AJ79" s="1300">
        <f>IF('Sponsor Pro Forma'!$N23="Override",INDEX('Sponsor Pro Forma'!$O$16:$Z$34,MATCH('Monthly Cash Flow'!$B79,'Sponsor Pro Forma'!$B$16:$B$34,0),MATCH('Monthly Cash Flow'!AJ$4,'Sponsor Pro Forma'!$O$15:$Z$15,0))/12,IF('Sponsor Pro Forma'!$L$42="Annual",'Monthly Cash Flow'!AI79*(1+'Sponsor Pro Forma'!$M23)^(IF(MOD(AJ$5,12)=1,1,0)),'Monthly Cash Flow'!AI79*(1+'Sponsor Pro Forma'!$M23/12)))</f>
        <v>6408.8640000000005</v>
      </c>
      <c r="AK79" s="1300">
        <f>IF('Sponsor Pro Forma'!$N23="Override",INDEX('Sponsor Pro Forma'!$O$16:$Z$34,MATCH('Monthly Cash Flow'!$B79,'Sponsor Pro Forma'!$B$16:$B$34,0),MATCH('Monthly Cash Flow'!AK$4,'Sponsor Pro Forma'!$O$15:$Z$15,0))/12,IF('Sponsor Pro Forma'!$L$42="Annual",'Monthly Cash Flow'!AJ79*(1+'Sponsor Pro Forma'!$M23)^(IF(MOD(AK$5,12)=1,1,0)),'Monthly Cash Flow'!AJ79*(1+'Sponsor Pro Forma'!$M23/12)))</f>
        <v>6408.8640000000005</v>
      </c>
      <c r="AL79" s="1300">
        <f>IF('Sponsor Pro Forma'!$N23="Override",INDEX('Sponsor Pro Forma'!$O$16:$Z$34,MATCH('Monthly Cash Flow'!$B79,'Sponsor Pro Forma'!$B$16:$B$34,0),MATCH('Monthly Cash Flow'!AL$4,'Sponsor Pro Forma'!$O$15:$Z$15,0))/12,IF('Sponsor Pro Forma'!$L$42="Annual",'Monthly Cash Flow'!AK79*(1+'Sponsor Pro Forma'!$M23)^(IF(MOD(AL$5,12)=1,1,0)),'Monthly Cash Flow'!AK79*(1+'Sponsor Pro Forma'!$M23/12)))</f>
        <v>6408.8640000000005</v>
      </c>
      <c r="AM79" s="1300">
        <f>IF('Sponsor Pro Forma'!$N23="Override",INDEX('Sponsor Pro Forma'!$O$16:$Z$34,MATCH('Monthly Cash Flow'!$B79,'Sponsor Pro Forma'!$B$16:$B$34,0),MATCH('Monthly Cash Flow'!AM$4,'Sponsor Pro Forma'!$O$15:$Z$15,0))/12,IF('Sponsor Pro Forma'!$L$42="Annual",'Monthly Cash Flow'!AL79*(1+'Sponsor Pro Forma'!$M23)^(IF(MOD(AM$5,12)=1,1,0)),'Monthly Cash Flow'!AL79*(1+'Sponsor Pro Forma'!$M23/12)))</f>
        <v>6408.8640000000005</v>
      </c>
      <c r="AN79" s="1300">
        <f>IF('Sponsor Pro Forma'!$N23="Override",INDEX('Sponsor Pro Forma'!$O$16:$Z$34,MATCH('Monthly Cash Flow'!$B79,'Sponsor Pro Forma'!$B$16:$B$34,0),MATCH('Monthly Cash Flow'!AN$4,'Sponsor Pro Forma'!$O$15:$Z$15,0))/12,IF('Sponsor Pro Forma'!$L$42="Annual",'Monthly Cash Flow'!AM79*(1+'Sponsor Pro Forma'!$M23)^(IF(MOD(AN$5,12)=1,1,0)),'Monthly Cash Flow'!AM79*(1+'Sponsor Pro Forma'!$M23/12)))</f>
        <v>6408.8640000000005</v>
      </c>
      <c r="AO79" s="1300">
        <f>IF('Sponsor Pro Forma'!$N23="Override",INDEX('Sponsor Pro Forma'!$O$16:$Z$34,MATCH('Monthly Cash Flow'!$B79,'Sponsor Pro Forma'!$B$16:$B$34,0),MATCH('Monthly Cash Flow'!AO$4,'Sponsor Pro Forma'!$O$15:$Z$15,0))/12,IF('Sponsor Pro Forma'!$L$42="Annual",'Monthly Cash Flow'!AN79*(1+'Sponsor Pro Forma'!$M23)^(IF(MOD(AO$5,12)=1,1,0)),'Monthly Cash Flow'!AN79*(1+'Sponsor Pro Forma'!$M23/12)))</f>
        <v>6537.0412800000004</v>
      </c>
      <c r="AP79" s="1300">
        <f>IF('Sponsor Pro Forma'!$N23="Override",INDEX('Sponsor Pro Forma'!$O$16:$Z$34,MATCH('Monthly Cash Flow'!$B79,'Sponsor Pro Forma'!$B$16:$B$34,0),MATCH('Monthly Cash Flow'!AP$4,'Sponsor Pro Forma'!$O$15:$Z$15,0))/12,IF('Sponsor Pro Forma'!$L$42="Annual",'Monthly Cash Flow'!AO79*(1+'Sponsor Pro Forma'!$M23)^(IF(MOD(AP$5,12)=1,1,0)),'Monthly Cash Flow'!AO79*(1+'Sponsor Pro Forma'!$M23/12)))</f>
        <v>6537.0412800000004</v>
      </c>
      <c r="AQ79" s="1300">
        <f>IF('Sponsor Pro Forma'!$N23="Override",INDEX('Sponsor Pro Forma'!$O$16:$Z$34,MATCH('Monthly Cash Flow'!$B79,'Sponsor Pro Forma'!$B$16:$B$34,0),MATCH('Monthly Cash Flow'!AQ$4,'Sponsor Pro Forma'!$O$15:$Z$15,0))/12,IF('Sponsor Pro Forma'!$L$42="Annual",'Monthly Cash Flow'!AP79*(1+'Sponsor Pro Forma'!$M23)^(IF(MOD(AQ$5,12)=1,1,0)),'Monthly Cash Flow'!AP79*(1+'Sponsor Pro Forma'!$M23/12)))</f>
        <v>6537.0412800000004</v>
      </c>
      <c r="AR79" s="1300">
        <f>IF('Sponsor Pro Forma'!$N23="Override",INDEX('Sponsor Pro Forma'!$O$16:$Z$34,MATCH('Monthly Cash Flow'!$B79,'Sponsor Pro Forma'!$B$16:$B$34,0),MATCH('Monthly Cash Flow'!AR$4,'Sponsor Pro Forma'!$O$15:$Z$15,0))/12,IF('Sponsor Pro Forma'!$L$42="Annual",'Monthly Cash Flow'!AQ79*(1+'Sponsor Pro Forma'!$M23)^(IF(MOD(AR$5,12)=1,1,0)),'Monthly Cash Flow'!AQ79*(1+'Sponsor Pro Forma'!$M23/12)))</f>
        <v>6537.0412800000004</v>
      </c>
      <c r="AS79" s="1300">
        <f>IF('Sponsor Pro Forma'!$N23="Override",INDEX('Sponsor Pro Forma'!$O$16:$Z$34,MATCH('Monthly Cash Flow'!$B79,'Sponsor Pro Forma'!$B$16:$B$34,0),MATCH('Monthly Cash Flow'!AS$4,'Sponsor Pro Forma'!$O$15:$Z$15,0))/12,IF('Sponsor Pro Forma'!$L$42="Annual",'Monthly Cash Flow'!AR79*(1+'Sponsor Pro Forma'!$M23)^(IF(MOD(AS$5,12)=1,1,0)),'Monthly Cash Flow'!AR79*(1+'Sponsor Pro Forma'!$M23/12)))</f>
        <v>6537.0412800000004</v>
      </c>
      <c r="AT79" s="1300">
        <f>IF('Sponsor Pro Forma'!$N23="Override",INDEX('Sponsor Pro Forma'!$O$16:$Z$34,MATCH('Monthly Cash Flow'!$B79,'Sponsor Pro Forma'!$B$16:$B$34,0),MATCH('Monthly Cash Flow'!AT$4,'Sponsor Pro Forma'!$O$15:$Z$15,0))/12,IF('Sponsor Pro Forma'!$L$42="Annual",'Monthly Cash Flow'!AS79*(1+'Sponsor Pro Forma'!$M23)^(IF(MOD(AT$5,12)=1,1,0)),'Monthly Cash Flow'!AS79*(1+'Sponsor Pro Forma'!$M23/12)))</f>
        <v>6537.0412800000004</v>
      </c>
      <c r="AU79" s="1300">
        <f>IF('Sponsor Pro Forma'!$N23="Override",INDEX('Sponsor Pro Forma'!$O$16:$Z$34,MATCH('Monthly Cash Flow'!$B79,'Sponsor Pro Forma'!$B$16:$B$34,0),MATCH('Monthly Cash Flow'!AU$4,'Sponsor Pro Forma'!$O$15:$Z$15,0))/12,IF('Sponsor Pro Forma'!$L$42="Annual",'Monthly Cash Flow'!AT79*(1+'Sponsor Pro Forma'!$M23)^(IF(MOD(AU$5,12)=1,1,0)),'Monthly Cash Flow'!AT79*(1+'Sponsor Pro Forma'!$M23/12)))</f>
        <v>6537.0412800000004</v>
      </c>
      <c r="AV79" s="1300">
        <f>IF('Sponsor Pro Forma'!$N23="Override",INDEX('Sponsor Pro Forma'!$O$16:$Z$34,MATCH('Monthly Cash Flow'!$B79,'Sponsor Pro Forma'!$B$16:$B$34,0),MATCH('Monthly Cash Flow'!AV$4,'Sponsor Pro Forma'!$O$15:$Z$15,0))/12,IF('Sponsor Pro Forma'!$L$42="Annual",'Monthly Cash Flow'!AU79*(1+'Sponsor Pro Forma'!$M23)^(IF(MOD(AV$5,12)=1,1,0)),'Monthly Cash Flow'!AU79*(1+'Sponsor Pro Forma'!$M23/12)))</f>
        <v>6537.0412800000004</v>
      </c>
      <c r="AW79" s="1300">
        <f>IF('Sponsor Pro Forma'!$N23="Override",INDEX('Sponsor Pro Forma'!$O$16:$Z$34,MATCH('Monthly Cash Flow'!$B79,'Sponsor Pro Forma'!$B$16:$B$34,0),MATCH('Monthly Cash Flow'!AW$4,'Sponsor Pro Forma'!$O$15:$Z$15,0))/12,IF('Sponsor Pro Forma'!$L$42="Annual",'Monthly Cash Flow'!AV79*(1+'Sponsor Pro Forma'!$M23)^(IF(MOD(AW$5,12)=1,1,0)),'Monthly Cash Flow'!AV79*(1+'Sponsor Pro Forma'!$M23/12)))</f>
        <v>6537.0412800000004</v>
      </c>
      <c r="AX79" s="1300">
        <f>IF('Sponsor Pro Forma'!$N23="Override",INDEX('Sponsor Pro Forma'!$O$16:$Z$34,MATCH('Monthly Cash Flow'!$B79,'Sponsor Pro Forma'!$B$16:$B$34,0),MATCH('Monthly Cash Flow'!AX$4,'Sponsor Pro Forma'!$O$15:$Z$15,0))/12,IF('Sponsor Pro Forma'!$L$42="Annual",'Monthly Cash Flow'!AW79*(1+'Sponsor Pro Forma'!$M23)^(IF(MOD(AX$5,12)=1,1,0)),'Monthly Cash Flow'!AW79*(1+'Sponsor Pro Forma'!$M23/12)))</f>
        <v>6537.0412800000004</v>
      </c>
      <c r="AY79" s="1300">
        <f>IF('Sponsor Pro Forma'!$N23="Override",INDEX('Sponsor Pro Forma'!$O$16:$Z$34,MATCH('Monthly Cash Flow'!$B79,'Sponsor Pro Forma'!$B$16:$B$34,0),MATCH('Monthly Cash Flow'!AY$4,'Sponsor Pro Forma'!$O$15:$Z$15,0))/12,IF('Sponsor Pro Forma'!$L$42="Annual",'Monthly Cash Flow'!AX79*(1+'Sponsor Pro Forma'!$M23)^(IF(MOD(AY$5,12)=1,1,0)),'Monthly Cash Flow'!AX79*(1+'Sponsor Pro Forma'!$M23/12)))</f>
        <v>6537.0412800000004</v>
      </c>
      <c r="AZ79" s="1300">
        <f>IF('Sponsor Pro Forma'!$N23="Override",INDEX('Sponsor Pro Forma'!$O$16:$Z$34,MATCH('Monthly Cash Flow'!$B79,'Sponsor Pro Forma'!$B$16:$B$34,0),MATCH('Monthly Cash Flow'!AZ$4,'Sponsor Pro Forma'!$O$15:$Z$15,0))/12,IF('Sponsor Pro Forma'!$L$42="Annual",'Monthly Cash Flow'!AY79*(1+'Sponsor Pro Forma'!$M23)^(IF(MOD(AZ$5,12)=1,1,0)),'Monthly Cash Flow'!AY79*(1+'Sponsor Pro Forma'!$M23/12)))</f>
        <v>6537.0412800000004</v>
      </c>
      <c r="BA79" s="1300">
        <f>IF('Sponsor Pro Forma'!$N23="Override",INDEX('Sponsor Pro Forma'!$O$16:$Z$34,MATCH('Monthly Cash Flow'!$B79,'Sponsor Pro Forma'!$B$16:$B$34,0),MATCH('Monthly Cash Flow'!BA$4,'Sponsor Pro Forma'!$O$15:$Z$15,0))/12,IF('Sponsor Pro Forma'!$L$42="Annual",'Monthly Cash Flow'!AZ79*(1+'Sponsor Pro Forma'!$M23)^(IF(MOD(BA$5,12)=1,1,0)),'Monthly Cash Flow'!AZ79*(1+'Sponsor Pro Forma'!$M23/12)))</f>
        <v>6667.7821056000002</v>
      </c>
      <c r="BB79" s="1300">
        <f>IF('Sponsor Pro Forma'!$N23="Override",INDEX('Sponsor Pro Forma'!$O$16:$Z$34,MATCH('Monthly Cash Flow'!$B79,'Sponsor Pro Forma'!$B$16:$B$34,0),MATCH('Monthly Cash Flow'!BB$4,'Sponsor Pro Forma'!$O$15:$Z$15,0))/12,IF('Sponsor Pro Forma'!$L$42="Annual",'Monthly Cash Flow'!BA79*(1+'Sponsor Pro Forma'!$M23)^(IF(MOD(BB$5,12)=1,1,0)),'Monthly Cash Flow'!BA79*(1+'Sponsor Pro Forma'!$M23/12)))</f>
        <v>6667.7821056000002</v>
      </c>
      <c r="BC79" s="1300">
        <f>IF('Sponsor Pro Forma'!$N23="Override",INDEX('Sponsor Pro Forma'!$O$16:$Z$34,MATCH('Monthly Cash Flow'!$B79,'Sponsor Pro Forma'!$B$16:$B$34,0),MATCH('Monthly Cash Flow'!BC$4,'Sponsor Pro Forma'!$O$15:$Z$15,0))/12,IF('Sponsor Pro Forma'!$L$42="Annual",'Monthly Cash Flow'!BB79*(1+'Sponsor Pro Forma'!$M23)^(IF(MOD(BC$5,12)=1,1,0)),'Monthly Cash Flow'!BB79*(1+'Sponsor Pro Forma'!$M23/12)))</f>
        <v>6667.7821056000002</v>
      </c>
      <c r="BD79" s="1300">
        <f>IF('Sponsor Pro Forma'!$N23="Override",INDEX('Sponsor Pro Forma'!$O$16:$Z$34,MATCH('Monthly Cash Flow'!$B79,'Sponsor Pro Forma'!$B$16:$B$34,0),MATCH('Monthly Cash Flow'!BD$4,'Sponsor Pro Forma'!$O$15:$Z$15,0))/12,IF('Sponsor Pro Forma'!$L$42="Annual",'Monthly Cash Flow'!BC79*(1+'Sponsor Pro Forma'!$M23)^(IF(MOD(BD$5,12)=1,1,0)),'Monthly Cash Flow'!BC79*(1+'Sponsor Pro Forma'!$M23/12)))</f>
        <v>6667.7821056000002</v>
      </c>
      <c r="BE79" s="1300">
        <f>IF('Sponsor Pro Forma'!$N23="Override",INDEX('Sponsor Pro Forma'!$O$16:$Z$34,MATCH('Monthly Cash Flow'!$B79,'Sponsor Pro Forma'!$B$16:$B$34,0),MATCH('Monthly Cash Flow'!BE$4,'Sponsor Pro Forma'!$O$15:$Z$15,0))/12,IF('Sponsor Pro Forma'!$L$42="Annual",'Monthly Cash Flow'!BD79*(1+'Sponsor Pro Forma'!$M23)^(IF(MOD(BE$5,12)=1,1,0)),'Monthly Cash Flow'!BD79*(1+'Sponsor Pro Forma'!$M23/12)))</f>
        <v>6667.7821056000002</v>
      </c>
      <c r="BF79" s="1300">
        <f>IF('Sponsor Pro Forma'!$N23="Override",INDEX('Sponsor Pro Forma'!$O$16:$Z$34,MATCH('Monthly Cash Flow'!$B79,'Sponsor Pro Forma'!$B$16:$B$34,0),MATCH('Monthly Cash Flow'!BF$4,'Sponsor Pro Forma'!$O$15:$Z$15,0))/12,IF('Sponsor Pro Forma'!$L$42="Annual",'Monthly Cash Flow'!BE79*(1+'Sponsor Pro Forma'!$M23)^(IF(MOD(BF$5,12)=1,1,0)),'Monthly Cash Flow'!BE79*(1+'Sponsor Pro Forma'!$M23/12)))</f>
        <v>6667.7821056000002</v>
      </c>
      <c r="BG79" s="1300">
        <f>IF('Sponsor Pro Forma'!$N23="Override",INDEX('Sponsor Pro Forma'!$O$16:$Z$34,MATCH('Monthly Cash Flow'!$B79,'Sponsor Pro Forma'!$B$16:$B$34,0),MATCH('Monthly Cash Flow'!BG$4,'Sponsor Pro Forma'!$O$15:$Z$15,0))/12,IF('Sponsor Pro Forma'!$L$42="Annual",'Monthly Cash Flow'!BF79*(1+'Sponsor Pro Forma'!$M23)^(IF(MOD(BG$5,12)=1,1,0)),'Monthly Cash Flow'!BF79*(1+'Sponsor Pro Forma'!$M23/12)))</f>
        <v>6667.7821056000002</v>
      </c>
      <c r="BH79" s="1300">
        <f>IF('Sponsor Pro Forma'!$N23="Override",INDEX('Sponsor Pro Forma'!$O$16:$Z$34,MATCH('Monthly Cash Flow'!$B79,'Sponsor Pro Forma'!$B$16:$B$34,0),MATCH('Monthly Cash Flow'!BH$4,'Sponsor Pro Forma'!$O$15:$Z$15,0))/12,IF('Sponsor Pro Forma'!$L$42="Annual",'Monthly Cash Flow'!BG79*(1+'Sponsor Pro Forma'!$M23)^(IF(MOD(BH$5,12)=1,1,0)),'Monthly Cash Flow'!BG79*(1+'Sponsor Pro Forma'!$M23/12)))</f>
        <v>6667.7821056000002</v>
      </c>
      <c r="BI79" s="1300">
        <f>IF('Sponsor Pro Forma'!$N23="Override",INDEX('Sponsor Pro Forma'!$O$16:$Z$34,MATCH('Monthly Cash Flow'!$B79,'Sponsor Pro Forma'!$B$16:$B$34,0),MATCH('Monthly Cash Flow'!BI$4,'Sponsor Pro Forma'!$O$15:$Z$15,0))/12,IF('Sponsor Pro Forma'!$L$42="Annual",'Monthly Cash Flow'!BH79*(1+'Sponsor Pro Forma'!$M23)^(IF(MOD(BI$5,12)=1,1,0)),'Monthly Cash Flow'!BH79*(1+'Sponsor Pro Forma'!$M23/12)))</f>
        <v>6667.7821056000002</v>
      </c>
      <c r="BJ79" s="1300">
        <f>IF('Sponsor Pro Forma'!$N23="Override",INDEX('Sponsor Pro Forma'!$O$16:$Z$34,MATCH('Monthly Cash Flow'!$B79,'Sponsor Pro Forma'!$B$16:$B$34,0),MATCH('Monthly Cash Flow'!BJ$4,'Sponsor Pro Forma'!$O$15:$Z$15,0))/12,IF('Sponsor Pro Forma'!$L$42="Annual",'Monthly Cash Flow'!BI79*(1+'Sponsor Pro Forma'!$M23)^(IF(MOD(BJ$5,12)=1,1,0)),'Monthly Cash Flow'!BI79*(1+'Sponsor Pro Forma'!$M23/12)))</f>
        <v>6667.7821056000002</v>
      </c>
      <c r="BK79" s="1300">
        <f>IF('Sponsor Pro Forma'!$N23="Override",INDEX('Sponsor Pro Forma'!$O$16:$Z$34,MATCH('Monthly Cash Flow'!$B79,'Sponsor Pro Forma'!$B$16:$B$34,0),MATCH('Monthly Cash Flow'!BK$4,'Sponsor Pro Forma'!$O$15:$Z$15,0))/12,IF('Sponsor Pro Forma'!$L$42="Annual",'Monthly Cash Flow'!BJ79*(1+'Sponsor Pro Forma'!$M23)^(IF(MOD(BK$5,12)=1,1,0)),'Monthly Cash Flow'!BJ79*(1+'Sponsor Pro Forma'!$M23/12)))</f>
        <v>6667.7821056000002</v>
      </c>
      <c r="BL79" s="1300">
        <f>IF('Sponsor Pro Forma'!$N23="Override",INDEX('Sponsor Pro Forma'!$O$16:$Z$34,MATCH('Monthly Cash Flow'!$B79,'Sponsor Pro Forma'!$B$16:$B$34,0),MATCH('Monthly Cash Flow'!BL$4,'Sponsor Pro Forma'!$O$15:$Z$15,0))/12,IF('Sponsor Pro Forma'!$L$42="Annual",'Monthly Cash Flow'!BK79*(1+'Sponsor Pro Forma'!$M23)^(IF(MOD(BL$5,12)=1,1,0)),'Monthly Cash Flow'!BK79*(1+'Sponsor Pro Forma'!$M23/12)))</f>
        <v>6667.7821056000002</v>
      </c>
      <c r="BM79" s="1300">
        <f>IF('Sponsor Pro Forma'!$N23="Override",INDEX('Sponsor Pro Forma'!$O$16:$Z$34,MATCH('Monthly Cash Flow'!$B79,'Sponsor Pro Forma'!$B$16:$B$34,0),MATCH('Monthly Cash Flow'!BM$4,'Sponsor Pro Forma'!$O$15:$Z$15,0))/12,IF('Sponsor Pro Forma'!$L$42="Annual",'Monthly Cash Flow'!BL79*(1+'Sponsor Pro Forma'!$M23)^(IF(MOD(BM$5,12)=1,1,0)),'Monthly Cash Flow'!BL79*(1+'Sponsor Pro Forma'!$M23/12)))</f>
        <v>6801.1377477120004</v>
      </c>
      <c r="BN79" s="1300">
        <f>IF('Sponsor Pro Forma'!$N23="Override",INDEX('Sponsor Pro Forma'!$O$16:$Z$34,MATCH('Monthly Cash Flow'!$B79,'Sponsor Pro Forma'!$B$16:$B$34,0),MATCH('Monthly Cash Flow'!BN$4,'Sponsor Pro Forma'!$O$15:$Z$15,0))/12,IF('Sponsor Pro Forma'!$L$42="Annual",'Monthly Cash Flow'!BM79*(1+'Sponsor Pro Forma'!$M23)^(IF(MOD(BN$5,12)=1,1,0)),'Monthly Cash Flow'!BM79*(1+'Sponsor Pro Forma'!$M23/12)))</f>
        <v>6801.1377477120004</v>
      </c>
      <c r="BO79" s="1300">
        <f>IF('Sponsor Pro Forma'!$N23="Override",INDEX('Sponsor Pro Forma'!$O$16:$Z$34,MATCH('Monthly Cash Flow'!$B79,'Sponsor Pro Forma'!$B$16:$B$34,0),MATCH('Monthly Cash Flow'!BO$4,'Sponsor Pro Forma'!$O$15:$Z$15,0))/12,IF('Sponsor Pro Forma'!$L$42="Annual",'Monthly Cash Flow'!BN79*(1+'Sponsor Pro Forma'!$M23)^(IF(MOD(BO$5,12)=1,1,0)),'Monthly Cash Flow'!BN79*(1+'Sponsor Pro Forma'!$M23/12)))</f>
        <v>6801.1377477120004</v>
      </c>
      <c r="BP79" s="1300">
        <f>IF('Sponsor Pro Forma'!$N23="Override",INDEX('Sponsor Pro Forma'!$O$16:$Z$34,MATCH('Monthly Cash Flow'!$B79,'Sponsor Pro Forma'!$B$16:$B$34,0),MATCH('Monthly Cash Flow'!BP$4,'Sponsor Pro Forma'!$O$15:$Z$15,0))/12,IF('Sponsor Pro Forma'!$L$42="Annual",'Monthly Cash Flow'!BO79*(1+'Sponsor Pro Forma'!$M23)^(IF(MOD(BP$5,12)=1,1,0)),'Monthly Cash Flow'!BO79*(1+'Sponsor Pro Forma'!$M23/12)))</f>
        <v>6801.1377477120004</v>
      </c>
      <c r="BQ79" s="1300">
        <f>IF('Sponsor Pro Forma'!$N23="Override",INDEX('Sponsor Pro Forma'!$O$16:$Z$34,MATCH('Monthly Cash Flow'!$B79,'Sponsor Pro Forma'!$B$16:$B$34,0),MATCH('Monthly Cash Flow'!BQ$4,'Sponsor Pro Forma'!$O$15:$Z$15,0))/12,IF('Sponsor Pro Forma'!$L$42="Annual",'Monthly Cash Flow'!BP79*(1+'Sponsor Pro Forma'!$M23)^(IF(MOD(BQ$5,12)=1,1,0)),'Monthly Cash Flow'!BP79*(1+'Sponsor Pro Forma'!$M23/12)))</f>
        <v>6801.1377477120004</v>
      </c>
      <c r="BR79" s="1300">
        <f>IF('Sponsor Pro Forma'!$N23="Override",INDEX('Sponsor Pro Forma'!$O$16:$Z$34,MATCH('Monthly Cash Flow'!$B79,'Sponsor Pro Forma'!$B$16:$B$34,0),MATCH('Monthly Cash Flow'!BR$4,'Sponsor Pro Forma'!$O$15:$Z$15,0))/12,IF('Sponsor Pro Forma'!$L$42="Annual",'Monthly Cash Flow'!BQ79*(1+'Sponsor Pro Forma'!$M23)^(IF(MOD(BR$5,12)=1,1,0)),'Monthly Cash Flow'!BQ79*(1+'Sponsor Pro Forma'!$M23/12)))</f>
        <v>6801.1377477120004</v>
      </c>
      <c r="BS79" s="1300">
        <f>IF('Sponsor Pro Forma'!$N23="Override",INDEX('Sponsor Pro Forma'!$O$16:$Z$34,MATCH('Monthly Cash Flow'!$B79,'Sponsor Pro Forma'!$B$16:$B$34,0),MATCH('Monthly Cash Flow'!BS$4,'Sponsor Pro Forma'!$O$15:$Z$15,0))/12,IF('Sponsor Pro Forma'!$L$42="Annual",'Monthly Cash Flow'!BR79*(1+'Sponsor Pro Forma'!$M23)^(IF(MOD(BS$5,12)=1,1,0)),'Monthly Cash Flow'!BR79*(1+'Sponsor Pro Forma'!$M23/12)))</f>
        <v>6801.1377477120004</v>
      </c>
      <c r="BT79" s="1300">
        <f>IF('Sponsor Pro Forma'!$N23="Override",INDEX('Sponsor Pro Forma'!$O$16:$Z$34,MATCH('Monthly Cash Flow'!$B79,'Sponsor Pro Forma'!$B$16:$B$34,0),MATCH('Monthly Cash Flow'!BT$4,'Sponsor Pro Forma'!$O$15:$Z$15,0))/12,IF('Sponsor Pro Forma'!$L$42="Annual",'Monthly Cash Flow'!BS79*(1+'Sponsor Pro Forma'!$M23)^(IF(MOD(BT$5,12)=1,1,0)),'Monthly Cash Flow'!BS79*(1+'Sponsor Pro Forma'!$M23/12)))</f>
        <v>6801.1377477120004</v>
      </c>
      <c r="BU79" s="1300">
        <f>IF('Sponsor Pro Forma'!$N23="Override",INDEX('Sponsor Pro Forma'!$O$16:$Z$34,MATCH('Monthly Cash Flow'!$B79,'Sponsor Pro Forma'!$B$16:$B$34,0),MATCH('Monthly Cash Flow'!BU$4,'Sponsor Pro Forma'!$O$15:$Z$15,0))/12,IF('Sponsor Pro Forma'!$L$42="Annual",'Monthly Cash Flow'!BT79*(1+'Sponsor Pro Forma'!$M23)^(IF(MOD(BU$5,12)=1,1,0)),'Monthly Cash Flow'!BT79*(1+'Sponsor Pro Forma'!$M23/12)))</f>
        <v>6801.1377477120004</v>
      </c>
      <c r="BV79" s="1300">
        <f>IF('Sponsor Pro Forma'!$N23="Override",INDEX('Sponsor Pro Forma'!$O$16:$Z$34,MATCH('Monthly Cash Flow'!$B79,'Sponsor Pro Forma'!$B$16:$B$34,0),MATCH('Monthly Cash Flow'!BV$4,'Sponsor Pro Forma'!$O$15:$Z$15,0))/12,IF('Sponsor Pro Forma'!$L$42="Annual",'Monthly Cash Flow'!BU79*(1+'Sponsor Pro Forma'!$M23)^(IF(MOD(BV$5,12)=1,1,0)),'Monthly Cash Flow'!BU79*(1+'Sponsor Pro Forma'!$M23/12)))</f>
        <v>6801.1377477120004</v>
      </c>
      <c r="BW79" s="1300">
        <f>IF('Sponsor Pro Forma'!$N23="Override",INDEX('Sponsor Pro Forma'!$O$16:$Z$34,MATCH('Monthly Cash Flow'!$B79,'Sponsor Pro Forma'!$B$16:$B$34,0),MATCH('Monthly Cash Flow'!BW$4,'Sponsor Pro Forma'!$O$15:$Z$15,0))/12,IF('Sponsor Pro Forma'!$L$42="Annual",'Monthly Cash Flow'!BV79*(1+'Sponsor Pro Forma'!$M23)^(IF(MOD(BW$5,12)=1,1,0)),'Monthly Cash Flow'!BV79*(1+'Sponsor Pro Forma'!$M23/12)))</f>
        <v>6801.1377477120004</v>
      </c>
      <c r="BX79" s="1300">
        <f>IF('Sponsor Pro Forma'!$N23="Override",INDEX('Sponsor Pro Forma'!$O$16:$Z$34,MATCH('Monthly Cash Flow'!$B79,'Sponsor Pro Forma'!$B$16:$B$34,0),MATCH('Monthly Cash Flow'!BX$4,'Sponsor Pro Forma'!$O$15:$Z$15,0))/12,IF('Sponsor Pro Forma'!$L$42="Annual",'Monthly Cash Flow'!BW79*(1+'Sponsor Pro Forma'!$M23)^(IF(MOD(BX$5,12)=1,1,0)),'Monthly Cash Flow'!BW79*(1+'Sponsor Pro Forma'!$M23/12)))</f>
        <v>6801.1377477120004</v>
      </c>
      <c r="BY79" s="1300">
        <f>IF('Sponsor Pro Forma'!$N23="Override",INDEX('Sponsor Pro Forma'!$O$16:$Z$34,MATCH('Monthly Cash Flow'!$B79,'Sponsor Pro Forma'!$B$16:$B$34,0),MATCH('Monthly Cash Flow'!BY$4,'Sponsor Pro Forma'!$O$15:$Z$15,0))/12,IF('Sponsor Pro Forma'!$L$42="Annual",'Monthly Cash Flow'!BX79*(1+'Sponsor Pro Forma'!$M23)^(IF(MOD(BY$5,12)=1,1,0)),'Monthly Cash Flow'!BX79*(1+'Sponsor Pro Forma'!$M23/12)))</f>
        <v>6937.1605026662401</v>
      </c>
      <c r="BZ79" s="1300">
        <f>IF('Sponsor Pro Forma'!$N23="Override",INDEX('Sponsor Pro Forma'!$O$16:$Z$34,MATCH('Monthly Cash Flow'!$B79,'Sponsor Pro Forma'!$B$16:$B$34,0),MATCH('Monthly Cash Flow'!BZ$4,'Sponsor Pro Forma'!$O$15:$Z$15,0))/12,IF('Sponsor Pro Forma'!$L$42="Annual",'Monthly Cash Flow'!BY79*(1+'Sponsor Pro Forma'!$M23)^(IF(MOD(BZ$5,12)=1,1,0)),'Monthly Cash Flow'!BY79*(1+'Sponsor Pro Forma'!$M23/12)))</f>
        <v>6937.1605026662401</v>
      </c>
      <c r="CA79" s="1300">
        <f>IF('Sponsor Pro Forma'!$N23="Override",INDEX('Sponsor Pro Forma'!$O$16:$Z$34,MATCH('Monthly Cash Flow'!$B79,'Sponsor Pro Forma'!$B$16:$B$34,0),MATCH('Monthly Cash Flow'!CA$4,'Sponsor Pro Forma'!$O$15:$Z$15,0))/12,IF('Sponsor Pro Forma'!$L$42="Annual",'Monthly Cash Flow'!BZ79*(1+'Sponsor Pro Forma'!$M23)^(IF(MOD(CA$5,12)=1,1,0)),'Monthly Cash Flow'!BZ79*(1+'Sponsor Pro Forma'!$M23/12)))</f>
        <v>6937.1605026662401</v>
      </c>
      <c r="CB79" s="1300">
        <f>IF('Sponsor Pro Forma'!$N23="Override",INDEX('Sponsor Pro Forma'!$O$16:$Z$34,MATCH('Monthly Cash Flow'!$B79,'Sponsor Pro Forma'!$B$16:$B$34,0),MATCH('Monthly Cash Flow'!CB$4,'Sponsor Pro Forma'!$O$15:$Z$15,0))/12,IF('Sponsor Pro Forma'!$L$42="Annual",'Monthly Cash Flow'!CA79*(1+'Sponsor Pro Forma'!$M23)^(IF(MOD(CB$5,12)=1,1,0)),'Monthly Cash Flow'!CA79*(1+'Sponsor Pro Forma'!$M23/12)))</f>
        <v>6937.1605026662401</v>
      </c>
      <c r="CC79" s="1300">
        <f>IF('Sponsor Pro Forma'!$N23="Override",INDEX('Sponsor Pro Forma'!$O$16:$Z$34,MATCH('Monthly Cash Flow'!$B79,'Sponsor Pro Forma'!$B$16:$B$34,0),MATCH('Monthly Cash Flow'!CC$4,'Sponsor Pro Forma'!$O$15:$Z$15,0))/12,IF('Sponsor Pro Forma'!$L$42="Annual",'Monthly Cash Flow'!CB79*(1+'Sponsor Pro Forma'!$M23)^(IF(MOD(CC$5,12)=1,1,0)),'Monthly Cash Flow'!CB79*(1+'Sponsor Pro Forma'!$M23/12)))</f>
        <v>6937.1605026662401</v>
      </c>
      <c r="CD79" s="1300">
        <f>IF('Sponsor Pro Forma'!$N23="Override",INDEX('Sponsor Pro Forma'!$O$16:$Z$34,MATCH('Monthly Cash Flow'!$B79,'Sponsor Pro Forma'!$B$16:$B$34,0),MATCH('Monthly Cash Flow'!CD$4,'Sponsor Pro Forma'!$O$15:$Z$15,0))/12,IF('Sponsor Pro Forma'!$L$42="Annual",'Monthly Cash Flow'!CC79*(1+'Sponsor Pro Forma'!$M23)^(IF(MOD(CD$5,12)=1,1,0)),'Monthly Cash Flow'!CC79*(1+'Sponsor Pro Forma'!$M23/12)))</f>
        <v>6937.1605026662401</v>
      </c>
      <c r="CE79" s="1300">
        <f>IF('Sponsor Pro Forma'!$N23="Override",INDEX('Sponsor Pro Forma'!$O$16:$Z$34,MATCH('Monthly Cash Flow'!$B79,'Sponsor Pro Forma'!$B$16:$B$34,0),MATCH('Monthly Cash Flow'!CE$4,'Sponsor Pro Forma'!$O$15:$Z$15,0))/12,IF('Sponsor Pro Forma'!$L$42="Annual",'Monthly Cash Flow'!CD79*(1+'Sponsor Pro Forma'!$M23)^(IF(MOD(CE$5,12)=1,1,0)),'Monthly Cash Flow'!CD79*(1+'Sponsor Pro Forma'!$M23/12)))</f>
        <v>6937.1605026662401</v>
      </c>
      <c r="CF79" s="1300">
        <f>IF('Sponsor Pro Forma'!$N23="Override",INDEX('Sponsor Pro Forma'!$O$16:$Z$34,MATCH('Monthly Cash Flow'!$B79,'Sponsor Pro Forma'!$B$16:$B$34,0),MATCH('Monthly Cash Flow'!CF$4,'Sponsor Pro Forma'!$O$15:$Z$15,0))/12,IF('Sponsor Pro Forma'!$L$42="Annual",'Monthly Cash Flow'!CE79*(1+'Sponsor Pro Forma'!$M23)^(IF(MOD(CF$5,12)=1,1,0)),'Monthly Cash Flow'!CE79*(1+'Sponsor Pro Forma'!$M23/12)))</f>
        <v>6937.1605026662401</v>
      </c>
      <c r="CG79" s="1300">
        <f>IF('Sponsor Pro Forma'!$N23="Override",INDEX('Sponsor Pro Forma'!$O$16:$Z$34,MATCH('Monthly Cash Flow'!$B79,'Sponsor Pro Forma'!$B$16:$B$34,0),MATCH('Monthly Cash Flow'!CG$4,'Sponsor Pro Forma'!$O$15:$Z$15,0))/12,IF('Sponsor Pro Forma'!$L$42="Annual",'Monthly Cash Flow'!CF79*(1+'Sponsor Pro Forma'!$M23)^(IF(MOD(CG$5,12)=1,1,0)),'Monthly Cash Flow'!CF79*(1+'Sponsor Pro Forma'!$M23/12)))</f>
        <v>6937.1605026662401</v>
      </c>
      <c r="CH79" s="1300">
        <f>IF('Sponsor Pro Forma'!$N23="Override",INDEX('Sponsor Pro Forma'!$O$16:$Z$34,MATCH('Monthly Cash Flow'!$B79,'Sponsor Pro Forma'!$B$16:$B$34,0),MATCH('Monthly Cash Flow'!CH$4,'Sponsor Pro Forma'!$O$15:$Z$15,0))/12,IF('Sponsor Pro Forma'!$L$42="Annual",'Monthly Cash Flow'!CG79*(1+'Sponsor Pro Forma'!$M23)^(IF(MOD(CH$5,12)=1,1,0)),'Monthly Cash Flow'!CG79*(1+'Sponsor Pro Forma'!$M23/12)))</f>
        <v>6937.1605026662401</v>
      </c>
      <c r="CI79" s="1300">
        <f>IF('Sponsor Pro Forma'!$N23="Override",INDEX('Sponsor Pro Forma'!$O$16:$Z$34,MATCH('Monthly Cash Flow'!$B79,'Sponsor Pro Forma'!$B$16:$B$34,0),MATCH('Monthly Cash Flow'!CI$4,'Sponsor Pro Forma'!$O$15:$Z$15,0))/12,IF('Sponsor Pro Forma'!$L$42="Annual",'Monthly Cash Flow'!CH79*(1+'Sponsor Pro Forma'!$M23)^(IF(MOD(CI$5,12)=1,1,0)),'Monthly Cash Flow'!CH79*(1+'Sponsor Pro Forma'!$M23/12)))</f>
        <v>6937.1605026662401</v>
      </c>
      <c r="CJ79" s="1300">
        <f>IF('Sponsor Pro Forma'!$N23="Override",INDEX('Sponsor Pro Forma'!$O$16:$Z$34,MATCH('Monthly Cash Flow'!$B79,'Sponsor Pro Forma'!$B$16:$B$34,0),MATCH('Monthly Cash Flow'!CJ$4,'Sponsor Pro Forma'!$O$15:$Z$15,0))/12,IF('Sponsor Pro Forma'!$L$42="Annual",'Monthly Cash Flow'!CI79*(1+'Sponsor Pro Forma'!$M23)^(IF(MOD(CJ$5,12)=1,1,0)),'Monthly Cash Flow'!CI79*(1+'Sponsor Pro Forma'!$M23/12)))</f>
        <v>6937.1605026662401</v>
      </c>
      <c r="CK79" s="1300">
        <f>IF('Sponsor Pro Forma'!$N23="Override",INDEX('Sponsor Pro Forma'!$O$16:$Z$34,MATCH('Monthly Cash Flow'!$B79,'Sponsor Pro Forma'!$B$16:$B$34,0),MATCH('Monthly Cash Flow'!CK$4,'Sponsor Pro Forma'!$O$15:$Z$15,0))/12,IF('Sponsor Pro Forma'!$L$42="Annual",'Monthly Cash Flow'!CJ79*(1+'Sponsor Pro Forma'!$M23)^(IF(MOD(CK$5,12)=1,1,0)),'Monthly Cash Flow'!CJ79*(1+'Sponsor Pro Forma'!$M23/12)))</f>
        <v>7075.9037127195652</v>
      </c>
      <c r="CL79" s="1300">
        <f>IF('Sponsor Pro Forma'!$N23="Override",INDEX('Sponsor Pro Forma'!$O$16:$Z$34,MATCH('Monthly Cash Flow'!$B79,'Sponsor Pro Forma'!$B$16:$B$34,0),MATCH('Monthly Cash Flow'!CL$4,'Sponsor Pro Forma'!$O$15:$Z$15,0))/12,IF('Sponsor Pro Forma'!$L$42="Annual",'Monthly Cash Flow'!CK79*(1+'Sponsor Pro Forma'!$M23)^(IF(MOD(CL$5,12)=1,1,0)),'Monthly Cash Flow'!CK79*(1+'Sponsor Pro Forma'!$M23/12)))</f>
        <v>7075.9037127195652</v>
      </c>
      <c r="CM79" s="1300">
        <f>IF('Sponsor Pro Forma'!$N23="Override",INDEX('Sponsor Pro Forma'!$O$16:$Z$34,MATCH('Monthly Cash Flow'!$B79,'Sponsor Pro Forma'!$B$16:$B$34,0),MATCH('Monthly Cash Flow'!CM$4,'Sponsor Pro Forma'!$O$15:$Z$15,0))/12,IF('Sponsor Pro Forma'!$L$42="Annual",'Monthly Cash Flow'!CL79*(1+'Sponsor Pro Forma'!$M23)^(IF(MOD(CM$5,12)=1,1,0)),'Monthly Cash Flow'!CL79*(1+'Sponsor Pro Forma'!$M23/12)))</f>
        <v>7075.9037127195652</v>
      </c>
      <c r="CN79" s="1300">
        <f>IF('Sponsor Pro Forma'!$N23="Override",INDEX('Sponsor Pro Forma'!$O$16:$Z$34,MATCH('Monthly Cash Flow'!$B79,'Sponsor Pro Forma'!$B$16:$B$34,0),MATCH('Monthly Cash Flow'!CN$4,'Sponsor Pro Forma'!$O$15:$Z$15,0))/12,IF('Sponsor Pro Forma'!$L$42="Annual",'Monthly Cash Flow'!CM79*(1+'Sponsor Pro Forma'!$M23)^(IF(MOD(CN$5,12)=1,1,0)),'Monthly Cash Flow'!CM79*(1+'Sponsor Pro Forma'!$M23/12)))</f>
        <v>7075.9037127195652</v>
      </c>
      <c r="CO79" s="1300">
        <f>IF('Sponsor Pro Forma'!$N23="Override",INDEX('Sponsor Pro Forma'!$O$16:$Z$34,MATCH('Monthly Cash Flow'!$B79,'Sponsor Pro Forma'!$B$16:$B$34,0),MATCH('Monthly Cash Flow'!CO$4,'Sponsor Pro Forma'!$O$15:$Z$15,0))/12,IF('Sponsor Pro Forma'!$L$42="Annual",'Monthly Cash Flow'!CN79*(1+'Sponsor Pro Forma'!$M23)^(IF(MOD(CO$5,12)=1,1,0)),'Monthly Cash Flow'!CN79*(1+'Sponsor Pro Forma'!$M23/12)))</f>
        <v>7075.9037127195652</v>
      </c>
      <c r="CP79" s="1300">
        <f>IF('Sponsor Pro Forma'!$N23="Override",INDEX('Sponsor Pro Forma'!$O$16:$Z$34,MATCH('Monthly Cash Flow'!$B79,'Sponsor Pro Forma'!$B$16:$B$34,0),MATCH('Monthly Cash Flow'!CP$4,'Sponsor Pro Forma'!$O$15:$Z$15,0))/12,IF('Sponsor Pro Forma'!$L$42="Annual",'Monthly Cash Flow'!CO79*(1+'Sponsor Pro Forma'!$M23)^(IF(MOD(CP$5,12)=1,1,0)),'Monthly Cash Flow'!CO79*(1+'Sponsor Pro Forma'!$M23/12)))</f>
        <v>7075.9037127195652</v>
      </c>
      <c r="CQ79" s="1300">
        <f>IF('Sponsor Pro Forma'!$N23="Override",INDEX('Sponsor Pro Forma'!$O$16:$Z$34,MATCH('Monthly Cash Flow'!$B79,'Sponsor Pro Forma'!$B$16:$B$34,0),MATCH('Monthly Cash Flow'!CQ$4,'Sponsor Pro Forma'!$O$15:$Z$15,0))/12,IF('Sponsor Pro Forma'!$L$42="Annual",'Monthly Cash Flow'!CP79*(1+'Sponsor Pro Forma'!$M23)^(IF(MOD(CQ$5,12)=1,1,0)),'Monthly Cash Flow'!CP79*(1+'Sponsor Pro Forma'!$M23/12)))</f>
        <v>7075.9037127195652</v>
      </c>
      <c r="CR79" s="1300">
        <f>IF('Sponsor Pro Forma'!$N23="Override",INDEX('Sponsor Pro Forma'!$O$16:$Z$34,MATCH('Monthly Cash Flow'!$B79,'Sponsor Pro Forma'!$B$16:$B$34,0),MATCH('Monthly Cash Flow'!CR$4,'Sponsor Pro Forma'!$O$15:$Z$15,0))/12,IF('Sponsor Pro Forma'!$L$42="Annual",'Monthly Cash Flow'!CQ79*(1+'Sponsor Pro Forma'!$M23)^(IF(MOD(CR$5,12)=1,1,0)),'Monthly Cash Flow'!CQ79*(1+'Sponsor Pro Forma'!$M23/12)))</f>
        <v>7075.9037127195652</v>
      </c>
      <c r="CS79" s="1300">
        <f>IF('Sponsor Pro Forma'!$N23="Override",INDEX('Sponsor Pro Forma'!$O$16:$Z$34,MATCH('Monthly Cash Flow'!$B79,'Sponsor Pro Forma'!$B$16:$B$34,0),MATCH('Monthly Cash Flow'!CS$4,'Sponsor Pro Forma'!$O$15:$Z$15,0))/12,IF('Sponsor Pro Forma'!$L$42="Annual",'Monthly Cash Flow'!CR79*(1+'Sponsor Pro Forma'!$M23)^(IF(MOD(CS$5,12)=1,1,0)),'Monthly Cash Flow'!CR79*(1+'Sponsor Pro Forma'!$M23/12)))</f>
        <v>7075.9037127195652</v>
      </c>
      <c r="CT79" s="1300">
        <f>IF('Sponsor Pro Forma'!$N23="Override",INDEX('Sponsor Pro Forma'!$O$16:$Z$34,MATCH('Monthly Cash Flow'!$B79,'Sponsor Pro Forma'!$B$16:$B$34,0),MATCH('Monthly Cash Flow'!CT$4,'Sponsor Pro Forma'!$O$15:$Z$15,0))/12,IF('Sponsor Pro Forma'!$L$42="Annual",'Monthly Cash Flow'!CS79*(1+'Sponsor Pro Forma'!$M23)^(IF(MOD(CT$5,12)=1,1,0)),'Monthly Cash Flow'!CS79*(1+'Sponsor Pro Forma'!$M23/12)))</f>
        <v>7075.9037127195652</v>
      </c>
      <c r="CU79" s="1300">
        <f>IF('Sponsor Pro Forma'!$N23="Override",INDEX('Sponsor Pro Forma'!$O$16:$Z$34,MATCH('Monthly Cash Flow'!$B79,'Sponsor Pro Forma'!$B$16:$B$34,0),MATCH('Monthly Cash Flow'!CU$4,'Sponsor Pro Forma'!$O$15:$Z$15,0))/12,IF('Sponsor Pro Forma'!$L$42="Annual",'Monthly Cash Flow'!CT79*(1+'Sponsor Pro Forma'!$M23)^(IF(MOD(CU$5,12)=1,1,0)),'Monthly Cash Flow'!CT79*(1+'Sponsor Pro Forma'!$M23/12)))</f>
        <v>7075.9037127195652</v>
      </c>
      <c r="CV79" s="1300">
        <f>IF('Sponsor Pro Forma'!$N23="Override",INDEX('Sponsor Pro Forma'!$O$16:$Z$34,MATCH('Monthly Cash Flow'!$B79,'Sponsor Pro Forma'!$B$16:$B$34,0),MATCH('Monthly Cash Flow'!CV$4,'Sponsor Pro Forma'!$O$15:$Z$15,0))/12,IF('Sponsor Pro Forma'!$L$42="Annual",'Monthly Cash Flow'!CU79*(1+'Sponsor Pro Forma'!$M23)^(IF(MOD(CV$5,12)=1,1,0)),'Monthly Cash Flow'!CU79*(1+'Sponsor Pro Forma'!$M23/12)))</f>
        <v>7075.9037127195652</v>
      </c>
      <c r="CW79" s="1300">
        <f>IF('Sponsor Pro Forma'!$N23="Override",INDEX('Sponsor Pro Forma'!$O$16:$Z$34,MATCH('Monthly Cash Flow'!$B79,'Sponsor Pro Forma'!$B$16:$B$34,0),MATCH('Monthly Cash Flow'!CW$4,'Sponsor Pro Forma'!$O$15:$Z$15,0))/12,IF('Sponsor Pro Forma'!$L$42="Annual",'Monthly Cash Flow'!CV79*(1+'Sponsor Pro Forma'!$M23)^(IF(MOD(CW$5,12)=1,1,0)),'Monthly Cash Flow'!CV79*(1+'Sponsor Pro Forma'!$M23/12)))</f>
        <v>7217.4217869739559</v>
      </c>
      <c r="CX79" s="1300">
        <f>IF('Sponsor Pro Forma'!$N23="Override",INDEX('Sponsor Pro Forma'!$O$16:$Z$34,MATCH('Monthly Cash Flow'!$B79,'Sponsor Pro Forma'!$B$16:$B$34,0),MATCH('Monthly Cash Flow'!CX$4,'Sponsor Pro Forma'!$O$15:$Z$15,0))/12,IF('Sponsor Pro Forma'!$L$42="Annual",'Monthly Cash Flow'!CW79*(1+'Sponsor Pro Forma'!$M23)^(IF(MOD(CX$5,12)=1,1,0)),'Monthly Cash Flow'!CW79*(1+'Sponsor Pro Forma'!$M23/12)))</f>
        <v>7217.4217869739559</v>
      </c>
      <c r="CY79" s="1300">
        <f>IF('Sponsor Pro Forma'!$N23="Override",INDEX('Sponsor Pro Forma'!$O$16:$Z$34,MATCH('Monthly Cash Flow'!$B79,'Sponsor Pro Forma'!$B$16:$B$34,0),MATCH('Monthly Cash Flow'!CY$4,'Sponsor Pro Forma'!$O$15:$Z$15,0))/12,IF('Sponsor Pro Forma'!$L$42="Annual",'Monthly Cash Flow'!CX79*(1+'Sponsor Pro Forma'!$M23)^(IF(MOD(CY$5,12)=1,1,0)),'Monthly Cash Flow'!CX79*(1+'Sponsor Pro Forma'!$M23/12)))</f>
        <v>7217.4217869739559</v>
      </c>
      <c r="CZ79" s="1300">
        <f>IF('Sponsor Pro Forma'!$N23="Override",INDEX('Sponsor Pro Forma'!$O$16:$Z$34,MATCH('Monthly Cash Flow'!$B79,'Sponsor Pro Forma'!$B$16:$B$34,0),MATCH('Monthly Cash Flow'!CZ$4,'Sponsor Pro Forma'!$O$15:$Z$15,0))/12,IF('Sponsor Pro Forma'!$L$42="Annual",'Monthly Cash Flow'!CY79*(1+'Sponsor Pro Forma'!$M23)^(IF(MOD(CZ$5,12)=1,1,0)),'Monthly Cash Flow'!CY79*(1+'Sponsor Pro Forma'!$M23/12)))</f>
        <v>7217.4217869739559</v>
      </c>
      <c r="DA79" s="1300">
        <f>IF('Sponsor Pro Forma'!$N23="Override",INDEX('Sponsor Pro Forma'!$O$16:$Z$34,MATCH('Monthly Cash Flow'!$B79,'Sponsor Pro Forma'!$B$16:$B$34,0),MATCH('Monthly Cash Flow'!DA$4,'Sponsor Pro Forma'!$O$15:$Z$15,0))/12,IF('Sponsor Pro Forma'!$L$42="Annual",'Monthly Cash Flow'!CZ79*(1+'Sponsor Pro Forma'!$M23)^(IF(MOD(DA$5,12)=1,1,0)),'Monthly Cash Flow'!CZ79*(1+'Sponsor Pro Forma'!$M23/12)))</f>
        <v>7217.4217869739559</v>
      </c>
      <c r="DB79" s="1300">
        <f>IF('Sponsor Pro Forma'!$N23="Override",INDEX('Sponsor Pro Forma'!$O$16:$Z$34,MATCH('Monthly Cash Flow'!$B79,'Sponsor Pro Forma'!$B$16:$B$34,0),MATCH('Monthly Cash Flow'!DB$4,'Sponsor Pro Forma'!$O$15:$Z$15,0))/12,IF('Sponsor Pro Forma'!$L$42="Annual",'Monthly Cash Flow'!DA79*(1+'Sponsor Pro Forma'!$M23)^(IF(MOD(DB$5,12)=1,1,0)),'Monthly Cash Flow'!DA79*(1+'Sponsor Pro Forma'!$M23/12)))</f>
        <v>7217.4217869739559</v>
      </c>
      <c r="DC79" s="1300">
        <f>IF('Sponsor Pro Forma'!$N23="Override",INDEX('Sponsor Pro Forma'!$O$16:$Z$34,MATCH('Monthly Cash Flow'!$B79,'Sponsor Pro Forma'!$B$16:$B$34,0),MATCH('Monthly Cash Flow'!DC$4,'Sponsor Pro Forma'!$O$15:$Z$15,0))/12,IF('Sponsor Pro Forma'!$L$42="Annual",'Monthly Cash Flow'!DB79*(1+'Sponsor Pro Forma'!$M23)^(IF(MOD(DC$5,12)=1,1,0)),'Monthly Cash Flow'!DB79*(1+'Sponsor Pro Forma'!$M23/12)))</f>
        <v>7217.4217869739559</v>
      </c>
      <c r="DD79" s="1300">
        <f>IF('Sponsor Pro Forma'!$N23="Override",INDEX('Sponsor Pro Forma'!$O$16:$Z$34,MATCH('Monthly Cash Flow'!$B79,'Sponsor Pro Forma'!$B$16:$B$34,0),MATCH('Monthly Cash Flow'!DD$4,'Sponsor Pro Forma'!$O$15:$Z$15,0))/12,IF('Sponsor Pro Forma'!$L$42="Annual",'Monthly Cash Flow'!DC79*(1+'Sponsor Pro Forma'!$M23)^(IF(MOD(DD$5,12)=1,1,0)),'Monthly Cash Flow'!DC79*(1+'Sponsor Pro Forma'!$M23/12)))</f>
        <v>7217.4217869739559</v>
      </c>
      <c r="DE79" s="1300">
        <f>IF('Sponsor Pro Forma'!$N23="Override",INDEX('Sponsor Pro Forma'!$O$16:$Z$34,MATCH('Monthly Cash Flow'!$B79,'Sponsor Pro Forma'!$B$16:$B$34,0),MATCH('Monthly Cash Flow'!DE$4,'Sponsor Pro Forma'!$O$15:$Z$15,0))/12,IF('Sponsor Pro Forma'!$L$42="Annual",'Monthly Cash Flow'!DD79*(1+'Sponsor Pro Forma'!$M23)^(IF(MOD(DE$5,12)=1,1,0)),'Monthly Cash Flow'!DD79*(1+'Sponsor Pro Forma'!$M23/12)))</f>
        <v>7217.4217869739559</v>
      </c>
      <c r="DF79" s="1300">
        <f>IF('Sponsor Pro Forma'!$N23="Override",INDEX('Sponsor Pro Forma'!$O$16:$Z$34,MATCH('Monthly Cash Flow'!$B79,'Sponsor Pro Forma'!$B$16:$B$34,0),MATCH('Monthly Cash Flow'!DF$4,'Sponsor Pro Forma'!$O$15:$Z$15,0))/12,IF('Sponsor Pro Forma'!$L$42="Annual",'Monthly Cash Flow'!DE79*(1+'Sponsor Pro Forma'!$M23)^(IF(MOD(DF$5,12)=1,1,0)),'Monthly Cash Flow'!DE79*(1+'Sponsor Pro Forma'!$M23/12)))</f>
        <v>7217.4217869739559</v>
      </c>
      <c r="DG79" s="1300">
        <f>IF('Sponsor Pro Forma'!$N23="Override",INDEX('Sponsor Pro Forma'!$O$16:$Z$34,MATCH('Monthly Cash Flow'!$B79,'Sponsor Pro Forma'!$B$16:$B$34,0),MATCH('Monthly Cash Flow'!DG$4,'Sponsor Pro Forma'!$O$15:$Z$15,0))/12,IF('Sponsor Pro Forma'!$L$42="Annual",'Monthly Cash Flow'!DF79*(1+'Sponsor Pro Forma'!$M23)^(IF(MOD(DG$5,12)=1,1,0)),'Monthly Cash Flow'!DF79*(1+'Sponsor Pro Forma'!$M23/12)))</f>
        <v>7217.4217869739559</v>
      </c>
      <c r="DH79" s="1300">
        <f>IF('Sponsor Pro Forma'!$N23="Override",INDEX('Sponsor Pro Forma'!$O$16:$Z$34,MATCH('Monthly Cash Flow'!$B79,'Sponsor Pro Forma'!$B$16:$B$34,0),MATCH('Monthly Cash Flow'!DH$4,'Sponsor Pro Forma'!$O$15:$Z$15,0))/12,IF('Sponsor Pro Forma'!$L$42="Annual",'Monthly Cash Flow'!DG79*(1+'Sponsor Pro Forma'!$M23)^(IF(MOD(DH$5,12)=1,1,0)),'Monthly Cash Flow'!DG79*(1+'Sponsor Pro Forma'!$M23/12)))</f>
        <v>7217.4217869739559</v>
      </c>
      <c r="DI79" s="1300">
        <f>IF('Sponsor Pro Forma'!$N23="Override",INDEX('Sponsor Pro Forma'!$O$16:$Z$34,MATCH('Monthly Cash Flow'!$B79,'Sponsor Pro Forma'!$B$16:$B$34,0),MATCH('Monthly Cash Flow'!DI$4,'Sponsor Pro Forma'!$O$15:$Z$15,0))/12,IF('Sponsor Pro Forma'!$L$42="Annual",'Monthly Cash Flow'!DH79*(1+'Sponsor Pro Forma'!$M23)^(IF(MOD(DI$5,12)=1,1,0)),'Monthly Cash Flow'!DH79*(1+'Sponsor Pro Forma'!$M23/12)))</f>
        <v>7361.7702227134359</v>
      </c>
      <c r="DJ79" s="1300">
        <f>IF('Sponsor Pro Forma'!$N23="Override",INDEX('Sponsor Pro Forma'!$O$16:$Z$34,MATCH('Monthly Cash Flow'!$B79,'Sponsor Pro Forma'!$B$16:$B$34,0),MATCH('Monthly Cash Flow'!DJ$4,'Sponsor Pro Forma'!$O$15:$Z$15,0))/12,IF('Sponsor Pro Forma'!$L$42="Annual",'Monthly Cash Flow'!DI79*(1+'Sponsor Pro Forma'!$M23)^(IF(MOD(DJ$5,12)=1,1,0)),'Monthly Cash Flow'!DI79*(1+'Sponsor Pro Forma'!$M23/12)))</f>
        <v>7361.7702227134359</v>
      </c>
      <c r="DK79" s="1300">
        <f>IF('Sponsor Pro Forma'!$N23="Override",INDEX('Sponsor Pro Forma'!$O$16:$Z$34,MATCH('Monthly Cash Flow'!$B79,'Sponsor Pro Forma'!$B$16:$B$34,0),MATCH('Monthly Cash Flow'!DK$4,'Sponsor Pro Forma'!$O$15:$Z$15,0))/12,IF('Sponsor Pro Forma'!$L$42="Annual",'Monthly Cash Flow'!DJ79*(1+'Sponsor Pro Forma'!$M23)^(IF(MOD(DK$5,12)=1,1,0)),'Monthly Cash Flow'!DJ79*(1+'Sponsor Pro Forma'!$M23/12)))</f>
        <v>7361.7702227134359</v>
      </c>
      <c r="DL79" s="1300">
        <f>IF('Sponsor Pro Forma'!$N23="Override",INDEX('Sponsor Pro Forma'!$O$16:$Z$34,MATCH('Monthly Cash Flow'!$B79,'Sponsor Pro Forma'!$B$16:$B$34,0),MATCH('Monthly Cash Flow'!DL$4,'Sponsor Pro Forma'!$O$15:$Z$15,0))/12,IF('Sponsor Pro Forma'!$L$42="Annual",'Monthly Cash Flow'!DK79*(1+'Sponsor Pro Forma'!$M23)^(IF(MOD(DL$5,12)=1,1,0)),'Monthly Cash Flow'!DK79*(1+'Sponsor Pro Forma'!$M23/12)))</f>
        <v>7361.7702227134359</v>
      </c>
      <c r="DM79" s="1300">
        <f>IF('Sponsor Pro Forma'!$N23="Override",INDEX('Sponsor Pro Forma'!$O$16:$Z$34,MATCH('Monthly Cash Flow'!$B79,'Sponsor Pro Forma'!$B$16:$B$34,0),MATCH('Monthly Cash Flow'!DM$4,'Sponsor Pro Forma'!$O$15:$Z$15,0))/12,IF('Sponsor Pro Forma'!$L$42="Annual",'Monthly Cash Flow'!DL79*(1+'Sponsor Pro Forma'!$M23)^(IF(MOD(DM$5,12)=1,1,0)),'Monthly Cash Flow'!DL79*(1+'Sponsor Pro Forma'!$M23/12)))</f>
        <v>7361.7702227134359</v>
      </c>
      <c r="DN79" s="1300">
        <f>IF('Sponsor Pro Forma'!$N23="Override",INDEX('Sponsor Pro Forma'!$O$16:$Z$34,MATCH('Monthly Cash Flow'!$B79,'Sponsor Pro Forma'!$B$16:$B$34,0),MATCH('Monthly Cash Flow'!DN$4,'Sponsor Pro Forma'!$O$15:$Z$15,0))/12,IF('Sponsor Pro Forma'!$L$42="Annual",'Monthly Cash Flow'!DM79*(1+'Sponsor Pro Forma'!$M23)^(IF(MOD(DN$5,12)=1,1,0)),'Monthly Cash Flow'!DM79*(1+'Sponsor Pro Forma'!$M23/12)))</f>
        <v>7361.7702227134359</v>
      </c>
      <c r="DO79" s="1300">
        <f>IF('Sponsor Pro Forma'!$N23="Override",INDEX('Sponsor Pro Forma'!$O$16:$Z$34,MATCH('Monthly Cash Flow'!$B79,'Sponsor Pro Forma'!$B$16:$B$34,0),MATCH('Monthly Cash Flow'!DO$4,'Sponsor Pro Forma'!$O$15:$Z$15,0))/12,IF('Sponsor Pro Forma'!$L$42="Annual",'Monthly Cash Flow'!DN79*(1+'Sponsor Pro Forma'!$M23)^(IF(MOD(DO$5,12)=1,1,0)),'Monthly Cash Flow'!DN79*(1+'Sponsor Pro Forma'!$M23/12)))</f>
        <v>7361.7702227134359</v>
      </c>
      <c r="DP79" s="1300">
        <f>IF('Sponsor Pro Forma'!$N23="Override",INDEX('Sponsor Pro Forma'!$O$16:$Z$34,MATCH('Monthly Cash Flow'!$B79,'Sponsor Pro Forma'!$B$16:$B$34,0),MATCH('Monthly Cash Flow'!DP$4,'Sponsor Pro Forma'!$O$15:$Z$15,0))/12,IF('Sponsor Pro Forma'!$L$42="Annual",'Monthly Cash Flow'!DO79*(1+'Sponsor Pro Forma'!$M23)^(IF(MOD(DP$5,12)=1,1,0)),'Monthly Cash Flow'!DO79*(1+'Sponsor Pro Forma'!$M23/12)))</f>
        <v>7361.7702227134359</v>
      </c>
      <c r="DQ79" s="1300">
        <f>IF('Sponsor Pro Forma'!$N23="Override",INDEX('Sponsor Pro Forma'!$O$16:$Z$34,MATCH('Monthly Cash Flow'!$B79,'Sponsor Pro Forma'!$B$16:$B$34,0),MATCH('Monthly Cash Flow'!DQ$4,'Sponsor Pro Forma'!$O$15:$Z$15,0))/12,IF('Sponsor Pro Forma'!$L$42="Annual",'Monthly Cash Flow'!DP79*(1+'Sponsor Pro Forma'!$M23)^(IF(MOD(DQ$5,12)=1,1,0)),'Monthly Cash Flow'!DP79*(1+'Sponsor Pro Forma'!$M23/12)))</f>
        <v>7361.7702227134359</v>
      </c>
      <c r="DR79" s="1300">
        <f>IF('Sponsor Pro Forma'!$N23="Override",INDEX('Sponsor Pro Forma'!$O$16:$Z$34,MATCH('Monthly Cash Flow'!$B79,'Sponsor Pro Forma'!$B$16:$B$34,0),MATCH('Monthly Cash Flow'!DR$4,'Sponsor Pro Forma'!$O$15:$Z$15,0))/12,IF('Sponsor Pro Forma'!$L$42="Annual",'Monthly Cash Flow'!DQ79*(1+'Sponsor Pro Forma'!$M23)^(IF(MOD(DR$5,12)=1,1,0)),'Monthly Cash Flow'!DQ79*(1+'Sponsor Pro Forma'!$M23/12)))</f>
        <v>7361.7702227134359</v>
      </c>
      <c r="DS79" s="1300">
        <f>IF('Sponsor Pro Forma'!$N23="Override",INDEX('Sponsor Pro Forma'!$O$16:$Z$34,MATCH('Monthly Cash Flow'!$B79,'Sponsor Pro Forma'!$B$16:$B$34,0),MATCH('Monthly Cash Flow'!DS$4,'Sponsor Pro Forma'!$O$15:$Z$15,0))/12,IF('Sponsor Pro Forma'!$L$42="Annual",'Monthly Cash Flow'!DR79*(1+'Sponsor Pro Forma'!$M23)^(IF(MOD(DS$5,12)=1,1,0)),'Monthly Cash Flow'!DR79*(1+'Sponsor Pro Forma'!$M23/12)))</f>
        <v>7361.7702227134359</v>
      </c>
      <c r="DT79" s="1300">
        <f>IF('Sponsor Pro Forma'!$N23="Override",INDEX('Sponsor Pro Forma'!$O$16:$Z$34,MATCH('Monthly Cash Flow'!$B79,'Sponsor Pro Forma'!$B$16:$B$34,0),MATCH('Monthly Cash Flow'!DT$4,'Sponsor Pro Forma'!$O$15:$Z$15,0))/12,IF('Sponsor Pro Forma'!$L$42="Annual",'Monthly Cash Flow'!DS79*(1+'Sponsor Pro Forma'!$M23)^(IF(MOD(DT$5,12)=1,1,0)),'Monthly Cash Flow'!DS79*(1+'Sponsor Pro Forma'!$M23/12)))</f>
        <v>7361.7702227134359</v>
      </c>
      <c r="DU79" s="1301" t="s">
        <v>557</v>
      </c>
      <c r="DV79" s="196"/>
    </row>
    <row r="80" spans="1:126" s="5" customFormat="1" ht="15" customHeight="1">
      <c r="A80" s="399">
        <v>9</v>
      </c>
      <c r="B80" s="203" t="str">
        <f>'Debt Sizing'!A25</f>
        <v>Contract Services</v>
      </c>
      <c r="C80" s="397"/>
      <c r="D80" s="413">
        <f>IF('Sponsor Pro Forma'!$N24="Override",'Sponsor Pro Forma'!$O24/12,'Sponsor Pro Forma'!K24/12)</f>
        <v>3894</v>
      </c>
      <c r="E80" s="1303">
        <f t="shared" ref="E80:E85" si="142">D80</f>
        <v>3894</v>
      </c>
      <c r="F80" s="1300">
        <f>IF('Sponsor Pro Forma'!$N24="Override",INDEX('Sponsor Pro Forma'!$O$16:$Z$34,MATCH('Monthly Cash Flow'!$B80,'Sponsor Pro Forma'!$B$16:$B$34,0),MATCH('Monthly Cash Flow'!F$4,'Sponsor Pro Forma'!$O$15:$Z$15,0))/12,IF('Sponsor Pro Forma'!$L$42="Annual",'Monthly Cash Flow'!E80*(1+'Sponsor Pro Forma'!$M24)^(IF(MOD(F$5,12)=1,1,0)),'Monthly Cash Flow'!E80*(1+'Sponsor Pro Forma'!$M24/12)))</f>
        <v>3894</v>
      </c>
      <c r="G80" s="1300">
        <f>IF('Sponsor Pro Forma'!$N24="Override",INDEX('Sponsor Pro Forma'!$O$16:$Z$34,MATCH('Monthly Cash Flow'!$B80,'Sponsor Pro Forma'!$B$16:$B$34,0),MATCH('Monthly Cash Flow'!G$4,'Sponsor Pro Forma'!$O$15:$Z$15,0))/12,IF('Sponsor Pro Forma'!$L$42="Annual",'Monthly Cash Flow'!F80*(1+'Sponsor Pro Forma'!$M24)^(IF(MOD(G$5,12)=1,1,0)),'Monthly Cash Flow'!F80*(1+'Sponsor Pro Forma'!$M24/12)))</f>
        <v>3894</v>
      </c>
      <c r="H80" s="1300">
        <f>IF('Sponsor Pro Forma'!$N24="Override",INDEX('Sponsor Pro Forma'!$O$16:$Z$34,MATCH('Monthly Cash Flow'!$B80,'Sponsor Pro Forma'!$B$16:$B$34,0),MATCH('Monthly Cash Flow'!H$4,'Sponsor Pro Forma'!$O$15:$Z$15,0))/12,IF('Sponsor Pro Forma'!$L$42="Annual",'Monthly Cash Flow'!G80*(1+'Sponsor Pro Forma'!$M24)^(IF(MOD(H$5,12)=1,1,0)),'Monthly Cash Flow'!G80*(1+'Sponsor Pro Forma'!$M24/12)))</f>
        <v>3894</v>
      </c>
      <c r="I80" s="1300">
        <f>IF('Sponsor Pro Forma'!$N24="Override",INDEX('Sponsor Pro Forma'!$O$16:$Z$34,MATCH('Monthly Cash Flow'!$B80,'Sponsor Pro Forma'!$B$16:$B$34,0),MATCH('Monthly Cash Flow'!I$4,'Sponsor Pro Forma'!$O$15:$Z$15,0))/12,IF('Sponsor Pro Forma'!$L$42="Annual",'Monthly Cash Flow'!H80*(1+'Sponsor Pro Forma'!$M24)^(IF(MOD(I$5,12)=1,1,0)),'Monthly Cash Flow'!H80*(1+'Sponsor Pro Forma'!$M24/12)))</f>
        <v>3894</v>
      </c>
      <c r="J80" s="1300">
        <f>IF('Sponsor Pro Forma'!$N24="Override",INDEX('Sponsor Pro Forma'!$O$16:$Z$34,MATCH('Monthly Cash Flow'!$B80,'Sponsor Pro Forma'!$B$16:$B$34,0),MATCH('Monthly Cash Flow'!J$4,'Sponsor Pro Forma'!$O$15:$Z$15,0))/12,IF('Sponsor Pro Forma'!$L$42="Annual",'Monthly Cash Flow'!I80*(1+'Sponsor Pro Forma'!$M24)^(IF(MOD(J$5,12)=1,1,0)),'Monthly Cash Flow'!I80*(1+'Sponsor Pro Forma'!$M24/12)))</f>
        <v>3894</v>
      </c>
      <c r="K80" s="1300">
        <f>IF('Sponsor Pro Forma'!$N24="Override",INDEX('Sponsor Pro Forma'!$O$16:$Z$34,MATCH('Monthly Cash Flow'!$B80,'Sponsor Pro Forma'!$B$16:$B$34,0),MATCH('Monthly Cash Flow'!K$4,'Sponsor Pro Forma'!$O$15:$Z$15,0))/12,IF('Sponsor Pro Forma'!$L$42="Annual",'Monthly Cash Flow'!J80*(1+'Sponsor Pro Forma'!$M24)^(IF(MOD(K$5,12)=1,1,0)),'Monthly Cash Flow'!J80*(1+'Sponsor Pro Forma'!$M24/12)))</f>
        <v>3894</v>
      </c>
      <c r="L80" s="1300">
        <f>IF('Sponsor Pro Forma'!$N24="Override",INDEX('Sponsor Pro Forma'!$O$16:$Z$34,MATCH('Monthly Cash Flow'!$B80,'Sponsor Pro Forma'!$B$16:$B$34,0),MATCH('Monthly Cash Flow'!L$4,'Sponsor Pro Forma'!$O$15:$Z$15,0))/12,IF('Sponsor Pro Forma'!$L$42="Annual",'Monthly Cash Flow'!K80*(1+'Sponsor Pro Forma'!$M24)^(IF(MOD(L$5,12)=1,1,0)),'Monthly Cash Flow'!K80*(1+'Sponsor Pro Forma'!$M24/12)))</f>
        <v>3894</v>
      </c>
      <c r="M80" s="1300">
        <f>IF('Sponsor Pro Forma'!$N24="Override",INDEX('Sponsor Pro Forma'!$O$16:$Z$34,MATCH('Monthly Cash Flow'!$B80,'Sponsor Pro Forma'!$B$16:$B$34,0),MATCH('Monthly Cash Flow'!M$4,'Sponsor Pro Forma'!$O$15:$Z$15,0))/12,IF('Sponsor Pro Forma'!$L$42="Annual",'Monthly Cash Flow'!L80*(1+'Sponsor Pro Forma'!$M24)^(IF(MOD(M$5,12)=1,1,0)),'Monthly Cash Flow'!L80*(1+'Sponsor Pro Forma'!$M24/12)))</f>
        <v>3894</v>
      </c>
      <c r="N80" s="1300">
        <f>IF('Sponsor Pro Forma'!$N24="Override",INDEX('Sponsor Pro Forma'!$O$16:$Z$34,MATCH('Monthly Cash Flow'!$B80,'Sponsor Pro Forma'!$B$16:$B$34,0),MATCH('Monthly Cash Flow'!N$4,'Sponsor Pro Forma'!$O$15:$Z$15,0))/12,IF('Sponsor Pro Forma'!$L$42="Annual",'Monthly Cash Flow'!M80*(1+'Sponsor Pro Forma'!$M24)^(IF(MOD(N$5,12)=1,1,0)),'Monthly Cash Flow'!M80*(1+'Sponsor Pro Forma'!$M24/12)))</f>
        <v>3894</v>
      </c>
      <c r="O80" s="1300">
        <f>IF('Sponsor Pro Forma'!$N24="Override",INDEX('Sponsor Pro Forma'!$O$16:$Z$34,MATCH('Monthly Cash Flow'!$B80,'Sponsor Pro Forma'!$B$16:$B$34,0),MATCH('Monthly Cash Flow'!O$4,'Sponsor Pro Forma'!$O$15:$Z$15,0))/12,IF('Sponsor Pro Forma'!$L$42="Annual",'Monthly Cash Flow'!N80*(1+'Sponsor Pro Forma'!$M24)^(IF(MOD(O$5,12)=1,1,0)),'Monthly Cash Flow'!N80*(1+'Sponsor Pro Forma'!$M24/12)))</f>
        <v>3894</v>
      </c>
      <c r="P80" s="1300">
        <f>IF('Sponsor Pro Forma'!$N24="Override",INDEX('Sponsor Pro Forma'!$O$16:$Z$34,MATCH('Monthly Cash Flow'!$B80,'Sponsor Pro Forma'!$B$16:$B$34,0),MATCH('Monthly Cash Flow'!P$4,'Sponsor Pro Forma'!$O$15:$Z$15,0))/12,IF('Sponsor Pro Forma'!$L$42="Annual",'Monthly Cash Flow'!O80*(1+'Sponsor Pro Forma'!$M24)^(IF(MOD(P$5,12)=1,1,0)),'Monthly Cash Flow'!O80*(1+'Sponsor Pro Forma'!$M24/12)))</f>
        <v>3894</v>
      </c>
      <c r="Q80" s="1300">
        <f>IF('Sponsor Pro Forma'!$N24="Override",INDEX('Sponsor Pro Forma'!$O$16:$Z$34,MATCH('Monthly Cash Flow'!$B80,'Sponsor Pro Forma'!$B$16:$B$34,0),MATCH('Monthly Cash Flow'!Q$4,'Sponsor Pro Forma'!$O$15:$Z$15,0))/12,IF('Sponsor Pro Forma'!$L$42="Annual",'Monthly Cash Flow'!P80*(1+'Sponsor Pro Forma'!$M24)^(IF(MOD(Q$5,12)=1,1,0)),'Monthly Cash Flow'!P80*(1+'Sponsor Pro Forma'!$M24/12)))</f>
        <v>3971.8799999999997</v>
      </c>
      <c r="R80" s="1300">
        <f>IF('Sponsor Pro Forma'!$N24="Override",INDEX('Sponsor Pro Forma'!$O$16:$Z$34,MATCH('Monthly Cash Flow'!$B80,'Sponsor Pro Forma'!$B$16:$B$34,0),MATCH('Monthly Cash Flow'!R$4,'Sponsor Pro Forma'!$O$15:$Z$15,0))/12,IF('Sponsor Pro Forma'!$L$42="Annual",'Monthly Cash Flow'!Q80*(1+'Sponsor Pro Forma'!$M24)^(IF(MOD(R$5,12)=1,1,0)),'Monthly Cash Flow'!Q80*(1+'Sponsor Pro Forma'!$M24/12)))</f>
        <v>3971.8799999999997</v>
      </c>
      <c r="S80" s="1300">
        <f>IF('Sponsor Pro Forma'!$N24="Override",INDEX('Sponsor Pro Forma'!$O$16:$Z$34,MATCH('Monthly Cash Flow'!$B80,'Sponsor Pro Forma'!$B$16:$B$34,0),MATCH('Monthly Cash Flow'!S$4,'Sponsor Pro Forma'!$O$15:$Z$15,0))/12,IF('Sponsor Pro Forma'!$L$42="Annual",'Monthly Cash Flow'!R80*(1+'Sponsor Pro Forma'!$M24)^(IF(MOD(S$5,12)=1,1,0)),'Monthly Cash Flow'!R80*(1+'Sponsor Pro Forma'!$M24/12)))</f>
        <v>3971.8799999999997</v>
      </c>
      <c r="T80" s="1300">
        <f>IF('Sponsor Pro Forma'!$N24="Override",INDEX('Sponsor Pro Forma'!$O$16:$Z$34,MATCH('Monthly Cash Flow'!$B80,'Sponsor Pro Forma'!$B$16:$B$34,0),MATCH('Monthly Cash Flow'!T$4,'Sponsor Pro Forma'!$O$15:$Z$15,0))/12,IF('Sponsor Pro Forma'!$L$42="Annual",'Monthly Cash Flow'!S80*(1+'Sponsor Pro Forma'!$M24)^(IF(MOD(T$5,12)=1,1,0)),'Monthly Cash Flow'!S80*(1+'Sponsor Pro Forma'!$M24/12)))</f>
        <v>3971.8799999999997</v>
      </c>
      <c r="U80" s="1300">
        <f>IF('Sponsor Pro Forma'!$N24="Override",INDEX('Sponsor Pro Forma'!$O$16:$Z$34,MATCH('Monthly Cash Flow'!$B80,'Sponsor Pro Forma'!$B$16:$B$34,0),MATCH('Monthly Cash Flow'!U$4,'Sponsor Pro Forma'!$O$15:$Z$15,0))/12,IF('Sponsor Pro Forma'!$L$42="Annual",'Monthly Cash Flow'!T80*(1+'Sponsor Pro Forma'!$M24)^(IF(MOD(U$5,12)=1,1,0)),'Monthly Cash Flow'!T80*(1+'Sponsor Pro Forma'!$M24/12)))</f>
        <v>3971.8799999999997</v>
      </c>
      <c r="V80" s="1300">
        <f>IF('Sponsor Pro Forma'!$N24="Override",INDEX('Sponsor Pro Forma'!$O$16:$Z$34,MATCH('Monthly Cash Flow'!$B80,'Sponsor Pro Forma'!$B$16:$B$34,0),MATCH('Monthly Cash Flow'!V$4,'Sponsor Pro Forma'!$O$15:$Z$15,0))/12,IF('Sponsor Pro Forma'!$L$42="Annual",'Monthly Cash Flow'!U80*(1+'Sponsor Pro Forma'!$M24)^(IF(MOD(V$5,12)=1,1,0)),'Monthly Cash Flow'!U80*(1+'Sponsor Pro Forma'!$M24/12)))</f>
        <v>3971.8799999999997</v>
      </c>
      <c r="W80" s="1300">
        <f>IF('Sponsor Pro Forma'!$N24="Override",INDEX('Sponsor Pro Forma'!$O$16:$Z$34,MATCH('Monthly Cash Flow'!$B80,'Sponsor Pro Forma'!$B$16:$B$34,0),MATCH('Monthly Cash Flow'!W$4,'Sponsor Pro Forma'!$O$15:$Z$15,0))/12,IF('Sponsor Pro Forma'!$L$42="Annual",'Monthly Cash Flow'!V80*(1+'Sponsor Pro Forma'!$M24)^(IF(MOD(W$5,12)=1,1,0)),'Monthly Cash Flow'!V80*(1+'Sponsor Pro Forma'!$M24/12)))</f>
        <v>3971.8799999999997</v>
      </c>
      <c r="X80" s="1300">
        <f>IF('Sponsor Pro Forma'!$N24="Override",INDEX('Sponsor Pro Forma'!$O$16:$Z$34,MATCH('Monthly Cash Flow'!$B80,'Sponsor Pro Forma'!$B$16:$B$34,0),MATCH('Monthly Cash Flow'!X$4,'Sponsor Pro Forma'!$O$15:$Z$15,0))/12,IF('Sponsor Pro Forma'!$L$42="Annual",'Monthly Cash Flow'!W80*(1+'Sponsor Pro Forma'!$M24)^(IF(MOD(X$5,12)=1,1,0)),'Monthly Cash Flow'!W80*(1+'Sponsor Pro Forma'!$M24/12)))</f>
        <v>3971.8799999999997</v>
      </c>
      <c r="Y80" s="1300">
        <f>IF('Sponsor Pro Forma'!$N24="Override",INDEX('Sponsor Pro Forma'!$O$16:$Z$34,MATCH('Monthly Cash Flow'!$B80,'Sponsor Pro Forma'!$B$16:$B$34,0),MATCH('Monthly Cash Flow'!Y$4,'Sponsor Pro Forma'!$O$15:$Z$15,0))/12,IF('Sponsor Pro Forma'!$L$42="Annual",'Monthly Cash Flow'!X80*(1+'Sponsor Pro Forma'!$M24)^(IF(MOD(Y$5,12)=1,1,0)),'Monthly Cash Flow'!X80*(1+'Sponsor Pro Forma'!$M24/12)))</f>
        <v>3971.8799999999997</v>
      </c>
      <c r="Z80" s="1300">
        <f>IF('Sponsor Pro Forma'!$N24="Override",INDEX('Sponsor Pro Forma'!$O$16:$Z$34,MATCH('Monthly Cash Flow'!$B80,'Sponsor Pro Forma'!$B$16:$B$34,0),MATCH('Monthly Cash Flow'!Z$4,'Sponsor Pro Forma'!$O$15:$Z$15,0))/12,IF('Sponsor Pro Forma'!$L$42="Annual",'Monthly Cash Flow'!Y80*(1+'Sponsor Pro Forma'!$M24)^(IF(MOD(Z$5,12)=1,1,0)),'Monthly Cash Flow'!Y80*(1+'Sponsor Pro Forma'!$M24/12)))</f>
        <v>3971.8799999999997</v>
      </c>
      <c r="AA80" s="1300">
        <f>IF('Sponsor Pro Forma'!$N24="Override",INDEX('Sponsor Pro Forma'!$O$16:$Z$34,MATCH('Monthly Cash Flow'!$B80,'Sponsor Pro Forma'!$B$16:$B$34,0),MATCH('Monthly Cash Flow'!AA$4,'Sponsor Pro Forma'!$O$15:$Z$15,0))/12,IF('Sponsor Pro Forma'!$L$42="Annual",'Monthly Cash Flow'!Z80*(1+'Sponsor Pro Forma'!$M24)^(IF(MOD(AA$5,12)=1,1,0)),'Monthly Cash Flow'!Z80*(1+'Sponsor Pro Forma'!$M24/12)))</f>
        <v>3971.8799999999997</v>
      </c>
      <c r="AB80" s="1300">
        <f>IF('Sponsor Pro Forma'!$N24="Override",INDEX('Sponsor Pro Forma'!$O$16:$Z$34,MATCH('Monthly Cash Flow'!$B80,'Sponsor Pro Forma'!$B$16:$B$34,0),MATCH('Monthly Cash Flow'!AB$4,'Sponsor Pro Forma'!$O$15:$Z$15,0))/12,IF('Sponsor Pro Forma'!$L$42="Annual",'Monthly Cash Flow'!AA80*(1+'Sponsor Pro Forma'!$M24)^(IF(MOD(AB$5,12)=1,1,0)),'Monthly Cash Flow'!AA80*(1+'Sponsor Pro Forma'!$M24/12)))</f>
        <v>3971.8799999999997</v>
      </c>
      <c r="AC80" s="1300">
        <f>IF('Sponsor Pro Forma'!$N24="Override",INDEX('Sponsor Pro Forma'!$O$16:$Z$34,MATCH('Monthly Cash Flow'!$B80,'Sponsor Pro Forma'!$B$16:$B$34,0),MATCH('Monthly Cash Flow'!AC$4,'Sponsor Pro Forma'!$O$15:$Z$15,0))/12,IF('Sponsor Pro Forma'!$L$42="Annual",'Monthly Cash Flow'!AB80*(1+'Sponsor Pro Forma'!$M24)^(IF(MOD(AC$5,12)=1,1,0)),'Monthly Cash Flow'!AB80*(1+'Sponsor Pro Forma'!$M24/12)))</f>
        <v>4051.3175999999999</v>
      </c>
      <c r="AD80" s="1300">
        <f>IF('Sponsor Pro Forma'!$N24="Override",INDEX('Sponsor Pro Forma'!$O$16:$Z$34,MATCH('Monthly Cash Flow'!$B80,'Sponsor Pro Forma'!$B$16:$B$34,0),MATCH('Monthly Cash Flow'!AD$4,'Sponsor Pro Forma'!$O$15:$Z$15,0))/12,IF('Sponsor Pro Forma'!$L$42="Annual",'Monthly Cash Flow'!AC80*(1+'Sponsor Pro Forma'!$M24)^(IF(MOD(AD$5,12)=1,1,0)),'Monthly Cash Flow'!AC80*(1+'Sponsor Pro Forma'!$M24/12)))</f>
        <v>4051.3175999999999</v>
      </c>
      <c r="AE80" s="1300">
        <f>IF('Sponsor Pro Forma'!$N24="Override",INDEX('Sponsor Pro Forma'!$O$16:$Z$34,MATCH('Monthly Cash Flow'!$B80,'Sponsor Pro Forma'!$B$16:$B$34,0),MATCH('Monthly Cash Flow'!AE$4,'Sponsor Pro Forma'!$O$15:$Z$15,0))/12,IF('Sponsor Pro Forma'!$L$42="Annual",'Monthly Cash Flow'!AD80*(1+'Sponsor Pro Forma'!$M24)^(IF(MOD(AE$5,12)=1,1,0)),'Monthly Cash Flow'!AD80*(1+'Sponsor Pro Forma'!$M24/12)))</f>
        <v>4051.3175999999999</v>
      </c>
      <c r="AF80" s="1300">
        <f>IF('Sponsor Pro Forma'!$N24="Override",INDEX('Sponsor Pro Forma'!$O$16:$Z$34,MATCH('Monthly Cash Flow'!$B80,'Sponsor Pro Forma'!$B$16:$B$34,0),MATCH('Monthly Cash Flow'!AF$4,'Sponsor Pro Forma'!$O$15:$Z$15,0))/12,IF('Sponsor Pro Forma'!$L$42="Annual",'Monthly Cash Flow'!AE80*(1+'Sponsor Pro Forma'!$M24)^(IF(MOD(AF$5,12)=1,1,0)),'Monthly Cash Flow'!AE80*(1+'Sponsor Pro Forma'!$M24/12)))</f>
        <v>4051.3175999999999</v>
      </c>
      <c r="AG80" s="1300">
        <f>IF('Sponsor Pro Forma'!$N24="Override",INDEX('Sponsor Pro Forma'!$O$16:$Z$34,MATCH('Monthly Cash Flow'!$B80,'Sponsor Pro Forma'!$B$16:$B$34,0),MATCH('Monthly Cash Flow'!AG$4,'Sponsor Pro Forma'!$O$15:$Z$15,0))/12,IF('Sponsor Pro Forma'!$L$42="Annual",'Monthly Cash Flow'!AF80*(1+'Sponsor Pro Forma'!$M24)^(IF(MOD(AG$5,12)=1,1,0)),'Monthly Cash Flow'!AF80*(1+'Sponsor Pro Forma'!$M24/12)))</f>
        <v>4051.3175999999999</v>
      </c>
      <c r="AH80" s="1300">
        <f>IF('Sponsor Pro Forma'!$N24="Override",INDEX('Sponsor Pro Forma'!$O$16:$Z$34,MATCH('Monthly Cash Flow'!$B80,'Sponsor Pro Forma'!$B$16:$B$34,0),MATCH('Monthly Cash Flow'!AH$4,'Sponsor Pro Forma'!$O$15:$Z$15,0))/12,IF('Sponsor Pro Forma'!$L$42="Annual",'Monthly Cash Flow'!AG80*(1+'Sponsor Pro Forma'!$M24)^(IF(MOD(AH$5,12)=1,1,0)),'Monthly Cash Flow'!AG80*(1+'Sponsor Pro Forma'!$M24/12)))</f>
        <v>4051.3175999999999</v>
      </c>
      <c r="AI80" s="1300">
        <f>IF('Sponsor Pro Forma'!$N24="Override",INDEX('Sponsor Pro Forma'!$O$16:$Z$34,MATCH('Monthly Cash Flow'!$B80,'Sponsor Pro Forma'!$B$16:$B$34,0),MATCH('Monthly Cash Flow'!AI$4,'Sponsor Pro Forma'!$O$15:$Z$15,0))/12,IF('Sponsor Pro Forma'!$L$42="Annual",'Monthly Cash Flow'!AH80*(1+'Sponsor Pro Forma'!$M24)^(IF(MOD(AI$5,12)=1,1,0)),'Monthly Cash Flow'!AH80*(1+'Sponsor Pro Forma'!$M24/12)))</f>
        <v>4051.3175999999999</v>
      </c>
      <c r="AJ80" s="1300">
        <f>IF('Sponsor Pro Forma'!$N24="Override",INDEX('Sponsor Pro Forma'!$O$16:$Z$34,MATCH('Monthly Cash Flow'!$B80,'Sponsor Pro Forma'!$B$16:$B$34,0),MATCH('Monthly Cash Flow'!AJ$4,'Sponsor Pro Forma'!$O$15:$Z$15,0))/12,IF('Sponsor Pro Forma'!$L$42="Annual",'Monthly Cash Flow'!AI80*(1+'Sponsor Pro Forma'!$M24)^(IF(MOD(AJ$5,12)=1,1,0)),'Monthly Cash Flow'!AI80*(1+'Sponsor Pro Forma'!$M24/12)))</f>
        <v>4051.3175999999999</v>
      </c>
      <c r="AK80" s="1300">
        <f>IF('Sponsor Pro Forma'!$N24="Override",INDEX('Sponsor Pro Forma'!$O$16:$Z$34,MATCH('Monthly Cash Flow'!$B80,'Sponsor Pro Forma'!$B$16:$B$34,0),MATCH('Monthly Cash Flow'!AK$4,'Sponsor Pro Forma'!$O$15:$Z$15,0))/12,IF('Sponsor Pro Forma'!$L$42="Annual",'Monthly Cash Flow'!AJ80*(1+'Sponsor Pro Forma'!$M24)^(IF(MOD(AK$5,12)=1,1,0)),'Monthly Cash Flow'!AJ80*(1+'Sponsor Pro Forma'!$M24/12)))</f>
        <v>4051.3175999999999</v>
      </c>
      <c r="AL80" s="1300">
        <f>IF('Sponsor Pro Forma'!$N24="Override",INDEX('Sponsor Pro Forma'!$O$16:$Z$34,MATCH('Monthly Cash Flow'!$B80,'Sponsor Pro Forma'!$B$16:$B$34,0),MATCH('Monthly Cash Flow'!AL$4,'Sponsor Pro Forma'!$O$15:$Z$15,0))/12,IF('Sponsor Pro Forma'!$L$42="Annual",'Monthly Cash Flow'!AK80*(1+'Sponsor Pro Forma'!$M24)^(IF(MOD(AL$5,12)=1,1,0)),'Monthly Cash Flow'!AK80*(1+'Sponsor Pro Forma'!$M24/12)))</f>
        <v>4051.3175999999999</v>
      </c>
      <c r="AM80" s="1300">
        <f>IF('Sponsor Pro Forma'!$N24="Override",INDEX('Sponsor Pro Forma'!$O$16:$Z$34,MATCH('Monthly Cash Flow'!$B80,'Sponsor Pro Forma'!$B$16:$B$34,0),MATCH('Monthly Cash Flow'!AM$4,'Sponsor Pro Forma'!$O$15:$Z$15,0))/12,IF('Sponsor Pro Forma'!$L$42="Annual",'Monthly Cash Flow'!AL80*(1+'Sponsor Pro Forma'!$M24)^(IF(MOD(AM$5,12)=1,1,0)),'Monthly Cash Flow'!AL80*(1+'Sponsor Pro Forma'!$M24/12)))</f>
        <v>4051.3175999999999</v>
      </c>
      <c r="AN80" s="1300">
        <f>IF('Sponsor Pro Forma'!$N24="Override",INDEX('Sponsor Pro Forma'!$O$16:$Z$34,MATCH('Monthly Cash Flow'!$B80,'Sponsor Pro Forma'!$B$16:$B$34,0),MATCH('Monthly Cash Flow'!AN$4,'Sponsor Pro Forma'!$O$15:$Z$15,0))/12,IF('Sponsor Pro Forma'!$L$42="Annual",'Monthly Cash Flow'!AM80*(1+'Sponsor Pro Forma'!$M24)^(IF(MOD(AN$5,12)=1,1,0)),'Monthly Cash Flow'!AM80*(1+'Sponsor Pro Forma'!$M24/12)))</f>
        <v>4051.3175999999999</v>
      </c>
      <c r="AO80" s="1300">
        <f>IF('Sponsor Pro Forma'!$N24="Override",INDEX('Sponsor Pro Forma'!$O$16:$Z$34,MATCH('Monthly Cash Flow'!$B80,'Sponsor Pro Forma'!$B$16:$B$34,0),MATCH('Monthly Cash Flow'!AO$4,'Sponsor Pro Forma'!$O$15:$Z$15,0))/12,IF('Sponsor Pro Forma'!$L$42="Annual",'Monthly Cash Flow'!AN80*(1+'Sponsor Pro Forma'!$M24)^(IF(MOD(AO$5,12)=1,1,0)),'Monthly Cash Flow'!AN80*(1+'Sponsor Pro Forma'!$M24/12)))</f>
        <v>4132.3439520000002</v>
      </c>
      <c r="AP80" s="1300">
        <f>IF('Sponsor Pro Forma'!$N24="Override",INDEX('Sponsor Pro Forma'!$O$16:$Z$34,MATCH('Monthly Cash Flow'!$B80,'Sponsor Pro Forma'!$B$16:$B$34,0),MATCH('Monthly Cash Flow'!AP$4,'Sponsor Pro Forma'!$O$15:$Z$15,0))/12,IF('Sponsor Pro Forma'!$L$42="Annual",'Monthly Cash Flow'!AO80*(1+'Sponsor Pro Forma'!$M24)^(IF(MOD(AP$5,12)=1,1,0)),'Monthly Cash Flow'!AO80*(1+'Sponsor Pro Forma'!$M24/12)))</f>
        <v>4132.3439520000002</v>
      </c>
      <c r="AQ80" s="1300">
        <f>IF('Sponsor Pro Forma'!$N24="Override",INDEX('Sponsor Pro Forma'!$O$16:$Z$34,MATCH('Monthly Cash Flow'!$B80,'Sponsor Pro Forma'!$B$16:$B$34,0),MATCH('Monthly Cash Flow'!AQ$4,'Sponsor Pro Forma'!$O$15:$Z$15,0))/12,IF('Sponsor Pro Forma'!$L$42="Annual",'Monthly Cash Flow'!AP80*(1+'Sponsor Pro Forma'!$M24)^(IF(MOD(AQ$5,12)=1,1,0)),'Monthly Cash Flow'!AP80*(1+'Sponsor Pro Forma'!$M24/12)))</f>
        <v>4132.3439520000002</v>
      </c>
      <c r="AR80" s="1300">
        <f>IF('Sponsor Pro Forma'!$N24="Override",INDEX('Sponsor Pro Forma'!$O$16:$Z$34,MATCH('Monthly Cash Flow'!$B80,'Sponsor Pro Forma'!$B$16:$B$34,0),MATCH('Monthly Cash Flow'!AR$4,'Sponsor Pro Forma'!$O$15:$Z$15,0))/12,IF('Sponsor Pro Forma'!$L$42="Annual",'Monthly Cash Flow'!AQ80*(1+'Sponsor Pro Forma'!$M24)^(IF(MOD(AR$5,12)=1,1,0)),'Monthly Cash Flow'!AQ80*(1+'Sponsor Pro Forma'!$M24/12)))</f>
        <v>4132.3439520000002</v>
      </c>
      <c r="AS80" s="1300">
        <f>IF('Sponsor Pro Forma'!$N24="Override",INDEX('Sponsor Pro Forma'!$O$16:$Z$34,MATCH('Monthly Cash Flow'!$B80,'Sponsor Pro Forma'!$B$16:$B$34,0),MATCH('Monthly Cash Flow'!AS$4,'Sponsor Pro Forma'!$O$15:$Z$15,0))/12,IF('Sponsor Pro Forma'!$L$42="Annual",'Monthly Cash Flow'!AR80*(1+'Sponsor Pro Forma'!$M24)^(IF(MOD(AS$5,12)=1,1,0)),'Monthly Cash Flow'!AR80*(1+'Sponsor Pro Forma'!$M24/12)))</f>
        <v>4132.3439520000002</v>
      </c>
      <c r="AT80" s="1300">
        <f>IF('Sponsor Pro Forma'!$N24="Override",INDEX('Sponsor Pro Forma'!$O$16:$Z$34,MATCH('Monthly Cash Flow'!$B80,'Sponsor Pro Forma'!$B$16:$B$34,0),MATCH('Monthly Cash Flow'!AT$4,'Sponsor Pro Forma'!$O$15:$Z$15,0))/12,IF('Sponsor Pro Forma'!$L$42="Annual",'Monthly Cash Flow'!AS80*(1+'Sponsor Pro Forma'!$M24)^(IF(MOD(AT$5,12)=1,1,0)),'Monthly Cash Flow'!AS80*(1+'Sponsor Pro Forma'!$M24/12)))</f>
        <v>4132.3439520000002</v>
      </c>
      <c r="AU80" s="1300">
        <f>IF('Sponsor Pro Forma'!$N24="Override",INDEX('Sponsor Pro Forma'!$O$16:$Z$34,MATCH('Monthly Cash Flow'!$B80,'Sponsor Pro Forma'!$B$16:$B$34,0),MATCH('Monthly Cash Flow'!AU$4,'Sponsor Pro Forma'!$O$15:$Z$15,0))/12,IF('Sponsor Pro Forma'!$L$42="Annual",'Monthly Cash Flow'!AT80*(1+'Sponsor Pro Forma'!$M24)^(IF(MOD(AU$5,12)=1,1,0)),'Monthly Cash Flow'!AT80*(1+'Sponsor Pro Forma'!$M24/12)))</f>
        <v>4132.3439520000002</v>
      </c>
      <c r="AV80" s="1300">
        <f>IF('Sponsor Pro Forma'!$N24="Override",INDEX('Sponsor Pro Forma'!$O$16:$Z$34,MATCH('Monthly Cash Flow'!$B80,'Sponsor Pro Forma'!$B$16:$B$34,0),MATCH('Monthly Cash Flow'!AV$4,'Sponsor Pro Forma'!$O$15:$Z$15,0))/12,IF('Sponsor Pro Forma'!$L$42="Annual",'Monthly Cash Flow'!AU80*(1+'Sponsor Pro Forma'!$M24)^(IF(MOD(AV$5,12)=1,1,0)),'Monthly Cash Flow'!AU80*(1+'Sponsor Pro Forma'!$M24/12)))</f>
        <v>4132.3439520000002</v>
      </c>
      <c r="AW80" s="1300">
        <f>IF('Sponsor Pro Forma'!$N24="Override",INDEX('Sponsor Pro Forma'!$O$16:$Z$34,MATCH('Monthly Cash Flow'!$B80,'Sponsor Pro Forma'!$B$16:$B$34,0),MATCH('Monthly Cash Flow'!AW$4,'Sponsor Pro Forma'!$O$15:$Z$15,0))/12,IF('Sponsor Pro Forma'!$L$42="Annual",'Monthly Cash Flow'!AV80*(1+'Sponsor Pro Forma'!$M24)^(IF(MOD(AW$5,12)=1,1,0)),'Monthly Cash Flow'!AV80*(1+'Sponsor Pro Forma'!$M24/12)))</f>
        <v>4132.3439520000002</v>
      </c>
      <c r="AX80" s="1300">
        <f>IF('Sponsor Pro Forma'!$N24="Override",INDEX('Sponsor Pro Forma'!$O$16:$Z$34,MATCH('Monthly Cash Flow'!$B80,'Sponsor Pro Forma'!$B$16:$B$34,0),MATCH('Monthly Cash Flow'!AX$4,'Sponsor Pro Forma'!$O$15:$Z$15,0))/12,IF('Sponsor Pro Forma'!$L$42="Annual",'Monthly Cash Flow'!AW80*(1+'Sponsor Pro Forma'!$M24)^(IF(MOD(AX$5,12)=1,1,0)),'Monthly Cash Flow'!AW80*(1+'Sponsor Pro Forma'!$M24/12)))</f>
        <v>4132.3439520000002</v>
      </c>
      <c r="AY80" s="1300">
        <f>IF('Sponsor Pro Forma'!$N24="Override",INDEX('Sponsor Pro Forma'!$O$16:$Z$34,MATCH('Monthly Cash Flow'!$B80,'Sponsor Pro Forma'!$B$16:$B$34,0),MATCH('Monthly Cash Flow'!AY$4,'Sponsor Pro Forma'!$O$15:$Z$15,0))/12,IF('Sponsor Pro Forma'!$L$42="Annual",'Monthly Cash Flow'!AX80*(1+'Sponsor Pro Forma'!$M24)^(IF(MOD(AY$5,12)=1,1,0)),'Monthly Cash Flow'!AX80*(1+'Sponsor Pro Forma'!$M24/12)))</f>
        <v>4132.3439520000002</v>
      </c>
      <c r="AZ80" s="1300">
        <f>IF('Sponsor Pro Forma'!$N24="Override",INDEX('Sponsor Pro Forma'!$O$16:$Z$34,MATCH('Monthly Cash Flow'!$B80,'Sponsor Pro Forma'!$B$16:$B$34,0),MATCH('Monthly Cash Flow'!AZ$4,'Sponsor Pro Forma'!$O$15:$Z$15,0))/12,IF('Sponsor Pro Forma'!$L$42="Annual",'Monthly Cash Flow'!AY80*(1+'Sponsor Pro Forma'!$M24)^(IF(MOD(AZ$5,12)=1,1,0)),'Monthly Cash Flow'!AY80*(1+'Sponsor Pro Forma'!$M24/12)))</f>
        <v>4132.3439520000002</v>
      </c>
      <c r="BA80" s="1300">
        <f>IF('Sponsor Pro Forma'!$N24="Override",INDEX('Sponsor Pro Forma'!$O$16:$Z$34,MATCH('Monthly Cash Flow'!$B80,'Sponsor Pro Forma'!$B$16:$B$34,0),MATCH('Monthly Cash Flow'!BA$4,'Sponsor Pro Forma'!$O$15:$Z$15,0))/12,IF('Sponsor Pro Forma'!$L$42="Annual",'Monthly Cash Flow'!AZ80*(1+'Sponsor Pro Forma'!$M24)^(IF(MOD(BA$5,12)=1,1,0)),'Monthly Cash Flow'!AZ80*(1+'Sponsor Pro Forma'!$M24/12)))</f>
        <v>4214.9908310399996</v>
      </c>
      <c r="BB80" s="1300">
        <f>IF('Sponsor Pro Forma'!$N24="Override",INDEX('Sponsor Pro Forma'!$O$16:$Z$34,MATCH('Monthly Cash Flow'!$B80,'Sponsor Pro Forma'!$B$16:$B$34,0),MATCH('Monthly Cash Flow'!BB$4,'Sponsor Pro Forma'!$O$15:$Z$15,0))/12,IF('Sponsor Pro Forma'!$L$42="Annual",'Monthly Cash Flow'!BA80*(1+'Sponsor Pro Forma'!$M24)^(IF(MOD(BB$5,12)=1,1,0)),'Monthly Cash Flow'!BA80*(1+'Sponsor Pro Forma'!$M24/12)))</f>
        <v>4214.9908310399996</v>
      </c>
      <c r="BC80" s="1300">
        <f>IF('Sponsor Pro Forma'!$N24="Override",INDEX('Sponsor Pro Forma'!$O$16:$Z$34,MATCH('Monthly Cash Flow'!$B80,'Sponsor Pro Forma'!$B$16:$B$34,0),MATCH('Monthly Cash Flow'!BC$4,'Sponsor Pro Forma'!$O$15:$Z$15,0))/12,IF('Sponsor Pro Forma'!$L$42="Annual",'Monthly Cash Flow'!BB80*(1+'Sponsor Pro Forma'!$M24)^(IF(MOD(BC$5,12)=1,1,0)),'Monthly Cash Flow'!BB80*(1+'Sponsor Pro Forma'!$M24/12)))</f>
        <v>4214.9908310399996</v>
      </c>
      <c r="BD80" s="1300">
        <f>IF('Sponsor Pro Forma'!$N24="Override",INDEX('Sponsor Pro Forma'!$O$16:$Z$34,MATCH('Monthly Cash Flow'!$B80,'Sponsor Pro Forma'!$B$16:$B$34,0),MATCH('Monthly Cash Flow'!BD$4,'Sponsor Pro Forma'!$O$15:$Z$15,0))/12,IF('Sponsor Pro Forma'!$L$42="Annual",'Monthly Cash Flow'!BC80*(1+'Sponsor Pro Forma'!$M24)^(IF(MOD(BD$5,12)=1,1,0)),'Monthly Cash Flow'!BC80*(1+'Sponsor Pro Forma'!$M24/12)))</f>
        <v>4214.9908310399996</v>
      </c>
      <c r="BE80" s="1300">
        <f>IF('Sponsor Pro Forma'!$N24="Override",INDEX('Sponsor Pro Forma'!$O$16:$Z$34,MATCH('Monthly Cash Flow'!$B80,'Sponsor Pro Forma'!$B$16:$B$34,0),MATCH('Monthly Cash Flow'!BE$4,'Sponsor Pro Forma'!$O$15:$Z$15,0))/12,IF('Sponsor Pro Forma'!$L$42="Annual",'Monthly Cash Flow'!BD80*(1+'Sponsor Pro Forma'!$M24)^(IF(MOD(BE$5,12)=1,1,0)),'Monthly Cash Flow'!BD80*(1+'Sponsor Pro Forma'!$M24/12)))</f>
        <v>4214.9908310399996</v>
      </c>
      <c r="BF80" s="1300">
        <f>IF('Sponsor Pro Forma'!$N24="Override",INDEX('Sponsor Pro Forma'!$O$16:$Z$34,MATCH('Monthly Cash Flow'!$B80,'Sponsor Pro Forma'!$B$16:$B$34,0),MATCH('Monthly Cash Flow'!BF$4,'Sponsor Pro Forma'!$O$15:$Z$15,0))/12,IF('Sponsor Pro Forma'!$L$42="Annual",'Monthly Cash Flow'!BE80*(1+'Sponsor Pro Forma'!$M24)^(IF(MOD(BF$5,12)=1,1,0)),'Monthly Cash Flow'!BE80*(1+'Sponsor Pro Forma'!$M24/12)))</f>
        <v>4214.9908310399996</v>
      </c>
      <c r="BG80" s="1300">
        <f>IF('Sponsor Pro Forma'!$N24="Override",INDEX('Sponsor Pro Forma'!$O$16:$Z$34,MATCH('Monthly Cash Flow'!$B80,'Sponsor Pro Forma'!$B$16:$B$34,0),MATCH('Monthly Cash Flow'!BG$4,'Sponsor Pro Forma'!$O$15:$Z$15,0))/12,IF('Sponsor Pro Forma'!$L$42="Annual",'Monthly Cash Flow'!BF80*(1+'Sponsor Pro Forma'!$M24)^(IF(MOD(BG$5,12)=1,1,0)),'Monthly Cash Flow'!BF80*(1+'Sponsor Pro Forma'!$M24/12)))</f>
        <v>4214.9908310399996</v>
      </c>
      <c r="BH80" s="1300">
        <f>IF('Sponsor Pro Forma'!$N24="Override",INDEX('Sponsor Pro Forma'!$O$16:$Z$34,MATCH('Monthly Cash Flow'!$B80,'Sponsor Pro Forma'!$B$16:$B$34,0),MATCH('Monthly Cash Flow'!BH$4,'Sponsor Pro Forma'!$O$15:$Z$15,0))/12,IF('Sponsor Pro Forma'!$L$42="Annual",'Monthly Cash Flow'!BG80*(1+'Sponsor Pro Forma'!$M24)^(IF(MOD(BH$5,12)=1,1,0)),'Monthly Cash Flow'!BG80*(1+'Sponsor Pro Forma'!$M24/12)))</f>
        <v>4214.9908310399996</v>
      </c>
      <c r="BI80" s="1300">
        <f>IF('Sponsor Pro Forma'!$N24="Override",INDEX('Sponsor Pro Forma'!$O$16:$Z$34,MATCH('Monthly Cash Flow'!$B80,'Sponsor Pro Forma'!$B$16:$B$34,0),MATCH('Monthly Cash Flow'!BI$4,'Sponsor Pro Forma'!$O$15:$Z$15,0))/12,IF('Sponsor Pro Forma'!$L$42="Annual",'Monthly Cash Flow'!BH80*(1+'Sponsor Pro Forma'!$M24)^(IF(MOD(BI$5,12)=1,1,0)),'Monthly Cash Flow'!BH80*(1+'Sponsor Pro Forma'!$M24/12)))</f>
        <v>4214.9908310399996</v>
      </c>
      <c r="BJ80" s="1300">
        <f>IF('Sponsor Pro Forma'!$N24="Override",INDEX('Sponsor Pro Forma'!$O$16:$Z$34,MATCH('Monthly Cash Flow'!$B80,'Sponsor Pro Forma'!$B$16:$B$34,0),MATCH('Monthly Cash Flow'!BJ$4,'Sponsor Pro Forma'!$O$15:$Z$15,0))/12,IF('Sponsor Pro Forma'!$L$42="Annual",'Monthly Cash Flow'!BI80*(1+'Sponsor Pro Forma'!$M24)^(IF(MOD(BJ$5,12)=1,1,0)),'Monthly Cash Flow'!BI80*(1+'Sponsor Pro Forma'!$M24/12)))</f>
        <v>4214.9908310399996</v>
      </c>
      <c r="BK80" s="1300">
        <f>IF('Sponsor Pro Forma'!$N24="Override",INDEX('Sponsor Pro Forma'!$O$16:$Z$34,MATCH('Monthly Cash Flow'!$B80,'Sponsor Pro Forma'!$B$16:$B$34,0),MATCH('Monthly Cash Flow'!BK$4,'Sponsor Pro Forma'!$O$15:$Z$15,0))/12,IF('Sponsor Pro Forma'!$L$42="Annual",'Monthly Cash Flow'!BJ80*(1+'Sponsor Pro Forma'!$M24)^(IF(MOD(BK$5,12)=1,1,0)),'Monthly Cash Flow'!BJ80*(1+'Sponsor Pro Forma'!$M24/12)))</f>
        <v>4214.9908310399996</v>
      </c>
      <c r="BL80" s="1300">
        <f>IF('Sponsor Pro Forma'!$N24="Override",INDEX('Sponsor Pro Forma'!$O$16:$Z$34,MATCH('Monthly Cash Flow'!$B80,'Sponsor Pro Forma'!$B$16:$B$34,0),MATCH('Monthly Cash Flow'!BL$4,'Sponsor Pro Forma'!$O$15:$Z$15,0))/12,IF('Sponsor Pro Forma'!$L$42="Annual",'Monthly Cash Flow'!BK80*(1+'Sponsor Pro Forma'!$M24)^(IF(MOD(BL$5,12)=1,1,0)),'Monthly Cash Flow'!BK80*(1+'Sponsor Pro Forma'!$M24/12)))</f>
        <v>4214.9908310399996</v>
      </c>
      <c r="BM80" s="1300">
        <f>IF('Sponsor Pro Forma'!$N24="Override",INDEX('Sponsor Pro Forma'!$O$16:$Z$34,MATCH('Monthly Cash Flow'!$B80,'Sponsor Pro Forma'!$B$16:$B$34,0),MATCH('Monthly Cash Flow'!BM$4,'Sponsor Pro Forma'!$O$15:$Z$15,0))/12,IF('Sponsor Pro Forma'!$L$42="Annual",'Monthly Cash Flow'!BL80*(1+'Sponsor Pro Forma'!$M24)^(IF(MOD(BM$5,12)=1,1,0)),'Monthly Cash Flow'!BL80*(1+'Sponsor Pro Forma'!$M24/12)))</f>
        <v>4299.2906476607996</v>
      </c>
      <c r="BN80" s="1300">
        <f>IF('Sponsor Pro Forma'!$N24="Override",INDEX('Sponsor Pro Forma'!$O$16:$Z$34,MATCH('Monthly Cash Flow'!$B80,'Sponsor Pro Forma'!$B$16:$B$34,0),MATCH('Monthly Cash Flow'!BN$4,'Sponsor Pro Forma'!$O$15:$Z$15,0))/12,IF('Sponsor Pro Forma'!$L$42="Annual",'Monthly Cash Flow'!BM80*(1+'Sponsor Pro Forma'!$M24)^(IF(MOD(BN$5,12)=1,1,0)),'Monthly Cash Flow'!BM80*(1+'Sponsor Pro Forma'!$M24/12)))</f>
        <v>4299.2906476607996</v>
      </c>
      <c r="BO80" s="1300">
        <f>IF('Sponsor Pro Forma'!$N24="Override",INDEX('Sponsor Pro Forma'!$O$16:$Z$34,MATCH('Monthly Cash Flow'!$B80,'Sponsor Pro Forma'!$B$16:$B$34,0),MATCH('Monthly Cash Flow'!BO$4,'Sponsor Pro Forma'!$O$15:$Z$15,0))/12,IF('Sponsor Pro Forma'!$L$42="Annual",'Monthly Cash Flow'!BN80*(1+'Sponsor Pro Forma'!$M24)^(IF(MOD(BO$5,12)=1,1,0)),'Monthly Cash Flow'!BN80*(1+'Sponsor Pro Forma'!$M24/12)))</f>
        <v>4299.2906476607996</v>
      </c>
      <c r="BP80" s="1300">
        <f>IF('Sponsor Pro Forma'!$N24="Override",INDEX('Sponsor Pro Forma'!$O$16:$Z$34,MATCH('Monthly Cash Flow'!$B80,'Sponsor Pro Forma'!$B$16:$B$34,0),MATCH('Monthly Cash Flow'!BP$4,'Sponsor Pro Forma'!$O$15:$Z$15,0))/12,IF('Sponsor Pro Forma'!$L$42="Annual",'Monthly Cash Flow'!BO80*(1+'Sponsor Pro Forma'!$M24)^(IF(MOD(BP$5,12)=1,1,0)),'Monthly Cash Flow'!BO80*(1+'Sponsor Pro Forma'!$M24/12)))</f>
        <v>4299.2906476607996</v>
      </c>
      <c r="BQ80" s="1300">
        <f>IF('Sponsor Pro Forma'!$N24="Override",INDEX('Sponsor Pro Forma'!$O$16:$Z$34,MATCH('Monthly Cash Flow'!$B80,'Sponsor Pro Forma'!$B$16:$B$34,0),MATCH('Monthly Cash Flow'!BQ$4,'Sponsor Pro Forma'!$O$15:$Z$15,0))/12,IF('Sponsor Pro Forma'!$L$42="Annual",'Monthly Cash Flow'!BP80*(1+'Sponsor Pro Forma'!$M24)^(IF(MOD(BQ$5,12)=1,1,0)),'Monthly Cash Flow'!BP80*(1+'Sponsor Pro Forma'!$M24/12)))</f>
        <v>4299.2906476607996</v>
      </c>
      <c r="BR80" s="1300">
        <f>IF('Sponsor Pro Forma'!$N24="Override",INDEX('Sponsor Pro Forma'!$O$16:$Z$34,MATCH('Monthly Cash Flow'!$B80,'Sponsor Pro Forma'!$B$16:$B$34,0),MATCH('Monthly Cash Flow'!BR$4,'Sponsor Pro Forma'!$O$15:$Z$15,0))/12,IF('Sponsor Pro Forma'!$L$42="Annual",'Monthly Cash Flow'!BQ80*(1+'Sponsor Pro Forma'!$M24)^(IF(MOD(BR$5,12)=1,1,0)),'Monthly Cash Flow'!BQ80*(1+'Sponsor Pro Forma'!$M24/12)))</f>
        <v>4299.2906476607996</v>
      </c>
      <c r="BS80" s="1300">
        <f>IF('Sponsor Pro Forma'!$N24="Override",INDEX('Sponsor Pro Forma'!$O$16:$Z$34,MATCH('Monthly Cash Flow'!$B80,'Sponsor Pro Forma'!$B$16:$B$34,0),MATCH('Monthly Cash Flow'!BS$4,'Sponsor Pro Forma'!$O$15:$Z$15,0))/12,IF('Sponsor Pro Forma'!$L$42="Annual",'Monthly Cash Flow'!BR80*(1+'Sponsor Pro Forma'!$M24)^(IF(MOD(BS$5,12)=1,1,0)),'Monthly Cash Flow'!BR80*(1+'Sponsor Pro Forma'!$M24/12)))</f>
        <v>4299.2906476607996</v>
      </c>
      <c r="BT80" s="1300">
        <f>IF('Sponsor Pro Forma'!$N24="Override",INDEX('Sponsor Pro Forma'!$O$16:$Z$34,MATCH('Monthly Cash Flow'!$B80,'Sponsor Pro Forma'!$B$16:$B$34,0),MATCH('Monthly Cash Flow'!BT$4,'Sponsor Pro Forma'!$O$15:$Z$15,0))/12,IF('Sponsor Pro Forma'!$L$42="Annual",'Monthly Cash Flow'!BS80*(1+'Sponsor Pro Forma'!$M24)^(IF(MOD(BT$5,12)=1,1,0)),'Monthly Cash Flow'!BS80*(1+'Sponsor Pro Forma'!$M24/12)))</f>
        <v>4299.2906476607996</v>
      </c>
      <c r="BU80" s="1300">
        <f>IF('Sponsor Pro Forma'!$N24="Override",INDEX('Sponsor Pro Forma'!$O$16:$Z$34,MATCH('Monthly Cash Flow'!$B80,'Sponsor Pro Forma'!$B$16:$B$34,0),MATCH('Monthly Cash Flow'!BU$4,'Sponsor Pro Forma'!$O$15:$Z$15,0))/12,IF('Sponsor Pro Forma'!$L$42="Annual",'Monthly Cash Flow'!BT80*(1+'Sponsor Pro Forma'!$M24)^(IF(MOD(BU$5,12)=1,1,0)),'Monthly Cash Flow'!BT80*(1+'Sponsor Pro Forma'!$M24/12)))</f>
        <v>4299.2906476607996</v>
      </c>
      <c r="BV80" s="1300">
        <f>IF('Sponsor Pro Forma'!$N24="Override",INDEX('Sponsor Pro Forma'!$O$16:$Z$34,MATCH('Monthly Cash Flow'!$B80,'Sponsor Pro Forma'!$B$16:$B$34,0),MATCH('Monthly Cash Flow'!BV$4,'Sponsor Pro Forma'!$O$15:$Z$15,0))/12,IF('Sponsor Pro Forma'!$L$42="Annual",'Monthly Cash Flow'!BU80*(1+'Sponsor Pro Forma'!$M24)^(IF(MOD(BV$5,12)=1,1,0)),'Monthly Cash Flow'!BU80*(1+'Sponsor Pro Forma'!$M24/12)))</f>
        <v>4299.2906476607996</v>
      </c>
      <c r="BW80" s="1300">
        <f>IF('Sponsor Pro Forma'!$N24="Override",INDEX('Sponsor Pro Forma'!$O$16:$Z$34,MATCH('Monthly Cash Flow'!$B80,'Sponsor Pro Forma'!$B$16:$B$34,0),MATCH('Monthly Cash Flow'!BW$4,'Sponsor Pro Forma'!$O$15:$Z$15,0))/12,IF('Sponsor Pro Forma'!$L$42="Annual",'Monthly Cash Flow'!BV80*(1+'Sponsor Pro Forma'!$M24)^(IF(MOD(BW$5,12)=1,1,0)),'Monthly Cash Flow'!BV80*(1+'Sponsor Pro Forma'!$M24/12)))</f>
        <v>4299.2906476607996</v>
      </c>
      <c r="BX80" s="1300">
        <f>IF('Sponsor Pro Forma'!$N24="Override",INDEX('Sponsor Pro Forma'!$O$16:$Z$34,MATCH('Monthly Cash Flow'!$B80,'Sponsor Pro Forma'!$B$16:$B$34,0),MATCH('Monthly Cash Flow'!BX$4,'Sponsor Pro Forma'!$O$15:$Z$15,0))/12,IF('Sponsor Pro Forma'!$L$42="Annual",'Monthly Cash Flow'!BW80*(1+'Sponsor Pro Forma'!$M24)^(IF(MOD(BX$5,12)=1,1,0)),'Monthly Cash Flow'!BW80*(1+'Sponsor Pro Forma'!$M24/12)))</f>
        <v>4299.2906476607996</v>
      </c>
      <c r="BY80" s="1300">
        <f>IF('Sponsor Pro Forma'!$N24="Override",INDEX('Sponsor Pro Forma'!$O$16:$Z$34,MATCH('Monthly Cash Flow'!$B80,'Sponsor Pro Forma'!$B$16:$B$34,0),MATCH('Monthly Cash Flow'!BY$4,'Sponsor Pro Forma'!$O$15:$Z$15,0))/12,IF('Sponsor Pro Forma'!$L$42="Annual",'Monthly Cash Flow'!BX80*(1+'Sponsor Pro Forma'!$M24)^(IF(MOD(BY$5,12)=1,1,0)),'Monthly Cash Flow'!BX80*(1+'Sponsor Pro Forma'!$M24/12)))</f>
        <v>4385.2764606140163</v>
      </c>
      <c r="BZ80" s="1300">
        <f>IF('Sponsor Pro Forma'!$N24="Override",INDEX('Sponsor Pro Forma'!$O$16:$Z$34,MATCH('Monthly Cash Flow'!$B80,'Sponsor Pro Forma'!$B$16:$B$34,0),MATCH('Monthly Cash Flow'!BZ$4,'Sponsor Pro Forma'!$O$15:$Z$15,0))/12,IF('Sponsor Pro Forma'!$L$42="Annual",'Monthly Cash Flow'!BY80*(1+'Sponsor Pro Forma'!$M24)^(IF(MOD(BZ$5,12)=1,1,0)),'Monthly Cash Flow'!BY80*(1+'Sponsor Pro Forma'!$M24/12)))</f>
        <v>4385.2764606140163</v>
      </c>
      <c r="CA80" s="1300">
        <f>IF('Sponsor Pro Forma'!$N24="Override",INDEX('Sponsor Pro Forma'!$O$16:$Z$34,MATCH('Monthly Cash Flow'!$B80,'Sponsor Pro Forma'!$B$16:$B$34,0),MATCH('Monthly Cash Flow'!CA$4,'Sponsor Pro Forma'!$O$15:$Z$15,0))/12,IF('Sponsor Pro Forma'!$L$42="Annual",'Monthly Cash Flow'!BZ80*(1+'Sponsor Pro Forma'!$M24)^(IF(MOD(CA$5,12)=1,1,0)),'Monthly Cash Flow'!BZ80*(1+'Sponsor Pro Forma'!$M24/12)))</f>
        <v>4385.2764606140163</v>
      </c>
      <c r="CB80" s="1300">
        <f>IF('Sponsor Pro Forma'!$N24="Override",INDEX('Sponsor Pro Forma'!$O$16:$Z$34,MATCH('Monthly Cash Flow'!$B80,'Sponsor Pro Forma'!$B$16:$B$34,0),MATCH('Monthly Cash Flow'!CB$4,'Sponsor Pro Forma'!$O$15:$Z$15,0))/12,IF('Sponsor Pro Forma'!$L$42="Annual",'Monthly Cash Flow'!CA80*(1+'Sponsor Pro Forma'!$M24)^(IF(MOD(CB$5,12)=1,1,0)),'Monthly Cash Flow'!CA80*(1+'Sponsor Pro Forma'!$M24/12)))</f>
        <v>4385.2764606140163</v>
      </c>
      <c r="CC80" s="1300">
        <f>IF('Sponsor Pro Forma'!$N24="Override",INDEX('Sponsor Pro Forma'!$O$16:$Z$34,MATCH('Monthly Cash Flow'!$B80,'Sponsor Pro Forma'!$B$16:$B$34,0),MATCH('Monthly Cash Flow'!CC$4,'Sponsor Pro Forma'!$O$15:$Z$15,0))/12,IF('Sponsor Pro Forma'!$L$42="Annual",'Monthly Cash Flow'!CB80*(1+'Sponsor Pro Forma'!$M24)^(IF(MOD(CC$5,12)=1,1,0)),'Monthly Cash Flow'!CB80*(1+'Sponsor Pro Forma'!$M24/12)))</f>
        <v>4385.2764606140163</v>
      </c>
      <c r="CD80" s="1300">
        <f>IF('Sponsor Pro Forma'!$N24="Override",INDEX('Sponsor Pro Forma'!$O$16:$Z$34,MATCH('Monthly Cash Flow'!$B80,'Sponsor Pro Forma'!$B$16:$B$34,0),MATCH('Monthly Cash Flow'!CD$4,'Sponsor Pro Forma'!$O$15:$Z$15,0))/12,IF('Sponsor Pro Forma'!$L$42="Annual",'Monthly Cash Flow'!CC80*(1+'Sponsor Pro Forma'!$M24)^(IF(MOD(CD$5,12)=1,1,0)),'Monthly Cash Flow'!CC80*(1+'Sponsor Pro Forma'!$M24/12)))</f>
        <v>4385.2764606140163</v>
      </c>
      <c r="CE80" s="1300">
        <f>IF('Sponsor Pro Forma'!$N24="Override",INDEX('Sponsor Pro Forma'!$O$16:$Z$34,MATCH('Monthly Cash Flow'!$B80,'Sponsor Pro Forma'!$B$16:$B$34,0),MATCH('Monthly Cash Flow'!CE$4,'Sponsor Pro Forma'!$O$15:$Z$15,0))/12,IF('Sponsor Pro Forma'!$L$42="Annual",'Monthly Cash Flow'!CD80*(1+'Sponsor Pro Forma'!$M24)^(IF(MOD(CE$5,12)=1,1,0)),'Monthly Cash Flow'!CD80*(1+'Sponsor Pro Forma'!$M24/12)))</f>
        <v>4385.2764606140163</v>
      </c>
      <c r="CF80" s="1300">
        <f>IF('Sponsor Pro Forma'!$N24="Override",INDEX('Sponsor Pro Forma'!$O$16:$Z$34,MATCH('Monthly Cash Flow'!$B80,'Sponsor Pro Forma'!$B$16:$B$34,0),MATCH('Monthly Cash Flow'!CF$4,'Sponsor Pro Forma'!$O$15:$Z$15,0))/12,IF('Sponsor Pro Forma'!$L$42="Annual",'Monthly Cash Flow'!CE80*(1+'Sponsor Pro Forma'!$M24)^(IF(MOD(CF$5,12)=1,1,0)),'Monthly Cash Flow'!CE80*(1+'Sponsor Pro Forma'!$M24/12)))</f>
        <v>4385.2764606140163</v>
      </c>
      <c r="CG80" s="1300">
        <f>IF('Sponsor Pro Forma'!$N24="Override",INDEX('Sponsor Pro Forma'!$O$16:$Z$34,MATCH('Monthly Cash Flow'!$B80,'Sponsor Pro Forma'!$B$16:$B$34,0),MATCH('Monthly Cash Flow'!CG$4,'Sponsor Pro Forma'!$O$15:$Z$15,0))/12,IF('Sponsor Pro Forma'!$L$42="Annual",'Monthly Cash Flow'!CF80*(1+'Sponsor Pro Forma'!$M24)^(IF(MOD(CG$5,12)=1,1,0)),'Monthly Cash Flow'!CF80*(1+'Sponsor Pro Forma'!$M24/12)))</f>
        <v>4385.2764606140163</v>
      </c>
      <c r="CH80" s="1300">
        <f>IF('Sponsor Pro Forma'!$N24="Override",INDEX('Sponsor Pro Forma'!$O$16:$Z$34,MATCH('Monthly Cash Flow'!$B80,'Sponsor Pro Forma'!$B$16:$B$34,0),MATCH('Monthly Cash Flow'!CH$4,'Sponsor Pro Forma'!$O$15:$Z$15,0))/12,IF('Sponsor Pro Forma'!$L$42="Annual",'Monthly Cash Flow'!CG80*(1+'Sponsor Pro Forma'!$M24)^(IF(MOD(CH$5,12)=1,1,0)),'Monthly Cash Flow'!CG80*(1+'Sponsor Pro Forma'!$M24/12)))</f>
        <v>4385.2764606140163</v>
      </c>
      <c r="CI80" s="1300">
        <f>IF('Sponsor Pro Forma'!$N24="Override",INDEX('Sponsor Pro Forma'!$O$16:$Z$34,MATCH('Monthly Cash Flow'!$B80,'Sponsor Pro Forma'!$B$16:$B$34,0),MATCH('Monthly Cash Flow'!CI$4,'Sponsor Pro Forma'!$O$15:$Z$15,0))/12,IF('Sponsor Pro Forma'!$L$42="Annual",'Monthly Cash Flow'!CH80*(1+'Sponsor Pro Forma'!$M24)^(IF(MOD(CI$5,12)=1,1,0)),'Monthly Cash Flow'!CH80*(1+'Sponsor Pro Forma'!$M24/12)))</f>
        <v>4385.2764606140163</v>
      </c>
      <c r="CJ80" s="1300">
        <f>IF('Sponsor Pro Forma'!$N24="Override",INDEX('Sponsor Pro Forma'!$O$16:$Z$34,MATCH('Monthly Cash Flow'!$B80,'Sponsor Pro Forma'!$B$16:$B$34,0),MATCH('Monthly Cash Flow'!CJ$4,'Sponsor Pro Forma'!$O$15:$Z$15,0))/12,IF('Sponsor Pro Forma'!$L$42="Annual",'Monthly Cash Flow'!CI80*(1+'Sponsor Pro Forma'!$M24)^(IF(MOD(CJ$5,12)=1,1,0)),'Monthly Cash Flow'!CI80*(1+'Sponsor Pro Forma'!$M24/12)))</f>
        <v>4385.2764606140163</v>
      </c>
      <c r="CK80" s="1300">
        <f>IF('Sponsor Pro Forma'!$N24="Override",INDEX('Sponsor Pro Forma'!$O$16:$Z$34,MATCH('Monthly Cash Flow'!$B80,'Sponsor Pro Forma'!$B$16:$B$34,0),MATCH('Monthly Cash Flow'!CK$4,'Sponsor Pro Forma'!$O$15:$Z$15,0))/12,IF('Sponsor Pro Forma'!$L$42="Annual",'Monthly Cash Flow'!CJ80*(1+'Sponsor Pro Forma'!$M24)^(IF(MOD(CK$5,12)=1,1,0)),'Monthly Cash Flow'!CJ80*(1+'Sponsor Pro Forma'!$M24/12)))</f>
        <v>4472.9819898262967</v>
      </c>
      <c r="CL80" s="1300">
        <f>IF('Sponsor Pro Forma'!$N24="Override",INDEX('Sponsor Pro Forma'!$O$16:$Z$34,MATCH('Monthly Cash Flow'!$B80,'Sponsor Pro Forma'!$B$16:$B$34,0),MATCH('Monthly Cash Flow'!CL$4,'Sponsor Pro Forma'!$O$15:$Z$15,0))/12,IF('Sponsor Pro Forma'!$L$42="Annual",'Monthly Cash Flow'!CK80*(1+'Sponsor Pro Forma'!$M24)^(IF(MOD(CL$5,12)=1,1,0)),'Monthly Cash Flow'!CK80*(1+'Sponsor Pro Forma'!$M24/12)))</f>
        <v>4472.9819898262967</v>
      </c>
      <c r="CM80" s="1300">
        <f>IF('Sponsor Pro Forma'!$N24="Override",INDEX('Sponsor Pro Forma'!$O$16:$Z$34,MATCH('Monthly Cash Flow'!$B80,'Sponsor Pro Forma'!$B$16:$B$34,0),MATCH('Monthly Cash Flow'!CM$4,'Sponsor Pro Forma'!$O$15:$Z$15,0))/12,IF('Sponsor Pro Forma'!$L$42="Annual",'Monthly Cash Flow'!CL80*(1+'Sponsor Pro Forma'!$M24)^(IF(MOD(CM$5,12)=1,1,0)),'Monthly Cash Flow'!CL80*(1+'Sponsor Pro Forma'!$M24/12)))</f>
        <v>4472.9819898262967</v>
      </c>
      <c r="CN80" s="1300">
        <f>IF('Sponsor Pro Forma'!$N24="Override",INDEX('Sponsor Pro Forma'!$O$16:$Z$34,MATCH('Monthly Cash Flow'!$B80,'Sponsor Pro Forma'!$B$16:$B$34,0),MATCH('Monthly Cash Flow'!CN$4,'Sponsor Pro Forma'!$O$15:$Z$15,0))/12,IF('Sponsor Pro Forma'!$L$42="Annual",'Monthly Cash Flow'!CM80*(1+'Sponsor Pro Forma'!$M24)^(IF(MOD(CN$5,12)=1,1,0)),'Monthly Cash Flow'!CM80*(1+'Sponsor Pro Forma'!$M24/12)))</f>
        <v>4472.9819898262967</v>
      </c>
      <c r="CO80" s="1300">
        <f>IF('Sponsor Pro Forma'!$N24="Override",INDEX('Sponsor Pro Forma'!$O$16:$Z$34,MATCH('Monthly Cash Flow'!$B80,'Sponsor Pro Forma'!$B$16:$B$34,0),MATCH('Monthly Cash Flow'!CO$4,'Sponsor Pro Forma'!$O$15:$Z$15,0))/12,IF('Sponsor Pro Forma'!$L$42="Annual",'Monthly Cash Flow'!CN80*(1+'Sponsor Pro Forma'!$M24)^(IF(MOD(CO$5,12)=1,1,0)),'Monthly Cash Flow'!CN80*(1+'Sponsor Pro Forma'!$M24/12)))</f>
        <v>4472.9819898262967</v>
      </c>
      <c r="CP80" s="1300">
        <f>IF('Sponsor Pro Forma'!$N24="Override",INDEX('Sponsor Pro Forma'!$O$16:$Z$34,MATCH('Monthly Cash Flow'!$B80,'Sponsor Pro Forma'!$B$16:$B$34,0),MATCH('Monthly Cash Flow'!CP$4,'Sponsor Pro Forma'!$O$15:$Z$15,0))/12,IF('Sponsor Pro Forma'!$L$42="Annual",'Monthly Cash Flow'!CO80*(1+'Sponsor Pro Forma'!$M24)^(IF(MOD(CP$5,12)=1,1,0)),'Monthly Cash Flow'!CO80*(1+'Sponsor Pro Forma'!$M24/12)))</f>
        <v>4472.9819898262967</v>
      </c>
      <c r="CQ80" s="1300">
        <f>IF('Sponsor Pro Forma'!$N24="Override",INDEX('Sponsor Pro Forma'!$O$16:$Z$34,MATCH('Monthly Cash Flow'!$B80,'Sponsor Pro Forma'!$B$16:$B$34,0),MATCH('Monthly Cash Flow'!CQ$4,'Sponsor Pro Forma'!$O$15:$Z$15,0))/12,IF('Sponsor Pro Forma'!$L$42="Annual",'Monthly Cash Flow'!CP80*(1+'Sponsor Pro Forma'!$M24)^(IF(MOD(CQ$5,12)=1,1,0)),'Monthly Cash Flow'!CP80*(1+'Sponsor Pro Forma'!$M24/12)))</f>
        <v>4472.9819898262967</v>
      </c>
      <c r="CR80" s="1300">
        <f>IF('Sponsor Pro Forma'!$N24="Override",INDEX('Sponsor Pro Forma'!$O$16:$Z$34,MATCH('Monthly Cash Flow'!$B80,'Sponsor Pro Forma'!$B$16:$B$34,0),MATCH('Monthly Cash Flow'!CR$4,'Sponsor Pro Forma'!$O$15:$Z$15,0))/12,IF('Sponsor Pro Forma'!$L$42="Annual",'Monthly Cash Flow'!CQ80*(1+'Sponsor Pro Forma'!$M24)^(IF(MOD(CR$5,12)=1,1,0)),'Monthly Cash Flow'!CQ80*(1+'Sponsor Pro Forma'!$M24/12)))</f>
        <v>4472.9819898262967</v>
      </c>
      <c r="CS80" s="1300">
        <f>IF('Sponsor Pro Forma'!$N24="Override",INDEX('Sponsor Pro Forma'!$O$16:$Z$34,MATCH('Monthly Cash Flow'!$B80,'Sponsor Pro Forma'!$B$16:$B$34,0),MATCH('Monthly Cash Flow'!CS$4,'Sponsor Pro Forma'!$O$15:$Z$15,0))/12,IF('Sponsor Pro Forma'!$L$42="Annual",'Monthly Cash Flow'!CR80*(1+'Sponsor Pro Forma'!$M24)^(IF(MOD(CS$5,12)=1,1,0)),'Monthly Cash Flow'!CR80*(1+'Sponsor Pro Forma'!$M24/12)))</f>
        <v>4472.9819898262967</v>
      </c>
      <c r="CT80" s="1300">
        <f>IF('Sponsor Pro Forma'!$N24="Override",INDEX('Sponsor Pro Forma'!$O$16:$Z$34,MATCH('Monthly Cash Flow'!$B80,'Sponsor Pro Forma'!$B$16:$B$34,0),MATCH('Monthly Cash Flow'!CT$4,'Sponsor Pro Forma'!$O$15:$Z$15,0))/12,IF('Sponsor Pro Forma'!$L$42="Annual",'Monthly Cash Flow'!CS80*(1+'Sponsor Pro Forma'!$M24)^(IF(MOD(CT$5,12)=1,1,0)),'Monthly Cash Flow'!CS80*(1+'Sponsor Pro Forma'!$M24/12)))</f>
        <v>4472.9819898262967</v>
      </c>
      <c r="CU80" s="1300">
        <f>IF('Sponsor Pro Forma'!$N24="Override",INDEX('Sponsor Pro Forma'!$O$16:$Z$34,MATCH('Monthly Cash Flow'!$B80,'Sponsor Pro Forma'!$B$16:$B$34,0),MATCH('Monthly Cash Flow'!CU$4,'Sponsor Pro Forma'!$O$15:$Z$15,0))/12,IF('Sponsor Pro Forma'!$L$42="Annual",'Monthly Cash Flow'!CT80*(1+'Sponsor Pro Forma'!$M24)^(IF(MOD(CU$5,12)=1,1,0)),'Monthly Cash Flow'!CT80*(1+'Sponsor Pro Forma'!$M24/12)))</f>
        <v>4472.9819898262967</v>
      </c>
      <c r="CV80" s="1300">
        <f>IF('Sponsor Pro Forma'!$N24="Override",INDEX('Sponsor Pro Forma'!$O$16:$Z$34,MATCH('Monthly Cash Flow'!$B80,'Sponsor Pro Forma'!$B$16:$B$34,0),MATCH('Monthly Cash Flow'!CV$4,'Sponsor Pro Forma'!$O$15:$Z$15,0))/12,IF('Sponsor Pro Forma'!$L$42="Annual",'Monthly Cash Flow'!CU80*(1+'Sponsor Pro Forma'!$M24)^(IF(MOD(CV$5,12)=1,1,0)),'Monthly Cash Flow'!CU80*(1+'Sponsor Pro Forma'!$M24/12)))</f>
        <v>4472.9819898262967</v>
      </c>
      <c r="CW80" s="1300">
        <f>IF('Sponsor Pro Forma'!$N24="Override",INDEX('Sponsor Pro Forma'!$O$16:$Z$34,MATCH('Monthly Cash Flow'!$B80,'Sponsor Pro Forma'!$B$16:$B$34,0),MATCH('Monthly Cash Flow'!CW$4,'Sponsor Pro Forma'!$O$15:$Z$15,0))/12,IF('Sponsor Pro Forma'!$L$42="Annual",'Monthly Cash Flow'!CV80*(1+'Sponsor Pro Forma'!$M24)^(IF(MOD(CW$5,12)=1,1,0)),'Monthly Cash Flow'!CV80*(1+'Sponsor Pro Forma'!$M24/12)))</f>
        <v>4562.4416296228219</v>
      </c>
      <c r="CX80" s="1300">
        <f>IF('Sponsor Pro Forma'!$N24="Override",INDEX('Sponsor Pro Forma'!$O$16:$Z$34,MATCH('Monthly Cash Flow'!$B80,'Sponsor Pro Forma'!$B$16:$B$34,0),MATCH('Monthly Cash Flow'!CX$4,'Sponsor Pro Forma'!$O$15:$Z$15,0))/12,IF('Sponsor Pro Forma'!$L$42="Annual",'Monthly Cash Flow'!CW80*(1+'Sponsor Pro Forma'!$M24)^(IF(MOD(CX$5,12)=1,1,0)),'Monthly Cash Flow'!CW80*(1+'Sponsor Pro Forma'!$M24/12)))</f>
        <v>4562.4416296228219</v>
      </c>
      <c r="CY80" s="1300">
        <f>IF('Sponsor Pro Forma'!$N24="Override",INDEX('Sponsor Pro Forma'!$O$16:$Z$34,MATCH('Monthly Cash Flow'!$B80,'Sponsor Pro Forma'!$B$16:$B$34,0),MATCH('Monthly Cash Flow'!CY$4,'Sponsor Pro Forma'!$O$15:$Z$15,0))/12,IF('Sponsor Pro Forma'!$L$42="Annual",'Monthly Cash Flow'!CX80*(1+'Sponsor Pro Forma'!$M24)^(IF(MOD(CY$5,12)=1,1,0)),'Monthly Cash Flow'!CX80*(1+'Sponsor Pro Forma'!$M24/12)))</f>
        <v>4562.4416296228219</v>
      </c>
      <c r="CZ80" s="1300">
        <f>IF('Sponsor Pro Forma'!$N24="Override",INDEX('Sponsor Pro Forma'!$O$16:$Z$34,MATCH('Monthly Cash Flow'!$B80,'Sponsor Pro Forma'!$B$16:$B$34,0),MATCH('Monthly Cash Flow'!CZ$4,'Sponsor Pro Forma'!$O$15:$Z$15,0))/12,IF('Sponsor Pro Forma'!$L$42="Annual",'Monthly Cash Flow'!CY80*(1+'Sponsor Pro Forma'!$M24)^(IF(MOD(CZ$5,12)=1,1,0)),'Monthly Cash Flow'!CY80*(1+'Sponsor Pro Forma'!$M24/12)))</f>
        <v>4562.4416296228219</v>
      </c>
      <c r="DA80" s="1300">
        <f>IF('Sponsor Pro Forma'!$N24="Override",INDEX('Sponsor Pro Forma'!$O$16:$Z$34,MATCH('Monthly Cash Flow'!$B80,'Sponsor Pro Forma'!$B$16:$B$34,0),MATCH('Monthly Cash Flow'!DA$4,'Sponsor Pro Forma'!$O$15:$Z$15,0))/12,IF('Sponsor Pro Forma'!$L$42="Annual",'Monthly Cash Flow'!CZ80*(1+'Sponsor Pro Forma'!$M24)^(IF(MOD(DA$5,12)=1,1,0)),'Monthly Cash Flow'!CZ80*(1+'Sponsor Pro Forma'!$M24/12)))</f>
        <v>4562.4416296228219</v>
      </c>
      <c r="DB80" s="1300">
        <f>IF('Sponsor Pro Forma'!$N24="Override",INDEX('Sponsor Pro Forma'!$O$16:$Z$34,MATCH('Monthly Cash Flow'!$B80,'Sponsor Pro Forma'!$B$16:$B$34,0),MATCH('Monthly Cash Flow'!DB$4,'Sponsor Pro Forma'!$O$15:$Z$15,0))/12,IF('Sponsor Pro Forma'!$L$42="Annual",'Monthly Cash Flow'!DA80*(1+'Sponsor Pro Forma'!$M24)^(IF(MOD(DB$5,12)=1,1,0)),'Monthly Cash Flow'!DA80*(1+'Sponsor Pro Forma'!$M24/12)))</f>
        <v>4562.4416296228219</v>
      </c>
      <c r="DC80" s="1300">
        <f>IF('Sponsor Pro Forma'!$N24="Override",INDEX('Sponsor Pro Forma'!$O$16:$Z$34,MATCH('Monthly Cash Flow'!$B80,'Sponsor Pro Forma'!$B$16:$B$34,0),MATCH('Monthly Cash Flow'!DC$4,'Sponsor Pro Forma'!$O$15:$Z$15,0))/12,IF('Sponsor Pro Forma'!$L$42="Annual",'Monthly Cash Flow'!DB80*(1+'Sponsor Pro Forma'!$M24)^(IF(MOD(DC$5,12)=1,1,0)),'Monthly Cash Flow'!DB80*(1+'Sponsor Pro Forma'!$M24/12)))</f>
        <v>4562.4416296228219</v>
      </c>
      <c r="DD80" s="1300">
        <f>IF('Sponsor Pro Forma'!$N24="Override",INDEX('Sponsor Pro Forma'!$O$16:$Z$34,MATCH('Monthly Cash Flow'!$B80,'Sponsor Pro Forma'!$B$16:$B$34,0),MATCH('Monthly Cash Flow'!DD$4,'Sponsor Pro Forma'!$O$15:$Z$15,0))/12,IF('Sponsor Pro Forma'!$L$42="Annual",'Monthly Cash Flow'!DC80*(1+'Sponsor Pro Forma'!$M24)^(IF(MOD(DD$5,12)=1,1,0)),'Monthly Cash Flow'!DC80*(1+'Sponsor Pro Forma'!$M24/12)))</f>
        <v>4562.4416296228219</v>
      </c>
      <c r="DE80" s="1300">
        <f>IF('Sponsor Pro Forma'!$N24="Override",INDEX('Sponsor Pro Forma'!$O$16:$Z$34,MATCH('Monthly Cash Flow'!$B80,'Sponsor Pro Forma'!$B$16:$B$34,0),MATCH('Monthly Cash Flow'!DE$4,'Sponsor Pro Forma'!$O$15:$Z$15,0))/12,IF('Sponsor Pro Forma'!$L$42="Annual",'Monthly Cash Flow'!DD80*(1+'Sponsor Pro Forma'!$M24)^(IF(MOD(DE$5,12)=1,1,0)),'Monthly Cash Flow'!DD80*(1+'Sponsor Pro Forma'!$M24/12)))</f>
        <v>4562.4416296228219</v>
      </c>
      <c r="DF80" s="1300">
        <f>IF('Sponsor Pro Forma'!$N24="Override",INDEX('Sponsor Pro Forma'!$O$16:$Z$34,MATCH('Monthly Cash Flow'!$B80,'Sponsor Pro Forma'!$B$16:$B$34,0),MATCH('Monthly Cash Flow'!DF$4,'Sponsor Pro Forma'!$O$15:$Z$15,0))/12,IF('Sponsor Pro Forma'!$L$42="Annual",'Monthly Cash Flow'!DE80*(1+'Sponsor Pro Forma'!$M24)^(IF(MOD(DF$5,12)=1,1,0)),'Monthly Cash Flow'!DE80*(1+'Sponsor Pro Forma'!$M24/12)))</f>
        <v>4562.4416296228219</v>
      </c>
      <c r="DG80" s="1300">
        <f>IF('Sponsor Pro Forma'!$N24="Override",INDEX('Sponsor Pro Forma'!$O$16:$Z$34,MATCH('Monthly Cash Flow'!$B80,'Sponsor Pro Forma'!$B$16:$B$34,0),MATCH('Monthly Cash Flow'!DG$4,'Sponsor Pro Forma'!$O$15:$Z$15,0))/12,IF('Sponsor Pro Forma'!$L$42="Annual",'Monthly Cash Flow'!DF80*(1+'Sponsor Pro Forma'!$M24)^(IF(MOD(DG$5,12)=1,1,0)),'Monthly Cash Flow'!DF80*(1+'Sponsor Pro Forma'!$M24/12)))</f>
        <v>4562.4416296228219</v>
      </c>
      <c r="DH80" s="1300">
        <f>IF('Sponsor Pro Forma'!$N24="Override",INDEX('Sponsor Pro Forma'!$O$16:$Z$34,MATCH('Monthly Cash Flow'!$B80,'Sponsor Pro Forma'!$B$16:$B$34,0),MATCH('Monthly Cash Flow'!DH$4,'Sponsor Pro Forma'!$O$15:$Z$15,0))/12,IF('Sponsor Pro Forma'!$L$42="Annual",'Monthly Cash Flow'!DG80*(1+'Sponsor Pro Forma'!$M24)^(IF(MOD(DH$5,12)=1,1,0)),'Monthly Cash Flow'!DG80*(1+'Sponsor Pro Forma'!$M24/12)))</f>
        <v>4562.4416296228219</v>
      </c>
      <c r="DI80" s="1300">
        <f>IF('Sponsor Pro Forma'!$N24="Override",INDEX('Sponsor Pro Forma'!$O$16:$Z$34,MATCH('Monthly Cash Flow'!$B80,'Sponsor Pro Forma'!$B$16:$B$34,0),MATCH('Monthly Cash Flow'!DI$4,'Sponsor Pro Forma'!$O$15:$Z$15,0))/12,IF('Sponsor Pro Forma'!$L$42="Annual",'Monthly Cash Flow'!DH80*(1+'Sponsor Pro Forma'!$M24)^(IF(MOD(DI$5,12)=1,1,0)),'Monthly Cash Flow'!DH80*(1+'Sponsor Pro Forma'!$M24/12)))</f>
        <v>4653.6904622152788</v>
      </c>
      <c r="DJ80" s="1300">
        <f>IF('Sponsor Pro Forma'!$N24="Override",INDEX('Sponsor Pro Forma'!$O$16:$Z$34,MATCH('Monthly Cash Flow'!$B80,'Sponsor Pro Forma'!$B$16:$B$34,0),MATCH('Monthly Cash Flow'!DJ$4,'Sponsor Pro Forma'!$O$15:$Z$15,0))/12,IF('Sponsor Pro Forma'!$L$42="Annual",'Monthly Cash Flow'!DI80*(1+'Sponsor Pro Forma'!$M24)^(IF(MOD(DJ$5,12)=1,1,0)),'Monthly Cash Flow'!DI80*(1+'Sponsor Pro Forma'!$M24/12)))</f>
        <v>4653.6904622152788</v>
      </c>
      <c r="DK80" s="1300">
        <f>IF('Sponsor Pro Forma'!$N24="Override",INDEX('Sponsor Pro Forma'!$O$16:$Z$34,MATCH('Monthly Cash Flow'!$B80,'Sponsor Pro Forma'!$B$16:$B$34,0),MATCH('Monthly Cash Flow'!DK$4,'Sponsor Pro Forma'!$O$15:$Z$15,0))/12,IF('Sponsor Pro Forma'!$L$42="Annual",'Monthly Cash Flow'!DJ80*(1+'Sponsor Pro Forma'!$M24)^(IF(MOD(DK$5,12)=1,1,0)),'Monthly Cash Flow'!DJ80*(1+'Sponsor Pro Forma'!$M24/12)))</f>
        <v>4653.6904622152788</v>
      </c>
      <c r="DL80" s="1300">
        <f>IF('Sponsor Pro Forma'!$N24="Override",INDEX('Sponsor Pro Forma'!$O$16:$Z$34,MATCH('Monthly Cash Flow'!$B80,'Sponsor Pro Forma'!$B$16:$B$34,0),MATCH('Monthly Cash Flow'!DL$4,'Sponsor Pro Forma'!$O$15:$Z$15,0))/12,IF('Sponsor Pro Forma'!$L$42="Annual",'Monthly Cash Flow'!DK80*(1+'Sponsor Pro Forma'!$M24)^(IF(MOD(DL$5,12)=1,1,0)),'Monthly Cash Flow'!DK80*(1+'Sponsor Pro Forma'!$M24/12)))</f>
        <v>4653.6904622152788</v>
      </c>
      <c r="DM80" s="1300">
        <f>IF('Sponsor Pro Forma'!$N24="Override",INDEX('Sponsor Pro Forma'!$O$16:$Z$34,MATCH('Monthly Cash Flow'!$B80,'Sponsor Pro Forma'!$B$16:$B$34,0),MATCH('Monthly Cash Flow'!DM$4,'Sponsor Pro Forma'!$O$15:$Z$15,0))/12,IF('Sponsor Pro Forma'!$L$42="Annual",'Monthly Cash Flow'!DL80*(1+'Sponsor Pro Forma'!$M24)^(IF(MOD(DM$5,12)=1,1,0)),'Monthly Cash Flow'!DL80*(1+'Sponsor Pro Forma'!$M24/12)))</f>
        <v>4653.6904622152788</v>
      </c>
      <c r="DN80" s="1300">
        <f>IF('Sponsor Pro Forma'!$N24="Override",INDEX('Sponsor Pro Forma'!$O$16:$Z$34,MATCH('Monthly Cash Flow'!$B80,'Sponsor Pro Forma'!$B$16:$B$34,0),MATCH('Monthly Cash Flow'!DN$4,'Sponsor Pro Forma'!$O$15:$Z$15,0))/12,IF('Sponsor Pro Forma'!$L$42="Annual",'Monthly Cash Flow'!DM80*(1+'Sponsor Pro Forma'!$M24)^(IF(MOD(DN$5,12)=1,1,0)),'Monthly Cash Flow'!DM80*(1+'Sponsor Pro Forma'!$M24/12)))</f>
        <v>4653.6904622152788</v>
      </c>
      <c r="DO80" s="1300">
        <f>IF('Sponsor Pro Forma'!$N24="Override",INDEX('Sponsor Pro Forma'!$O$16:$Z$34,MATCH('Monthly Cash Flow'!$B80,'Sponsor Pro Forma'!$B$16:$B$34,0),MATCH('Monthly Cash Flow'!DO$4,'Sponsor Pro Forma'!$O$15:$Z$15,0))/12,IF('Sponsor Pro Forma'!$L$42="Annual",'Monthly Cash Flow'!DN80*(1+'Sponsor Pro Forma'!$M24)^(IF(MOD(DO$5,12)=1,1,0)),'Monthly Cash Flow'!DN80*(1+'Sponsor Pro Forma'!$M24/12)))</f>
        <v>4653.6904622152788</v>
      </c>
      <c r="DP80" s="1300">
        <f>IF('Sponsor Pro Forma'!$N24="Override",INDEX('Sponsor Pro Forma'!$O$16:$Z$34,MATCH('Monthly Cash Flow'!$B80,'Sponsor Pro Forma'!$B$16:$B$34,0),MATCH('Monthly Cash Flow'!DP$4,'Sponsor Pro Forma'!$O$15:$Z$15,0))/12,IF('Sponsor Pro Forma'!$L$42="Annual",'Monthly Cash Flow'!DO80*(1+'Sponsor Pro Forma'!$M24)^(IF(MOD(DP$5,12)=1,1,0)),'Monthly Cash Flow'!DO80*(1+'Sponsor Pro Forma'!$M24/12)))</f>
        <v>4653.6904622152788</v>
      </c>
      <c r="DQ80" s="1300">
        <f>IF('Sponsor Pro Forma'!$N24="Override",INDEX('Sponsor Pro Forma'!$O$16:$Z$34,MATCH('Monthly Cash Flow'!$B80,'Sponsor Pro Forma'!$B$16:$B$34,0),MATCH('Monthly Cash Flow'!DQ$4,'Sponsor Pro Forma'!$O$15:$Z$15,0))/12,IF('Sponsor Pro Forma'!$L$42="Annual",'Monthly Cash Flow'!DP80*(1+'Sponsor Pro Forma'!$M24)^(IF(MOD(DQ$5,12)=1,1,0)),'Monthly Cash Flow'!DP80*(1+'Sponsor Pro Forma'!$M24/12)))</f>
        <v>4653.6904622152788</v>
      </c>
      <c r="DR80" s="1300">
        <f>IF('Sponsor Pro Forma'!$N24="Override",INDEX('Sponsor Pro Forma'!$O$16:$Z$34,MATCH('Monthly Cash Flow'!$B80,'Sponsor Pro Forma'!$B$16:$B$34,0),MATCH('Monthly Cash Flow'!DR$4,'Sponsor Pro Forma'!$O$15:$Z$15,0))/12,IF('Sponsor Pro Forma'!$L$42="Annual",'Monthly Cash Flow'!DQ80*(1+'Sponsor Pro Forma'!$M24)^(IF(MOD(DR$5,12)=1,1,0)),'Monthly Cash Flow'!DQ80*(1+'Sponsor Pro Forma'!$M24/12)))</f>
        <v>4653.6904622152788</v>
      </c>
      <c r="DS80" s="1300">
        <f>IF('Sponsor Pro Forma'!$N24="Override",INDEX('Sponsor Pro Forma'!$O$16:$Z$34,MATCH('Monthly Cash Flow'!$B80,'Sponsor Pro Forma'!$B$16:$B$34,0),MATCH('Monthly Cash Flow'!DS$4,'Sponsor Pro Forma'!$O$15:$Z$15,0))/12,IF('Sponsor Pro Forma'!$L$42="Annual",'Monthly Cash Flow'!DR80*(1+'Sponsor Pro Forma'!$M24)^(IF(MOD(DS$5,12)=1,1,0)),'Monthly Cash Flow'!DR80*(1+'Sponsor Pro Forma'!$M24/12)))</f>
        <v>4653.6904622152788</v>
      </c>
      <c r="DT80" s="1300">
        <f>IF('Sponsor Pro Forma'!$N24="Override",INDEX('Sponsor Pro Forma'!$O$16:$Z$34,MATCH('Monthly Cash Flow'!$B80,'Sponsor Pro Forma'!$B$16:$B$34,0),MATCH('Monthly Cash Flow'!DT$4,'Sponsor Pro Forma'!$O$15:$Z$15,0))/12,IF('Sponsor Pro Forma'!$L$42="Annual",'Monthly Cash Flow'!DS80*(1+'Sponsor Pro Forma'!$M24)^(IF(MOD(DT$5,12)=1,1,0)),'Monthly Cash Flow'!DS80*(1+'Sponsor Pro Forma'!$M24/12)))</f>
        <v>4653.6904622152788</v>
      </c>
      <c r="DU80" s="1301" t="s">
        <v>557</v>
      </c>
      <c r="DV80" s="196"/>
    </row>
    <row r="81" spans="1:126" s="5" customFormat="1" ht="15" customHeight="1" outlineLevel="1">
      <c r="A81" s="399">
        <v>9</v>
      </c>
      <c r="B81" s="203" t="str">
        <f>'Debt Sizing'!A26</f>
        <v>Turnover</v>
      </c>
      <c r="C81" s="397"/>
      <c r="D81" s="413">
        <f>IF('Sponsor Pro Forma'!$N25="Override",'Sponsor Pro Forma'!$O25/12,'Sponsor Pro Forma'!K25/12)</f>
        <v>6908</v>
      </c>
      <c r="E81" s="1303">
        <f t="shared" si="142"/>
        <v>6908</v>
      </c>
      <c r="F81" s="1300">
        <f>IF('Sponsor Pro Forma'!$N25="Override",INDEX('Sponsor Pro Forma'!$O$16:$Z$34,MATCH('Monthly Cash Flow'!$B81,'Sponsor Pro Forma'!$B$16:$B$34,0),MATCH('Monthly Cash Flow'!F$4,'Sponsor Pro Forma'!$O$15:$Z$15,0))/12,IF('Sponsor Pro Forma'!$L$42="Annual",'Monthly Cash Flow'!E81*(1+'Sponsor Pro Forma'!$M25)^(IF(MOD(F$5,12)=1,1,0)),'Monthly Cash Flow'!E81*(1+'Sponsor Pro Forma'!$M25/12)))</f>
        <v>6908</v>
      </c>
      <c r="G81" s="1300">
        <f>IF('Sponsor Pro Forma'!$N25="Override",INDEX('Sponsor Pro Forma'!$O$16:$Z$34,MATCH('Monthly Cash Flow'!$B81,'Sponsor Pro Forma'!$B$16:$B$34,0),MATCH('Monthly Cash Flow'!G$4,'Sponsor Pro Forma'!$O$15:$Z$15,0))/12,IF('Sponsor Pro Forma'!$L$42="Annual",'Monthly Cash Flow'!F81*(1+'Sponsor Pro Forma'!$M25)^(IF(MOD(G$5,12)=1,1,0)),'Monthly Cash Flow'!F81*(1+'Sponsor Pro Forma'!$M25/12)))</f>
        <v>6908</v>
      </c>
      <c r="H81" s="1300">
        <f>IF('Sponsor Pro Forma'!$N25="Override",INDEX('Sponsor Pro Forma'!$O$16:$Z$34,MATCH('Monthly Cash Flow'!$B81,'Sponsor Pro Forma'!$B$16:$B$34,0),MATCH('Monthly Cash Flow'!H$4,'Sponsor Pro Forma'!$O$15:$Z$15,0))/12,IF('Sponsor Pro Forma'!$L$42="Annual",'Monthly Cash Flow'!G81*(1+'Sponsor Pro Forma'!$M25)^(IF(MOD(H$5,12)=1,1,0)),'Monthly Cash Flow'!G81*(1+'Sponsor Pro Forma'!$M25/12)))</f>
        <v>6908</v>
      </c>
      <c r="I81" s="1300">
        <f>IF('Sponsor Pro Forma'!$N25="Override",INDEX('Sponsor Pro Forma'!$O$16:$Z$34,MATCH('Monthly Cash Flow'!$B81,'Sponsor Pro Forma'!$B$16:$B$34,0),MATCH('Monthly Cash Flow'!I$4,'Sponsor Pro Forma'!$O$15:$Z$15,0))/12,IF('Sponsor Pro Forma'!$L$42="Annual",'Monthly Cash Flow'!H81*(1+'Sponsor Pro Forma'!$M25)^(IF(MOD(I$5,12)=1,1,0)),'Monthly Cash Flow'!H81*(1+'Sponsor Pro Forma'!$M25/12)))</f>
        <v>6908</v>
      </c>
      <c r="J81" s="1300">
        <f>IF('Sponsor Pro Forma'!$N25="Override",INDEX('Sponsor Pro Forma'!$O$16:$Z$34,MATCH('Monthly Cash Flow'!$B81,'Sponsor Pro Forma'!$B$16:$B$34,0),MATCH('Monthly Cash Flow'!J$4,'Sponsor Pro Forma'!$O$15:$Z$15,0))/12,IF('Sponsor Pro Forma'!$L$42="Annual",'Monthly Cash Flow'!I81*(1+'Sponsor Pro Forma'!$M25)^(IF(MOD(J$5,12)=1,1,0)),'Monthly Cash Flow'!I81*(1+'Sponsor Pro Forma'!$M25/12)))</f>
        <v>6908</v>
      </c>
      <c r="K81" s="1300">
        <f>IF('Sponsor Pro Forma'!$N25="Override",INDEX('Sponsor Pro Forma'!$O$16:$Z$34,MATCH('Monthly Cash Flow'!$B81,'Sponsor Pro Forma'!$B$16:$B$34,0),MATCH('Monthly Cash Flow'!K$4,'Sponsor Pro Forma'!$O$15:$Z$15,0))/12,IF('Sponsor Pro Forma'!$L$42="Annual",'Monthly Cash Flow'!J81*(1+'Sponsor Pro Forma'!$M25)^(IF(MOD(K$5,12)=1,1,0)),'Monthly Cash Flow'!J81*(1+'Sponsor Pro Forma'!$M25/12)))</f>
        <v>6908</v>
      </c>
      <c r="L81" s="1300">
        <f>IF('Sponsor Pro Forma'!$N25="Override",INDEX('Sponsor Pro Forma'!$O$16:$Z$34,MATCH('Monthly Cash Flow'!$B81,'Sponsor Pro Forma'!$B$16:$B$34,0),MATCH('Monthly Cash Flow'!L$4,'Sponsor Pro Forma'!$O$15:$Z$15,0))/12,IF('Sponsor Pro Forma'!$L$42="Annual",'Monthly Cash Flow'!K81*(1+'Sponsor Pro Forma'!$M25)^(IF(MOD(L$5,12)=1,1,0)),'Monthly Cash Flow'!K81*(1+'Sponsor Pro Forma'!$M25/12)))</f>
        <v>6908</v>
      </c>
      <c r="M81" s="1300">
        <f>IF('Sponsor Pro Forma'!$N25="Override",INDEX('Sponsor Pro Forma'!$O$16:$Z$34,MATCH('Monthly Cash Flow'!$B81,'Sponsor Pro Forma'!$B$16:$B$34,0),MATCH('Monthly Cash Flow'!M$4,'Sponsor Pro Forma'!$O$15:$Z$15,0))/12,IF('Sponsor Pro Forma'!$L$42="Annual",'Monthly Cash Flow'!L81*(1+'Sponsor Pro Forma'!$M25)^(IF(MOD(M$5,12)=1,1,0)),'Monthly Cash Flow'!L81*(1+'Sponsor Pro Forma'!$M25/12)))</f>
        <v>6908</v>
      </c>
      <c r="N81" s="1300">
        <f>IF('Sponsor Pro Forma'!$N25="Override",INDEX('Sponsor Pro Forma'!$O$16:$Z$34,MATCH('Monthly Cash Flow'!$B81,'Sponsor Pro Forma'!$B$16:$B$34,0),MATCH('Monthly Cash Flow'!N$4,'Sponsor Pro Forma'!$O$15:$Z$15,0))/12,IF('Sponsor Pro Forma'!$L$42="Annual",'Monthly Cash Flow'!M81*(1+'Sponsor Pro Forma'!$M25)^(IF(MOD(N$5,12)=1,1,0)),'Monthly Cash Flow'!M81*(1+'Sponsor Pro Forma'!$M25/12)))</f>
        <v>6908</v>
      </c>
      <c r="O81" s="1300">
        <f>IF('Sponsor Pro Forma'!$N25="Override",INDEX('Sponsor Pro Forma'!$O$16:$Z$34,MATCH('Monthly Cash Flow'!$B81,'Sponsor Pro Forma'!$B$16:$B$34,0),MATCH('Monthly Cash Flow'!O$4,'Sponsor Pro Forma'!$O$15:$Z$15,0))/12,IF('Sponsor Pro Forma'!$L$42="Annual",'Monthly Cash Flow'!N81*(1+'Sponsor Pro Forma'!$M25)^(IF(MOD(O$5,12)=1,1,0)),'Monthly Cash Flow'!N81*(1+'Sponsor Pro Forma'!$M25/12)))</f>
        <v>6908</v>
      </c>
      <c r="P81" s="1300">
        <f>IF('Sponsor Pro Forma'!$N25="Override",INDEX('Sponsor Pro Forma'!$O$16:$Z$34,MATCH('Monthly Cash Flow'!$B81,'Sponsor Pro Forma'!$B$16:$B$34,0),MATCH('Monthly Cash Flow'!P$4,'Sponsor Pro Forma'!$O$15:$Z$15,0))/12,IF('Sponsor Pro Forma'!$L$42="Annual",'Monthly Cash Flow'!O81*(1+'Sponsor Pro Forma'!$M25)^(IF(MOD(P$5,12)=1,1,0)),'Monthly Cash Flow'!O81*(1+'Sponsor Pro Forma'!$M25/12)))</f>
        <v>6908</v>
      </c>
      <c r="Q81" s="1300">
        <f>IF('Sponsor Pro Forma'!$N25="Override",INDEX('Sponsor Pro Forma'!$O$16:$Z$34,MATCH('Monthly Cash Flow'!$B81,'Sponsor Pro Forma'!$B$16:$B$34,0),MATCH('Monthly Cash Flow'!Q$4,'Sponsor Pro Forma'!$O$15:$Z$15,0))/12,IF('Sponsor Pro Forma'!$L$42="Annual",'Monthly Cash Flow'!P81*(1+'Sponsor Pro Forma'!$M25)^(IF(MOD(Q$5,12)=1,1,0)),'Monthly Cash Flow'!P81*(1+'Sponsor Pro Forma'!$M25/12)))</f>
        <v>7046.16</v>
      </c>
      <c r="R81" s="1300">
        <f>IF('Sponsor Pro Forma'!$N25="Override",INDEX('Sponsor Pro Forma'!$O$16:$Z$34,MATCH('Monthly Cash Flow'!$B81,'Sponsor Pro Forma'!$B$16:$B$34,0),MATCH('Monthly Cash Flow'!R$4,'Sponsor Pro Forma'!$O$15:$Z$15,0))/12,IF('Sponsor Pro Forma'!$L$42="Annual",'Monthly Cash Flow'!Q81*(1+'Sponsor Pro Forma'!$M25)^(IF(MOD(R$5,12)=1,1,0)),'Monthly Cash Flow'!Q81*(1+'Sponsor Pro Forma'!$M25/12)))</f>
        <v>7046.16</v>
      </c>
      <c r="S81" s="1300">
        <f>IF('Sponsor Pro Forma'!$N25="Override",INDEX('Sponsor Pro Forma'!$O$16:$Z$34,MATCH('Monthly Cash Flow'!$B81,'Sponsor Pro Forma'!$B$16:$B$34,0),MATCH('Monthly Cash Flow'!S$4,'Sponsor Pro Forma'!$O$15:$Z$15,0))/12,IF('Sponsor Pro Forma'!$L$42="Annual",'Monthly Cash Flow'!R81*(1+'Sponsor Pro Forma'!$M25)^(IF(MOD(S$5,12)=1,1,0)),'Monthly Cash Flow'!R81*(1+'Sponsor Pro Forma'!$M25/12)))</f>
        <v>7046.16</v>
      </c>
      <c r="T81" s="1300">
        <f>IF('Sponsor Pro Forma'!$N25="Override",INDEX('Sponsor Pro Forma'!$O$16:$Z$34,MATCH('Monthly Cash Flow'!$B81,'Sponsor Pro Forma'!$B$16:$B$34,0),MATCH('Monthly Cash Flow'!T$4,'Sponsor Pro Forma'!$O$15:$Z$15,0))/12,IF('Sponsor Pro Forma'!$L$42="Annual",'Monthly Cash Flow'!S81*(1+'Sponsor Pro Forma'!$M25)^(IF(MOD(T$5,12)=1,1,0)),'Monthly Cash Flow'!S81*(1+'Sponsor Pro Forma'!$M25/12)))</f>
        <v>7046.16</v>
      </c>
      <c r="U81" s="1300">
        <f>IF('Sponsor Pro Forma'!$N25="Override",INDEX('Sponsor Pro Forma'!$O$16:$Z$34,MATCH('Monthly Cash Flow'!$B81,'Sponsor Pro Forma'!$B$16:$B$34,0),MATCH('Monthly Cash Flow'!U$4,'Sponsor Pro Forma'!$O$15:$Z$15,0))/12,IF('Sponsor Pro Forma'!$L$42="Annual",'Monthly Cash Flow'!T81*(1+'Sponsor Pro Forma'!$M25)^(IF(MOD(U$5,12)=1,1,0)),'Monthly Cash Flow'!T81*(1+'Sponsor Pro Forma'!$M25/12)))</f>
        <v>7046.16</v>
      </c>
      <c r="V81" s="1300">
        <f>IF('Sponsor Pro Forma'!$N25="Override",INDEX('Sponsor Pro Forma'!$O$16:$Z$34,MATCH('Monthly Cash Flow'!$B81,'Sponsor Pro Forma'!$B$16:$B$34,0),MATCH('Monthly Cash Flow'!V$4,'Sponsor Pro Forma'!$O$15:$Z$15,0))/12,IF('Sponsor Pro Forma'!$L$42="Annual",'Monthly Cash Flow'!U81*(1+'Sponsor Pro Forma'!$M25)^(IF(MOD(V$5,12)=1,1,0)),'Monthly Cash Flow'!U81*(1+'Sponsor Pro Forma'!$M25/12)))</f>
        <v>7046.16</v>
      </c>
      <c r="W81" s="1300">
        <f>IF('Sponsor Pro Forma'!$N25="Override",INDEX('Sponsor Pro Forma'!$O$16:$Z$34,MATCH('Monthly Cash Flow'!$B81,'Sponsor Pro Forma'!$B$16:$B$34,0),MATCH('Monthly Cash Flow'!W$4,'Sponsor Pro Forma'!$O$15:$Z$15,0))/12,IF('Sponsor Pro Forma'!$L$42="Annual",'Monthly Cash Flow'!V81*(1+'Sponsor Pro Forma'!$M25)^(IF(MOD(W$5,12)=1,1,0)),'Monthly Cash Flow'!V81*(1+'Sponsor Pro Forma'!$M25/12)))</f>
        <v>7046.16</v>
      </c>
      <c r="X81" s="1300">
        <f>IF('Sponsor Pro Forma'!$N25="Override",INDEX('Sponsor Pro Forma'!$O$16:$Z$34,MATCH('Monthly Cash Flow'!$B81,'Sponsor Pro Forma'!$B$16:$B$34,0),MATCH('Monthly Cash Flow'!X$4,'Sponsor Pro Forma'!$O$15:$Z$15,0))/12,IF('Sponsor Pro Forma'!$L$42="Annual",'Monthly Cash Flow'!W81*(1+'Sponsor Pro Forma'!$M25)^(IF(MOD(X$5,12)=1,1,0)),'Monthly Cash Flow'!W81*(1+'Sponsor Pro Forma'!$M25/12)))</f>
        <v>7046.16</v>
      </c>
      <c r="Y81" s="1300">
        <f>IF('Sponsor Pro Forma'!$N25="Override",INDEX('Sponsor Pro Forma'!$O$16:$Z$34,MATCH('Monthly Cash Flow'!$B81,'Sponsor Pro Forma'!$B$16:$B$34,0),MATCH('Monthly Cash Flow'!Y$4,'Sponsor Pro Forma'!$O$15:$Z$15,0))/12,IF('Sponsor Pro Forma'!$L$42="Annual",'Monthly Cash Flow'!X81*(1+'Sponsor Pro Forma'!$M25)^(IF(MOD(Y$5,12)=1,1,0)),'Monthly Cash Flow'!X81*(1+'Sponsor Pro Forma'!$M25/12)))</f>
        <v>7046.16</v>
      </c>
      <c r="Z81" s="1300">
        <f>IF('Sponsor Pro Forma'!$N25="Override",INDEX('Sponsor Pro Forma'!$O$16:$Z$34,MATCH('Monthly Cash Flow'!$B81,'Sponsor Pro Forma'!$B$16:$B$34,0),MATCH('Monthly Cash Flow'!Z$4,'Sponsor Pro Forma'!$O$15:$Z$15,0))/12,IF('Sponsor Pro Forma'!$L$42="Annual",'Monthly Cash Flow'!Y81*(1+'Sponsor Pro Forma'!$M25)^(IF(MOD(Z$5,12)=1,1,0)),'Monthly Cash Flow'!Y81*(1+'Sponsor Pro Forma'!$M25/12)))</f>
        <v>7046.16</v>
      </c>
      <c r="AA81" s="1300">
        <f>IF('Sponsor Pro Forma'!$N25="Override",INDEX('Sponsor Pro Forma'!$O$16:$Z$34,MATCH('Monthly Cash Flow'!$B81,'Sponsor Pro Forma'!$B$16:$B$34,0),MATCH('Monthly Cash Flow'!AA$4,'Sponsor Pro Forma'!$O$15:$Z$15,0))/12,IF('Sponsor Pro Forma'!$L$42="Annual",'Monthly Cash Flow'!Z81*(1+'Sponsor Pro Forma'!$M25)^(IF(MOD(AA$5,12)=1,1,0)),'Monthly Cash Flow'!Z81*(1+'Sponsor Pro Forma'!$M25/12)))</f>
        <v>7046.16</v>
      </c>
      <c r="AB81" s="1300">
        <f>IF('Sponsor Pro Forma'!$N25="Override",INDEX('Sponsor Pro Forma'!$O$16:$Z$34,MATCH('Monthly Cash Flow'!$B81,'Sponsor Pro Forma'!$B$16:$B$34,0),MATCH('Monthly Cash Flow'!AB$4,'Sponsor Pro Forma'!$O$15:$Z$15,0))/12,IF('Sponsor Pro Forma'!$L$42="Annual",'Monthly Cash Flow'!AA81*(1+'Sponsor Pro Forma'!$M25)^(IF(MOD(AB$5,12)=1,1,0)),'Monthly Cash Flow'!AA81*(1+'Sponsor Pro Forma'!$M25/12)))</f>
        <v>7046.16</v>
      </c>
      <c r="AC81" s="1300">
        <f>IF('Sponsor Pro Forma'!$N25="Override",INDEX('Sponsor Pro Forma'!$O$16:$Z$34,MATCH('Monthly Cash Flow'!$B81,'Sponsor Pro Forma'!$B$16:$B$34,0),MATCH('Monthly Cash Flow'!AC$4,'Sponsor Pro Forma'!$O$15:$Z$15,0))/12,IF('Sponsor Pro Forma'!$L$42="Annual",'Monthly Cash Flow'!AB81*(1+'Sponsor Pro Forma'!$M25)^(IF(MOD(AC$5,12)=1,1,0)),'Monthly Cash Flow'!AB81*(1+'Sponsor Pro Forma'!$M25/12)))</f>
        <v>7187.0832</v>
      </c>
      <c r="AD81" s="1300">
        <f>IF('Sponsor Pro Forma'!$N25="Override",INDEX('Sponsor Pro Forma'!$O$16:$Z$34,MATCH('Monthly Cash Flow'!$B81,'Sponsor Pro Forma'!$B$16:$B$34,0),MATCH('Monthly Cash Flow'!AD$4,'Sponsor Pro Forma'!$O$15:$Z$15,0))/12,IF('Sponsor Pro Forma'!$L$42="Annual",'Monthly Cash Flow'!AC81*(1+'Sponsor Pro Forma'!$M25)^(IF(MOD(AD$5,12)=1,1,0)),'Monthly Cash Flow'!AC81*(1+'Sponsor Pro Forma'!$M25/12)))</f>
        <v>7187.0832</v>
      </c>
      <c r="AE81" s="1300">
        <f>IF('Sponsor Pro Forma'!$N25="Override",INDEX('Sponsor Pro Forma'!$O$16:$Z$34,MATCH('Monthly Cash Flow'!$B81,'Sponsor Pro Forma'!$B$16:$B$34,0),MATCH('Monthly Cash Flow'!AE$4,'Sponsor Pro Forma'!$O$15:$Z$15,0))/12,IF('Sponsor Pro Forma'!$L$42="Annual",'Monthly Cash Flow'!AD81*(1+'Sponsor Pro Forma'!$M25)^(IF(MOD(AE$5,12)=1,1,0)),'Monthly Cash Flow'!AD81*(1+'Sponsor Pro Forma'!$M25/12)))</f>
        <v>7187.0832</v>
      </c>
      <c r="AF81" s="1300">
        <f>IF('Sponsor Pro Forma'!$N25="Override",INDEX('Sponsor Pro Forma'!$O$16:$Z$34,MATCH('Monthly Cash Flow'!$B81,'Sponsor Pro Forma'!$B$16:$B$34,0),MATCH('Monthly Cash Flow'!AF$4,'Sponsor Pro Forma'!$O$15:$Z$15,0))/12,IF('Sponsor Pro Forma'!$L$42="Annual",'Monthly Cash Flow'!AE81*(1+'Sponsor Pro Forma'!$M25)^(IF(MOD(AF$5,12)=1,1,0)),'Monthly Cash Flow'!AE81*(1+'Sponsor Pro Forma'!$M25/12)))</f>
        <v>7187.0832</v>
      </c>
      <c r="AG81" s="1300">
        <f>IF('Sponsor Pro Forma'!$N25="Override",INDEX('Sponsor Pro Forma'!$O$16:$Z$34,MATCH('Monthly Cash Flow'!$B81,'Sponsor Pro Forma'!$B$16:$B$34,0),MATCH('Monthly Cash Flow'!AG$4,'Sponsor Pro Forma'!$O$15:$Z$15,0))/12,IF('Sponsor Pro Forma'!$L$42="Annual",'Monthly Cash Flow'!AF81*(1+'Sponsor Pro Forma'!$M25)^(IF(MOD(AG$5,12)=1,1,0)),'Monthly Cash Flow'!AF81*(1+'Sponsor Pro Forma'!$M25/12)))</f>
        <v>7187.0832</v>
      </c>
      <c r="AH81" s="1300">
        <f>IF('Sponsor Pro Forma'!$N25="Override",INDEX('Sponsor Pro Forma'!$O$16:$Z$34,MATCH('Monthly Cash Flow'!$B81,'Sponsor Pro Forma'!$B$16:$B$34,0),MATCH('Monthly Cash Flow'!AH$4,'Sponsor Pro Forma'!$O$15:$Z$15,0))/12,IF('Sponsor Pro Forma'!$L$42="Annual",'Monthly Cash Flow'!AG81*(1+'Sponsor Pro Forma'!$M25)^(IF(MOD(AH$5,12)=1,1,0)),'Monthly Cash Flow'!AG81*(1+'Sponsor Pro Forma'!$M25/12)))</f>
        <v>7187.0832</v>
      </c>
      <c r="AI81" s="1300">
        <f>IF('Sponsor Pro Forma'!$N25="Override",INDEX('Sponsor Pro Forma'!$O$16:$Z$34,MATCH('Monthly Cash Flow'!$B81,'Sponsor Pro Forma'!$B$16:$B$34,0),MATCH('Monthly Cash Flow'!AI$4,'Sponsor Pro Forma'!$O$15:$Z$15,0))/12,IF('Sponsor Pro Forma'!$L$42="Annual",'Monthly Cash Flow'!AH81*(1+'Sponsor Pro Forma'!$M25)^(IF(MOD(AI$5,12)=1,1,0)),'Monthly Cash Flow'!AH81*(1+'Sponsor Pro Forma'!$M25/12)))</f>
        <v>7187.0832</v>
      </c>
      <c r="AJ81" s="1300">
        <f>IF('Sponsor Pro Forma'!$N25="Override",INDEX('Sponsor Pro Forma'!$O$16:$Z$34,MATCH('Monthly Cash Flow'!$B81,'Sponsor Pro Forma'!$B$16:$B$34,0),MATCH('Monthly Cash Flow'!AJ$4,'Sponsor Pro Forma'!$O$15:$Z$15,0))/12,IF('Sponsor Pro Forma'!$L$42="Annual",'Monthly Cash Flow'!AI81*(1+'Sponsor Pro Forma'!$M25)^(IF(MOD(AJ$5,12)=1,1,0)),'Monthly Cash Flow'!AI81*(1+'Sponsor Pro Forma'!$M25/12)))</f>
        <v>7187.0832</v>
      </c>
      <c r="AK81" s="1300">
        <f>IF('Sponsor Pro Forma'!$N25="Override",INDEX('Sponsor Pro Forma'!$O$16:$Z$34,MATCH('Monthly Cash Flow'!$B81,'Sponsor Pro Forma'!$B$16:$B$34,0),MATCH('Monthly Cash Flow'!AK$4,'Sponsor Pro Forma'!$O$15:$Z$15,0))/12,IF('Sponsor Pro Forma'!$L$42="Annual",'Monthly Cash Flow'!AJ81*(1+'Sponsor Pro Forma'!$M25)^(IF(MOD(AK$5,12)=1,1,0)),'Monthly Cash Flow'!AJ81*(1+'Sponsor Pro Forma'!$M25/12)))</f>
        <v>7187.0832</v>
      </c>
      <c r="AL81" s="1300">
        <f>IF('Sponsor Pro Forma'!$N25="Override",INDEX('Sponsor Pro Forma'!$O$16:$Z$34,MATCH('Monthly Cash Flow'!$B81,'Sponsor Pro Forma'!$B$16:$B$34,0),MATCH('Monthly Cash Flow'!AL$4,'Sponsor Pro Forma'!$O$15:$Z$15,0))/12,IF('Sponsor Pro Forma'!$L$42="Annual",'Monthly Cash Flow'!AK81*(1+'Sponsor Pro Forma'!$M25)^(IF(MOD(AL$5,12)=1,1,0)),'Monthly Cash Flow'!AK81*(1+'Sponsor Pro Forma'!$M25/12)))</f>
        <v>7187.0832</v>
      </c>
      <c r="AM81" s="1300">
        <f>IF('Sponsor Pro Forma'!$N25="Override",INDEX('Sponsor Pro Forma'!$O$16:$Z$34,MATCH('Monthly Cash Flow'!$B81,'Sponsor Pro Forma'!$B$16:$B$34,0),MATCH('Monthly Cash Flow'!AM$4,'Sponsor Pro Forma'!$O$15:$Z$15,0))/12,IF('Sponsor Pro Forma'!$L$42="Annual",'Monthly Cash Flow'!AL81*(1+'Sponsor Pro Forma'!$M25)^(IF(MOD(AM$5,12)=1,1,0)),'Monthly Cash Flow'!AL81*(1+'Sponsor Pro Forma'!$M25/12)))</f>
        <v>7187.0832</v>
      </c>
      <c r="AN81" s="1300">
        <f>IF('Sponsor Pro Forma'!$N25="Override",INDEX('Sponsor Pro Forma'!$O$16:$Z$34,MATCH('Monthly Cash Flow'!$B81,'Sponsor Pro Forma'!$B$16:$B$34,0),MATCH('Monthly Cash Flow'!AN$4,'Sponsor Pro Forma'!$O$15:$Z$15,0))/12,IF('Sponsor Pro Forma'!$L$42="Annual",'Monthly Cash Flow'!AM81*(1+'Sponsor Pro Forma'!$M25)^(IF(MOD(AN$5,12)=1,1,0)),'Monthly Cash Flow'!AM81*(1+'Sponsor Pro Forma'!$M25/12)))</f>
        <v>7187.0832</v>
      </c>
      <c r="AO81" s="1300">
        <f>IF('Sponsor Pro Forma'!$N25="Override",INDEX('Sponsor Pro Forma'!$O$16:$Z$34,MATCH('Monthly Cash Flow'!$B81,'Sponsor Pro Forma'!$B$16:$B$34,0),MATCH('Monthly Cash Flow'!AO$4,'Sponsor Pro Forma'!$O$15:$Z$15,0))/12,IF('Sponsor Pro Forma'!$L$42="Annual",'Monthly Cash Flow'!AN81*(1+'Sponsor Pro Forma'!$M25)^(IF(MOD(AO$5,12)=1,1,0)),'Monthly Cash Flow'!AN81*(1+'Sponsor Pro Forma'!$M25/12)))</f>
        <v>7330.8248639999993</v>
      </c>
      <c r="AP81" s="1300">
        <f>IF('Sponsor Pro Forma'!$N25="Override",INDEX('Sponsor Pro Forma'!$O$16:$Z$34,MATCH('Monthly Cash Flow'!$B81,'Sponsor Pro Forma'!$B$16:$B$34,0),MATCH('Monthly Cash Flow'!AP$4,'Sponsor Pro Forma'!$O$15:$Z$15,0))/12,IF('Sponsor Pro Forma'!$L$42="Annual",'Monthly Cash Flow'!AO81*(1+'Sponsor Pro Forma'!$M25)^(IF(MOD(AP$5,12)=1,1,0)),'Monthly Cash Flow'!AO81*(1+'Sponsor Pro Forma'!$M25/12)))</f>
        <v>7330.8248639999993</v>
      </c>
      <c r="AQ81" s="1300">
        <f>IF('Sponsor Pro Forma'!$N25="Override",INDEX('Sponsor Pro Forma'!$O$16:$Z$34,MATCH('Monthly Cash Flow'!$B81,'Sponsor Pro Forma'!$B$16:$B$34,0),MATCH('Monthly Cash Flow'!AQ$4,'Sponsor Pro Forma'!$O$15:$Z$15,0))/12,IF('Sponsor Pro Forma'!$L$42="Annual",'Monthly Cash Flow'!AP81*(1+'Sponsor Pro Forma'!$M25)^(IF(MOD(AQ$5,12)=1,1,0)),'Monthly Cash Flow'!AP81*(1+'Sponsor Pro Forma'!$M25/12)))</f>
        <v>7330.8248639999993</v>
      </c>
      <c r="AR81" s="1300">
        <f>IF('Sponsor Pro Forma'!$N25="Override",INDEX('Sponsor Pro Forma'!$O$16:$Z$34,MATCH('Monthly Cash Flow'!$B81,'Sponsor Pro Forma'!$B$16:$B$34,0),MATCH('Monthly Cash Flow'!AR$4,'Sponsor Pro Forma'!$O$15:$Z$15,0))/12,IF('Sponsor Pro Forma'!$L$42="Annual",'Monthly Cash Flow'!AQ81*(1+'Sponsor Pro Forma'!$M25)^(IF(MOD(AR$5,12)=1,1,0)),'Monthly Cash Flow'!AQ81*(1+'Sponsor Pro Forma'!$M25/12)))</f>
        <v>7330.8248639999993</v>
      </c>
      <c r="AS81" s="1300">
        <f>IF('Sponsor Pro Forma'!$N25="Override",INDEX('Sponsor Pro Forma'!$O$16:$Z$34,MATCH('Monthly Cash Flow'!$B81,'Sponsor Pro Forma'!$B$16:$B$34,0),MATCH('Monthly Cash Flow'!AS$4,'Sponsor Pro Forma'!$O$15:$Z$15,0))/12,IF('Sponsor Pro Forma'!$L$42="Annual",'Monthly Cash Flow'!AR81*(1+'Sponsor Pro Forma'!$M25)^(IF(MOD(AS$5,12)=1,1,0)),'Monthly Cash Flow'!AR81*(1+'Sponsor Pro Forma'!$M25/12)))</f>
        <v>7330.8248639999993</v>
      </c>
      <c r="AT81" s="1300">
        <f>IF('Sponsor Pro Forma'!$N25="Override",INDEX('Sponsor Pro Forma'!$O$16:$Z$34,MATCH('Monthly Cash Flow'!$B81,'Sponsor Pro Forma'!$B$16:$B$34,0),MATCH('Monthly Cash Flow'!AT$4,'Sponsor Pro Forma'!$O$15:$Z$15,0))/12,IF('Sponsor Pro Forma'!$L$42="Annual",'Monthly Cash Flow'!AS81*(1+'Sponsor Pro Forma'!$M25)^(IF(MOD(AT$5,12)=1,1,0)),'Monthly Cash Flow'!AS81*(1+'Sponsor Pro Forma'!$M25/12)))</f>
        <v>7330.8248639999993</v>
      </c>
      <c r="AU81" s="1300">
        <f>IF('Sponsor Pro Forma'!$N25="Override",INDEX('Sponsor Pro Forma'!$O$16:$Z$34,MATCH('Monthly Cash Flow'!$B81,'Sponsor Pro Forma'!$B$16:$B$34,0),MATCH('Monthly Cash Flow'!AU$4,'Sponsor Pro Forma'!$O$15:$Z$15,0))/12,IF('Sponsor Pro Forma'!$L$42="Annual",'Monthly Cash Flow'!AT81*(1+'Sponsor Pro Forma'!$M25)^(IF(MOD(AU$5,12)=1,1,0)),'Monthly Cash Flow'!AT81*(1+'Sponsor Pro Forma'!$M25/12)))</f>
        <v>7330.8248639999993</v>
      </c>
      <c r="AV81" s="1300">
        <f>IF('Sponsor Pro Forma'!$N25="Override",INDEX('Sponsor Pro Forma'!$O$16:$Z$34,MATCH('Monthly Cash Flow'!$B81,'Sponsor Pro Forma'!$B$16:$B$34,0),MATCH('Monthly Cash Flow'!AV$4,'Sponsor Pro Forma'!$O$15:$Z$15,0))/12,IF('Sponsor Pro Forma'!$L$42="Annual",'Monthly Cash Flow'!AU81*(1+'Sponsor Pro Forma'!$M25)^(IF(MOD(AV$5,12)=1,1,0)),'Monthly Cash Flow'!AU81*(1+'Sponsor Pro Forma'!$M25/12)))</f>
        <v>7330.8248639999993</v>
      </c>
      <c r="AW81" s="1300">
        <f>IF('Sponsor Pro Forma'!$N25="Override",INDEX('Sponsor Pro Forma'!$O$16:$Z$34,MATCH('Monthly Cash Flow'!$B81,'Sponsor Pro Forma'!$B$16:$B$34,0),MATCH('Monthly Cash Flow'!AW$4,'Sponsor Pro Forma'!$O$15:$Z$15,0))/12,IF('Sponsor Pro Forma'!$L$42="Annual",'Monthly Cash Flow'!AV81*(1+'Sponsor Pro Forma'!$M25)^(IF(MOD(AW$5,12)=1,1,0)),'Monthly Cash Flow'!AV81*(1+'Sponsor Pro Forma'!$M25/12)))</f>
        <v>7330.8248639999993</v>
      </c>
      <c r="AX81" s="1300">
        <f>IF('Sponsor Pro Forma'!$N25="Override",INDEX('Sponsor Pro Forma'!$O$16:$Z$34,MATCH('Monthly Cash Flow'!$B81,'Sponsor Pro Forma'!$B$16:$B$34,0),MATCH('Monthly Cash Flow'!AX$4,'Sponsor Pro Forma'!$O$15:$Z$15,0))/12,IF('Sponsor Pro Forma'!$L$42="Annual",'Monthly Cash Flow'!AW81*(1+'Sponsor Pro Forma'!$M25)^(IF(MOD(AX$5,12)=1,1,0)),'Monthly Cash Flow'!AW81*(1+'Sponsor Pro Forma'!$M25/12)))</f>
        <v>7330.8248639999993</v>
      </c>
      <c r="AY81" s="1300">
        <f>IF('Sponsor Pro Forma'!$N25="Override",INDEX('Sponsor Pro Forma'!$O$16:$Z$34,MATCH('Monthly Cash Flow'!$B81,'Sponsor Pro Forma'!$B$16:$B$34,0),MATCH('Monthly Cash Flow'!AY$4,'Sponsor Pro Forma'!$O$15:$Z$15,0))/12,IF('Sponsor Pro Forma'!$L$42="Annual",'Monthly Cash Flow'!AX81*(1+'Sponsor Pro Forma'!$M25)^(IF(MOD(AY$5,12)=1,1,0)),'Monthly Cash Flow'!AX81*(1+'Sponsor Pro Forma'!$M25/12)))</f>
        <v>7330.8248639999993</v>
      </c>
      <c r="AZ81" s="1300">
        <f>IF('Sponsor Pro Forma'!$N25="Override",INDEX('Sponsor Pro Forma'!$O$16:$Z$34,MATCH('Monthly Cash Flow'!$B81,'Sponsor Pro Forma'!$B$16:$B$34,0),MATCH('Monthly Cash Flow'!AZ$4,'Sponsor Pro Forma'!$O$15:$Z$15,0))/12,IF('Sponsor Pro Forma'!$L$42="Annual",'Monthly Cash Flow'!AY81*(1+'Sponsor Pro Forma'!$M25)^(IF(MOD(AZ$5,12)=1,1,0)),'Monthly Cash Flow'!AY81*(1+'Sponsor Pro Forma'!$M25/12)))</f>
        <v>7330.8248639999993</v>
      </c>
      <c r="BA81" s="1300">
        <f>IF('Sponsor Pro Forma'!$N25="Override",INDEX('Sponsor Pro Forma'!$O$16:$Z$34,MATCH('Monthly Cash Flow'!$B81,'Sponsor Pro Forma'!$B$16:$B$34,0),MATCH('Monthly Cash Flow'!BA$4,'Sponsor Pro Forma'!$O$15:$Z$15,0))/12,IF('Sponsor Pro Forma'!$L$42="Annual",'Monthly Cash Flow'!AZ81*(1+'Sponsor Pro Forma'!$M25)^(IF(MOD(BA$5,12)=1,1,0)),'Monthly Cash Flow'!AZ81*(1+'Sponsor Pro Forma'!$M25/12)))</f>
        <v>7477.441361279999</v>
      </c>
      <c r="BB81" s="1300">
        <f>IF('Sponsor Pro Forma'!$N25="Override",INDEX('Sponsor Pro Forma'!$O$16:$Z$34,MATCH('Monthly Cash Flow'!$B81,'Sponsor Pro Forma'!$B$16:$B$34,0),MATCH('Monthly Cash Flow'!BB$4,'Sponsor Pro Forma'!$O$15:$Z$15,0))/12,IF('Sponsor Pro Forma'!$L$42="Annual",'Monthly Cash Flow'!BA81*(1+'Sponsor Pro Forma'!$M25)^(IF(MOD(BB$5,12)=1,1,0)),'Monthly Cash Flow'!BA81*(1+'Sponsor Pro Forma'!$M25/12)))</f>
        <v>7477.441361279999</v>
      </c>
      <c r="BC81" s="1300">
        <f>IF('Sponsor Pro Forma'!$N25="Override",INDEX('Sponsor Pro Forma'!$O$16:$Z$34,MATCH('Monthly Cash Flow'!$B81,'Sponsor Pro Forma'!$B$16:$B$34,0),MATCH('Monthly Cash Flow'!BC$4,'Sponsor Pro Forma'!$O$15:$Z$15,0))/12,IF('Sponsor Pro Forma'!$L$42="Annual",'Monthly Cash Flow'!BB81*(1+'Sponsor Pro Forma'!$M25)^(IF(MOD(BC$5,12)=1,1,0)),'Monthly Cash Flow'!BB81*(1+'Sponsor Pro Forma'!$M25/12)))</f>
        <v>7477.441361279999</v>
      </c>
      <c r="BD81" s="1300">
        <f>IF('Sponsor Pro Forma'!$N25="Override",INDEX('Sponsor Pro Forma'!$O$16:$Z$34,MATCH('Monthly Cash Flow'!$B81,'Sponsor Pro Forma'!$B$16:$B$34,0),MATCH('Monthly Cash Flow'!BD$4,'Sponsor Pro Forma'!$O$15:$Z$15,0))/12,IF('Sponsor Pro Forma'!$L$42="Annual",'Monthly Cash Flow'!BC81*(1+'Sponsor Pro Forma'!$M25)^(IF(MOD(BD$5,12)=1,1,0)),'Monthly Cash Flow'!BC81*(1+'Sponsor Pro Forma'!$M25/12)))</f>
        <v>7477.441361279999</v>
      </c>
      <c r="BE81" s="1300">
        <f>IF('Sponsor Pro Forma'!$N25="Override",INDEX('Sponsor Pro Forma'!$O$16:$Z$34,MATCH('Monthly Cash Flow'!$B81,'Sponsor Pro Forma'!$B$16:$B$34,0),MATCH('Monthly Cash Flow'!BE$4,'Sponsor Pro Forma'!$O$15:$Z$15,0))/12,IF('Sponsor Pro Forma'!$L$42="Annual",'Monthly Cash Flow'!BD81*(1+'Sponsor Pro Forma'!$M25)^(IF(MOD(BE$5,12)=1,1,0)),'Monthly Cash Flow'!BD81*(1+'Sponsor Pro Forma'!$M25/12)))</f>
        <v>7477.441361279999</v>
      </c>
      <c r="BF81" s="1300">
        <f>IF('Sponsor Pro Forma'!$N25="Override",INDEX('Sponsor Pro Forma'!$O$16:$Z$34,MATCH('Monthly Cash Flow'!$B81,'Sponsor Pro Forma'!$B$16:$B$34,0),MATCH('Monthly Cash Flow'!BF$4,'Sponsor Pro Forma'!$O$15:$Z$15,0))/12,IF('Sponsor Pro Forma'!$L$42="Annual",'Monthly Cash Flow'!BE81*(1+'Sponsor Pro Forma'!$M25)^(IF(MOD(BF$5,12)=1,1,0)),'Monthly Cash Flow'!BE81*(1+'Sponsor Pro Forma'!$M25/12)))</f>
        <v>7477.441361279999</v>
      </c>
      <c r="BG81" s="1300">
        <f>IF('Sponsor Pro Forma'!$N25="Override",INDEX('Sponsor Pro Forma'!$O$16:$Z$34,MATCH('Monthly Cash Flow'!$B81,'Sponsor Pro Forma'!$B$16:$B$34,0),MATCH('Monthly Cash Flow'!BG$4,'Sponsor Pro Forma'!$O$15:$Z$15,0))/12,IF('Sponsor Pro Forma'!$L$42="Annual",'Monthly Cash Flow'!BF81*(1+'Sponsor Pro Forma'!$M25)^(IF(MOD(BG$5,12)=1,1,0)),'Monthly Cash Flow'!BF81*(1+'Sponsor Pro Forma'!$M25/12)))</f>
        <v>7477.441361279999</v>
      </c>
      <c r="BH81" s="1300">
        <f>IF('Sponsor Pro Forma'!$N25="Override",INDEX('Sponsor Pro Forma'!$O$16:$Z$34,MATCH('Monthly Cash Flow'!$B81,'Sponsor Pro Forma'!$B$16:$B$34,0),MATCH('Monthly Cash Flow'!BH$4,'Sponsor Pro Forma'!$O$15:$Z$15,0))/12,IF('Sponsor Pro Forma'!$L$42="Annual",'Monthly Cash Flow'!BG81*(1+'Sponsor Pro Forma'!$M25)^(IF(MOD(BH$5,12)=1,1,0)),'Monthly Cash Flow'!BG81*(1+'Sponsor Pro Forma'!$M25/12)))</f>
        <v>7477.441361279999</v>
      </c>
      <c r="BI81" s="1300">
        <f>IF('Sponsor Pro Forma'!$N25="Override",INDEX('Sponsor Pro Forma'!$O$16:$Z$34,MATCH('Monthly Cash Flow'!$B81,'Sponsor Pro Forma'!$B$16:$B$34,0),MATCH('Monthly Cash Flow'!BI$4,'Sponsor Pro Forma'!$O$15:$Z$15,0))/12,IF('Sponsor Pro Forma'!$L$42="Annual",'Monthly Cash Flow'!BH81*(1+'Sponsor Pro Forma'!$M25)^(IF(MOD(BI$5,12)=1,1,0)),'Monthly Cash Flow'!BH81*(1+'Sponsor Pro Forma'!$M25/12)))</f>
        <v>7477.441361279999</v>
      </c>
      <c r="BJ81" s="1300">
        <f>IF('Sponsor Pro Forma'!$N25="Override",INDEX('Sponsor Pro Forma'!$O$16:$Z$34,MATCH('Monthly Cash Flow'!$B81,'Sponsor Pro Forma'!$B$16:$B$34,0),MATCH('Monthly Cash Flow'!BJ$4,'Sponsor Pro Forma'!$O$15:$Z$15,0))/12,IF('Sponsor Pro Forma'!$L$42="Annual",'Monthly Cash Flow'!BI81*(1+'Sponsor Pro Forma'!$M25)^(IF(MOD(BJ$5,12)=1,1,0)),'Monthly Cash Flow'!BI81*(1+'Sponsor Pro Forma'!$M25/12)))</f>
        <v>7477.441361279999</v>
      </c>
      <c r="BK81" s="1300">
        <f>IF('Sponsor Pro Forma'!$N25="Override",INDEX('Sponsor Pro Forma'!$O$16:$Z$34,MATCH('Monthly Cash Flow'!$B81,'Sponsor Pro Forma'!$B$16:$B$34,0),MATCH('Monthly Cash Flow'!BK$4,'Sponsor Pro Forma'!$O$15:$Z$15,0))/12,IF('Sponsor Pro Forma'!$L$42="Annual",'Monthly Cash Flow'!BJ81*(1+'Sponsor Pro Forma'!$M25)^(IF(MOD(BK$5,12)=1,1,0)),'Monthly Cash Flow'!BJ81*(1+'Sponsor Pro Forma'!$M25/12)))</f>
        <v>7477.441361279999</v>
      </c>
      <c r="BL81" s="1300">
        <f>IF('Sponsor Pro Forma'!$N25="Override",INDEX('Sponsor Pro Forma'!$O$16:$Z$34,MATCH('Monthly Cash Flow'!$B81,'Sponsor Pro Forma'!$B$16:$B$34,0),MATCH('Monthly Cash Flow'!BL$4,'Sponsor Pro Forma'!$O$15:$Z$15,0))/12,IF('Sponsor Pro Forma'!$L$42="Annual",'Monthly Cash Flow'!BK81*(1+'Sponsor Pro Forma'!$M25)^(IF(MOD(BL$5,12)=1,1,0)),'Monthly Cash Flow'!BK81*(1+'Sponsor Pro Forma'!$M25/12)))</f>
        <v>7477.441361279999</v>
      </c>
      <c r="BM81" s="1300">
        <f>IF('Sponsor Pro Forma'!$N25="Override",INDEX('Sponsor Pro Forma'!$O$16:$Z$34,MATCH('Monthly Cash Flow'!$B81,'Sponsor Pro Forma'!$B$16:$B$34,0),MATCH('Monthly Cash Flow'!BM$4,'Sponsor Pro Forma'!$O$15:$Z$15,0))/12,IF('Sponsor Pro Forma'!$L$42="Annual",'Monthly Cash Flow'!BL81*(1+'Sponsor Pro Forma'!$M25)^(IF(MOD(BM$5,12)=1,1,0)),'Monthly Cash Flow'!BL81*(1+'Sponsor Pro Forma'!$M25/12)))</f>
        <v>7626.9901885055997</v>
      </c>
      <c r="BN81" s="1300">
        <f>IF('Sponsor Pro Forma'!$N25="Override",INDEX('Sponsor Pro Forma'!$O$16:$Z$34,MATCH('Monthly Cash Flow'!$B81,'Sponsor Pro Forma'!$B$16:$B$34,0),MATCH('Monthly Cash Flow'!BN$4,'Sponsor Pro Forma'!$O$15:$Z$15,0))/12,IF('Sponsor Pro Forma'!$L$42="Annual",'Monthly Cash Flow'!BM81*(1+'Sponsor Pro Forma'!$M25)^(IF(MOD(BN$5,12)=1,1,0)),'Monthly Cash Flow'!BM81*(1+'Sponsor Pro Forma'!$M25/12)))</f>
        <v>7626.9901885055997</v>
      </c>
      <c r="BO81" s="1300">
        <f>IF('Sponsor Pro Forma'!$N25="Override",INDEX('Sponsor Pro Forma'!$O$16:$Z$34,MATCH('Monthly Cash Flow'!$B81,'Sponsor Pro Forma'!$B$16:$B$34,0),MATCH('Monthly Cash Flow'!BO$4,'Sponsor Pro Forma'!$O$15:$Z$15,0))/12,IF('Sponsor Pro Forma'!$L$42="Annual",'Monthly Cash Flow'!BN81*(1+'Sponsor Pro Forma'!$M25)^(IF(MOD(BO$5,12)=1,1,0)),'Monthly Cash Flow'!BN81*(1+'Sponsor Pro Forma'!$M25/12)))</f>
        <v>7626.9901885055997</v>
      </c>
      <c r="BP81" s="1300">
        <f>IF('Sponsor Pro Forma'!$N25="Override",INDEX('Sponsor Pro Forma'!$O$16:$Z$34,MATCH('Monthly Cash Flow'!$B81,'Sponsor Pro Forma'!$B$16:$B$34,0),MATCH('Monthly Cash Flow'!BP$4,'Sponsor Pro Forma'!$O$15:$Z$15,0))/12,IF('Sponsor Pro Forma'!$L$42="Annual",'Monthly Cash Flow'!BO81*(1+'Sponsor Pro Forma'!$M25)^(IF(MOD(BP$5,12)=1,1,0)),'Monthly Cash Flow'!BO81*(1+'Sponsor Pro Forma'!$M25/12)))</f>
        <v>7626.9901885055997</v>
      </c>
      <c r="BQ81" s="1300">
        <f>IF('Sponsor Pro Forma'!$N25="Override",INDEX('Sponsor Pro Forma'!$O$16:$Z$34,MATCH('Monthly Cash Flow'!$B81,'Sponsor Pro Forma'!$B$16:$B$34,0),MATCH('Monthly Cash Flow'!BQ$4,'Sponsor Pro Forma'!$O$15:$Z$15,0))/12,IF('Sponsor Pro Forma'!$L$42="Annual",'Monthly Cash Flow'!BP81*(1+'Sponsor Pro Forma'!$M25)^(IF(MOD(BQ$5,12)=1,1,0)),'Monthly Cash Flow'!BP81*(1+'Sponsor Pro Forma'!$M25/12)))</f>
        <v>7626.9901885055997</v>
      </c>
      <c r="BR81" s="1300">
        <f>IF('Sponsor Pro Forma'!$N25="Override",INDEX('Sponsor Pro Forma'!$O$16:$Z$34,MATCH('Monthly Cash Flow'!$B81,'Sponsor Pro Forma'!$B$16:$B$34,0),MATCH('Monthly Cash Flow'!BR$4,'Sponsor Pro Forma'!$O$15:$Z$15,0))/12,IF('Sponsor Pro Forma'!$L$42="Annual",'Monthly Cash Flow'!BQ81*(1+'Sponsor Pro Forma'!$M25)^(IF(MOD(BR$5,12)=1,1,0)),'Monthly Cash Flow'!BQ81*(1+'Sponsor Pro Forma'!$M25/12)))</f>
        <v>7626.9901885055997</v>
      </c>
      <c r="BS81" s="1300">
        <f>IF('Sponsor Pro Forma'!$N25="Override",INDEX('Sponsor Pro Forma'!$O$16:$Z$34,MATCH('Monthly Cash Flow'!$B81,'Sponsor Pro Forma'!$B$16:$B$34,0),MATCH('Monthly Cash Flow'!BS$4,'Sponsor Pro Forma'!$O$15:$Z$15,0))/12,IF('Sponsor Pro Forma'!$L$42="Annual",'Monthly Cash Flow'!BR81*(1+'Sponsor Pro Forma'!$M25)^(IF(MOD(BS$5,12)=1,1,0)),'Monthly Cash Flow'!BR81*(1+'Sponsor Pro Forma'!$M25/12)))</f>
        <v>7626.9901885055997</v>
      </c>
      <c r="BT81" s="1300">
        <f>IF('Sponsor Pro Forma'!$N25="Override",INDEX('Sponsor Pro Forma'!$O$16:$Z$34,MATCH('Monthly Cash Flow'!$B81,'Sponsor Pro Forma'!$B$16:$B$34,0),MATCH('Monthly Cash Flow'!BT$4,'Sponsor Pro Forma'!$O$15:$Z$15,0))/12,IF('Sponsor Pro Forma'!$L$42="Annual",'Monthly Cash Flow'!BS81*(1+'Sponsor Pro Forma'!$M25)^(IF(MOD(BT$5,12)=1,1,0)),'Monthly Cash Flow'!BS81*(1+'Sponsor Pro Forma'!$M25/12)))</f>
        <v>7626.9901885055997</v>
      </c>
      <c r="BU81" s="1300">
        <f>IF('Sponsor Pro Forma'!$N25="Override",INDEX('Sponsor Pro Forma'!$O$16:$Z$34,MATCH('Monthly Cash Flow'!$B81,'Sponsor Pro Forma'!$B$16:$B$34,0),MATCH('Monthly Cash Flow'!BU$4,'Sponsor Pro Forma'!$O$15:$Z$15,0))/12,IF('Sponsor Pro Forma'!$L$42="Annual",'Monthly Cash Flow'!BT81*(1+'Sponsor Pro Forma'!$M25)^(IF(MOD(BU$5,12)=1,1,0)),'Monthly Cash Flow'!BT81*(1+'Sponsor Pro Forma'!$M25/12)))</f>
        <v>7626.9901885055997</v>
      </c>
      <c r="BV81" s="1300">
        <f>IF('Sponsor Pro Forma'!$N25="Override",INDEX('Sponsor Pro Forma'!$O$16:$Z$34,MATCH('Monthly Cash Flow'!$B81,'Sponsor Pro Forma'!$B$16:$B$34,0),MATCH('Monthly Cash Flow'!BV$4,'Sponsor Pro Forma'!$O$15:$Z$15,0))/12,IF('Sponsor Pro Forma'!$L$42="Annual",'Monthly Cash Flow'!BU81*(1+'Sponsor Pro Forma'!$M25)^(IF(MOD(BV$5,12)=1,1,0)),'Monthly Cash Flow'!BU81*(1+'Sponsor Pro Forma'!$M25/12)))</f>
        <v>7626.9901885055997</v>
      </c>
      <c r="BW81" s="1300">
        <f>IF('Sponsor Pro Forma'!$N25="Override",INDEX('Sponsor Pro Forma'!$O$16:$Z$34,MATCH('Monthly Cash Flow'!$B81,'Sponsor Pro Forma'!$B$16:$B$34,0),MATCH('Monthly Cash Flow'!BW$4,'Sponsor Pro Forma'!$O$15:$Z$15,0))/12,IF('Sponsor Pro Forma'!$L$42="Annual",'Monthly Cash Flow'!BV81*(1+'Sponsor Pro Forma'!$M25)^(IF(MOD(BW$5,12)=1,1,0)),'Monthly Cash Flow'!BV81*(1+'Sponsor Pro Forma'!$M25/12)))</f>
        <v>7626.9901885055997</v>
      </c>
      <c r="BX81" s="1300">
        <f>IF('Sponsor Pro Forma'!$N25="Override",INDEX('Sponsor Pro Forma'!$O$16:$Z$34,MATCH('Monthly Cash Flow'!$B81,'Sponsor Pro Forma'!$B$16:$B$34,0),MATCH('Monthly Cash Flow'!BX$4,'Sponsor Pro Forma'!$O$15:$Z$15,0))/12,IF('Sponsor Pro Forma'!$L$42="Annual",'Monthly Cash Flow'!BW81*(1+'Sponsor Pro Forma'!$M25)^(IF(MOD(BX$5,12)=1,1,0)),'Monthly Cash Flow'!BW81*(1+'Sponsor Pro Forma'!$M25/12)))</f>
        <v>7626.9901885055997</v>
      </c>
      <c r="BY81" s="1300">
        <f>IF('Sponsor Pro Forma'!$N25="Override",INDEX('Sponsor Pro Forma'!$O$16:$Z$34,MATCH('Monthly Cash Flow'!$B81,'Sponsor Pro Forma'!$B$16:$B$34,0),MATCH('Monthly Cash Flow'!BY$4,'Sponsor Pro Forma'!$O$15:$Z$15,0))/12,IF('Sponsor Pro Forma'!$L$42="Annual",'Monthly Cash Flow'!BX81*(1+'Sponsor Pro Forma'!$M25)^(IF(MOD(BY$5,12)=1,1,0)),'Monthly Cash Flow'!BX81*(1+'Sponsor Pro Forma'!$M25/12)))</f>
        <v>7779.5299922757122</v>
      </c>
      <c r="BZ81" s="1300">
        <f>IF('Sponsor Pro Forma'!$N25="Override",INDEX('Sponsor Pro Forma'!$O$16:$Z$34,MATCH('Monthly Cash Flow'!$B81,'Sponsor Pro Forma'!$B$16:$B$34,0),MATCH('Monthly Cash Flow'!BZ$4,'Sponsor Pro Forma'!$O$15:$Z$15,0))/12,IF('Sponsor Pro Forma'!$L$42="Annual",'Monthly Cash Flow'!BY81*(1+'Sponsor Pro Forma'!$M25)^(IF(MOD(BZ$5,12)=1,1,0)),'Monthly Cash Flow'!BY81*(1+'Sponsor Pro Forma'!$M25/12)))</f>
        <v>7779.5299922757122</v>
      </c>
      <c r="CA81" s="1300">
        <f>IF('Sponsor Pro Forma'!$N25="Override",INDEX('Sponsor Pro Forma'!$O$16:$Z$34,MATCH('Monthly Cash Flow'!$B81,'Sponsor Pro Forma'!$B$16:$B$34,0),MATCH('Monthly Cash Flow'!CA$4,'Sponsor Pro Forma'!$O$15:$Z$15,0))/12,IF('Sponsor Pro Forma'!$L$42="Annual",'Monthly Cash Flow'!BZ81*(1+'Sponsor Pro Forma'!$M25)^(IF(MOD(CA$5,12)=1,1,0)),'Monthly Cash Flow'!BZ81*(1+'Sponsor Pro Forma'!$M25/12)))</f>
        <v>7779.5299922757122</v>
      </c>
      <c r="CB81" s="1300">
        <f>IF('Sponsor Pro Forma'!$N25="Override",INDEX('Sponsor Pro Forma'!$O$16:$Z$34,MATCH('Monthly Cash Flow'!$B81,'Sponsor Pro Forma'!$B$16:$B$34,0),MATCH('Monthly Cash Flow'!CB$4,'Sponsor Pro Forma'!$O$15:$Z$15,0))/12,IF('Sponsor Pro Forma'!$L$42="Annual",'Monthly Cash Flow'!CA81*(1+'Sponsor Pro Forma'!$M25)^(IF(MOD(CB$5,12)=1,1,0)),'Monthly Cash Flow'!CA81*(1+'Sponsor Pro Forma'!$M25/12)))</f>
        <v>7779.5299922757122</v>
      </c>
      <c r="CC81" s="1300">
        <f>IF('Sponsor Pro Forma'!$N25="Override",INDEX('Sponsor Pro Forma'!$O$16:$Z$34,MATCH('Monthly Cash Flow'!$B81,'Sponsor Pro Forma'!$B$16:$B$34,0),MATCH('Monthly Cash Flow'!CC$4,'Sponsor Pro Forma'!$O$15:$Z$15,0))/12,IF('Sponsor Pro Forma'!$L$42="Annual",'Monthly Cash Flow'!CB81*(1+'Sponsor Pro Forma'!$M25)^(IF(MOD(CC$5,12)=1,1,0)),'Monthly Cash Flow'!CB81*(1+'Sponsor Pro Forma'!$M25/12)))</f>
        <v>7779.5299922757122</v>
      </c>
      <c r="CD81" s="1300">
        <f>IF('Sponsor Pro Forma'!$N25="Override",INDEX('Sponsor Pro Forma'!$O$16:$Z$34,MATCH('Monthly Cash Flow'!$B81,'Sponsor Pro Forma'!$B$16:$B$34,0),MATCH('Monthly Cash Flow'!CD$4,'Sponsor Pro Forma'!$O$15:$Z$15,0))/12,IF('Sponsor Pro Forma'!$L$42="Annual",'Monthly Cash Flow'!CC81*(1+'Sponsor Pro Forma'!$M25)^(IF(MOD(CD$5,12)=1,1,0)),'Monthly Cash Flow'!CC81*(1+'Sponsor Pro Forma'!$M25/12)))</f>
        <v>7779.5299922757122</v>
      </c>
      <c r="CE81" s="1300">
        <f>IF('Sponsor Pro Forma'!$N25="Override",INDEX('Sponsor Pro Forma'!$O$16:$Z$34,MATCH('Monthly Cash Flow'!$B81,'Sponsor Pro Forma'!$B$16:$B$34,0),MATCH('Monthly Cash Flow'!CE$4,'Sponsor Pro Forma'!$O$15:$Z$15,0))/12,IF('Sponsor Pro Forma'!$L$42="Annual",'Monthly Cash Flow'!CD81*(1+'Sponsor Pro Forma'!$M25)^(IF(MOD(CE$5,12)=1,1,0)),'Monthly Cash Flow'!CD81*(1+'Sponsor Pro Forma'!$M25/12)))</f>
        <v>7779.5299922757122</v>
      </c>
      <c r="CF81" s="1300">
        <f>IF('Sponsor Pro Forma'!$N25="Override",INDEX('Sponsor Pro Forma'!$O$16:$Z$34,MATCH('Monthly Cash Flow'!$B81,'Sponsor Pro Forma'!$B$16:$B$34,0),MATCH('Monthly Cash Flow'!CF$4,'Sponsor Pro Forma'!$O$15:$Z$15,0))/12,IF('Sponsor Pro Forma'!$L$42="Annual",'Monthly Cash Flow'!CE81*(1+'Sponsor Pro Forma'!$M25)^(IF(MOD(CF$5,12)=1,1,0)),'Monthly Cash Flow'!CE81*(1+'Sponsor Pro Forma'!$M25/12)))</f>
        <v>7779.5299922757122</v>
      </c>
      <c r="CG81" s="1300">
        <f>IF('Sponsor Pro Forma'!$N25="Override",INDEX('Sponsor Pro Forma'!$O$16:$Z$34,MATCH('Monthly Cash Flow'!$B81,'Sponsor Pro Forma'!$B$16:$B$34,0),MATCH('Monthly Cash Flow'!CG$4,'Sponsor Pro Forma'!$O$15:$Z$15,0))/12,IF('Sponsor Pro Forma'!$L$42="Annual",'Monthly Cash Flow'!CF81*(1+'Sponsor Pro Forma'!$M25)^(IF(MOD(CG$5,12)=1,1,0)),'Monthly Cash Flow'!CF81*(1+'Sponsor Pro Forma'!$M25/12)))</f>
        <v>7779.5299922757122</v>
      </c>
      <c r="CH81" s="1300">
        <f>IF('Sponsor Pro Forma'!$N25="Override",INDEX('Sponsor Pro Forma'!$O$16:$Z$34,MATCH('Monthly Cash Flow'!$B81,'Sponsor Pro Forma'!$B$16:$B$34,0),MATCH('Monthly Cash Flow'!CH$4,'Sponsor Pro Forma'!$O$15:$Z$15,0))/12,IF('Sponsor Pro Forma'!$L$42="Annual",'Monthly Cash Flow'!CG81*(1+'Sponsor Pro Forma'!$M25)^(IF(MOD(CH$5,12)=1,1,0)),'Monthly Cash Flow'!CG81*(1+'Sponsor Pro Forma'!$M25/12)))</f>
        <v>7779.5299922757122</v>
      </c>
      <c r="CI81" s="1300">
        <f>IF('Sponsor Pro Forma'!$N25="Override",INDEX('Sponsor Pro Forma'!$O$16:$Z$34,MATCH('Monthly Cash Flow'!$B81,'Sponsor Pro Forma'!$B$16:$B$34,0),MATCH('Monthly Cash Flow'!CI$4,'Sponsor Pro Forma'!$O$15:$Z$15,0))/12,IF('Sponsor Pro Forma'!$L$42="Annual",'Monthly Cash Flow'!CH81*(1+'Sponsor Pro Forma'!$M25)^(IF(MOD(CI$5,12)=1,1,0)),'Monthly Cash Flow'!CH81*(1+'Sponsor Pro Forma'!$M25/12)))</f>
        <v>7779.5299922757122</v>
      </c>
      <c r="CJ81" s="1300">
        <f>IF('Sponsor Pro Forma'!$N25="Override",INDEX('Sponsor Pro Forma'!$O$16:$Z$34,MATCH('Monthly Cash Flow'!$B81,'Sponsor Pro Forma'!$B$16:$B$34,0),MATCH('Monthly Cash Flow'!CJ$4,'Sponsor Pro Forma'!$O$15:$Z$15,0))/12,IF('Sponsor Pro Forma'!$L$42="Annual",'Monthly Cash Flow'!CI81*(1+'Sponsor Pro Forma'!$M25)^(IF(MOD(CJ$5,12)=1,1,0)),'Monthly Cash Flow'!CI81*(1+'Sponsor Pro Forma'!$M25/12)))</f>
        <v>7779.5299922757122</v>
      </c>
      <c r="CK81" s="1300">
        <f>IF('Sponsor Pro Forma'!$N25="Override",INDEX('Sponsor Pro Forma'!$O$16:$Z$34,MATCH('Monthly Cash Flow'!$B81,'Sponsor Pro Forma'!$B$16:$B$34,0),MATCH('Monthly Cash Flow'!CK$4,'Sponsor Pro Forma'!$O$15:$Z$15,0))/12,IF('Sponsor Pro Forma'!$L$42="Annual",'Monthly Cash Flow'!CJ81*(1+'Sponsor Pro Forma'!$M25)^(IF(MOD(CK$5,12)=1,1,0)),'Monthly Cash Flow'!CJ81*(1+'Sponsor Pro Forma'!$M25/12)))</f>
        <v>7935.1205921212268</v>
      </c>
      <c r="CL81" s="1300">
        <f>IF('Sponsor Pro Forma'!$N25="Override",INDEX('Sponsor Pro Forma'!$O$16:$Z$34,MATCH('Monthly Cash Flow'!$B81,'Sponsor Pro Forma'!$B$16:$B$34,0),MATCH('Monthly Cash Flow'!CL$4,'Sponsor Pro Forma'!$O$15:$Z$15,0))/12,IF('Sponsor Pro Forma'!$L$42="Annual",'Monthly Cash Flow'!CK81*(1+'Sponsor Pro Forma'!$M25)^(IF(MOD(CL$5,12)=1,1,0)),'Monthly Cash Flow'!CK81*(1+'Sponsor Pro Forma'!$M25/12)))</f>
        <v>7935.1205921212268</v>
      </c>
      <c r="CM81" s="1300">
        <f>IF('Sponsor Pro Forma'!$N25="Override",INDEX('Sponsor Pro Forma'!$O$16:$Z$34,MATCH('Monthly Cash Flow'!$B81,'Sponsor Pro Forma'!$B$16:$B$34,0),MATCH('Monthly Cash Flow'!CM$4,'Sponsor Pro Forma'!$O$15:$Z$15,0))/12,IF('Sponsor Pro Forma'!$L$42="Annual",'Monthly Cash Flow'!CL81*(1+'Sponsor Pro Forma'!$M25)^(IF(MOD(CM$5,12)=1,1,0)),'Monthly Cash Flow'!CL81*(1+'Sponsor Pro Forma'!$M25/12)))</f>
        <v>7935.1205921212268</v>
      </c>
      <c r="CN81" s="1300">
        <f>IF('Sponsor Pro Forma'!$N25="Override",INDEX('Sponsor Pro Forma'!$O$16:$Z$34,MATCH('Monthly Cash Flow'!$B81,'Sponsor Pro Forma'!$B$16:$B$34,0),MATCH('Monthly Cash Flow'!CN$4,'Sponsor Pro Forma'!$O$15:$Z$15,0))/12,IF('Sponsor Pro Forma'!$L$42="Annual",'Monthly Cash Flow'!CM81*(1+'Sponsor Pro Forma'!$M25)^(IF(MOD(CN$5,12)=1,1,0)),'Monthly Cash Flow'!CM81*(1+'Sponsor Pro Forma'!$M25/12)))</f>
        <v>7935.1205921212268</v>
      </c>
      <c r="CO81" s="1300">
        <f>IF('Sponsor Pro Forma'!$N25="Override",INDEX('Sponsor Pro Forma'!$O$16:$Z$34,MATCH('Monthly Cash Flow'!$B81,'Sponsor Pro Forma'!$B$16:$B$34,0),MATCH('Monthly Cash Flow'!CO$4,'Sponsor Pro Forma'!$O$15:$Z$15,0))/12,IF('Sponsor Pro Forma'!$L$42="Annual",'Monthly Cash Flow'!CN81*(1+'Sponsor Pro Forma'!$M25)^(IF(MOD(CO$5,12)=1,1,0)),'Monthly Cash Flow'!CN81*(1+'Sponsor Pro Forma'!$M25/12)))</f>
        <v>7935.1205921212268</v>
      </c>
      <c r="CP81" s="1300">
        <f>IF('Sponsor Pro Forma'!$N25="Override",INDEX('Sponsor Pro Forma'!$O$16:$Z$34,MATCH('Monthly Cash Flow'!$B81,'Sponsor Pro Forma'!$B$16:$B$34,0),MATCH('Monthly Cash Flow'!CP$4,'Sponsor Pro Forma'!$O$15:$Z$15,0))/12,IF('Sponsor Pro Forma'!$L$42="Annual",'Monthly Cash Flow'!CO81*(1+'Sponsor Pro Forma'!$M25)^(IF(MOD(CP$5,12)=1,1,0)),'Monthly Cash Flow'!CO81*(1+'Sponsor Pro Forma'!$M25/12)))</f>
        <v>7935.1205921212268</v>
      </c>
      <c r="CQ81" s="1300">
        <f>IF('Sponsor Pro Forma'!$N25="Override",INDEX('Sponsor Pro Forma'!$O$16:$Z$34,MATCH('Monthly Cash Flow'!$B81,'Sponsor Pro Forma'!$B$16:$B$34,0),MATCH('Monthly Cash Flow'!CQ$4,'Sponsor Pro Forma'!$O$15:$Z$15,0))/12,IF('Sponsor Pro Forma'!$L$42="Annual",'Monthly Cash Flow'!CP81*(1+'Sponsor Pro Forma'!$M25)^(IF(MOD(CQ$5,12)=1,1,0)),'Monthly Cash Flow'!CP81*(1+'Sponsor Pro Forma'!$M25/12)))</f>
        <v>7935.1205921212268</v>
      </c>
      <c r="CR81" s="1300">
        <f>IF('Sponsor Pro Forma'!$N25="Override",INDEX('Sponsor Pro Forma'!$O$16:$Z$34,MATCH('Monthly Cash Flow'!$B81,'Sponsor Pro Forma'!$B$16:$B$34,0),MATCH('Monthly Cash Flow'!CR$4,'Sponsor Pro Forma'!$O$15:$Z$15,0))/12,IF('Sponsor Pro Forma'!$L$42="Annual",'Monthly Cash Flow'!CQ81*(1+'Sponsor Pro Forma'!$M25)^(IF(MOD(CR$5,12)=1,1,0)),'Monthly Cash Flow'!CQ81*(1+'Sponsor Pro Forma'!$M25/12)))</f>
        <v>7935.1205921212268</v>
      </c>
      <c r="CS81" s="1300">
        <f>IF('Sponsor Pro Forma'!$N25="Override",INDEX('Sponsor Pro Forma'!$O$16:$Z$34,MATCH('Monthly Cash Flow'!$B81,'Sponsor Pro Forma'!$B$16:$B$34,0),MATCH('Monthly Cash Flow'!CS$4,'Sponsor Pro Forma'!$O$15:$Z$15,0))/12,IF('Sponsor Pro Forma'!$L$42="Annual",'Monthly Cash Flow'!CR81*(1+'Sponsor Pro Forma'!$M25)^(IF(MOD(CS$5,12)=1,1,0)),'Monthly Cash Flow'!CR81*(1+'Sponsor Pro Forma'!$M25/12)))</f>
        <v>7935.1205921212268</v>
      </c>
      <c r="CT81" s="1300">
        <f>IF('Sponsor Pro Forma'!$N25="Override",INDEX('Sponsor Pro Forma'!$O$16:$Z$34,MATCH('Monthly Cash Flow'!$B81,'Sponsor Pro Forma'!$B$16:$B$34,0),MATCH('Monthly Cash Flow'!CT$4,'Sponsor Pro Forma'!$O$15:$Z$15,0))/12,IF('Sponsor Pro Forma'!$L$42="Annual",'Monthly Cash Flow'!CS81*(1+'Sponsor Pro Forma'!$M25)^(IF(MOD(CT$5,12)=1,1,0)),'Monthly Cash Flow'!CS81*(1+'Sponsor Pro Forma'!$M25/12)))</f>
        <v>7935.1205921212268</v>
      </c>
      <c r="CU81" s="1300">
        <f>IF('Sponsor Pro Forma'!$N25="Override",INDEX('Sponsor Pro Forma'!$O$16:$Z$34,MATCH('Monthly Cash Flow'!$B81,'Sponsor Pro Forma'!$B$16:$B$34,0),MATCH('Monthly Cash Flow'!CU$4,'Sponsor Pro Forma'!$O$15:$Z$15,0))/12,IF('Sponsor Pro Forma'!$L$42="Annual",'Monthly Cash Flow'!CT81*(1+'Sponsor Pro Forma'!$M25)^(IF(MOD(CU$5,12)=1,1,0)),'Monthly Cash Flow'!CT81*(1+'Sponsor Pro Forma'!$M25/12)))</f>
        <v>7935.1205921212268</v>
      </c>
      <c r="CV81" s="1300">
        <f>IF('Sponsor Pro Forma'!$N25="Override",INDEX('Sponsor Pro Forma'!$O$16:$Z$34,MATCH('Monthly Cash Flow'!$B81,'Sponsor Pro Forma'!$B$16:$B$34,0),MATCH('Monthly Cash Flow'!CV$4,'Sponsor Pro Forma'!$O$15:$Z$15,0))/12,IF('Sponsor Pro Forma'!$L$42="Annual",'Monthly Cash Flow'!CU81*(1+'Sponsor Pro Forma'!$M25)^(IF(MOD(CV$5,12)=1,1,0)),'Monthly Cash Flow'!CU81*(1+'Sponsor Pro Forma'!$M25/12)))</f>
        <v>7935.1205921212268</v>
      </c>
      <c r="CW81" s="1300">
        <f>IF('Sponsor Pro Forma'!$N25="Override",INDEX('Sponsor Pro Forma'!$O$16:$Z$34,MATCH('Monthly Cash Flow'!$B81,'Sponsor Pro Forma'!$B$16:$B$34,0),MATCH('Monthly Cash Flow'!CW$4,'Sponsor Pro Forma'!$O$15:$Z$15,0))/12,IF('Sponsor Pro Forma'!$L$42="Annual",'Monthly Cash Flow'!CV81*(1+'Sponsor Pro Forma'!$M25)^(IF(MOD(CW$5,12)=1,1,0)),'Monthly Cash Flow'!CV81*(1+'Sponsor Pro Forma'!$M25/12)))</f>
        <v>8093.823003963651</v>
      </c>
      <c r="CX81" s="1300">
        <f>IF('Sponsor Pro Forma'!$N25="Override",INDEX('Sponsor Pro Forma'!$O$16:$Z$34,MATCH('Monthly Cash Flow'!$B81,'Sponsor Pro Forma'!$B$16:$B$34,0),MATCH('Monthly Cash Flow'!CX$4,'Sponsor Pro Forma'!$O$15:$Z$15,0))/12,IF('Sponsor Pro Forma'!$L$42="Annual",'Monthly Cash Flow'!CW81*(1+'Sponsor Pro Forma'!$M25)^(IF(MOD(CX$5,12)=1,1,0)),'Monthly Cash Flow'!CW81*(1+'Sponsor Pro Forma'!$M25/12)))</f>
        <v>8093.823003963651</v>
      </c>
      <c r="CY81" s="1300">
        <f>IF('Sponsor Pro Forma'!$N25="Override",INDEX('Sponsor Pro Forma'!$O$16:$Z$34,MATCH('Monthly Cash Flow'!$B81,'Sponsor Pro Forma'!$B$16:$B$34,0),MATCH('Monthly Cash Flow'!CY$4,'Sponsor Pro Forma'!$O$15:$Z$15,0))/12,IF('Sponsor Pro Forma'!$L$42="Annual",'Monthly Cash Flow'!CX81*(1+'Sponsor Pro Forma'!$M25)^(IF(MOD(CY$5,12)=1,1,0)),'Monthly Cash Flow'!CX81*(1+'Sponsor Pro Forma'!$M25/12)))</f>
        <v>8093.823003963651</v>
      </c>
      <c r="CZ81" s="1300">
        <f>IF('Sponsor Pro Forma'!$N25="Override",INDEX('Sponsor Pro Forma'!$O$16:$Z$34,MATCH('Monthly Cash Flow'!$B81,'Sponsor Pro Forma'!$B$16:$B$34,0),MATCH('Monthly Cash Flow'!CZ$4,'Sponsor Pro Forma'!$O$15:$Z$15,0))/12,IF('Sponsor Pro Forma'!$L$42="Annual",'Monthly Cash Flow'!CY81*(1+'Sponsor Pro Forma'!$M25)^(IF(MOD(CZ$5,12)=1,1,0)),'Monthly Cash Flow'!CY81*(1+'Sponsor Pro Forma'!$M25/12)))</f>
        <v>8093.823003963651</v>
      </c>
      <c r="DA81" s="1300">
        <f>IF('Sponsor Pro Forma'!$N25="Override",INDEX('Sponsor Pro Forma'!$O$16:$Z$34,MATCH('Monthly Cash Flow'!$B81,'Sponsor Pro Forma'!$B$16:$B$34,0),MATCH('Monthly Cash Flow'!DA$4,'Sponsor Pro Forma'!$O$15:$Z$15,0))/12,IF('Sponsor Pro Forma'!$L$42="Annual",'Monthly Cash Flow'!CZ81*(1+'Sponsor Pro Forma'!$M25)^(IF(MOD(DA$5,12)=1,1,0)),'Monthly Cash Flow'!CZ81*(1+'Sponsor Pro Forma'!$M25/12)))</f>
        <v>8093.823003963651</v>
      </c>
      <c r="DB81" s="1300">
        <f>IF('Sponsor Pro Forma'!$N25="Override",INDEX('Sponsor Pro Forma'!$O$16:$Z$34,MATCH('Monthly Cash Flow'!$B81,'Sponsor Pro Forma'!$B$16:$B$34,0),MATCH('Monthly Cash Flow'!DB$4,'Sponsor Pro Forma'!$O$15:$Z$15,0))/12,IF('Sponsor Pro Forma'!$L$42="Annual",'Monthly Cash Flow'!DA81*(1+'Sponsor Pro Forma'!$M25)^(IF(MOD(DB$5,12)=1,1,0)),'Monthly Cash Flow'!DA81*(1+'Sponsor Pro Forma'!$M25/12)))</f>
        <v>8093.823003963651</v>
      </c>
      <c r="DC81" s="1300">
        <f>IF('Sponsor Pro Forma'!$N25="Override",INDEX('Sponsor Pro Forma'!$O$16:$Z$34,MATCH('Monthly Cash Flow'!$B81,'Sponsor Pro Forma'!$B$16:$B$34,0),MATCH('Monthly Cash Flow'!DC$4,'Sponsor Pro Forma'!$O$15:$Z$15,0))/12,IF('Sponsor Pro Forma'!$L$42="Annual",'Monthly Cash Flow'!DB81*(1+'Sponsor Pro Forma'!$M25)^(IF(MOD(DC$5,12)=1,1,0)),'Monthly Cash Flow'!DB81*(1+'Sponsor Pro Forma'!$M25/12)))</f>
        <v>8093.823003963651</v>
      </c>
      <c r="DD81" s="1300">
        <f>IF('Sponsor Pro Forma'!$N25="Override",INDEX('Sponsor Pro Forma'!$O$16:$Z$34,MATCH('Monthly Cash Flow'!$B81,'Sponsor Pro Forma'!$B$16:$B$34,0),MATCH('Monthly Cash Flow'!DD$4,'Sponsor Pro Forma'!$O$15:$Z$15,0))/12,IF('Sponsor Pro Forma'!$L$42="Annual",'Monthly Cash Flow'!DC81*(1+'Sponsor Pro Forma'!$M25)^(IF(MOD(DD$5,12)=1,1,0)),'Monthly Cash Flow'!DC81*(1+'Sponsor Pro Forma'!$M25/12)))</f>
        <v>8093.823003963651</v>
      </c>
      <c r="DE81" s="1300">
        <f>IF('Sponsor Pro Forma'!$N25="Override",INDEX('Sponsor Pro Forma'!$O$16:$Z$34,MATCH('Monthly Cash Flow'!$B81,'Sponsor Pro Forma'!$B$16:$B$34,0),MATCH('Monthly Cash Flow'!DE$4,'Sponsor Pro Forma'!$O$15:$Z$15,0))/12,IF('Sponsor Pro Forma'!$L$42="Annual",'Monthly Cash Flow'!DD81*(1+'Sponsor Pro Forma'!$M25)^(IF(MOD(DE$5,12)=1,1,0)),'Monthly Cash Flow'!DD81*(1+'Sponsor Pro Forma'!$M25/12)))</f>
        <v>8093.823003963651</v>
      </c>
      <c r="DF81" s="1300">
        <f>IF('Sponsor Pro Forma'!$N25="Override",INDEX('Sponsor Pro Forma'!$O$16:$Z$34,MATCH('Monthly Cash Flow'!$B81,'Sponsor Pro Forma'!$B$16:$B$34,0),MATCH('Monthly Cash Flow'!DF$4,'Sponsor Pro Forma'!$O$15:$Z$15,0))/12,IF('Sponsor Pro Forma'!$L$42="Annual",'Monthly Cash Flow'!DE81*(1+'Sponsor Pro Forma'!$M25)^(IF(MOD(DF$5,12)=1,1,0)),'Monthly Cash Flow'!DE81*(1+'Sponsor Pro Forma'!$M25/12)))</f>
        <v>8093.823003963651</v>
      </c>
      <c r="DG81" s="1300">
        <f>IF('Sponsor Pro Forma'!$N25="Override",INDEX('Sponsor Pro Forma'!$O$16:$Z$34,MATCH('Monthly Cash Flow'!$B81,'Sponsor Pro Forma'!$B$16:$B$34,0),MATCH('Monthly Cash Flow'!DG$4,'Sponsor Pro Forma'!$O$15:$Z$15,0))/12,IF('Sponsor Pro Forma'!$L$42="Annual",'Monthly Cash Flow'!DF81*(1+'Sponsor Pro Forma'!$M25)^(IF(MOD(DG$5,12)=1,1,0)),'Monthly Cash Flow'!DF81*(1+'Sponsor Pro Forma'!$M25/12)))</f>
        <v>8093.823003963651</v>
      </c>
      <c r="DH81" s="1300">
        <f>IF('Sponsor Pro Forma'!$N25="Override",INDEX('Sponsor Pro Forma'!$O$16:$Z$34,MATCH('Monthly Cash Flow'!$B81,'Sponsor Pro Forma'!$B$16:$B$34,0),MATCH('Monthly Cash Flow'!DH$4,'Sponsor Pro Forma'!$O$15:$Z$15,0))/12,IF('Sponsor Pro Forma'!$L$42="Annual",'Monthly Cash Flow'!DG81*(1+'Sponsor Pro Forma'!$M25)^(IF(MOD(DH$5,12)=1,1,0)),'Monthly Cash Flow'!DG81*(1+'Sponsor Pro Forma'!$M25/12)))</f>
        <v>8093.823003963651</v>
      </c>
      <c r="DI81" s="1300">
        <f>IF('Sponsor Pro Forma'!$N25="Override",INDEX('Sponsor Pro Forma'!$O$16:$Z$34,MATCH('Monthly Cash Flow'!$B81,'Sponsor Pro Forma'!$B$16:$B$34,0),MATCH('Monthly Cash Flow'!DI$4,'Sponsor Pro Forma'!$O$15:$Z$15,0))/12,IF('Sponsor Pro Forma'!$L$42="Annual",'Monthly Cash Flow'!DH81*(1+'Sponsor Pro Forma'!$M25)^(IF(MOD(DI$5,12)=1,1,0)),'Monthly Cash Flow'!DH81*(1+'Sponsor Pro Forma'!$M25/12)))</f>
        <v>8255.6994640429239</v>
      </c>
      <c r="DJ81" s="1300">
        <f>IF('Sponsor Pro Forma'!$N25="Override",INDEX('Sponsor Pro Forma'!$O$16:$Z$34,MATCH('Monthly Cash Flow'!$B81,'Sponsor Pro Forma'!$B$16:$B$34,0),MATCH('Monthly Cash Flow'!DJ$4,'Sponsor Pro Forma'!$O$15:$Z$15,0))/12,IF('Sponsor Pro Forma'!$L$42="Annual",'Monthly Cash Flow'!DI81*(1+'Sponsor Pro Forma'!$M25)^(IF(MOD(DJ$5,12)=1,1,0)),'Monthly Cash Flow'!DI81*(1+'Sponsor Pro Forma'!$M25/12)))</f>
        <v>8255.6994640429239</v>
      </c>
      <c r="DK81" s="1300">
        <f>IF('Sponsor Pro Forma'!$N25="Override",INDEX('Sponsor Pro Forma'!$O$16:$Z$34,MATCH('Monthly Cash Flow'!$B81,'Sponsor Pro Forma'!$B$16:$B$34,0),MATCH('Monthly Cash Flow'!DK$4,'Sponsor Pro Forma'!$O$15:$Z$15,0))/12,IF('Sponsor Pro Forma'!$L$42="Annual",'Monthly Cash Flow'!DJ81*(1+'Sponsor Pro Forma'!$M25)^(IF(MOD(DK$5,12)=1,1,0)),'Monthly Cash Flow'!DJ81*(1+'Sponsor Pro Forma'!$M25/12)))</f>
        <v>8255.6994640429239</v>
      </c>
      <c r="DL81" s="1300">
        <f>IF('Sponsor Pro Forma'!$N25="Override",INDEX('Sponsor Pro Forma'!$O$16:$Z$34,MATCH('Monthly Cash Flow'!$B81,'Sponsor Pro Forma'!$B$16:$B$34,0),MATCH('Monthly Cash Flow'!DL$4,'Sponsor Pro Forma'!$O$15:$Z$15,0))/12,IF('Sponsor Pro Forma'!$L$42="Annual",'Monthly Cash Flow'!DK81*(1+'Sponsor Pro Forma'!$M25)^(IF(MOD(DL$5,12)=1,1,0)),'Monthly Cash Flow'!DK81*(1+'Sponsor Pro Forma'!$M25/12)))</f>
        <v>8255.6994640429239</v>
      </c>
      <c r="DM81" s="1300">
        <f>IF('Sponsor Pro Forma'!$N25="Override",INDEX('Sponsor Pro Forma'!$O$16:$Z$34,MATCH('Monthly Cash Flow'!$B81,'Sponsor Pro Forma'!$B$16:$B$34,0),MATCH('Monthly Cash Flow'!DM$4,'Sponsor Pro Forma'!$O$15:$Z$15,0))/12,IF('Sponsor Pro Forma'!$L$42="Annual",'Monthly Cash Flow'!DL81*(1+'Sponsor Pro Forma'!$M25)^(IF(MOD(DM$5,12)=1,1,0)),'Monthly Cash Flow'!DL81*(1+'Sponsor Pro Forma'!$M25/12)))</f>
        <v>8255.6994640429239</v>
      </c>
      <c r="DN81" s="1300">
        <f>IF('Sponsor Pro Forma'!$N25="Override",INDEX('Sponsor Pro Forma'!$O$16:$Z$34,MATCH('Monthly Cash Flow'!$B81,'Sponsor Pro Forma'!$B$16:$B$34,0),MATCH('Monthly Cash Flow'!DN$4,'Sponsor Pro Forma'!$O$15:$Z$15,0))/12,IF('Sponsor Pro Forma'!$L$42="Annual",'Monthly Cash Flow'!DM81*(1+'Sponsor Pro Forma'!$M25)^(IF(MOD(DN$5,12)=1,1,0)),'Monthly Cash Flow'!DM81*(1+'Sponsor Pro Forma'!$M25/12)))</f>
        <v>8255.6994640429239</v>
      </c>
      <c r="DO81" s="1300">
        <f>IF('Sponsor Pro Forma'!$N25="Override",INDEX('Sponsor Pro Forma'!$O$16:$Z$34,MATCH('Monthly Cash Flow'!$B81,'Sponsor Pro Forma'!$B$16:$B$34,0),MATCH('Monthly Cash Flow'!DO$4,'Sponsor Pro Forma'!$O$15:$Z$15,0))/12,IF('Sponsor Pro Forma'!$L$42="Annual",'Monthly Cash Flow'!DN81*(1+'Sponsor Pro Forma'!$M25)^(IF(MOD(DO$5,12)=1,1,0)),'Monthly Cash Flow'!DN81*(1+'Sponsor Pro Forma'!$M25/12)))</f>
        <v>8255.6994640429239</v>
      </c>
      <c r="DP81" s="1300">
        <f>IF('Sponsor Pro Forma'!$N25="Override",INDEX('Sponsor Pro Forma'!$O$16:$Z$34,MATCH('Monthly Cash Flow'!$B81,'Sponsor Pro Forma'!$B$16:$B$34,0),MATCH('Monthly Cash Flow'!DP$4,'Sponsor Pro Forma'!$O$15:$Z$15,0))/12,IF('Sponsor Pro Forma'!$L$42="Annual",'Monthly Cash Flow'!DO81*(1+'Sponsor Pro Forma'!$M25)^(IF(MOD(DP$5,12)=1,1,0)),'Monthly Cash Flow'!DO81*(1+'Sponsor Pro Forma'!$M25/12)))</f>
        <v>8255.6994640429239</v>
      </c>
      <c r="DQ81" s="1300">
        <f>IF('Sponsor Pro Forma'!$N25="Override",INDEX('Sponsor Pro Forma'!$O$16:$Z$34,MATCH('Monthly Cash Flow'!$B81,'Sponsor Pro Forma'!$B$16:$B$34,0),MATCH('Monthly Cash Flow'!DQ$4,'Sponsor Pro Forma'!$O$15:$Z$15,0))/12,IF('Sponsor Pro Forma'!$L$42="Annual",'Monthly Cash Flow'!DP81*(1+'Sponsor Pro Forma'!$M25)^(IF(MOD(DQ$5,12)=1,1,0)),'Monthly Cash Flow'!DP81*(1+'Sponsor Pro Forma'!$M25/12)))</f>
        <v>8255.6994640429239</v>
      </c>
      <c r="DR81" s="1300">
        <f>IF('Sponsor Pro Forma'!$N25="Override",INDEX('Sponsor Pro Forma'!$O$16:$Z$34,MATCH('Monthly Cash Flow'!$B81,'Sponsor Pro Forma'!$B$16:$B$34,0),MATCH('Monthly Cash Flow'!DR$4,'Sponsor Pro Forma'!$O$15:$Z$15,0))/12,IF('Sponsor Pro Forma'!$L$42="Annual",'Monthly Cash Flow'!DQ81*(1+'Sponsor Pro Forma'!$M25)^(IF(MOD(DR$5,12)=1,1,0)),'Monthly Cash Flow'!DQ81*(1+'Sponsor Pro Forma'!$M25/12)))</f>
        <v>8255.6994640429239</v>
      </c>
      <c r="DS81" s="1300">
        <f>IF('Sponsor Pro Forma'!$N25="Override",INDEX('Sponsor Pro Forma'!$O$16:$Z$34,MATCH('Monthly Cash Flow'!$B81,'Sponsor Pro Forma'!$B$16:$B$34,0),MATCH('Monthly Cash Flow'!DS$4,'Sponsor Pro Forma'!$O$15:$Z$15,0))/12,IF('Sponsor Pro Forma'!$L$42="Annual",'Monthly Cash Flow'!DR81*(1+'Sponsor Pro Forma'!$M25)^(IF(MOD(DS$5,12)=1,1,0)),'Monthly Cash Flow'!DR81*(1+'Sponsor Pro Forma'!$M25/12)))</f>
        <v>8255.6994640429239</v>
      </c>
      <c r="DT81" s="1300">
        <f>IF('Sponsor Pro Forma'!$N25="Override",INDEX('Sponsor Pro Forma'!$O$16:$Z$34,MATCH('Monthly Cash Flow'!$B81,'Sponsor Pro Forma'!$B$16:$B$34,0),MATCH('Monthly Cash Flow'!DT$4,'Sponsor Pro Forma'!$O$15:$Z$15,0))/12,IF('Sponsor Pro Forma'!$L$42="Annual",'Monthly Cash Flow'!DS81*(1+'Sponsor Pro Forma'!$M25)^(IF(MOD(DT$5,12)=1,1,0)),'Monthly Cash Flow'!DS81*(1+'Sponsor Pro Forma'!$M25/12)))</f>
        <v>8255.6994640429239</v>
      </c>
      <c r="DU81" s="1301" t="s">
        <v>557</v>
      </c>
      <c r="DV81" s="196"/>
    </row>
    <row r="82" spans="1:126" s="6" customFormat="1" ht="15" customHeight="1">
      <c r="A82" s="399">
        <v>9</v>
      </c>
      <c r="B82" s="203" t="str">
        <f>'Debt Sizing'!A27</f>
        <v>Payroll</v>
      </c>
      <c r="C82" s="397"/>
      <c r="D82" s="413">
        <f>IF('Sponsor Pro Forma'!$N26="Override",'Sponsor Pro Forma'!$O26/12,'Sponsor Pro Forma'!K26/12)</f>
        <v>44770</v>
      </c>
      <c r="E82" s="1303">
        <f t="shared" si="142"/>
        <v>44770</v>
      </c>
      <c r="F82" s="1300">
        <f>IF('Sponsor Pro Forma'!$N26="Override",INDEX('Sponsor Pro Forma'!$O$16:$Z$34,MATCH('Monthly Cash Flow'!$B82,'Sponsor Pro Forma'!$B$16:$B$34,0),MATCH('Monthly Cash Flow'!F$4,'Sponsor Pro Forma'!$O$15:$Z$15,0))/12,IF('Sponsor Pro Forma'!$L$42="Annual",'Monthly Cash Flow'!E82*(1+'Sponsor Pro Forma'!$M26)^(IF(MOD(F$5,12)=1,1,0)),'Monthly Cash Flow'!E82*(1+'Sponsor Pro Forma'!$M26/12)))</f>
        <v>44770</v>
      </c>
      <c r="G82" s="1300">
        <f>IF('Sponsor Pro Forma'!$N26="Override",INDEX('Sponsor Pro Forma'!$O$16:$Z$34,MATCH('Monthly Cash Flow'!$B82,'Sponsor Pro Forma'!$B$16:$B$34,0),MATCH('Monthly Cash Flow'!G$4,'Sponsor Pro Forma'!$O$15:$Z$15,0))/12,IF('Sponsor Pro Forma'!$L$42="Annual",'Monthly Cash Flow'!F82*(1+'Sponsor Pro Forma'!$M26)^(IF(MOD(G$5,12)=1,1,0)),'Monthly Cash Flow'!F82*(1+'Sponsor Pro Forma'!$M26/12)))</f>
        <v>44770</v>
      </c>
      <c r="H82" s="1300">
        <f>IF('Sponsor Pro Forma'!$N26="Override",INDEX('Sponsor Pro Forma'!$O$16:$Z$34,MATCH('Monthly Cash Flow'!$B82,'Sponsor Pro Forma'!$B$16:$B$34,0),MATCH('Monthly Cash Flow'!H$4,'Sponsor Pro Forma'!$O$15:$Z$15,0))/12,IF('Sponsor Pro Forma'!$L$42="Annual",'Monthly Cash Flow'!G82*(1+'Sponsor Pro Forma'!$M26)^(IF(MOD(H$5,12)=1,1,0)),'Monthly Cash Flow'!G82*(1+'Sponsor Pro Forma'!$M26/12)))</f>
        <v>44770</v>
      </c>
      <c r="I82" s="1300">
        <f>IF('Sponsor Pro Forma'!$N26="Override",INDEX('Sponsor Pro Forma'!$O$16:$Z$34,MATCH('Monthly Cash Flow'!$B82,'Sponsor Pro Forma'!$B$16:$B$34,0),MATCH('Monthly Cash Flow'!I$4,'Sponsor Pro Forma'!$O$15:$Z$15,0))/12,IF('Sponsor Pro Forma'!$L$42="Annual",'Monthly Cash Flow'!H82*(1+'Sponsor Pro Forma'!$M26)^(IF(MOD(I$5,12)=1,1,0)),'Monthly Cash Flow'!H82*(1+'Sponsor Pro Forma'!$M26/12)))</f>
        <v>44770</v>
      </c>
      <c r="J82" s="1300">
        <f>IF('Sponsor Pro Forma'!$N26="Override",INDEX('Sponsor Pro Forma'!$O$16:$Z$34,MATCH('Monthly Cash Flow'!$B82,'Sponsor Pro Forma'!$B$16:$B$34,0),MATCH('Monthly Cash Flow'!J$4,'Sponsor Pro Forma'!$O$15:$Z$15,0))/12,IF('Sponsor Pro Forma'!$L$42="Annual",'Monthly Cash Flow'!I82*(1+'Sponsor Pro Forma'!$M26)^(IF(MOD(J$5,12)=1,1,0)),'Monthly Cash Flow'!I82*(1+'Sponsor Pro Forma'!$M26/12)))</f>
        <v>44770</v>
      </c>
      <c r="K82" s="1300">
        <f>IF('Sponsor Pro Forma'!$N26="Override",INDEX('Sponsor Pro Forma'!$O$16:$Z$34,MATCH('Monthly Cash Flow'!$B82,'Sponsor Pro Forma'!$B$16:$B$34,0),MATCH('Monthly Cash Flow'!K$4,'Sponsor Pro Forma'!$O$15:$Z$15,0))/12,IF('Sponsor Pro Forma'!$L$42="Annual",'Monthly Cash Flow'!J82*(1+'Sponsor Pro Forma'!$M26)^(IF(MOD(K$5,12)=1,1,0)),'Monthly Cash Flow'!J82*(1+'Sponsor Pro Forma'!$M26/12)))</f>
        <v>44770</v>
      </c>
      <c r="L82" s="1300">
        <f>IF('Sponsor Pro Forma'!$N26="Override",INDEX('Sponsor Pro Forma'!$O$16:$Z$34,MATCH('Monthly Cash Flow'!$B82,'Sponsor Pro Forma'!$B$16:$B$34,0),MATCH('Monthly Cash Flow'!L$4,'Sponsor Pro Forma'!$O$15:$Z$15,0))/12,IF('Sponsor Pro Forma'!$L$42="Annual",'Monthly Cash Flow'!K82*(1+'Sponsor Pro Forma'!$M26)^(IF(MOD(L$5,12)=1,1,0)),'Monthly Cash Flow'!K82*(1+'Sponsor Pro Forma'!$M26/12)))</f>
        <v>44770</v>
      </c>
      <c r="M82" s="1300">
        <f>IF('Sponsor Pro Forma'!$N26="Override",INDEX('Sponsor Pro Forma'!$O$16:$Z$34,MATCH('Monthly Cash Flow'!$B82,'Sponsor Pro Forma'!$B$16:$B$34,0),MATCH('Monthly Cash Flow'!M$4,'Sponsor Pro Forma'!$O$15:$Z$15,0))/12,IF('Sponsor Pro Forma'!$L$42="Annual",'Monthly Cash Flow'!L82*(1+'Sponsor Pro Forma'!$M26)^(IF(MOD(M$5,12)=1,1,0)),'Monthly Cash Flow'!L82*(1+'Sponsor Pro Forma'!$M26/12)))</f>
        <v>44770</v>
      </c>
      <c r="N82" s="1300">
        <f>IF('Sponsor Pro Forma'!$N26="Override",INDEX('Sponsor Pro Forma'!$O$16:$Z$34,MATCH('Monthly Cash Flow'!$B82,'Sponsor Pro Forma'!$B$16:$B$34,0),MATCH('Monthly Cash Flow'!N$4,'Sponsor Pro Forma'!$O$15:$Z$15,0))/12,IF('Sponsor Pro Forma'!$L$42="Annual",'Monthly Cash Flow'!M82*(1+'Sponsor Pro Forma'!$M26)^(IF(MOD(N$5,12)=1,1,0)),'Monthly Cash Flow'!M82*(1+'Sponsor Pro Forma'!$M26/12)))</f>
        <v>44770</v>
      </c>
      <c r="O82" s="1300">
        <f>IF('Sponsor Pro Forma'!$N26="Override",INDEX('Sponsor Pro Forma'!$O$16:$Z$34,MATCH('Monthly Cash Flow'!$B82,'Sponsor Pro Forma'!$B$16:$B$34,0),MATCH('Monthly Cash Flow'!O$4,'Sponsor Pro Forma'!$O$15:$Z$15,0))/12,IF('Sponsor Pro Forma'!$L$42="Annual",'Monthly Cash Flow'!N82*(1+'Sponsor Pro Forma'!$M26)^(IF(MOD(O$5,12)=1,1,0)),'Monthly Cash Flow'!N82*(1+'Sponsor Pro Forma'!$M26/12)))</f>
        <v>44770</v>
      </c>
      <c r="P82" s="1300">
        <f>IF('Sponsor Pro Forma'!$N26="Override",INDEX('Sponsor Pro Forma'!$O$16:$Z$34,MATCH('Monthly Cash Flow'!$B82,'Sponsor Pro Forma'!$B$16:$B$34,0),MATCH('Monthly Cash Flow'!P$4,'Sponsor Pro Forma'!$O$15:$Z$15,0))/12,IF('Sponsor Pro Forma'!$L$42="Annual",'Monthly Cash Flow'!O82*(1+'Sponsor Pro Forma'!$M26)^(IF(MOD(P$5,12)=1,1,0)),'Monthly Cash Flow'!O82*(1+'Sponsor Pro Forma'!$M26/12)))</f>
        <v>44770</v>
      </c>
      <c r="Q82" s="1300">
        <f>IF('Sponsor Pro Forma'!$N26="Override",INDEX('Sponsor Pro Forma'!$O$16:$Z$34,MATCH('Monthly Cash Flow'!$B82,'Sponsor Pro Forma'!$B$16:$B$34,0),MATCH('Monthly Cash Flow'!Q$4,'Sponsor Pro Forma'!$O$15:$Z$15,0))/12,IF('Sponsor Pro Forma'!$L$42="Annual",'Monthly Cash Flow'!P82*(1+'Sponsor Pro Forma'!$M26)^(IF(MOD(Q$5,12)=1,1,0)),'Monthly Cash Flow'!P82*(1+'Sponsor Pro Forma'!$M26/12)))</f>
        <v>45665.4</v>
      </c>
      <c r="R82" s="1300">
        <f>IF('Sponsor Pro Forma'!$N26="Override",INDEX('Sponsor Pro Forma'!$O$16:$Z$34,MATCH('Monthly Cash Flow'!$B82,'Sponsor Pro Forma'!$B$16:$B$34,0),MATCH('Monthly Cash Flow'!R$4,'Sponsor Pro Forma'!$O$15:$Z$15,0))/12,IF('Sponsor Pro Forma'!$L$42="Annual",'Monthly Cash Flow'!Q82*(1+'Sponsor Pro Forma'!$M26)^(IF(MOD(R$5,12)=1,1,0)),'Monthly Cash Flow'!Q82*(1+'Sponsor Pro Forma'!$M26/12)))</f>
        <v>45665.4</v>
      </c>
      <c r="S82" s="1300">
        <f>IF('Sponsor Pro Forma'!$N26="Override",INDEX('Sponsor Pro Forma'!$O$16:$Z$34,MATCH('Monthly Cash Flow'!$B82,'Sponsor Pro Forma'!$B$16:$B$34,0),MATCH('Monthly Cash Flow'!S$4,'Sponsor Pro Forma'!$O$15:$Z$15,0))/12,IF('Sponsor Pro Forma'!$L$42="Annual",'Monthly Cash Flow'!R82*(1+'Sponsor Pro Forma'!$M26)^(IF(MOD(S$5,12)=1,1,0)),'Monthly Cash Flow'!R82*(1+'Sponsor Pro Forma'!$M26/12)))</f>
        <v>45665.4</v>
      </c>
      <c r="T82" s="1300">
        <f>IF('Sponsor Pro Forma'!$N26="Override",INDEX('Sponsor Pro Forma'!$O$16:$Z$34,MATCH('Monthly Cash Flow'!$B82,'Sponsor Pro Forma'!$B$16:$B$34,0),MATCH('Monthly Cash Flow'!T$4,'Sponsor Pro Forma'!$O$15:$Z$15,0))/12,IF('Sponsor Pro Forma'!$L$42="Annual",'Monthly Cash Flow'!S82*(1+'Sponsor Pro Forma'!$M26)^(IF(MOD(T$5,12)=1,1,0)),'Monthly Cash Flow'!S82*(1+'Sponsor Pro Forma'!$M26/12)))</f>
        <v>45665.4</v>
      </c>
      <c r="U82" s="1300">
        <f>IF('Sponsor Pro Forma'!$N26="Override",INDEX('Sponsor Pro Forma'!$O$16:$Z$34,MATCH('Monthly Cash Flow'!$B82,'Sponsor Pro Forma'!$B$16:$B$34,0),MATCH('Monthly Cash Flow'!U$4,'Sponsor Pro Forma'!$O$15:$Z$15,0))/12,IF('Sponsor Pro Forma'!$L$42="Annual",'Monthly Cash Flow'!T82*(1+'Sponsor Pro Forma'!$M26)^(IF(MOD(U$5,12)=1,1,0)),'Monthly Cash Flow'!T82*(1+'Sponsor Pro Forma'!$M26/12)))</f>
        <v>45665.4</v>
      </c>
      <c r="V82" s="1300">
        <f>IF('Sponsor Pro Forma'!$N26="Override",INDEX('Sponsor Pro Forma'!$O$16:$Z$34,MATCH('Monthly Cash Flow'!$B82,'Sponsor Pro Forma'!$B$16:$B$34,0),MATCH('Monthly Cash Flow'!V$4,'Sponsor Pro Forma'!$O$15:$Z$15,0))/12,IF('Sponsor Pro Forma'!$L$42="Annual",'Monthly Cash Flow'!U82*(1+'Sponsor Pro Forma'!$M26)^(IF(MOD(V$5,12)=1,1,0)),'Monthly Cash Flow'!U82*(1+'Sponsor Pro Forma'!$M26/12)))</f>
        <v>45665.4</v>
      </c>
      <c r="W82" s="1300">
        <f>IF('Sponsor Pro Forma'!$N26="Override",INDEX('Sponsor Pro Forma'!$O$16:$Z$34,MATCH('Monthly Cash Flow'!$B82,'Sponsor Pro Forma'!$B$16:$B$34,0),MATCH('Monthly Cash Flow'!W$4,'Sponsor Pro Forma'!$O$15:$Z$15,0))/12,IF('Sponsor Pro Forma'!$L$42="Annual",'Monthly Cash Flow'!V82*(1+'Sponsor Pro Forma'!$M26)^(IF(MOD(W$5,12)=1,1,0)),'Monthly Cash Flow'!V82*(1+'Sponsor Pro Forma'!$M26/12)))</f>
        <v>45665.4</v>
      </c>
      <c r="X82" s="1300">
        <f>IF('Sponsor Pro Forma'!$N26="Override",INDEX('Sponsor Pro Forma'!$O$16:$Z$34,MATCH('Monthly Cash Flow'!$B82,'Sponsor Pro Forma'!$B$16:$B$34,0),MATCH('Monthly Cash Flow'!X$4,'Sponsor Pro Forma'!$O$15:$Z$15,0))/12,IF('Sponsor Pro Forma'!$L$42="Annual",'Monthly Cash Flow'!W82*(1+'Sponsor Pro Forma'!$M26)^(IF(MOD(X$5,12)=1,1,0)),'Monthly Cash Flow'!W82*(1+'Sponsor Pro Forma'!$M26/12)))</f>
        <v>45665.4</v>
      </c>
      <c r="Y82" s="1300">
        <f>IF('Sponsor Pro Forma'!$N26="Override",INDEX('Sponsor Pro Forma'!$O$16:$Z$34,MATCH('Monthly Cash Flow'!$B82,'Sponsor Pro Forma'!$B$16:$B$34,0),MATCH('Monthly Cash Flow'!Y$4,'Sponsor Pro Forma'!$O$15:$Z$15,0))/12,IF('Sponsor Pro Forma'!$L$42="Annual",'Monthly Cash Flow'!X82*(1+'Sponsor Pro Forma'!$M26)^(IF(MOD(Y$5,12)=1,1,0)),'Monthly Cash Flow'!X82*(1+'Sponsor Pro Forma'!$M26/12)))</f>
        <v>45665.4</v>
      </c>
      <c r="Z82" s="1300">
        <f>IF('Sponsor Pro Forma'!$N26="Override",INDEX('Sponsor Pro Forma'!$O$16:$Z$34,MATCH('Monthly Cash Flow'!$B82,'Sponsor Pro Forma'!$B$16:$B$34,0),MATCH('Monthly Cash Flow'!Z$4,'Sponsor Pro Forma'!$O$15:$Z$15,0))/12,IF('Sponsor Pro Forma'!$L$42="Annual",'Monthly Cash Flow'!Y82*(1+'Sponsor Pro Forma'!$M26)^(IF(MOD(Z$5,12)=1,1,0)),'Monthly Cash Flow'!Y82*(1+'Sponsor Pro Forma'!$M26/12)))</f>
        <v>45665.4</v>
      </c>
      <c r="AA82" s="1300">
        <f>IF('Sponsor Pro Forma'!$N26="Override",INDEX('Sponsor Pro Forma'!$O$16:$Z$34,MATCH('Monthly Cash Flow'!$B82,'Sponsor Pro Forma'!$B$16:$B$34,0),MATCH('Monthly Cash Flow'!AA$4,'Sponsor Pro Forma'!$O$15:$Z$15,0))/12,IF('Sponsor Pro Forma'!$L$42="Annual",'Monthly Cash Flow'!Z82*(1+'Sponsor Pro Forma'!$M26)^(IF(MOD(AA$5,12)=1,1,0)),'Monthly Cash Flow'!Z82*(1+'Sponsor Pro Forma'!$M26/12)))</f>
        <v>45665.4</v>
      </c>
      <c r="AB82" s="1300">
        <f>IF('Sponsor Pro Forma'!$N26="Override",INDEX('Sponsor Pro Forma'!$O$16:$Z$34,MATCH('Monthly Cash Flow'!$B82,'Sponsor Pro Forma'!$B$16:$B$34,0),MATCH('Monthly Cash Flow'!AB$4,'Sponsor Pro Forma'!$O$15:$Z$15,0))/12,IF('Sponsor Pro Forma'!$L$42="Annual",'Monthly Cash Flow'!AA82*(1+'Sponsor Pro Forma'!$M26)^(IF(MOD(AB$5,12)=1,1,0)),'Monthly Cash Flow'!AA82*(1+'Sponsor Pro Forma'!$M26/12)))</f>
        <v>45665.4</v>
      </c>
      <c r="AC82" s="1300">
        <f>IF('Sponsor Pro Forma'!$N26="Override",INDEX('Sponsor Pro Forma'!$O$16:$Z$34,MATCH('Monthly Cash Flow'!$B82,'Sponsor Pro Forma'!$B$16:$B$34,0),MATCH('Monthly Cash Flow'!AC$4,'Sponsor Pro Forma'!$O$15:$Z$15,0))/12,IF('Sponsor Pro Forma'!$L$42="Annual",'Monthly Cash Flow'!AB82*(1+'Sponsor Pro Forma'!$M26)^(IF(MOD(AC$5,12)=1,1,0)),'Monthly Cash Flow'!AB82*(1+'Sponsor Pro Forma'!$M26/12)))</f>
        <v>46578.708000000006</v>
      </c>
      <c r="AD82" s="1300">
        <f>IF('Sponsor Pro Forma'!$N26="Override",INDEX('Sponsor Pro Forma'!$O$16:$Z$34,MATCH('Monthly Cash Flow'!$B82,'Sponsor Pro Forma'!$B$16:$B$34,0),MATCH('Monthly Cash Flow'!AD$4,'Sponsor Pro Forma'!$O$15:$Z$15,0))/12,IF('Sponsor Pro Forma'!$L$42="Annual",'Monthly Cash Flow'!AC82*(1+'Sponsor Pro Forma'!$M26)^(IF(MOD(AD$5,12)=1,1,0)),'Monthly Cash Flow'!AC82*(1+'Sponsor Pro Forma'!$M26/12)))</f>
        <v>46578.708000000006</v>
      </c>
      <c r="AE82" s="1300">
        <f>IF('Sponsor Pro Forma'!$N26="Override",INDEX('Sponsor Pro Forma'!$O$16:$Z$34,MATCH('Monthly Cash Flow'!$B82,'Sponsor Pro Forma'!$B$16:$B$34,0),MATCH('Monthly Cash Flow'!AE$4,'Sponsor Pro Forma'!$O$15:$Z$15,0))/12,IF('Sponsor Pro Forma'!$L$42="Annual",'Monthly Cash Flow'!AD82*(1+'Sponsor Pro Forma'!$M26)^(IF(MOD(AE$5,12)=1,1,0)),'Monthly Cash Flow'!AD82*(1+'Sponsor Pro Forma'!$M26/12)))</f>
        <v>46578.708000000006</v>
      </c>
      <c r="AF82" s="1300">
        <f>IF('Sponsor Pro Forma'!$N26="Override",INDEX('Sponsor Pro Forma'!$O$16:$Z$34,MATCH('Monthly Cash Flow'!$B82,'Sponsor Pro Forma'!$B$16:$B$34,0),MATCH('Monthly Cash Flow'!AF$4,'Sponsor Pro Forma'!$O$15:$Z$15,0))/12,IF('Sponsor Pro Forma'!$L$42="Annual",'Monthly Cash Flow'!AE82*(1+'Sponsor Pro Forma'!$M26)^(IF(MOD(AF$5,12)=1,1,0)),'Monthly Cash Flow'!AE82*(1+'Sponsor Pro Forma'!$M26/12)))</f>
        <v>46578.708000000006</v>
      </c>
      <c r="AG82" s="1300">
        <f>IF('Sponsor Pro Forma'!$N26="Override",INDEX('Sponsor Pro Forma'!$O$16:$Z$34,MATCH('Monthly Cash Flow'!$B82,'Sponsor Pro Forma'!$B$16:$B$34,0),MATCH('Monthly Cash Flow'!AG$4,'Sponsor Pro Forma'!$O$15:$Z$15,0))/12,IF('Sponsor Pro Forma'!$L$42="Annual",'Monthly Cash Flow'!AF82*(1+'Sponsor Pro Forma'!$M26)^(IF(MOD(AG$5,12)=1,1,0)),'Monthly Cash Flow'!AF82*(1+'Sponsor Pro Forma'!$M26/12)))</f>
        <v>46578.708000000006</v>
      </c>
      <c r="AH82" s="1300">
        <f>IF('Sponsor Pro Forma'!$N26="Override",INDEX('Sponsor Pro Forma'!$O$16:$Z$34,MATCH('Monthly Cash Flow'!$B82,'Sponsor Pro Forma'!$B$16:$B$34,0),MATCH('Monthly Cash Flow'!AH$4,'Sponsor Pro Forma'!$O$15:$Z$15,0))/12,IF('Sponsor Pro Forma'!$L$42="Annual",'Monthly Cash Flow'!AG82*(1+'Sponsor Pro Forma'!$M26)^(IF(MOD(AH$5,12)=1,1,0)),'Monthly Cash Flow'!AG82*(1+'Sponsor Pro Forma'!$M26/12)))</f>
        <v>46578.708000000006</v>
      </c>
      <c r="AI82" s="1300">
        <f>IF('Sponsor Pro Forma'!$N26="Override",INDEX('Sponsor Pro Forma'!$O$16:$Z$34,MATCH('Monthly Cash Flow'!$B82,'Sponsor Pro Forma'!$B$16:$B$34,0),MATCH('Monthly Cash Flow'!AI$4,'Sponsor Pro Forma'!$O$15:$Z$15,0))/12,IF('Sponsor Pro Forma'!$L$42="Annual",'Monthly Cash Flow'!AH82*(1+'Sponsor Pro Forma'!$M26)^(IF(MOD(AI$5,12)=1,1,0)),'Monthly Cash Flow'!AH82*(1+'Sponsor Pro Forma'!$M26/12)))</f>
        <v>46578.708000000006</v>
      </c>
      <c r="AJ82" s="1300">
        <f>IF('Sponsor Pro Forma'!$N26="Override",INDEX('Sponsor Pro Forma'!$O$16:$Z$34,MATCH('Monthly Cash Flow'!$B82,'Sponsor Pro Forma'!$B$16:$B$34,0),MATCH('Monthly Cash Flow'!AJ$4,'Sponsor Pro Forma'!$O$15:$Z$15,0))/12,IF('Sponsor Pro Forma'!$L$42="Annual",'Monthly Cash Flow'!AI82*(1+'Sponsor Pro Forma'!$M26)^(IF(MOD(AJ$5,12)=1,1,0)),'Monthly Cash Flow'!AI82*(1+'Sponsor Pro Forma'!$M26/12)))</f>
        <v>46578.708000000006</v>
      </c>
      <c r="AK82" s="1300">
        <f>IF('Sponsor Pro Forma'!$N26="Override",INDEX('Sponsor Pro Forma'!$O$16:$Z$34,MATCH('Monthly Cash Flow'!$B82,'Sponsor Pro Forma'!$B$16:$B$34,0),MATCH('Monthly Cash Flow'!AK$4,'Sponsor Pro Forma'!$O$15:$Z$15,0))/12,IF('Sponsor Pro Forma'!$L$42="Annual",'Monthly Cash Flow'!AJ82*(1+'Sponsor Pro Forma'!$M26)^(IF(MOD(AK$5,12)=1,1,0)),'Monthly Cash Flow'!AJ82*(1+'Sponsor Pro Forma'!$M26/12)))</f>
        <v>46578.708000000006</v>
      </c>
      <c r="AL82" s="1300">
        <f>IF('Sponsor Pro Forma'!$N26="Override",INDEX('Sponsor Pro Forma'!$O$16:$Z$34,MATCH('Monthly Cash Flow'!$B82,'Sponsor Pro Forma'!$B$16:$B$34,0),MATCH('Monthly Cash Flow'!AL$4,'Sponsor Pro Forma'!$O$15:$Z$15,0))/12,IF('Sponsor Pro Forma'!$L$42="Annual",'Monthly Cash Flow'!AK82*(1+'Sponsor Pro Forma'!$M26)^(IF(MOD(AL$5,12)=1,1,0)),'Monthly Cash Flow'!AK82*(1+'Sponsor Pro Forma'!$M26/12)))</f>
        <v>46578.708000000006</v>
      </c>
      <c r="AM82" s="1300">
        <f>IF('Sponsor Pro Forma'!$N26="Override",INDEX('Sponsor Pro Forma'!$O$16:$Z$34,MATCH('Monthly Cash Flow'!$B82,'Sponsor Pro Forma'!$B$16:$B$34,0),MATCH('Monthly Cash Flow'!AM$4,'Sponsor Pro Forma'!$O$15:$Z$15,0))/12,IF('Sponsor Pro Forma'!$L$42="Annual",'Monthly Cash Flow'!AL82*(1+'Sponsor Pro Forma'!$M26)^(IF(MOD(AM$5,12)=1,1,0)),'Monthly Cash Flow'!AL82*(1+'Sponsor Pro Forma'!$M26/12)))</f>
        <v>46578.708000000006</v>
      </c>
      <c r="AN82" s="1300">
        <f>IF('Sponsor Pro Forma'!$N26="Override",INDEX('Sponsor Pro Forma'!$O$16:$Z$34,MATCH('Monthly Cash Flow'!$B82,'Sponsor Pro Forma'!$B$16:$B$34,0),MATCH('Monthly Cash Flow'!AN$4,'Sponsor Pro Forma'!$O$15:$Z$15,0))/12,IF('Sponsor Pro Forma'!$L$42="Annual",'Monthly Cash Flow'!AM82*(1+'Sponsor Pro Forma'!$M26)^(IF(MOD(AN$5,12)=1,1,0)),'Monthly Cash Flow'!AM82*(1+'Sponsor Pro Forma'!$M26/12)))</f>
        <v>46578.708000000006</v>
      </c>
      <c r="AO82" s="1300">
        <f>IF('Sponsor Pro Forma'!$N26="Override",INDEX('Sponsor Pro Forma'!$O$16:$Z$34,MATCH('Monthly Cash Flow'!$B82,'Sponsor Pro Forma'!$B$16:$B$34,0),MATCH('Monthly Cash Flow'!AO$4,'Sponsor Pro Forma'!$O$15:$Z$15,0))/12,IF('Sponsor Pro Forma'!$L$42="Annual",'Monthly Cash Flow'!AN82*(1+'Sponsor Pro Forma'!$M26)^(IF(MOD(AO$5,12)=1,1,0)),'Monthly Cash Flow'!AN82*(1+'Sponsor Pro Forma'!$M26/12)))</f>
        <v>47510.282160000002</v>
      </c>
      <c r="AP82" s="1300">
        <f>IF('Sponsor Pro Forma'!$N26="Override",INDEX('Sponsor Pro Forma'!$O$16:$Z$34,MATCH('Monthly Cash Flow'!$B82,'Sponsor Pro Forma'!$B$16:$B$34,0),MATCH('Monthly Cash Flow'!AP$4,'Sponsor Pro Forma'!$O$15:$Z$15,0))/12,IF('Sponsor Pro Forma'!$L$42="Annual",'Monthly Cash Flow'!AO82*(1+'Sponsor Pro Forma'!$M26)^(IF(MOD(AP$5,12)=1,1,0)),'Monthly Cash Flow'!AO82*(1+'Sponsor Pro Forma'!$M26/12)))</f>
        <v>47510.282160000002</v>
      </c>
      <c r="AQ82" s="1300">
        <f>IF('Sponsor Pro Forma'!$N26="Override",INDEX('Sponsor Pro Forma'!$O$16:$Z$34,MATCH('Monthly Cash Flow'!$B82,'Sponsor Pro Forma'!$B$16:$B$34,0),MATCH('Monthly Cash Flow'!AQ$4,'Sponsor Pro Forma'!$O$15:$Z$15,0))/12,IF('Sponsor Pro Forma'!$L$42="Annual",'Monthly Cash Flow'!AP82*(1+'Sponsor Pro Forma'!$M26)^(IF(MOD(AQ$5,12)=1,1,0)),'Monthly Cash Flow'!AP82*(1+'Sponsor Pro Forma'!$M26/12)))</f>
        <v>47510.282160000002</v>
      </c>
      <c r="AR82" s="1300">
        <f>IF('Sponsor Pro Forma'!$N26="Override",INDEX('Sponsor Pro Forma'!$O$16:$Z$34,MATCH('Monthly Cash Flow'!$B82,'Sponsor Pro Forma'!$B$16:$B$34,0),MATCH('Monthly Cash Flow'!AR$4,'Sponsor Pro Forma'!$O$15:$Z$15,0))/12,IF('Sponsor Pro Forma'!$L$42="Annual",'Monthly Cash Flow'!AQ82*(1+'Sponsor Pro Forma'!$M26)^(IF(MOD(AR$5,12)=1,1,0)),'Monthly Cash Flow'!AQ82*(1+'Sponsor Pro Forma'!$M26/12)))</f>
        <v>47510.282160000002</v>
      </c>
      <c r="AS82" s="1300">
        <f>IF('Sponsor Pro Forma'!$N26="Override",INDEX('Sponsor Pro Forma'!$O$16:$Z$34,MATCH('Monthly Cash Flow'!$B82,'Sponsor Pro Forma'!$B$16:$B$34,0),MATCH('Monthly Cash Flow'!AS$4,'Sponsor Pro Forma'!$O$15:$Z$15,0))/12,IF('Sponsor Pro Forma'!$L$42="Annual",'Monthly Cash Flow'!AR82*(1+'Sponsor Pro Forma'!$M26)^(IF(MOD(AS$5,12)=1,1,0)),'Monthly Cash Flow'!AR82*(1+'Sponsor Pro Forma'!$M26/12)))</f>
        <v>47510.282160000002</v>
      </c>
      <c r="AT82" s="1300">
        <f>IF('Sponsor Pro Forma'!$N26="Override",INDEX('Sponsor Pro Forma'!$O$16:$Z$34,MATCH('Monthly Cash Flow'!$B82,'Sponsor Pro Forma'!$B$16:$B$34,0),MATCH('Monthly Cash Flow'!AT$4,'Sponsor Pro Forma'!$O$15:$Z$15,0))/12,IF('Sponsor Pro Forma'!$L$42="Annual",'Monthly Cash Flow'!AS82*(1+'Sponsor Pro Forma'!$M26)^(IF(MOD(AT$5,12)=1,1,0)),'Monthly Cash Flow'!AS82*(1+'Sponsor Pro Forma'!$M26/12)))</f>
        <v>47510.282160000002</v>
      </c>
      <c r="AU82" s="1300">
        <f>IF('Sponsor Pro Forma'!$N26="Override",INDEX('Sponsor Pro Forma'!$O$16:$Z$34,MATCH('Monthly Cash Flow'!$B82,'Sponsor Pro Forma'!$B$16:$B$34,0),MATCH('Monthly Cash Flow'!AU$4,'Sponsor Pro Forma'!$O$15:$Z$15,0))/12,IF('Sponsor Pro Forma'!$L$42="Annual",'Monthly Cash Flow'!AT82*(1+'Sponsor Pro Forma'!$M26)^(IF(MOD(AU$5,12)=1,1,0)),'Monthly Cash Flow'!AT82*(1+'Sponsor Pro Forma'!$M26/12)))</f>
        <v>47510.282160000002</v>
      </c>
      <c r="AV82" s="1300">
        <f>IF('Sponsor Pro Forma'!$N26="Override",INDEX('Sponsor Pro Forma'!$O$16:$Z$34,MATCH('Monthly Cash Flow'!$B82,'Sponsor Pro Forma'!$B$16:$B$34,0),MATCH('Monthly Cash Flow'!AV$4,'Sponsor Pro Forma'!$O$15:$Z$15,0))/12,IF('Sponsor Pro Forma'!$L$42="Annual",'Monthly Cash Flow'!AU82*(1+'Sponsor Pro Forma'!$M26)^(IF(MOD(AV$5,12)=1,1,0)),'Monthly Cash Flow'!AU82*(1+'Sponsor Pro Forma'!$M26/12)))</f>
        <v>47510.282160000002</v>
      </c>
      <c r="AW82" s="1300">
        <f>IF('Sponsor Pro Forma'!$N26="Override",INDEX('Sponsor Pro Forma'!$O$16:$Z$34,MATCH('Monthly Cash Flow'!$B82,'Sponsor Pro Forma'!$B$16:$B$34,0),MATCH('Monthly Cash Flow'!AW$4,'Sponsor Pro Forma'!$O$15:$Z$15,0))/12,IF('Sponsor Pro Forma'!$L$42="Annual",'Monthly Cash Flow'!AV82*(1+'Sponsor Pro Forma'!$M26)^(IF(MOD(AW$5,12)=1,1,0)),'Monthly Cash Flow'!AV82*(1+'Sponsor Pro Forma'!$M26/12)))</f>
        <v>47510.282160000002</v>
      </c>
      <c r="AX82" s="1300">
        <f>IF('Sponsor Pro Forma'!$N26="Override",INDEX('Sponsor Pro Forma'!$O$16:$Z$34,MATCH('Monthly Cash Flow'!$B82,'Sponsor Pro Forma'!$B$16:$B$34,0),MATCH('Monthly Cash Flow'!AX$4,'Sponsor Pro Forma'!$O$15:$Z$15,0))/12,IF('Sponsor Pro Forma'!$L$42="Annual",'Monthly Cash Flow'!AW82*(1+'Sponsor Pro Forma'!$M26)^(IF(MOD(AX$5,12)=1,1,0)),'Monthly Cash Flow'!AW82*(1+'Sponsor Pro Forma'!$M26/12)))</f>
        <v>47510.282160000002</v>
      </c>
      <c r="AY82" s="1300">
        <f>IF('Sponsor Pro Forma'!$N26="Override",INDEX('Sponsor Pro Forma'!$O$16:$Z$34,MATCH('Monthly Cash Flow'!$B82,'Sponsor Pro Forma'!$B$16:$B$34,0),MATCH('Monthly Cash Flow'!AY$4,'Sponsor Pro Forma'!$O$15:$Z$15,0))/12,IF('Sponsor Pro Forma'!$L$42="Annual",'Monthly Cash Flow'!AX82*(1+'Sponsor Pro Forma'!$M26)^(IF(MOD(AY$5,12)=1,1,0)),'Monthly Cash Flow'!AX82*(1+'Sponsor Pro Forma'!$M26/12)))</f>
        <v>47510.282160000002</v>
      </c>
      <c r="AZ82" s="1300">
        <f>IF('Sponsor Pro Forma'!$N26="Override",INDEX('Sponsor Pro Forma'!$O$16:$Z$34,MATCH('Monthly Cash Flow'!$B82,'Sponsor Pro Forma'!$B$16:$B$34,0),MATCH('Monthly Cash Flow'!AZ$4,'Sponsor Pro Forma'!$O$15:$Z$15,0))/12,IF('Sponsor Pro Forma'!$L$42="Annual",'Monthly Cash Flow'!AY82*(1+'Sponsor Pro Forma'!$M26)^(IF(MOD(AZ$5,12)=1,1,0)),'Monthly Cash Flow'!AY82*(1+'Sponsor Pro Forma'!$M26/12)))</f>
        <v>47510.282160000002</v>
      </c>
      <c r="BA82" s="1300">
        <f>IF('Sponsor Pro Forma'!$N26="Override",INDEX('Sponsor Pro Forma'!$O$16:$Z$34,MATCH('Monthly Cash Flow'!$B82,'Sponsor Pro Forma'!$B$16:$B$34,0),MATCH('Monthly Cash Flow'!BA$4,'Sponsor Pro Forma'!$O$15:$Z$15,0))/12,IF('Sponsor Pro Forma'!$L$42="Annual",'Monthly Cash Flow'!AZ82*(1+'Sponsor Pro Forma'!$M26)^(IF(MOD(BA$5,12)=1,1,0)),'Monthly Cash Flow'!AZ82*(1+'Sponsor Pro Forma'!$M26/12)))</f>
        <v>48460.487803200005</v>
      </c>
      <c r="BB82" s="1300">
        <f>IF('Sponsor Pro Forma'!$N26="Override",INDEX('Sponsor Pro Forma'!$O$16:$Z$34,MATCH('Monthly Cash Flow'!$B82,'Sponsor Pro Forma'!$B$16:$B$34,0),MATCH('Monthly Cash Flow'!BB$4,'Sponsor Pro Forma'!$O$15:$Z$15,0))/12,IF('Sponsor Pro Forma'!$L$42="Annual",'Monthly Cash Flow'!BA82*(1+'Sponsor Pro Forma'!$M26)^(IF(MOD(BB$5,12)=1,1,0)),'Monthly Cash Flow'!BA82*(1+'Sponsor Pro Forma'!$M26/12)))</f>
        <v>48460.487803200005</v>
      </c>
      <c r="BC82" s="1300">
        <f>IF('Sponsor Pro Forma'!$N26="Override",INDEX('Sponsor Pro Forma'!$O$16:$Z$34,MATCH('Monthly Cash Flow'!$B82,'Sponsor Pro Forma'!$B$16:$B$34,0),MATCH('Monthly Cash Flow'!BC$4,'Sponsor Pro Forma'!$O$15:$Z$15,0))/12,IF('Sponsor Pro Forma'!$L$42="Annual",'Monthly Cash Flow'!BB82*(1+'Sponsor Pro Forma'!$M26)^(IF(MOD(BC$5,12)=1,1,0)),'Monthly Cash Flow'!BB82*(1+'Sponsor Pro Forma'!$M26/12)))</f>
        <v>48460.487803200005</v>
      </c>
      <c r="BD82" s="1300">
        <f>IF('Sponsor Pro Forma'!$N26="Override",INDEX('Sponsor Pro Forma'!$O$16:$Z$34,MATCH('Monthly Cash Flow'!$B82,'Sponsor Pro Forma'!$B$16:$B$34,0),MATCH('Monthly Cash Flow'!BD$4,'Sponsor Pro Forma'!$O$15:$Z$15,0))/12,IF('Sponsor Pro Forma'!$L$42="Annual",'Monthly Cash Flow'!BC82*(1+'Sponsor Pro Forma'!$M26)^(IF(MOD(BD$5,12)=1,1,0)),'Monthly Cash Flow'!BC82*(1+'Sponsor Pro Forma'!$M26/12)))</f>
        <v>48460.487803200005</v>
      </c>
      <c r="BE82" s="1300">
        <f>IF('Sponsor Pro Forma'!$N26="Override",INDEX('Sponsor Pro Forma'!$O$16:$Z$34,MATCH('Monthly Cash Flow'!$B82,'Sponsor Pro Forma'!$B$16:$B$34,0),MATCH('Monthly Cash Flow'!BE$4,'Sponsor Pro Forma'!$O$15:$Z$15,0))/12,IF('Sponsor Pro Forma'!$L$42="Annual",'Monthly Cash Flow'!BD82*(1+'Sponsor Pro Forma'!$M26)^(IF(MOD(BE$5,12)=1,1,0)),'Monthly Cash Flow'!BD82*(1+'Sponsor Pro Forma'!$M26/12)))</f>
        <v>48460.487803200005</v>
      </c>
      <c r="BF82" s="1300">
        <f>IF('Sponsor Pro Forma'!$N26="Override",INDEX('Sponsor Pro Forma'!$O$16:$Z$34,MATCH('Monthly Cash Flow'!$B82,'Sponsor Pro Forma'!$B$16:$B$34,0),MATCH('Monthly Cash Flow'!BF$4,'Sponsor Pro Forma'!$O$15:$Z$15,0))/12,IF('Sponsor Pro Forma'!$L$42="Annual",'Monthly Cash Flow'!BE82*(1+'Sponsor Pro Forma'!$M26)^(IF(MOD(BF$5,12)=1,1,0)),'Monthly Cash Flow'!BE82*(1+'Sponsor Pro Forma'!$M26/12)))</f>
        <v>48460.487803200005</v>
      </c>
      <c r="BG82" s="1300">
        <f>IF('Sponsor Pro Forma'!$N26="Override",INDEX('Sponsor Pro Forma'!$O$16:$Z$34,MATCH('Monthly Cash Flow'!$B82,'Sponsor Pro Forma'!$B$16:$B$34,0),MATCH('Monthly Cash Flow'!BG$4,'Sponsor Pro Forma'!$O$15:$Z$15,0))/12,IF('Sponsor Pro Forma'!$L$42="Annual",'Monthly Cash Flow'!BF82*(1+'Sponsor Pro Forma'!$M26)^(IF(MOD(BG$5,12)=1,1,0)),'Monthly Cash Flow'!BF82*(1+'Sponsor Pro Forma'!$M26/12)))</f>
        <v>48460.487803200005</v>
      </c>
      <c r="BH82" s="1300">
        <f>IF('Sponsor Pro Forma'!$N26="Override",INDEX('Sponsor Pro Forma'!$O$16:$Z$34,MATCH('Monthly Cash Flow'!$B82,'Sponsor Pro Forma'!$B$16:$B$34,0),MATCH('Monthly Cash Flow'!BH$4,'Sponsor Pro Forma'!$O$15:$Z$15,0))/12,IF('Sponsor Pro Forma'!$L$42="Annual",'Monthly Cash Flow'!BG82*(1+'Sponsor Pro Forma'!$M26)^(IF(MOD(BH$5,12)=1,1,0)),'Monthly Cash Flow'!BG82*(1+'Sponsor Pro Forma'!$M26/12)))</f>
        <v>48460.487803200005</v>
      </c>
      <c r="BI82" s="1300">
        <f>IF('Sponsor Pro Forma'!$N26="Override",INDEX('Sponsor Pro Forma'!$O$16:$Z$34,MATCH('Monthly Cash Flow'!$B82,'Sponsor Pro Forma'!$B$16:$B$34,0),MATCH('Monthly Cash Flow'!BI$4,'Sponsor Pro Forma'!$O$15:$Z$15,0))/12,IF('Sponsor Pro Forma'!$L$42="Annual",'Monthly Cash Flow'!BH82*(1+'Sponsor Pro Forma'!$M26)^(IF(MOD(BI$5,12)=1,1,0)),'Monthly Cash Flow'!BH82*(1+'Sponsor Pro Forma'!$M26/12)))</f>
        <v>48460.487803200005</v>
      </c>
      <c r="BJ82" s="1300">
        <f>IF('Sponsor Pro Forma'!$N26="Override",INDEX('Sponsor Pro Forma'!$O$16:$Z$34,MATCH('Monthly Cash Flow'!$B82,'Sponsor Pro Forma'!$B$16:$B$34,0),MATCH('Monthly Cash Flow'!BJ$4,'Sponsor Pro Forma'!$O$15:$Z$15,0))/12,IF('Sponsor Pro Forma'!$L$42="Annual",'Monthly Cash Flow'!BI82*(1+'Sponsor Pro Forma'!$M26)^(IF(MOD(BJ$5,12)=1,1,0)),'Monthly Cash Flow'!BI82*(1+'Sponsor Pro Forma'!$M26/12)))</f>
        <v>48460.487803200005</v>
      </c>
      <c r="BK82" s="1300">
        <f>IF('Sponsor Pro Forma'!$N26="Override",INDEX('Sponsor Pro Forma'!$O$16:$Z$34,MATCH('Monthly Cash Flow'!$B82,'Sponsor Pro Forma'!$B$16:$B$34,0),MATCH('Monthly Cash Flow'!BK$4,'Sponsor Pro Forma'!$O$15:$Z$15,0))/12,IF('Sponsor Pro Forma'!$L$42="Annual",'Monthly Cash Flow'!BJ82*(1+'Sponsor Pro Forma'!$M26)^(IF(MOD(BK$5,12)=1,1,0)),'Monthly Cash Flow'!BJ82*(1+'Sponsor Pro Forma'!$M26/12)))</f>
        <v>48460.487803200005</v>
      </c>
      <c r="BL82" s="1300">
        <f>IF('Sponsor Pro Forma'!$N26="Override",INDEX('Sponsor Pro Forma'!$O$16:$Z$34,MATCH('Monthly Cash Flow'!$B82,'Sponsor Pro Forma'!$B$16:$B$34,0),MATCH('Monthly Cash Flow'!BL$4,'Sponsor Pro Forma'!$O$15:$Z$15,0))/12,IF('Sponsor Pro Forma'!$L$42="Annual",'Monthly Cash Flow'!BK82*(1+'Sponsor Pro Forma'!$M26)^(IF(MOD(BL$5,12)=1,1,0)),'Monthly Cash Flow'!BK82*(1+'Sponsor Pro Forma'!$M26/12)))</f>
        <v>48460.487803200005</v>
      </c>
      <c r="BM82" s="1300">
        <f>IF('Sponsor Pro Forma'!$N26="Override",INDEX('Sponsor Pro Forma'!$O$16:$Z$34,MATCH('Monthly Cash Flow'!$B82,'Sponsor Pro Forma'!$B$16:$B$34,0),MATCH('Monthly Cash Flow'!BM$4,'Sponsor Pro Forma'!$O$15:$Z$15,0))/12,IF('Sponsor Pro Forma'!$L$42="Annual",'Monthly Cash Flow'!BL82*(1+'Sponsor Pro Forma'!$M26)^(IF(MOD(BM$5,12)=1,1,0)),'Monthly Cash Flow'!BL82*(1+'Sponsor Pro Forma'!$M26/12)))</f>
        <v>49429.697559264016</v>
      </c>
      <c r="BN82" s="1300">
        <f>IF('Sponsor Pro Forma'!$N26="Override",INDEX('Sponsor Pro Forma'!$O$16:$Z$34,MATCH('Monthly Cash Flow'!$B82,'Sponsor Pro Forma'!$B$16:$B$34,0),MATCH('Monthly Cash Flow'!BN$4,'Sponsor Pro Forma'!$O$15:$Z$15,0))/12,IF('Sponsor Pro Forma'!$L$42="Annual",'Monthly Cash Flow'!BM82*(1+'Sponsor Pro Forma'!$M26)^(IF(MOD(BN$5,12)=1,1,0)),'Monthly Cash Flow'!BM82*(1+'Sponsor Pro Forma'!$M26/12)))</f>
        <v>49429.697559264016</v>
      </c>
      <c r="BO82" s="1300">
        <f>IF('Sponsor Pro Forma'!$N26="Override",INDEX('Sponsor Pro Forma'!$O$16:$Z$34,MATCH('Monthly Cash Flow'!$B82,'Sponsor Pro Forma'!$B$16:$B$34,0),MATCH('Monthly Cash Flow'!BO$4,'Sponsor Pro Forma'!$O$15:$Z$15,0))/12,IF('Sponsor Pro Forma'!$L$42="Annual",'Monthly Cash Flow'!BN82*(1+'Sponsor Pro Forma'!$M26)^(IF(MOD(BO$5,12)=1,1,0)),'Monthly Cash Flow'!BN82*(1+'Sponsor Pro Forma'!$M26/12)))</f>
        <v>49429.697559264016</v>
      </c>
      <c r="BP82" s="1300">
        <f>IF('Sponsor Pro Forma'!$N26="Override",INDEX('Sponsor Pro Forma'!$O$16:$Z$34,MATCH('Monthly Cash Flow'!$B82,'Sponsor Pro Forma'!$B$16:$B$34,0),MATCH('Monthly Cash Flow'!BP$4,'Sponsor Pro Forma'!$O$15:$Z$15,0))/12,IF('Sponsor Pro Forma'!$L$42="Annual",'Monthly Cash Flow'!BO82*(1+'Sponsor Pro Forma'!$M26)^(IF(MOD(BP$5,12)=1,1,0)),'Monthly Cash Flow'!BO82*(1+'Sponsor Pro Forma'!$M26/12)))</f>
        <v>49429.697559264016</v>
      </c>
      <c r="BQ82" s="1300">
        <f>IF('Sponsor Pro Forma'!$N26="Override",INDEX('Sponsor Pro Forma'!$O$16:$Z$34,MATCH('Monthly Cash Flow'!$B82,'Sponsor Pro Forma'!$B$16:$B$34,0),MATCH('Monthly Cash Flow'!BQ$4,'Sponsor Pro Forma'!$O$15:$Z$15,0))/12,IF('Sponsor Pro Forma'!$L$42="Annual",'Monthly Cash Flow'!BP82*(1+'Sponsor Pro Forma'!$M26)^(IF(MOD(BQ$5,12)=1,1,0)),'Monthly Cash Flow'!BP82*(1+'Sponsor Pro Forma'!$M26/12)))</f>
        <v>49429.697559264016</v>
      </c>
      <c r="BR82" s="1300">
        <f>IF('Sponsor Pro Forma'!$N26="Override",INDEX('Sponsor Pro Forma'!$O$16:$Z$34,MATCH('Monthly Cash Flow'!$B82,'Sponsor Pro Forma'!$B$16:$B$34,0),MATCH('Monthly Cash Flow'!BR$4,'Sponsor Pro Forma'!$O$15:$Z$15,0))/12,IF('Sponsor Pro Forma'!$L$42="Annual",'Monthly Cash Flow'!BQ82*(1+'Sponsor Pro Forma'!$M26)^(IF(MOD(BR$5,12)=1,1,0)),'Monthly Cash Flow'!BQ82*(1+'Sponsor Pro Forma'!$M26/12)))</f>
        <v>49429.697559264016</v>
      </c>
      <c r="BS82" s="1300">
        <f>IF('Sponsor Pro Forma'!$N26="Override",INDEX('Sponsor Pro Forma'!$O$16:$Z$34,MATCH('Monthly Cash Flow'!$B82,'Sponsor Pro Forma'!$B$16:$B$34,0),MATCH('Monthly Cash Flow'!BS$4,'Sponsor Pro Forma'!$O$15:$Z$15,0))/12,IF('Sponsor Pro Forma'!$L$42="Annual",'Monthly Cash Flow'!BR82*(1+'Sponsor Pro Forma'!$M26)^(IF(MOD(BS$5,12)=1,1,0)),'Monthly Cash Flow'!BR82*(1+'Sponsor Pro Forma'!$M26/12)))</f>
        <v>49429.697559264016</v>
      </c>
      <c r="BT82" s="1300">
        <f>IF('Sponsor Pro Forma'!$N26="Override",INDEX('Sponsor Pro Forma'!$O$16:$Z$34,MATCH('Monthly Cash Flow'!$B82,'Sponsor Pro Forma'!$B$16:$B$34,0),MATCH('Monthly Cash Flow'!BT$4,'Sponsor Pro Forma'!$O$15:$Z$15,0))/12,IF('Sponsor Pro Forma'!$L$42="Annual",'Monthly Cash Flow'!BS82*(1+'Sponsor Pro Forma'!$M26)^(IF(MOD(BT$5,12)=1,1,0)),'Monthly Cash Flow'!BS82*(1+'Sponsor Pro Forma'!$M26/12)))</f>
        <v>49429.697559264016</v>
      </c>
      <c r="BU82" s="1300">
        <f>IF('Sponsor Pro Forma'!$N26="Override",INDEX('Sponsor Pro Forma'!$O$16:$Z$34,MATCH('Monthly Cash Flow'!$B82,'Sponsor Pro Forma'!$B$16:$B$34,0),MATCH('Monthly Cash Flow'!BU$4,'Sponsor Pro Forma'!$O$15:$Z$15,0))/12,IF('Sponsor Pro Forma'!$L$42="Annual",'Monthly Cash Flow'!BT82*(1+'Sponsor Pro Forma'!$M26)^(IF(MOD(BU$5,12)=1,1,0)),'Monthly Cash Flow'!BT82*(1+'Sponsor Pro Forma'!$M26/12)))</f>
        <v>49429.697559264016</v>
      </c>
      <c r="BV82" s="1300">
        <f>IF('Sponsor Pro Forma'!$N26="Override",INDEX('Sponsor Pro Forma'!$O$16:$Z$34,MATCH('Monthly Cash Flow'!$B82,'Sponsor Pro Forma'!$B$16:$B$34,0),MATCH('Monthly Cash Flow'!BV$4,'Sponsor Pro Forma'!$O$15:$Z$15,0))/12,IF('Sponsor Pro Forma'!$L$42="Annual",'Monthly Cash Flow'!BU82*(1+'Sponsor Pro Forma'!$M26)^(IF(MOD(BV$5,12)=1,1,0)),'Monthly Cash Flow'!BU82*(1+'Sponsor Pro Forma'!$M26/12)))</f>
        <v>49429.697559264016</v>
      </c>
      <c r="BW82" s="1300">
        <f>IF('Sponsor Pro Forma'!$N26="Override",INDEX('Sponsor Pro Forma'!$O$16:$Z$34,MATCH('Monthly Cash Flow'!$B82,'Sponsor Pro Forma'!$B$16:$B$34,0),MATCH('Monthly Cash Flow'!BW$4,'Sponsor Pro Forma'!$O$15:$Z$15,0))/12,IF('Sponsor Pro Forma'!$L$42="Annual",'Monthly Cash Flow'!BV82*(1+'Sponsor Pro Forma'!$M26)^(IF(MOD(BW$5,12)=1,1,0)),'Monthly Cash Flow'!BV82*(1+'Sponsor Pro Forma'!$M26/12)))</f>
        <v>49429.697559264016</v>
      </c>
      <c r="BX82" s="1300">
        <f>IF('Sponsor Pro Forma'!$N26="Override",INDEX('Sponsor Pro Forma'!$O$16:$Z$34,MATCH('Monthly Cash Flow'!$B82,'Sponsor Pro Forma'!$B$16:$B$34,0),MATCH('Monthly Cash Flow'!BX$4,'Sponsor Pro Forma'!$O$15:$Z$15,0))/12,IF('Sponsor Pro Forma'!$L$42="Annual",'Monthly Cash Flow'!BW82*(1+'Sponsor Pro Forma'!$M26)^(IF(MOD(BX$5,12)=1,1,0)),'Monthly Cash Flow'!BW82*(1+'Sponsor Pro Forma'!$M26/12)))</f>
        <v>49429.697559264016</v>
      </c>
      <c r="BY82" s="1300">
        <f>IF('Sponsor Pro Forma'!$N26="Override",INDEX('Sponsor Pro Forma'!$O$16:$Z$34,MATCH('Monthly Cash Flow'!$B82,'Sponsor Pro Forma'!$B$16:$B$34,0),MATCH('Monthly Cash Flow'!BY$4,'Sponsor Pro Forma'!$O$15:$Z$15,0))/12,IF('Sponsor Pro Forma'!$L$42="Annual",'Monthly Cash Flow'!BX82*(1+'Sponsor Pro Forma'!$M26)^(IF(MOD(BY$5,12)=1,1,0)),'Monthly Cash Flow'!BX82*(1+'Sponsor Pro Forma'!$M26/12)))</f>
        <v>50418.291510449293</v>
      </c>
      <c r="BZ82" s="1300">
        <f>IF('Sponsor Pro Forma'!$N26="Override",INDEX('Sponsor Pro Forma'!$O$16:$Z$34,MATCH('Monthly Cash Flow'!$B82,'Sponsor Pro Forma'!$B$16:$B$34,0),MATCH('Monthly Cash Flow'!BZ$4,'Sponsor Pro Forma'!$O$15:$Z$15,0))/12,IF('Sponsor Pro Forma'!$L$42="Annual",'Monthly Cash Flow'!BY82*(1+'Sponsor Pro Forma'!$M26)^(IF(MOD(BZ$5,12)=1,1,0)),'Monthly Cash Flow'!BY82*(1+'Sponsor Pro Forma'!$M26/12)))</f>
        <v>50418.291510449293</v>
      </c>
      <c r="CA82" s="1300">
        <f>IF('Sponsor Pro Forma'!$N26="Override",INDEX('Sponsor Pro Forma'!$O$16:$Z$34,MATCH('Monthly Cash Flow'!$B82,'Sponsor Pro Forma'!$B$16:$B$34,0),MATCH('Monthly Cash Flow'!CA$4,'Sponsor Pro Forma'!$O$15:$Z$15,0))/12,IF('Sponsor Pro Forma'!$L$42="Annual",'Monthly Cash Flow'!BZ82*(1+'Sponsor Pro Forma'!$M26)^(IF(MOD(CA$5,12)=1,1,0)),'Monthly Cash Flow'!BZ82*(1+'Sponsor Pro Forma'!$M26/12)))</f>
        <v>50418.291510449293</v>
      </c>
      <c r="CB82" s="1300">
        <f>IF('Sponsor Pro Forma'!$N26="Override",INDEX('Sponsor Pro Forma'!$O$16:$Z$34,MATCH('Monthly Cash Flow'!$B82,'Sponsor Pro Forma'!$B$16:$B$34,0),MATCH('Monthly Cash Flow'!CB$4,'Sponsor Pro Forma'!$O$15:$Z$15,0))/12,IF('Sponsor Pro Forma'!$L$42="Annual",'Monthly Cash Flow'!CA82*(1+'Sponsor Pro Forma'!$M26)^(IF(MOD(CB$5,12)=1,1,0)),'Monthly Cash Flow'!CA82*(1+'Sponsor Pro Forma'!$M26/12)))</f>
        <v>50418.291510449293</v>
      </c>
      <c r="CC82" s="1300">
        <f>IF('Sponsor Pro Forma'!$N26="Override",INDEX('Sponsor Pro Forma'!$O$16:$Z$34,MATCH('Monthly Cash Flow'!$B82,'Sponsor Pro Forma'!$B$16:$B$34,0),MATCH('Monthly Cash Flow'!CC$4,'Sponsor Pro Forma'!$O$15:$Z$15,0))/12,IF('Sponsor Pro Forma'!$L$42="Annual",'Monthly Cash Flow'!CB82*(1+'Sponsor Pro Forma'!$M26)^(IF(MOD(CC$5,12)=1,1,0)),'Monthly Cash Flow'!CB82*(1+'Sponsor Pro Forma'!$M26/12)))</f>
        <v>50418.291510449293</v>
      </c>
      <c r="CD82" s="1300">
        <f>IF('Sponsor Pro Forma'!$N26="Override",INDEX('Sponsor Pro Forma'!$O$16:$Z$34,MATCH('Monthly Cash Flow'!$B82,'Sponsor Pro Forma'!$B$16:$B$34,0),MATCH('Monthly Cash Flow'!CD$4,'Sponsor Pro Forma'!$O$15:$Z$15,0))/12,IF('Sponsor Pro Forma'!$L$42="Annual",'Monthly Cash Flow'!CC82*(1+'Sponsor Pro Forma'!$M26)^(IF(MOD(CD$5,12)=1,1,0)),'Monthly Cash Flow'!CC82*(1+'Sponsor Pro Forma'!$M26/12)))</f>
        <v>50418.291510449293</v>
      </c>
      <c r="CE82" s="1300">
        <f>IF('Sponsor Pro Forma'!$N26="Override",INDEX('Sponsor Pro Forma'!$O$16:$Z$34,MATCH('Monthly Cash Flow'!$B82,'Sponsor Pro Forma'!$B$16:$B$34,0),MATCH('Monthly Cash Flow'!CE$4,'Sponsor Pro Forma'!$O$15:$Z$15,0))/12,IF('Sponsor Pro Forma'!$L$42="Annual",'Monthly Cash Flow'!CD82*(1+'Sponsor Pro Forma'!$M26)^(IF(MOD(CE$5,12)=1,1,0)),'Monthly Cash Flow'!CD82*(1+'Sponsor Pro Forma'!$M26/12)))</f>
        <v>50418.291510449293</v>
      </c>
      <c r="CF82" s="1300">
        <f>IF('Sponsor Pro Forma'!$N26="Override",INDEX('Sponsor Pro Forma'!$O$16:$Z$34,MATCH('Monthly Cash Flow'!$B82,'Sponsor Pro Forma'!$B$16:$B$34,0),MATCH('Monthly Cash Flow'!CF$4,'Sponsor Pro Forma'!$O$15:$Z$15,0))/12,IF('Sponsor Pro Forma'!$L$42="Annual",'Monthly Cash Flow'!CE82*(1+'Sponsor Pro Forma'!$M26)^(IF(MOD(CF$5,12)=1,1,0)),'Monthly Cash Flow'!CE82*(1+'Sponsor Pro Forma'!$M26/12)))</f>
        <v>50418.291510449293</v>
      </c>
      <c r="CG82" s="1300">
        <f>IF('Sponsor Pro Forma'!$N26="Override",INDEX('Sponsor Pro Forma'!$O$16:$Z$34,MATCH('Monthly Cash Flow'!$B82,'Sponsor Pro Forma'!$B$16:$B$34,0),MATCH('Monthly Cash Flow'!CG$4,'Sponsor Pro Forma'!$O$15:$Z$15,0))/12,IF('Sponsor Pro Forma'!$L$42="Annual",'Monthly Cash Flow'!CF82*(1+'Sponsor Pro Forma'!$M26)^(IF(MOD(CG$5,12)=1,1,0)),'Monthly Cash Flow'!CF82*(1+'Sponsor Pro Forma'!$M26/12)))</f>
        <v>50418.291510449293</v>
      </c>
      <c r="CH82" s="1300">
        <f>IF('Sponsor Pro Forma'!$N26="Override",INDEX('Sponsor Pro Forma'!$O$16:$Z$34,MATCH('Monthly Cash Flow'!$B82,'Sponsor Pro Forma'!$B$16:$B$34,0),MATCH('Monthly Cash Flow'!CH$4,'Sponsor Pro Forma'!$O$15:$Z$15,0))/12,IF('Sponsor Pro Forma'!$L$42="Annual",'Monthly Cash Flow'!CG82*(1+'Sponsor Pro Forma'!$M26)^(IF(MOD(CH$5,12)=1,1,0)),'Monthly Cash Flow'!CG82*(1+'Sponsor Pro Forma'!$M26/12)))</f>
        <v>50418.291510449293</v>
      </c>
      <c r="CI82" s="1300">
        <f>IF('Sponsor Pro Forma'!$N26="Override",INDEX('Sponsor Pro Forma'!$O$16:$Z$34,MATCH('Monthly Cash Flow'!$B82,'Sponsor Pro Forma'!$B$16:$B$34,0),MATCH('Monthly Cash Flow'!CI$4,'Sponsor Pro Forma'!$O$15:$Z$15,0))/12,IF('Sponsor Pro Forma'!$L$42="Annual",'Monthly Cash Flow'!CH82*(1+'Sponsor Pro Forma'!$M26)^(IF(MOD(CI$5,12)=1,1,0)),'Monthly Cash Flow'!CH82*(1+'Sponsor Pro Forma'!$M26/12)))</f>
        <v>50418.291510449293</v>
      </c>
      <c r="CJ82" s="1300">
        <f>IF('Sponsor Pro Forma'!$N26="Override",INDEX('Sponsor Pro Forma'!$O$16:$Z$34,MATCH('Monthly Cash Flow'!$B82,'Sponsor Pro Forma'!$B$16:$B$34,0),MATCH('Monthly Cash Flow'!CJ$4,'Sponsor Pro Forma'!$O$15:$Z$15,0))/12,IF('Sponsor Pro Forma'!$L$42="Annual",'Monthly Cash Flow'!CI82*(1+'Sponsor Pro Forma'!$M26)^(IF(MOD(CJ$5,12)=1,1,0)),'Monthly Cash Flow'!CI82*(1+'Sponsor Pro Forma'!$M26/12)))</f>
        <v>50418.291510449293</v>
      </c>
      <c r="CK82" s="1300">
        <f>IF('Sponsor Pro Forma'!$N26="Override",INDEX('Sponsor Pro Forma'!$O$16:$Z$34,MATCH('Monthly Cash Flow'!$B82,'Sponsor Pro Forma'!$B$16:$B$34,0),MATCH('Monthly Cash Flow'!CK$4,'Sponsor Pro Forma'!$O$15:$Z$15,0))/12,IF('Sponsor Pro Forma'!$L$42="Annual",'Monthly Cash Flow'!CJ82*(1+'Sponsor Pro Forma'!$M26)^(IF(MOD(CK$5,12)=1,1,0)),'Monthly Cash Flow'!CJ82*(1+'Sponsor Pro Forma'!$M26/12)))</f>
        <v>51426.657340658283</v>
      </c>
      <c r="CL82" s="1300">
        <f>IF('Sponsor Pro Forma'!$N26="Override",INDEX('Sponsor Pro Forma'!$O$16:$Z$34,MATCH('Monthly Cash Flow'!$B82,'Sponsor Pro Forma'!$B$16:$B$34,0),MATCH('Monthly Cash Flow'!CL$4,'Sponsor Pro Forma'!$O$15:$Z$15,0))/12,IF('Sponsor Pro Forma'!$L$42="Annual",'Monthly Cash Flow'!CK82*(1+'Sponsor Pro Forma'!$M26)^(IF(MOD(CL$5,12)=1,1,0)),'Monthly Cash Flow'!CK82*(1+'Sponsor Pro Forma'!$M26/12)))</f>
        <v>51426.657340658283</v>
      </c>
      <c r="CM82" s="1300">
        <f>IF('Sponsor Pro Forma'!$N26="Override",INDEX('Sponsor Pro Forma'!$O$16:$Z$34,MATCH('Monthly Cash Flow'!$B82,'Sponsor Pro Forma'!$B$16:$B$34,0),MATCH('Monthly Cash Flow'!CM$4,'Sponsor Pro Forma'!$O$15:$Z$15,0))/12,IF('Sponsor Pro Forma'!$L$42="Annual",'Monthly Cash Flow'!CL82*(1+'Sponsor Pro Forma'!$M26)^(IF(MOD(CM$5,12)=1,1,0)),'Monthly Cash Flow'!CL82*(1+'Sponsor Pro Forma'!$M26/12)))</f>
        <v>51426.657340658283</v>
      </c>
      <c r="CN82" s="1300">
        <f>IF('Sponsor Pro Forma'!$N26="Override",INDEX('Sponsor Pro Forma'!$O$16:$Z$34,MATCH('Monthly Cash Flow'!$B82,'Sponsor Pro Forma'!$B$16:$B$34,0),MATCH('Monthly Cash Flow'!CN$4,'Sponsor Pro Forma'!$O$15:$Z$15,0))/12,IF('Sponsor Pro Forma'!$L$42="Annual",'Monthly Cash Flow'!CM82*(1+'Sponsor Pro Forma'!$M26)^(IF(MOD(CN$5,12)=1,1,0)),'Monthly Cash Flow'!CM82*(1+'Sponsor Pro Forma'!$M26/12)))</f>
        <v>51426.657340658283</v>
      </c>
      <c r="CO82" s="1300">
        <f>IF('Sponsor Pro Forma'!$N26="Override",INDEX('Sponsor Pro Forma'!$O$16:$Z$34,MATCH('Monthly Cash Flow'!$B82,'Sponsor Pro Forma'!$B$16:$B$34,0),MATCH('Monthly Cash Flow'!CO$4,'Sponsor Pro Forma'!$O$15:$Z$15,0))/12,IF('Sponsor Pro Forma'!$L$42="Annual",'Monthly Cash Flow'!CN82*(1+'Sponsor Pro Forma'!$M26)^(IF(MOD(CO$5,12)=1,1,0)),'Monthly Cash Flow'!CN82*(1+'Sponsor Pro Forma'!$M26/12)))</f>
        <v>51426.657340658283</v>
      </c>
      <c r="CP82" s="1300">
        <f>IF('Sponsor Pro Forma'!$N26="Override",INDEX('Sponsor Pro Forma'!$O$16:$Z$34,MATCH('Monthly Cash Flow'!$B82,'Sponsor Pro Forma'!$B$16:$B$34,0),MATCH('Monthly Cash Flow'!CP$4,'Sponsor Pro Forma'!$O$15:$Z$15,0))/12,IF('Sponsor Pro Forma'!$L$42="Annual",'Monthly Cash Flow'!CO82*(1+'Sponsor Pro Forma'!$M26)^(IF(MOD(CP$5,12)=1,1,0)),'Monthly Cash Flow'!CO82*(1+'Sponsor Pro Forma'!$M26/12)))</f>
        <v>51426.657340658283</v>
      </c>
      <c r="CQ82" s="1300">
        <f>IF('Sponsor Pro Forma'!$N26="Override",INDEX('Sponsor Pro Forma'!$O$16:$Z$34,MATCH('Monthly Cash Flow'!$B82,'Sponsor Pro Forma'!$B$16:$B$34,0),MATCH('Monthly Cash Flow'!CQ$4,'Sponsor Pro Forma'!$O$15:$Z$15,0))/12,IF('Sponsor Pro Forma'!$L$42="Annual",'Monthly Cash Flow'!CP82*(1+'Sponsor Pro Forma'!$M26)^(IF(MOD(CQ$5,12)=1,1,0)),'Monthly Cash Flow'!CP82*(1+'Sponsor Pro Forma'!$M26/12)))</f>
        <v>51426.657340658283</v>
      </c>
      <c r="CR82" s="1300">
        <f>IF('Sponsor Pro Forma'!$N26="Override",INDEX('Sponsor Pro Forma'!$O$16:$Z$34,MATCH('Monthly Cash Flow'!$B82,'Sponsor Pro Forma'!$B$16:$B$34,0),MATCH('Monthly Cash Flow'!CR$4,'Sponsor Pro Forma'!$O$15:$Z$15,0))/12,IF('Sponsor Pro Forma'!$L$42="Annual",'Monthly Cash Flow'!CQ82*(1+'Sponsor Pro Forma'!$M26)^(IF(MOD(CR$5,12)=1,1,0)),'Monthly Cash Flow'!CQ82*(1+'Sponsor Pro Forma'!$M26/12)))</f>
        <v>51426.657340658283</v>
      </c>
      <c r="CS82" s="1300">
        <f>IF('Sponsor Pro Forma'!$N26="Override",INDEX('Sponsor Pro Forma'!$O$16:$Z$34,MATCH('Monthly Cash Flow'!$B82,'Sponsor Pro Forma'!$B$16:$B$34,0),MATCH('Monthly Cash Flow'!CS$4,'Sponsor Pro Forma'!$O$15:$Z$15,0))/12,IF('Sponsor Pro Forma'!$L$42="Annual",'Monthly Cash Flow'!CR82*(1+'Sponsor Pro Forma'!$M26)^(IF(MOD(CS$5,12)=1,1,0)),'Monthly Cash Flow'!CR82*(1+'Sponsor Pro Forma'!$M26/12)))</f>
        <v>51426.657340658283</v>
      </c>
      <c r="CT82" s="1300">
        <f>IF('Sponsor Pro Forma'!$N26="Override",INDEX('Sponsor Pro Forma'!$O$16:$Z$34,MATCH('Monthly Cash Flow'!$B82,'Sponsor Pro Forma'!$B$16:$B$34,0),MATCH('Monthly Cash Flow'!CT$4,'Sponsor Pro Forma'!$O$15:$Z$15,0))/12,IF('Sponsor Pro Forma'!$L$42="Annual",'Monthly Cash Flow'!CS82*(1+'Sponsor Pro Forma'!$M26)^(IF(MOD(CT$5,12)=1,1,0)),'Monthly Cash Flow'!CS82*(1+'Sponsor Pro Forma'!$M26/12)))</f>
        <v>51426.657340658283</v>
      </c>
      <c r="CU82" s="1300">
        <f>IF('Sponsor Pro Forma'!$N26="Override",INDEX('Sponsor Pro Forma'!$O$16:$Z$34,MATCH('Monthly Cash Flow'!$B82,'Sponsor Pro Forma'!$B$16:$B$34,0),MATCH('Monthly Cash Flow'!CU$4,'Sponsor Pro Forma'!$O$15:$Z$15,0))/12,IF('Sponsor Pro Forma'!$L$42="Annual",'Monthly Cash Flow'!CT82*(1+'Sponsor Pro Forma'!$M26)^(IF(MOD(CU$5,12)=1,1,0)),'Monthly Cash Flow'!CT82*(1+'Sponsor Pro Forma'!$M26/12)))</f>
        <v>51426.657340658283</v>
      </c>
      <c r="CV82" s="1300">
        <f>IF('Sponsor Pro Forma'!$N26="Override",INDEX('Sponsor Pro Forma'!$O$16:$Z$34,MATCH('Monthly Cash Flow'!$B82,'Sponsor Pro Forma'!$B$16:$B$34,0),MATCH('Monthly Cash Flow'!CV$4,'Sponsor Pro Forma'!$O$15:$Z$15,0))/12,IF('Sponsor Pro Forma'!$L$42="Annual",'Monthly Cash Flow'!CU82*(1+'Sponsor Pro Forma'!$M26)^(IF(MOD(CV$5,12)=1,1,0)),'Monthly Cash Flow'!CU82*(1+'Sponsor Pro Forma'!$M26/12)))</f>
        <v>51426.657340658283</v>
      </c>
      <c r="CW82" s="1300">
        <f>IF('Sponsor Pro Forma'!$N26="Override",INDEX('Sponsor Pro Forma'!$O$16:$Z$34,MATCH('Monthly Cash Flow'!$B82,'Sponsor Pro Forma'!$B$16:$B$34,0),MATCH('Monthly Cash Flow'!CW$4,'Sponsor Pro Forma'!$O$15:$Z$15,0))/12,IF('Sponsor Pro Forma'!$L$42="Annual",'Monthly Cash Flow'!CV82*(1+'Sponsor Pro Forma'!$M26)^(IF(MOD(CW$5,12)=1,1,0)),'Monthly Cash Flow'!CV82*(1+'Sponsor Pro Forma'!$M26/12)))</f>
        <v>52455.190487471446</v>
      </c>
      <c r="CX82" s="1300">
        <f>IF('Sponsor Pro Forma'!$N26="Override",INDEX('Sponsor Pro Forma'!$O$16:$Z$34,MATCH('Monthly Cash Flow'!$B82,'Sponsor Pro Forma'!$B$16:$B$34,0),MATCH('Monthly Cash Flow'!CX$4,'Sponsor Pro Forma'!$O$15:$Z$15,0))/12,IF('Sponsor Pro Forma'!$L$42="Annual",'Monthly Cash Flow'!CW82*(1+'Sponsor Pro Forma'!$M26)^(IF(MOD(CX$5,12)=1,1,0)),'Monthly Cash Flow'!CW82*(1+'Sponsor Pro Forma'!$M26/12)))</f>
        <v>52455.190487471446</v>
      </c>
      <c r="CY82" s="1300">
        <f>IF('Sponsor Pro Forma'!$N26="Override",INDEX('Sponsor Pro Forma'!$O$16:$Z$34,MATCH('Monthly Cash Flow'!$B82,'Sponsor Pro Forma'!$B$16:$B$34,0),MATCH('Monthly Cash Flow'!CY$4,'Sponsor Pro Forma'!$O$15:$Z$15,0))/12,IF('Sponsor Pro Forma'!$L$42="Annual",'Monthly Cash Flow'!CX82*(1+'Sponsor Pro Forma'!$M26)^(IF(MOD(CY$5,12)=1,1,0)),'Monthly Cash Flow'!CX82*(1+'Sponsor Pro Forma'!$M26/12)))</f>
        <v>52455.190487471446</v>
      </c>
      <c r="CZ82" s="1300">
        <f>IF('Sponsor Pro Forma'!$N26="Override",INDEX('Sponsor Pro Forma'!$O$16:$Z$34,MATCH('Monthly Cash Flow'!$B82,'Sponsor Pro Forma'!$B$16:$B$34,0),MATCH('Monthly Cash Flow'!CZ$4,'Sponsor Pro Forma'!$O$15:$Z$15,0))/12,IF('Sponsor Pro Forma'!$L$42="Annual",'Monthly Cash Flow'!CY82*(1+'Sponsor Pro Forma'!$M26)^(IF(MOD(CZ$5,12)=1,1,0)),'Monthly Cash Flow'!CY82*(1+'Sponsor Pro Forma'!$M26/12)))</f>
        <v>52455.190487471446</v>
      </c>
      <c r="DA82" s="1300">
        <f>IF('Sponsor Pro Forma'!$N26="Override",INDEX('Sponsor Pro Forma'!$O$16:$Z$34,MATCH('Monthly Cash Flow'!$B82,'Sponsor Pro Forma'!$B$16:$B$34,0),MATCH('Monthly Cash Flow'!DA$4,'Sponsor Pro Forma'!$O$15:$Z$15,0))/12,IF('Sponsor Pro Forma'!$L$42="Annual",'Monthly Cash Flow'!CZ82*(1+'Sponsor Pro Forma'!$M26)^(IF(MOD(DA$5,12)=1,1,0)),'Monthly Cash Flow'!CZ82*(1+'Sponsor Pro Forma'!$M26/12)))</f>
        <v>52455.190487471446</v>
      </c>
      <c r="DB82" s="1300">
        <f>IF('Sponsor Pro Forma'!$N26="Override",INDEX('Sponsor Pro Forma'!$O$16:$Z$34,MATCH('Monthly Cash Flow'!$B82,'Sponsor Pro Forma'!$B$16:$B$34,0),MATCH('Monthly Cash Flow'!DB$4,'Sponsor Pro Forma'!$O$15:$Z$15,0))/12,IF('Sponsor Pro Forma'!$L$42="Annual",'Monthly Cash Flow'!DA82*(1+'Sponsor Pro Forma'!$M26)^(IF(MOD(DB$5,12)=1,1,0)),'Monthly Cash Flow'!DA82*(1+'Sponsor Pro Forma'!$M26/12)))</f>
        <v>52455.190487471446</v>
      </c>
      <c r="DC82" s="1300">
        <f>IF('Sponsor Pro Forma'!$N26="Override",INDEX('Sponsor Pro Forma'!$O$16:$Z$34,MATCH('Monthly Cash Flow'!$B82,'Sponsor Pro Forma'!$B$16:$B$34,0),MATCH('Monthly Cash Flow'!DC$4,'Sponsor Pro Forma'!$O$15:$Z$15,0))/12,IF('Sponsor Pro Forma'!$L$42="Annual",'Monthly Cash Flow'!DB82*(1+'Sponsor Pro Forma'!$M26)^(IF(MOD(DC$5,12)=1,1,0)),'Monthly Cash Flow'!DB82*(1+'Sponsor Pro Forma'!$M26/12)))</f>
        <v>52455.190487471446</v>
      </c>
      <c r="DD82" s="1300">
        <f>IF('Sponsor Pro Forma'!$N26="Override",INDEX('Sponsor Pro Forma'!$O$16:$Z$34,MATCH('Monthly Cash Flow'!$B82,'Sponsor Pro Forma'!$B$16:$B$34,0),MATCH('Monthly Cash Flow'!DD$4,'Sponsor Pro Forma'!$O$15:$Z$15,0))/12,IF('Sponsor Pro Forma'!$L$42="Annual",'Monthly Cash Flow'!DC82*(1+'Sponsor Pro Forma'!$M26)^(IF(MOD(DD$5,12)=1,1,0)),'Monthly Cash Flow'!DC82*(1+'Sponsor Pro Forma'!$M26/12)))</f>
        <v>52455.190487471446</v>
      </c>
      <c r="DE82" s="1300">
        <f>IF('Sponsor Pro Forma'!$N26="Override",INDEX('Sponsor Pro Forma'!$O$16:$Z$34,MATCH('Monthly Cash Flow'!$B82,'Sponsor Pro Forma'!$B$16:$B$34,0),MATCH('Monthly Cash Flow'!DE$4,'Sponsor Pro Forma'!$O$15:$Z$15,0))/12,IF('Sponsor Pro Forma'!$L$42="Annual",'Monthly Cash Flow'!DD82*(1+'Sponsor Pro Forma'!$M26)^(IF(MOD(DE$5,12)=1,1,0)),'Monthly Cash Flow'!DD82*(1+'Sponsor Pro Forma'!$M26/12)))</f>
        <v>52455.190487471446</v>
      </c>
      <c r="DF82" s="1300">
        <f>IF('Sponsor Pro Forma'!$N26="Override",INDEX('Sponsor Pro Forma'!$O$16:$Z$34,MATCH('Monthly Cash Flow'!$B82,'Sponsor Pro Forma'!$B$16:$B$34,0),MATCH('Monthly Cash Flow'!DF$4,'Sponsor Pro Forma'!$O$15:$Z$15,0))/12,IF('Sponsor Pro Forma'!$L$42="Annual",'Monthly Cash Flow'!DE82*(1+'Sponsor Pro Forma'!$M26)^(IF(MOD(DF$5,12)=1,1,0)),'Monthly Cash Flow'!DE82*(1+'Sponsor Pro Forma'!$M26/12)))</f>
        <v>52455.190487471446</v>
      </c>
      <c r="DG82" s="1300">
        <f>IF('Sponsor Pro Forma'!$N26="Override",INDEX('Sponsor Pro Forma'!$O$16:$Z$34,MATCH('Monthly Cash Flow'!$B82,'Sponsor Pro Forma'!$B$16:$B$34,0),MATCH('Monthly Cash Flow'!DG$4,'Sponsor Pro Forma'!$O$15:$Z$15,0))/12,IF('Sponsor Pro Forma'!$L$42="Annual",'Monthly Cash Flow'!DF82*(1+'Sponsor Pro Forma'!$M26)^(IF(MOD(DG$5,12)=1,1,0)),'Monthly Cash Flow'!DF82*(1+'Sponsor Pro Forma'!$M26/12)))</f>
        <v>52455.190487471446</v>
      </c>
      <c r="DH82" s="1300">
        <f>IF('Sponsor Pro Forma'!$N26="Override",INDEX('Sponsor Pro Forma'!$O$16:$Z$34,MATCH('Monthly Cash Flow'!$B82,'Sponsor Pro Forma'!$B$16:$B$34,0),MATCH('Monthly Cash Flow'!DH$4,'Sponsor Pro Forma'!$O$15:$Z$15,0))/12,IF('Sponsor Pro Forma'!$L$42="Annual",'Monthly Cash Flow'!DG82*(1+'Sponsor Pro Forma'!$M26)^(IF(MOD(DH$5,12)=1,1,0)),'Monthly Cash Flow'!DG82*(1+'Sponsor Pro Forma'!$M26/12)))</f>
        <v>52455.190487471446</v>
      </c>
      <c r="DI82" s="1300">
        <f>IF('Sponsor Pro Forma'!$N26="Override",INDEX('Sponsor Pro Forma'!$O$16:$Z$34,MATCH('Monthly Cash Flow'!$B82,'Sponsor Pro Forma'!$B$16:$B$34,0),MATCH('Monthly Cash Flow'!DI$4,'Sponsor Pro Forma'!$O$15:$Z$15,0))/12,IF('Sponsor Pro Forma'!$L$42="Annual",'Monthly Cash Flow'!DH82*(1+'Sponsor Pro Forma'!$M26)^(IF(MOD(DI$5,12)=1,1,0)),'Monthly Cash Flow'!DH82*(1+'Sponsor Pro Forma'!$M26/12)))</f>
        <v>53504.294297220877</v>
      </c>
      <c r="DJ82" s="1300">
        <f>IF('Sponsor Pro Forma'!$N26="Override",INDEX('Sponsor Pro Forma'!$O$16:$Z$34,MATCH('Monthly Cash Flow'!$B82,'Sponsor Pro Forma'!$B$16:$B$34,0),MATCH('Monthly Cash Flow'!DJ$4,'Sponsor Pro Forma'!$O$15:$Z$15,0))/12,IF('Sponsor Pro Forma'!$L$42="Annual",'Monthly Cash Flow'!DI82*(1+'Sponsor Pro Forma'!$M26)^(IF(MOD(DJ$5,12)=1,1,0)),'Monthly Cash Flow'!DI82*(1+'Sponsor Pro Forma'!$M26/12)))</f>
        <v>53504.294297220877</v>
      </c>
      <c r="DK82" s="1300">
        <f>IF('Sponsor Pro Forma'!$N26="Override",INDEX('Sponsor Pro Forma'!$O$16:$Z$34,MATCH('Monthly Cash Flow'!$B82,'Sponsor Pro Forma'!$B$16:$B$34,0),MATCH('Monthly Cash Flow'!DK$4,'Sponsor Pro Forma'!$O$15:$Z$15,0))/12,IF('Sponsor Pro Forma'!$L$42="Annual",'Monthly Cash Flow'!DJ82*(1+'Sponsor Pro Forma'!$M26)^(IF(MOD(DK$5,12)=1,1,0)),'Monthly Cash Flow'!DJ82*(1+'Sponsor Pro Forma'!$M26/12)))</f>
        <v>53504.294297220877</v>
      </c>
      <c r="DL82" s="1300">
        <f>IF('Sponsor Pro Forma'!$N26="Override",INDEX('Sponsor Pro Forma'!$O$16:$Z$34,MATCH('Monthly Cash Flow'!$B82,'Sponsor Pro Forma'!$B$16:$B$34,0),MATCH('Monthly Cash Flow'!DL$4,'Sponsor Pro Forma'!$O$15:$Z$15,0))/12,IF('Sponsor Pro Forma'!$L$42="Annual",'Monthly Cash Flow'!DK82*(1+'Sponsor Pro Forma'!$M26)^(IF(MOD(DL$5,12)=1,1,0)),'Monthly Cash Flow'!DK82*(1+'Sponsor Pro Forma'!$M26/12)))</f>
        <v>53504.294297220877</v>
      </c>
      <c r="DM82" s="1300">
        <f>IF('Sponsor Pro Forma'!$N26="Override",INDEX('Sponsor Pro Forma'!$O$16:$Z$34,MATCH('Monthly Cash Flow'!$B82,'Sponsor Pro Forma'!$B$16:$B$34,0),MATCH('Monthly Cash Flow'!DM$4,'Sponsor Pro Forma'!$O$15:$Z$15,0))/12,IF('Sponsor Pro Forma'!$L$42="Annual",'Monthly Cash Flow'!DL82*(1+'Sponsor Pro Forma'!$M26)^(IF(MOD(DM$5,12)=1,1,0)),'Monthly Cash Flow'!DL82*(1+'Sponsor Pro Forma'!$M26/12)))</f>
        <v>53504.294297220877</v>
      </c>
      <c r="DN82" s="1300">
        <f>IF('Sponsor Pro Forma'!$N26="Override",INDEX('Sponsor Pro Forma'!$O$16:$Z$34,MATCH('Monthly Cash Flow'!$B82,'Sponsor Pro Forma'!$B$16:$B$34,0),MATCH('Monthly Cash Flow'!DN$4,'Sponsor Pro Forma'!$O$15:$Z$15,0))/12,IF('Sponsor Pro Forma'!$L$42="Annual",'Monthly Cash Flow'!DM82*(1+'Sponsor Pro Forma'!$M26)^(IF(MOD(DN$5,12)=1,1,0)),'Monthly Cash Flow'!DM82*(1+'Sponsor Pro Forma'!$M26/12)))</f>
        <v>53504.294297220877</v>
      </c>
      <c r="DO82" s="1300">
        <f>IF('Sponsor Pro Forma'!$N26="Override",INDEX('Sponsor Pro Forma'!$O$16:$Z$34,MATCH('Monthly Cash Flow'!$B82,'Sponsor Pro Forma'!$B$16:$B$34,0),MATCH('Monthly Cash Flow'!DO$4,'Sponsor Pro Forma'!$O$15:$Z$15,0))/12,IF('Sponsor Pro Forma'!$L$42="Annual",'Monthly Cash Flow'!DN82*(1+'Sponsor Pro Forma'!$M26)^(IF(MOD(DO$5,12)=1,1,0)),'Monthly Cash Flow'!DN82*(1+'Sponsor Pro Forma'!$M26/12)))</f>
        <v>53504.294297220877</v>
      </c>
      <c r="DP82" s="1300">
        <f>IF('Sponsor Pro Forma'!$N26="Override",INDEX('Sponsor Pro Forma'!$O$16:$Z$34,MATCH('Monthly Cash Flow'!$B82,'Sponsor Pro Forma'!$B$16:$B$34,0),MATCH('Monthly Cash Flow'!DP$4,'Sponsor Pro Forma'!$O$15:$Z$15,0))/12,IF('Sponsor Pro Forma'!$L$42="Annual",'Monthly Cash Flow'!DO82*(1+'Sponsor Pro Forma'!$M26)^(IF(MOD(DP$5,12)=1,1,0)),'Monthly Cash Flow'!DO82*(1+'Sponsor Pro Forma'!$M26/12)))</f>
        <v>53504.294297220877</v>
      </c>
      <c r="DQ82" s="1300">
        <f>IF('Sponsor Pro Forma'!$N26="Override",INDEX('Sponsor Pro Forma'!$O$16:$Z$34,MATCH('Monthly Cash Flow'!$B82,'Sponsor Pro Forma'!$B$16:$B$34,0),MATCH('Monthly Cash Flow'!DQ$4,'Sponsor Pro Forma'!$O$15:$Z$15,0))/12,IF('Sponsor Pro Forma'!$L$42="Annual",'Monthly Cash Flow'!DP82*(1+'Sponsor Pro Forma'!$M26)^(IF(MOD(DQ$5,12)=1,1,0)),'Monthly Cash Flow'!DP82*(1+'Sponsor Pro Forma'!$M26/12)))</f>
        <v>53504.294297220877</v>
      </c>
      <c r="DR82" s="1300">
        <f>IF('Sponsor Pro Forma'!$N26="Override",INDEX('Sponsor Pro Forma'!$O$16:$Z$34,MATCH('Monthly Cash Flow'!$B82,'Sponsor Pro Forma'!$B$16:$B$34,0),MATCH('Monthly Cash Flow'!DR$4,'Sponsor Pro Forma'!$O$15:$Z$15,0))/12,IF('Sponsor Pro Forma'!$L$42="Annual",'Monthly Cash Flow'!DQ82*(1+'Sponsor Pro Forma'!$M26)^(IF(MOD(DR$5,12)=1,1,0)),'Monthly Cash Flow'!DQ82*(1+'Sponsor Pro Forma'!$M26/12)))</f>
        <v>53504.294297220877</v>
      </c>
      <c r="DS82" s="1300">
        <f>IF('Sponsor Pro Forma'!$N26="Override",INDEX('Sponsor Pro Forma'!$O$16:$Z$34,MATCH('Monthly Cash Flow'!$B82,'Sponsor Pro Forma'!$B$16:$B$34,0),MATCH('Monthly Cash Flow'!DS$4,'Sponsor Pro Forma'!$O$15:$Z$15,0))/12,IF('Sponsor Pro Forma'!$L$42="Annual",'Monthly Cash Flow'!DR82*(1+'Sponsor Pro Forma'!$M26)^(IF(MOD(DS$5,12)=1,1,0)),'Monthly Cash Flow'!DR82*(1+'Sponsor Pro Forma'!$M26/12)))</f>
        <v>53504.294297220877</v>
      </c>
      <c r="DT82" s="1300">
        <f>IF('Sponsor Pro Forma'!$N26="Override",INDEX('Sponsor Pro Forma'!$O$16:$Z$34,MATCH('Monthly Cash Flow'!$B82,'Sponsor Pro Forma'!$B$16:$B$34,0),MATCH('Monthly Cash Flow'!DT$4,'Sponsor Pro Forma'!$O$15:$Z$15,0))/12,IF('Sponsor Pro Forma'!$L$42="Annual",'Monthly Cash Flow'!DS82*(1+'Sponsor Pro Forma'!$M26)^(IF(MOD(DT$5,12)=1,1,0)),'Monthly Cash Flow'!DS82*(1+'Sponsor Pro Forma'!$M26/12)))</f>
        <v>53504.294297220877</v>
      </c>
      <c r="DU82" s="1301" t="s">
        <v>557</v>
      </c>
      <c r="DV82" s="202"/>
    </row>
    <row r="83" spans="1:126" s="5" customFormat="1" ht="15" customHeight="1">
      <c r="A83" s="399">
        <v>9</v>
      </c>
      <c r="B83" s="203" t="str">
        <f>'Debt Sizing'!A28</f>
        <v>Marketing</v>
      </c>
      <c r="C83" s="397"/>
      <c r="D83" s="413">
        <f>IF('Sponsor Pro Forma'!$N27="Override",'Sponsor Pro Forma'!$O27/12,'Sponsor Pro Forma'!K27/12)</f>
        <v>12958</v>
      </c>
      <c r="E83" s="1303">
        <f t="shared" si="142"/>
        <v>12958</v>
      </c>
      <c r="F83" s="1300">
        <f>IF('Sponsor Pro Forma'!$N27="Override",INDEX('Sponsor Pro Forma'!$O$16:$Z$34,MATCH('Monthly Cash Flow'!$B83,'Sponsor Pro Forma'!$B$16:$B$34,0),MATCH('Monthly Cash Flow'!F$4,'Sponsor Pro Forma'!$O$15:$Z$15,0))/12,IF('Sponsor Pro Forma'!$L$42="Annual",'Monthly Cash Flow'!E83*(1+'Sponsor Pro Forma'!$M27)^(IF(MOD(F$5,12)=1,1,0)),'Monthly Cash Flow'!E83*(1+'Sponsor Pro Forma'!$M27/12)))</f>
        <v>12958</v>
      </c>
      <c r="G83" s="1300">
        <f>IF('Sponsor Pro Forma'!$N27="Override",INDEX('Sponsor Pro Forma'!$O$16:$Z$34,MATCH('Monthly Cash Flow'!$B83,'Sponsor Pro Forma'!$B$16:$B$34,0),MATCH('Monthly Cash Flow'!G$4,'Sponsor Pro Forma'!$O$15:$Z$15,0))/12,IF('Sponsor Pro Forma'!$L$42="Annual",'Monthly Cash Flow'!F83*(1+'Sponsor Pro Forma'!$M27)^(IF(MOD(G$5,12)=1,1,0)),'Monthly Cash Flow'!F83*(1+'Sponsor Pro Forma'!$M27/12)))</f>
        <v>12958</v>
      </c>
      <c r="H83" s="1300">
        <f>IF('Sponsor Pro Forma'!$N27="Override",INDEX('Sponsor Pro Forma'!$O$16:$Z$34,MATCH('Monthly Cash Flow'!$B83,'Sponsor Pro Forma'!$B$16:$B$34,0),MATCH('Monthly Cash Flow'!H$4,'Sponsor Pro Forma'!$O$15:$Z$15,0))/12,IF('Sponsor Pro Forma'!$L$42="Annual",'Monthly Cash Flow'!G83*(1+'Sponsor Pro Forma'!$M27)^(IF(MOD(H$5,12)=1,1,0)),'Monthly Cash Flow'!G83*(1+'Sponsor Pro Forma'!$M27/12)))</f>
        <v>12958</v>
      </c>
      <c r="I83" s="1300">
        <f>IF('Sponsor Pro Forma'!$N27="Override",INDEX('Sponsor Pro Forma'!$O$16:$Z$34,MATCH('Monthly Cash Flow'!$B83,'Sponsor Pro Forma'!$B$16:$B$34,0),MATCH('Monthly Cash Flow'!I$4,'Sponsor Pro Forma'!$O$15:$Z$15,0))/12,IF('Sponsor Pro Forma'!$L$42="Annual",'Monthly Cash Flow'!H83*(1+'Sponsor Pro Forma'!$M27)^(IF(MOD(I$5,12)=1,1,0)),'Monthly Cash Flow'!H83*(1+'Sponsor Pro Forma'!$M27/12)))</f>
        <v>12958</v>
      </c>
      <c r="J83" s="1300">
        <f>IF('Sponsor Pro Forma'!$N27="Override",INDEX('Sponsor Pro Forma'!$O$16:$Z$34,MATCH('Monthly Cash Flow'!$B83,'Sponsor Pro Forma'!$B$16:$B$34,0),MATCH('Monthly Cash Flow'!J$4,'Sponsor Pro Forma'!$O$15:$Z$15,0))/12,IF('Sponsor Pro Forma'!$L$42="Annual",'Monthly Cash Flow'!I83*(1+'Sponsor Pro Forma'!$M27)^(IF(MOD(J$5,12)=1,1,0)),'Monthly Cash Flow'!I83*(1+'Sponsor Pro Forma'!$M27/12)))</f>
        <v>12958</v>
      </c>
      <c r="K83" s="1300">
        <f>IF('Sponsor Pro Forma'!$N27="Override",INDEX('Sponsor Pro Forma'!$O$16:$Z$34,MATCH('Monthly Cash Flow'!$B83,'Sponsor Pro Forma'!$B$16:$B$34,0),MATCH('Monthly Cash Flow'!K$4,'Sponsor Pro Forma'!$O$15:$Z$15,0))/12,IF('Sponsor Pro Forma'!$L$42="Annual",'Monthly Cash Flow'!J83*(1+'Sponsor Pro Forma'!$M27)^(IF(MOD(K$5,12)=1,1,0)),'Monthly Cash Flow'!J83*(1+'Sponsor Pro Forma'!$M27/12)))</f>
        <v>12958</v>
      </c>
      <c r="L83" s="1300">
        <f>IF('Sponsor Pro Forma'!$N27="Override",INDEX('Sponsor Pro Forma'!$O$16:$Z$34,MATCH('Monthly Cash Flow'!$B83,'Sponsor Pro Forma'!$B$16:$B$34,0),MATCH('Monthly Cash Flow'!L$4,'Sponsor Pro Forma'!$O$15:$Z$15,0))/12,IF('Sponsor Pro Forma'!$L$42="Annual",'Monthly Cash Flow'!K83*(1+'Sponsor Pro Forma'!$M27)^(IF(MOD(L$5,12)=1,1,0)),'Monthly Cash Flow'!K83*(1+'Sponsor Pro Forma'!$M27/12)))</f>
        <v>12958</v>
      </c>
      <c r="M83" s="1300">
        <f>IF('Sponsor Pro Forma'!$N27="Override",INDEX('Sponsor Pro Forma'!$O$16:$Z$34,MATCH('Monthly Cash Flow'!$B83,'Sponsor Pro Forma'!$B$16:$B$34,0),MATCH('Monthly Cash Flow'!M$4,'Sponsor Pro Forma'!$O$15:$Z$15,0))/12,IF('Sponsor Pro Forma'!$L$42="Annual",'Monthly Cash Flow'!L83*(1+'Sponsor Pro Forma'!$M27)^(IF(MOD(M$5,12)=1,1,0)),'Monthly Cash Flow'!L83*(1+'Sponsor Pro Forma'!$M27/12)))</f>
        <v>12958</v>
      </c>
      <c r="N83" s="1300">
        <f>IF('Sponsor Pro Forma'!$N27="Override",INDEX('Sponsor Pro Forma'!$O$16:$Z$34,MATCH('Monthly Cash Flow'!$B83,'Sponsor Pro Forma'!$B$16:$B$34,0),MATCH('Monthly Cash Flow'!N$4,'Sponsor Pro Forma'!$O$15:$Z$15,0))/12,IF('Sponsor Pro Forma'!$L$42="Annual",'Monthly Cash Flow'!M83*(1+'Sponsor Pro Forma'!$M27)^(IF(MOD(N$5,12)=1,1,0)),'Monthly Cash Flow'!M83*(1+'Sponsor Pro Forma'!$M27/12)))</f>
        <v>12958</v>
      </c>
      <c r="O83" s="1300">
        <f>IF('Sponsor Pro Forma'!$N27="Override",INDEX('Sponsor Pro Forma'!$O$16:$Z$34,MATCH('Monthly Cash Flow'!$B83,'Sponsor Pro Forma'!$B$16:$B$34,0),MATCH('Monthly Cash Flow'!O$4,'Sponsor Pro Forma'!$O$15:$Z$15,0))/12,IF('Sponsor Pro Forma'!$L$42="Annual",'Monthly Cash Flow'!N83*(1+'Sponsor Pro Forma'!$M27)^(IF(MOD(O$5,12)=1,1,0)),'Monthly Cash Flow'!N83*(1+'Sponsor Pro Forma'!$M27/12)))</f>
        <v>12958</v>
      </c>
      <c r="P83" s="1300">
        <f>IF('Sponsor Pro Forma'!$N27="Override",INDEX('Sponsor Pro Forma'!$O$16:$Z$34,MATCH('Monthly Cash Flow'!$B83,'Sponsor Pro Forma'!$B$16:$B$34,0),MATCH('Monthly Cash Flow'!P$4,'Sponsor Pro Forma'!$O$15:$Z$15,0))/12,IF('Sponsor Pro Forma'!$L$42="Annual",'Monthly Cash Flow'!O83*(1+'Sponsor Pro Forma'!$M27)^(IF(MOD(P$5,12)=1,1,0)),'Monthly Cash Flow'!O83*(1+'Sponsor Pro Forma'!$M27/12)))</f>
        <v>12958</v>
      </c>
      <c r="Q83" s="1300">
        <f>IF('Sponsor Pro Forma'!$N27="Override",INDEX('Sponsor Pro Forma'!$O$16:$Z$34,MATCH('Monthly Cash Flow'!$B83,'Sponsor Pro Forma'!$B$16:$B$34,0),MATCH('Monthly Cash Flow'!Q$4,'Sponsor Pro Forma'!$O$15:$Z$15,0))/12,IF('Sponsor Pro Forma'!$L$42="Annual",'Monthly Cash Flow'!P83*(1+'Sponsor Pro Forma'!$M27)^(IF(MOD(Q$5,12)=1,1,0)),'Monthly Cash Flow'!P83*(1+'Sponsor Pro Forma'!$M27/12)))</f>
        <v>13217.160000000002</v>
      </c>
      <c r="R83" s="1300">
        <f>IF('Sponsor Pro Forma'!$N27="Override",INDEX('Sponsor Pro Forma'!$O$16:$Z$34,MATCH('Monthly Cash Flow'!$B83,'Sponsor Pro Forma'!$B$16:$B$34,0),MATCH('Monthly Cash Flow'!R$4,'Sponsor Pro Forma'!$O$15:$Z$15,0))/12,IF('Sponsor Pro Forma'!$L$42="Annual",'Monthly Cash Flow'!Q83*(1+'Sponsor Pro Forma'!$M27)^(IF(MOD(R$5,12)=1,1,0)),'Monthly Cash Flow'!Q83*(1+'Sponsor Pro Forma'!$M27/12)))</f>
        <v>13217.160000000002</v>
      </c>
      <c r="S83" s="1300">
        <f>IF('Sponsor Pro Forma'!$N27="Override",INDEX('Sponsor Pro Forma'!$O$16:$Z$34,MATCH('Monthly Cash Flow'!$B83,'Sponsor Pro Forma'!$B$16:$B$34,0),MATCH('Monthly Cash Flow'!S$4,'Sponsor Pro Forma'!$O$15:$Z$15,0))/12,IF('Sponsor Pro Forma'!$L$42="Annual",'Monthly Cash Flow'!R83*(1+'Sponsor Pro Forma'!$M27)^(IF(MOD(S$5,12)=1,1,0)),'Monthly Cash Flow'!R83*(1+'Sponsor Pro Forma'!$M27/12)))</f>
        <v>13217.160000000002</v>
      </c>
      <c r="T83" s="1300">
        <f>IF('Sponsor Pro Forma'!$N27="Override",INDEX('Sponsor Pro Forma'!$O$16:$Z$34,MATCH('Monthly Cash Flow'!$B83,'Sponsor Pro Forma'!$B$16:$B$34,0),MATCH('Monthly Cash Flow'!T$4,'Sponsor Pro Forma'!$O$15:$Z$15,0))/12,IF('Sponsor Pro Forma'!$L$42="Annual",'Monthly Cash Flow'!S83*(1+'Sponsor Pro Forma'!$M27)^(IF(MOD(T$5,12)=1,1,0)),'Monthly Cash Flow'!S83*(1+'Sponsor Pro Forma'!$M27/12)))</f>
        <v>13217.160000000002</v>
      </c>
      <c r="U83" s="1300">
        <f>IF('Sponsor Pro Forma'!$N27="Override",INDEX('Sponsor Pro Forma'!$O$16:$Z$34,MATCH('Monthly Cash Flow'!$B83,'Sponsor Pro Forma'!$B$16:$B$34,0),MATCH('Monthly Cash Flow'!U$4,'Sponsor Pro Forma'!$O$15:$Z$15,0))/12,IF('Sponsor Pro Forma'!$L$42="Annual",'Monthly Cash Flow'!T83*(1+'Sponsor Pro Forma'!$M27)^(IF(MOD(U$5,12)=1,1,0)),'Monthly Cash Flow'!T83*(1+'Sponsor Pro Forma'!$M27/12)))</f>
        <v>13217.160000000002</v>
      </c>
      <c r="V83" s="1300">
        <f>IF('Sponsor Pro Forma'!$N27="Override",INDEX('Sponsor Pro Forma'!$O$16:$Z$34,MATCH('Monthly Cash Flow'!$B83,'Sponsor Pro Forma'!$B$16:$B$34,0),MATCH('Monthly Cash Flow'!V$4,'Sponsor Pro Forma'!$O$15:$Z$15,0))/12,IF('Sponsor Pro Forma'!$L$42="Annual",'Monthly Cash Flow'!U83*(1+'Sponsor Pro Forma'!$M27)^(IF(MOD(V$5,12)=1,1,0)),'Monthly Cash Flow'!U83*(1+'Sponsor Pro Forma'!$M27/12)))</f>
        <v>13217.160000000002</v>
      </c>
      <c r="W83" s="1300">
        <f>IF('Sponsor Pro Forma'!$N27="Override",INDEX('Sponsor Pro Forma'!$O$16:$Z$34,MATCH('Monthly Cash Flow'!$B83,'Sponsor Pro Forma'!$B$16:$B$34,0),MATCH('Monthly Cash Flow'!W$4,'Sponsor Pro Forma'!$O$15:$Z$15,0))/12,IF('Sponsor Pro Forma'!$L$42="Annual",'Monthly Cash Flow'!V83*(1+'Sponsor Pro Forma'!$M27)^(IF(MOD(W$5,12)=1,1,0)),'Monthly Cash Flow'!V83*(1+'Sponsor Pro Forma'!$M27/12)))</f>
        <v>13217.160000000002</v>
      </c>
      <c r="X83" s="1300">
        <f>IF('Sponsor Pro Forma'!$N27="Override",INDEX('Sponsor Pro Forma'!$O$16:$Z$34,MATCH('Monthly Cash Flow'!$B83,'Sponsor Pro Forma'!$B$16:$B$34,0),MATCH('Monthly Cash Flow'!X$4,'Sponsor Pro Forma'!$O$15:$Z$15,0))/12,IF('Sponsor Pro Forma'!$L$42="Annual",'Monthly Cash Flow'!W83*(1+'Sponsor Pro Forma'!$M27)^(IF(MOD(X$5,12)=1,1,0)),'Monthly Cash Flow'!W83*(1+'Sponsor Pro Forma'!$M27/12)))</f>
        <v>13217.160000000002</v>
      </c>
      <c r="Y83" s="1300">
        <f>IF('Sponsor Pro Forma'!$N27="Override",INDEX('Sponsor Pro Forma'!$O$16:$Z$34,MATCH('Monthly Cash Flow'!$B83,'Sponsor Pro Forma'!$B$16:$B$34,0),MATCH('Monthly Cash Flow'!Y$4,'Sponsor Pro Forma'!$O$15:$Z$15,0))/12,IF('Sponsor Pro Forma'!$L$42="Annual",'Monthly Cash Flow'!X83*(1+'Sponsor Pro Forma'!$M27)^(IF(MOD(Y$5,12)=1,1,0)),'Monthly Cash Flow'!X83*(1+'Sponsor Pro Forma'!$M27/12)))</f>
        <v>13217.160000000002</v>
      </c>
      <c r="Z83" s="1300">
        <f>IF('Sponsor Pro Forma'!$N27="Override",INDEX('Sponsor Pro Forma'!$O$16:$Z$34,MATCH('Monthly Cash Flow'!$B83,'Sponsor Pro Forma'!$B$16:$B$34,0),MATCH('Monthly Cash Flow'!Z$4,'Sponsor Pro Forma'!$O$15:$Z$15,0))/12,IF('Sponsor Pro Forma'!$L$42="Annual",'Monthly Cash Flow'!Y83*(1+'Sponsor Pro Forma'!$M27)^(IF(MOD(Z$5,12)=1,1,0)),'Monthly Cash Flow'!Y83*(1+'Sponsor Pro Forma'!$M27/12)))</f>
        <v>13217.160000000002</v>
      </c>
      <c r="AA83" s="1300">
        <f>IF('Sponsor Pro Forma'!$N27="Override",INDEX('Sponsor Pro Forma'!$O$16:$Z$34,MATCH('Monthly Cash Flow'!$B83,'Sponsor Pro Forma'!$B$16:$B$34,0),MATCH('Monthly Cash Flow'!AA$4,'Sponsor Pro Forma'!$O$15:$Z$15,0))/12,IF('Sponsor Pro Forma'!$L$42="Annual",'Monthly Cash Flow'!Z83*(1+'Sponsor Pro Forma'!$M27)^(IF(MOD(AA$5,12)=1,1,0)),'Monthly Cash Flow'!Z83*(1+'Sponsor Pro Forma'!$M27/12)))</f>
        <v>13217.160000000002</v>
      </c>
      <c r="AB83" s="1300">
        <f>IF('Sponsor Pro Forma'!$N27="Override",INDEX('Sponsor Pro Forma'!$O$16:$Z$34,MATCH('Monthly Cash Flow'!$B83,'Sponsor Pro Forma'!$B$16:$B$34,0),MATCH('Monthly Cash Flow'!AB$4,'Sponsor Pro Forma'!$O$15:$Z$15,0))/12,IF('Sponsor Pro Forma'!$L$42="Annual",'Monthly Cash Flow'!AA83*(1+'Sponsor Pro Forma'!$M27)^(IF(MOD(AB$5,12)=1,1,0)),'Monthly Cash Flow'!AA83*(1+'Sponsor Pro Forma'!$M27/12)))</f>
        <v>13217.160000000002</v>
      </c>
      <c r="AC83" s="1300">
        <f>IF('Sponsor Pro Forma'!$N27="Override",INDEX('Sponsor Pro Forma'!$O$16:$Z$34,MATCH('Monthly Cash Flow'!$B83,'Sponsor Pro Forma'!$B$16:$B$34,0),MATCH('Monthly Cash Flow'!AC$4,'Sponsor Pro Forma'!$O$15:$Z$15,0))/12,IF('Sponsor Pro Forma'!$L$42="Annual",'Monthly Cash Flow'!AB83*(1+'Sponsor Pro Forma'!$M27)^(IF(MOD(AC$5,12)=1,1,0)),'Monthly Cash Flow'!AB83*(1+'Sponsor Pro Forma'!$M27/12)))</f>
        <v>13481.503200000001</v>
      </c>
      <c r="AD83" s="1300">
        <f>IF('Sponsor Pro Forma'!$N27="Override",INDEX('Sponsor Pro Forma'!$O$16:$Z$34,MATCH('Monthly Cash Flow'!$B83,'Sponsor Pro Forma'!$B$16:$B$34,0),MATCH('Monthly Cash Flow'!AD$4,'Sponsor Pro Forma'!$O$15:$Z$15,0))/12,IF('Sponsor Pro Forma'!$L$42="Annual",'Monthly Cash Flow'!AC83*(1+'Sponsor Pro Forma'!$M27)^(IF(MOD(AD$5,12)=1,1,0)),'Monthly Cash Flow'!AC83*(1+'Sponsor Pro Forma'!$M27/12)))</f>
        <v>13481.503200000001</v>
      </c>
      <c r="AE83" s="1300">
        <f>IF('Sponsor Pro Forma'!$N27="Override",INDEX('Sponsor Pro Forma'!$O$16:$Z$34,MATCH('Monthly Cash Flow'!$B83,'Sponsor Pro Forma'!$B$16:$B$34,0),MATCH('Monthly Cash Flow'!AE$4,'Sponsor Pro Forma'!$O$15:$Z$15,0))/12,IF('Sponsor Pro Forma'!$L$42="Annual",'Monthly Cash Flow'!AD83*(1+'Sponsor Pro Forma'!$M27)^(IF(MOD(AE$5,12)=1,1,0)),'Monthly Cash Flow'!AD83*(1+'Sponsor Pro Forma'!$M27/12)))</f>
        <v>13481.503200000001</v>
      </c>
      <c r="AF83" s="1300">
        <f>IF('Sponsor Pro Forma'!$N27="Override",INDEX('Sponsor Pro Forma'!$O$16:$Z$34,MATCH('Monthly Cash Flow'!$B83,'Sponsor Pro Forma'!$B$16:$B$34,0),MATCH('Monthly Cash Flow'!AF$4,'Sponsor Pro Forma'!$O$15:$Z$15,0))/12,IF('Sponsor Pro Forma'!$L$42="Annual",'Monthly Cash Flow'!AE83*(1+'Sponsor Pro Forma'!$M27)^(IF(MOD(AF$5,12)=1,1,0)),'Monthly Cash Flow'!AE83*(1+'Sponsor Pro Forma'!$M27/12)))</f>
        <v>13481.503200000001</v>
      </c>
      <c r="AG83" s="1300">
        <f>IF('Sponsor Pro Forma'!$N27="Override",INDEX('Sponsor Pro Forma'!$O$16:$Z$34,MATCH('Monthly Cash Flow'!$B83,'Sponsor Pro Forma'!$B$16:$B$34,0),MATCH('Monthly Cash Flow'!AG$4,'Sponsor Pro Forma'!$O$15:$Z$15,0))/12,IF('Sponsor Pro Forma'!$L$42="Annual",'Monthly Cash Flow'!AF83*(1+'Sponsor Pro Forma'!$M27)^(IF(MOD(AG$5,12)=1,1,0)),'Monthly Cash Flow'!AF83*(1+'Sponsor Pro Forma'!$M27/12)))</f>
        <v>13481.503200000001</v>
      </c>
      <c r="AH83" s="1300">
        <f>IF('Sponsor Pro Forma'!$N27="Override",INDEX('Sponsor Pro Forma'!$O$16:$Z$34,MATCH('Monthly Cash Flow'!$B83,'Sponsor Pro Forma'!$B$16:$B$34,0),MATCH('Monthly Cash Flow'!AH$4,'Sponsor Pro Forma'!$O$15:$Z$15,0))/12,IF('Sponsor Pro Forma'!$L$42="Annual",'Monthly Cash Flow'!AG83*(1+'Sponsor Pro Forma'!$M27)^(IF(MOD(AH$5,12)=1,1,0)),'Monthly Cash Flow'!AG83*(1+'Sponsor Pro Forma'!$M27/12)))</f>
        <v>13481.503200000001</v>
      </c>
      <c r="AI83" s="1300">
        <f>IF('Sponsor Pro Forma'!$N27="Override",INDEX('Sponsor Pro Forma'!$O$16:$Z$34,MATCH('Monthly Cash Flow'!$B83,'Sponsor Pro Forma'!$B$16:$B$34,0),MATCH('Monthly Cash Flow'!AI$4,'Sponsor Pro Forma'!$O$15:$Z$15,0))/12,IF('Sponsor Pro Forma'!$L$42="Annual",'Monthly Cash Flow'!AH83*(1+'Sponsor Pro Forma'!$M27)^(IF(MOD(AI$5,12)=1,1,0)),'Monthly Cash Flow'!AH83*(1+'Sponsor Pro Forma'!$M27/12)))</f>
        <v>13481.503200000001</v>
      </c>
      <c r="AJ83" s="1300">
        <f>IF('Sponsor Pro Forma'!$N27="Override",INDEX('Sponsor Pro Forma'!$O$16:$Z$34,MATCH('Monthly Cash Flow'!$B83,'Sponsor Pro Forma'!$B$16:$B$34,0),MATCH('Monthly Cash Flow'!AJ$4,'Sponsor Pro Forma'!$O$15:$Z$15,0))/12,IF('Sponsor Pro Forma'!$L$42="Annual",'Monthly Cash Flow'!AI83*(1+'Sponsor Pro Forma'!$M27)^(IF(MOD(AJ$5,12)=1,1,0)),'Monthly Cash Flow'!AI83*(1+'Sponsor Pro Forma'!$M27/12)))</f>
        <v>13481.503200000001</v>
      </c>
      <c r="AK83" s="1300">
        <f>IF('Sponsor Pro Forma'!$N27="Override",INDEX('Sponsor Pro Forma'!$O$16:$Z$34,MATCH('Monthly Cash Flow'!$B83,'Sponsor Pro Forma'!$B$16:$B$34,0),MATCH('Monthly Cash Flow'!AK$4,'Sponsor Pro Forma'!$O$15:$Z$15,0))/12,IF('Sponsor Pro Forma'!$L$42="Annual",'Monthly Cash Flow'!AJ83*(1+'Sponsor Pro Forma'!$M27)^(IF(MOD(AK$5,12)=1,1,0)),'Monthly Cash Flow'!AJ83*(1+'Sponsor Pro Forma'!$M27/12)))</f>
        <v>13481.503200000001</v>
      </c>
      <c r="AL83" s="1300">
        <f>IF('Sponsor Pro Forma'!$N27="Override",INDEX('Sponsor Pro Forma'!$O$16:$Z$34,MATCH('Monthly Cash Flow'!$B83,'Sponsor Pro Forma'!$B$16:$B$34,0),MATCH('Monthly Cash Flow'!AL$4,'Sponsor Pro Forma'!$O$15:$Z$15,0))/12,IF('Sponsor Pro Forma'!$L$42="Annual",'Monthly Cash Flow'!AK83*(1+'Sponsor Pro Forma'!$M27)^(IF(MOD(AL$5,12)=1,1,0)),'Monthly Cash Flow'!AK83*(1+'Sponsor Pro Forma'!$M27/12)))</f>
        <v>13481.503200000001</v>
      </c>
      <c r="AM83" s="1300">
        <f>IF('Sponsor Pro Forma'!$N27="Override",INDEX('Sponsor Pro Forma'!$O$16:$Z$34,MATCH('Monthly Cash Flow'!$B83,'Sponsor Pro Forma'!$B$16:$B$34,0),MATCH('Monthly Cash Flow'!AM$4,'Sponsor Pro Forma'!$O$15:$Z$15,0))/12,IF('Sponsor Pro Forma'!$L$42="Annual",'Monthly Cash Flow'!AL83*(1+'Sponsor Pro Forma'!$M27)^(IF(MOD(AM$5,12)=1,1,0)),'Monthly Cash Flow'!AL83*(1+'Sponsor Pro Forma'!$M27/12)))</f>
        <v>13481.503200000001</v>
      </c>
      <c r="AN83" s="1300">
        <f>IF('Sponsor Pro Forma'!$N27="Override",INDEX('Sponsor Pro Forma'!$O$16:$Z$34,MATCH('Monthly Cash Flow'!$B83,'Sponsor Pro Forma'!$B$16:$B$34,0),MATCH('Monthly Cash Flow'!AN$4,'Sponsor Pro Forma'!$O$15:$Z$15,0))/12,IF('Sponsor Pro Forma'!$L$42="Annual",'Monthly Cash Flow'!AM83*(1+'Sponsor Pro Forma'!$M27)^(IF(MOD(AN$5,12)=1,1,0)),'Monthly Cash Flow'!AM83*(1+'Sponsor Pro Forma'!$M27/12)))</f>
        <v>13481.503200000001</v>
      </c>
      <c r="AO83" s="1300">
        <f>IF('Sponsor Pro Forma'!$N27="Override",INDEX('Sponsor Pro Forma'!$O$16:$Z$34,MATCH('Monthly Cash Flow'!$B83,'Sponsor Pro Forma'!$B$16:$B$34,0),MATCH('Monthly Cash Flow'!AO$4,'Sponsor Pro Forma'!$O$15:$Z$15,0))/12,IF('Sponsor Pro Forma'!$L$42="Annual",'Monthly Cash Flow'!AN83*(1+'Sponsor Pro Forma'!$M27)^(IF(MOD(AO$5,12)=1,1,0)),'Monthly Cash Flow'!AN83*(1+'Sponsor Pro Forma'!$M27/12)))</f>
        <v>13751.133264000002</v>
      </c>
      <c r="AP83" s="1300">
        <f>IF('Sponsor Pro Forma'!$N27="Override",INDEX('Sponsor Pro Forma'!$O$16:$Z$34,MATCH('Monthly Cash Flow'!$B83,'Sponsor Pro Forma'!$B$16:$B$34,0),MATCH('Monthly Cash Flow'!AP$4,'Sponsor Pro Forma'!$O$15:$Z$15,0))/12,IF('Sponsor Pro Forma'!$L$42="Annual",'Monthly Cash Flow'!AO83*(1+'Sponsor Pro Forma'!$M27)^(IF(MOD(AP$5,12)=1,1,0)),'Monthly Cash Flow'!AO83*(1+'Sponsor Pro Forma'!$M27/12)))</f>
        <v>13751.133264000002</v>
      </c>
      <c r="AQ83" s="1300">
        <f>IF('Sponsor Pro Forma'!$N27="Override",INDEX('Sponsor Pro Forma'!$O$16:$Z$34,MATCH('Monthly Cash Flow'!$B83,'Sponsor Pro Forma'!$B$16:$B$34,0),MATCH('Monthly Cash Flow'!AQ$4,'Sponsor Pro Forma'!$O$15:$Z$15,0))/12,IF('Sponsor Pro Forma'!$L$42="Annual",'Monthly Cash Flow'!AP83*(1+'Sponsor Pro Forma'!$M27)^(IF(MOD(AQ$5,12)=1,1,0)),'Monthly Cash Flow'!AP83*(1+'Sponsor Pro Forma'!$M27/12)))</f>
        <v>13751.133264000002</v>
      </c>
      <c r="AR83" s="1300">
        <f>IF('Sponsor Pro Forma'!$N27="Override",INDEX('Sponsor Pro Forma'!$O$16:$Z$34,MATCH('Monthly Cash Flow'!$B83,'Sponsor Pro Forma'!$B$16:$B$34,0),MATCH('Monthly Cash Flow'!AR$4,'Sponsor Pro Forma'!$O$15:$Z$15,0))/12,IF('Sponsor Pro Forma'!$L$42="Annual",'Monthly Cash Flow'!AQ83*(1+'Sponsor Pro Forma'!$M27)^(IF(MOD(AR$5,12)=1,1,0)),'Monthly Cash Flow'!AQ83*(1+'Sponsor Pro Forma'!$M27/12)))</f>
        <v>13751.133264000002</v>
      </c>
      <c r="AS83" s="1300">
        <f>IF('Sponsor Pro Forma'!$N27="Override",INDEX('Sponsor Pro Forma'!$O$16:$Z$34,MATCH('Monthly Cash Flow'!$B83,'Sponsor Pro Forma'!$B$16:$B$34,0),MATCH('Monthly Cash Flow'!AS$4,'Sponsor Pro Forma'!$O$15:$Z$15,0))/12,IF('Sponsor Pro Forma'!$L$42="Annual",'Monthly Cash Flow'!AR83*(1+'Sponsor Pro Forma'!$M27)^(IF(MOD(AS$5,12)=1,1,0)),'Monthly Cash Flow'!AR83*(1+'Sponsor Pro Forma'!$M27/12)))</f>
        <v>13751.133264000002</v>
      </c>
      <c r="AT83" s="1300">
        <f>IF('Sponsor Pro Forma'!$N27="Override",INDEX('Sponsor Pro Forma'!$O$16:$Z$34,MATCH('Monthly Cash Flow'!$B83,'Sponsor Pro Forma'!$B$16:$B$34,0),MATCH('Monthly Cash Flow'!AT$4,'Sponsor Pro Forma'!$O$15:$Z$15,0))/12,IF('Sponsor Pro Forma'!$L$42="Annual",'Monthly Cash Flow'!AS83*(1+'Sponsor Pro Forma'!$M27)^(IF(MOD(AT$5,12)=1,1,0)),'Monthly Cash Flow'!AS83*(1+'Sponsor Pro Forma'!$M27/12)))</f>
        <v>13751.133264000002</v>
      </c>
      <c r="AU83" s="1300">
        <f>IF('Sponsor Pro Forma'!$N27="Override",INDEX('Sponsor Pro Forma'!$O$16:$Z$34,MATCH('Monthly Cash Flow'!$B83,'Sponsor Pro Forma'!$B$16:$B$34,0),MATCH('Monthly Cash Flow'!AU$4,'Sponsor Pro Forma'!$O$15:$Z$15,0))/12,IF('Sponsor Pro Forma'!$L$42="Annual",'Monthly Cash Flow'!AT83*(1+'Sponsor Pro Forma'!$M27)^(IF(MOD(AU$5,12)=1,1,0)),'Monthly Cash Flow'!AT83*(1+'Sponsor Pro Forma'!$M27/12)))</f>
        <v>13751.133264000002</v>
      </c>
      <c r="AV83" s="1300">
        <f>IF('Sponsor Pro Forma'!$N27="Override",INDEX('Sponsor Pro Forma'!$O$16:$Z$34,MATCH('Monthly Cash Flow'!$B83,'Sponsor Pro Forma'!$B$16:$B$34,0),MATCH('Monthly Cash Flow'!AV$4,'Sponsor Pro Forma'!$O$15:$Z$15,0))/12,IF('Sponsor Pro Forma'!$L$42="Annual",'Monthly Cash Flow'!AU83*(1+'Sponsor Pro Forma'!$M27)^(IF(MOD(AV$5,12)=1,1,0)),'Monthly Cash Flow'!AU83*(1+'Sponsor Pro Forma'!$M27/12)))</f>
        <v>13751.133264000002</v>
      </c>
      <c r="AW83" s="1300">
        <f>IF('Sponsor Pro Forma'!$N27="Override",INDEX('Sponsor Pro Forma'!$O$16:$Z$34,MATCH('Monthly Cash Flow'!$B83,'Sponsor Pro Forma'!$B$16:$B$34,0),MATCH('Monthly Cash Flow'!AW$4,'Sponsor Pro Forma'!$O$15:$Z$15,0))/12,IF('Sponsor Pro Forma'!$L$42="Annual",'Monthly Cash Flow'!AV83*(1+'Sponsor Pro Forma'!$M27)^(IF(MOD(AW$5,12)=1,1,0)),'Monthly Cash Flow'!AV83*(1+'Sponsor Pro Forma'!$M27/12)))</f>
        <v>13751.133264000002</v>
      </c>
      <c r="AX83" s="1300">
        <f>IF('Sponsor Pro Forma'!$N27="Override",INDEX('Sponsor Pro Forma'!$O$16:$Z$34,MATCH('Monthly Cash Flow'!$B83,'Sponsor Pro Forma'!$B$16:$B$34,0),MATCH('Monthly Cash Flow'!AX$4,'Sponsor Pro Forma'!$O$15:$Z$15,0))/12,IF('Sponsor Pro Forma'!$L$42="Annual",'Monthly Cash Flow'!AW83*(1+'Sponsor Pro Forma'!$M27)^(IF(MOD(AX$5,12)=1,1,0)),'Monthly Cash Flow'!AW83*(1+'Sponsor Pro Forma'!$M27/12)))</f>
        <v>13751.133264000002</v>
      </c>
      <c r="AY83" s="1300">
        <f>IF('Sponsor Pro Forma'!$N27="Override",INDEX('Sponsor Pro Forma'!$O$16:$Z$34,MATCH('Monthly Cash Flow'!$B83,'Sponsor Pro Forma'!$B$16:$B$34,0),MATCH('Monthly Cash Flow'!AY$4,'Sponsor Pro Forma'!$O$15:$Z$15,0))/12,IF('Sponsor Pro Forma'!$L$42="Annual",'Monthly Cash Flow'!AX83*(1+'Sponsor Pro Forma'!$M27)^(IF(MOD(AY$5,12)=1,1,0)),'Monthly Cash Flow'!AX83*(1+'Sponsor Pro Forma'!$M27/12)))</f>
        <v>13751.133264000002</v>
      </c>
      <c r="AZ83" s="1300">
        <f>IF('Sponsor Pro Forma'!$N27="Override",INDEX('Sponsor Pro Forma'!$O$16:$Z$34,MATCH('Monthly Cash Flow'!$B83,'Sponsor Pro Forma'!$B$16:$B$34,0),MATCH('Monthly Cash Flow'!AZ$4,'Sponsor Pro Forma'!$O$15:$Z$15,0))/12,IF('Sponsor Pro Forma'!$L$42="Annual",'Monthly Cash Flow'!AY83*(1+'Sponsor Pro Forma'!$M27)^(IF(MOD(AZ$5,12)=1,1,0)),'Monthly Cash Flow'!AY83*(1+'Sponsor Pro Forma'!$M27/12)))</f>
        <v>13751.133264000002</v>
      </c>
      <c r="BA83" s="1300">
        <f>IF('Sponsor Pro Forma'!$N27="Override",INDEX('Sponsor Pro Forma'!$O$16:$Z$34,MATCH('Monthly Cash Flow'!$B83,'Sponsor Pro Forma'!$B$16:$B$34,0),MATCH('Monthly Cash Flow'!BA$4,'Sponsor Pro Forma'!$O$15:$Z$15,0))/12,IF('Sponsor Pro Forma'!$L$42="Annual",'Monthly Cash Flow'!AZ83*(1+'Sponsor Pro Forma'!$M27)^(IF(MOD(BA$5,12)=1,1,0)),'Monthly Cash Flow'!AZ83*(1+'Sponsor Pro Forma'!$M27/12)))</f>
        <v>14026.155929280001</v>
      </c>
      <c r="BB83" s="1300">
        <f>IF('Sponsor Pro Forma'!$N27="Override",INDEX('Sponsor Pro Forma'!$O$16:$Z$34,MATCH('Monthly Cash Flow'!$B83,'Sponsor Pro Forma'!$B$16:$B$34,0),MATCH('Monthly Cash Flow'!BB$4,'Sponsor Pro Forma'!$O$15:$Z$15,0))/12,IF('Sponsor Pro Forma'!$L$42="Annual",'Monthly Cash Flow'!BA83*(1+'Sponsor Pro Forma'!$M27)^(IF(MOD(BB$5,12)=1,1,0)),'Monthly Cash Flow'!BA83*(1+'Sponsor Pro Forma'!$M27/12)))</f>
        <v>14026.155929280001</v>
      </c>
      <c r="BC83" s="1300">
        <f>IF('Sponsor Pro Forma'!$N27="Override",INDEX('Sponsor Pro Forma'!$O$16:$Z$34,MATCH('Monthly Cash Flow'!$B83,'Sponsor Pro Forma'!$B$16:$B$34,0),MATCH('Monthly Cash Flow'!BC$4,'Sponsor Pro Forma'!$O$15:$Z$15,0))/12,IF('Sponsor Pro Forma'!$L$42="Annual",'Monthly Cash Flow'!BB83*(1+'Sponsor Pro Forma'!$M27)^(IF(MOD(BC$5,12)=1,1,0)),'Monthly Cash Flow'!BB83*(1+'Sponsor Pro Forma'!$M27/12)))</f>
        <v>14026.155929280001</v>
      </c>
      <c r="BD83" s="1300">
        <f>IF('Sponsor Pro Forma'!$N27="Override",INDEX('Sponsor Pro Forma'!$O$16:$Z$34,MATCH('Monthly Cash Flow'!$B83,'Sponsor Pro Forma'!$B$16:$B$34,0),MATCH('Monthly Cash Flow'!BD$4,'Sponsor Pro Forma'!$O$15:$Z$15,0))/12,IF('Sponsor Pro Forma'!$L$42="Annual",'Monthly Cash Flow'!BC83*(1+'Sponsor Pro Forma'!$M27)^(IF(MOD(BD$5,12)=1,1,0)),'Monthly Cash Flow'!BC83*(1+'Sponsor Pro Forma'!$M27/12)))</f>
        <v>14026.155929280001</v>
      </c>
      <c r="BE83" s="1300">
        <f>IF('Sponsor Pro Forma'!$N27="Override",INDEX('Sponsor Pro Forma'!$O$16:$Z$34,MATCH('Monthly Cash Flow'!$B83,'Sponsor Pro Forma'!$B$16:$B$34,0),MATCH('Monthly Cash Flow'!BE$4,'Sponsor Pro Forma'!$O$15:$Z$15,0))/12,IF('Sponsor Pro Forma'!$L$42="Annual",'Monthly Cash Flow'!BD83*(1+'Sponsor Pro Forma'!$M27)^(IF(MOD(BE$5,12)=1,1,0)),'Monthly Cash Flow'!BD83*(1+'Sponsor Pro Forma'!$M27/12)))</f>
        <v>14026.155929280001</v>
      </c>
      <c r="BF83" s="1300">
        <f>IF('Sponsor Pro Forma'!$N27="Override",INDEX('Sponsor Pro Forma'!$O$16:$Z$34,MATCH('Monthly Cash Flow'!$B83,'Sponsor Pro Forma'!$B$16:$B$34,0),MATCH('Monthly Cash Flow'!BF$4,'Sponsor Pro Forma'!$O$15:$Z$15,0))/12,IF('Sponsor Pro Forma'!$L$42="Annual",'Monthly Cash Flow'!BE83*(1+'Sponsor Pro Forma'!$M27)^(IF(MOD(BF$5,12)=1,1,0)),'Monthly Cash Flow'!BE83*(1+'Sponsor Pro Forma'!$M27/12)))</f>
        <v>14026.155929280001</v>
      </c>
      <c r="BG83" s="1300">
        <f>IF('Sponsor Pro Forma'!$N27="Override",INDEX('Sponsor Pro Forma'!$O$16:$Z$34,MATCH('Monthly Cash Flow'!$B83,'Sponsor Pro Forma'!$B$16:$B$34,0),MATCH('Monthly Cash Flow'!BG$4,'Sponsor Pro Forma'!$O$15:$Z$15,0))/12,IF('Sponsor Pro Forma'!$L$42="Annual",'Monthly Cash Flow'!BF83*(1+'Sponsor Pro Forma'!$M27)^(IF(MOD(BG$5,12)=1,1,0)),'Monthly Cash Flow'!BF83*(1+'Sponsor Pro Forma'!$M27/12)))</f>
        <v>14026.155929280001</v>
      </c>
      <c r="BH83" s="1300">
        <f>IF('Sponsor Pro Forma'!$N27="Override",INDEX('Sponsor Pro Forma'!$O$16:$Z$34,MATCH('Monthly Cash Flow'!$B83,'Sponsor Pro Forma'!$B$16:$B$34,0),MATCH('Monthly Cash Flow'!BH$4,'Sponsor Pro Forma'!$O$15:$Z$15,0))/12,IF('Sponsor Pro Forma'!$L$42="Annual",'Monthly Cash Flow'!BG83*(1+'Sponsor Pro Forma'!$M27)^(IF(MOD(BH$5,12)=1,1,0)),'Monthly Cash Flow'!BG83*(1+'Sponsor Pro Forma'!$M27/12)))</f>
        <v>14026.155929280001</v>
      </c>
      <c r="BI83" s="1300">
        <f>IF('Sponsor Pro Forma'!$N27="Override",INDEX('Sponsor Pro Forma'!$O$16:$Z$34,MATCH('Monthly Cash Flow'!$B83,'Sponsor Pro Forma'!$B$16:$B$34,0),MATCH('Monthly Cash Flow'!BI$4,'Sponsor Pro Forma'!$O$15:$Z$15,0))/12,IF('Sponsor Pro Forma'!$L$42="Annual",'Monthly Cash Flow'!BH83*(1+'Sponsor Pro Forma'!$M27)^(IF(MOD(BI$5,12)=1,1,0)),'Monthly Cash Flow'!BH83*(1+'Sponsor Pro Forma'!$M27/12)))</f>
        <v>14026.155929280001</v>
      </c>
      <c r="BJ83" s="1300">
        <f>IF('Sponsor Pro Forma'!$N27="Override",INDEX('Sponsor Pro Forma'!$O$16:$Z$34,MATCH('Monthly Cash Flow'!$B83,'Sponsor Pro Forma'!$B$16:$B$34,0),MATCH('Monthly Cash Flow'!BJ$4,'Sponsor Pro Forma'!$O$15:$Z$15,0))/12,IF('Sponsor Pro Forma'!$L$42="Annual",'Monthly Cash Flow'!BI83*(1+'Sponsor Pro Forma'!$M27)^(IF(MOD(BJ$5,12)=1,1,0)),'Monthly Cash Flow'!BI83*(1+'Sponsor Pro Forma'!$M27/12)))</f>
        <v>14026.155929280001</v>
      </c>
      <c r="BK83" s="1300">
        <f>IF('Sponsor Pro Forma'!$N27="Override",INDEX('Sponsor Pro Forma'!$O$16:$Z$34,MATCH('Monthly Cash Flow'!$B83,'Sponsor Pro Forma'!$B$16:$B$34,0),MATCH('Monthly Cash Flow'!BK$4,'Sponsor Pro Forma'!$O$15:$Z$15,0))/12,IF('Sponsor Pro Forma'!$L$42="Annual",'Monthly Cash Flow'!BJ83*(1+'Sponsor Pro Forma'!$M27)^(IF(MOD(BK$5,12)=1,1,0)),'Monthly Cash Flow'!BJ83*(1+'Sponsor Pro Forma'!$M27/12)))</f>
        <v>14026.155929280001</v>
      </c>
      <c r="BL83" s="1300">
        <f>IF('Sponsor Pro Forma'!$N27="Override",INDEX('Sponsor Pro Forma'!$O$16:$Z$34,MATCH('Monthly Cash Flow'!$B83,'Sponsor Pro Forma'!$B$16:$B$34,0),MATCH('Monthly Cash Flow'!BL$4,'Sponsor Pro Forma'!$O$15:$Z$15,0))/12,IF('Sponsor Pro Forma'!$L$42="Annual",'Monthly Cash Flow'!BK83*(1+'Sponsor Pro Forma'!$M27)^(IF(MOD(BL$5,12)=1,1,0)),'Monthly Cash Flow'!BK83*(1+'Sponsor Pro Forma'!$M27/12)))</f>
        <v>14026.155929280001</v>
      </c>
      <c r="BM83" s="1300">
        <f>IF('Sponsor Pro Forma'!$N27="Override",INDEX('Sponsor Pro Forma'!$O$16:$Z$34,MATCH('Monthly Cash Flow'!$B83,'Sponsor Pro Forma'!$B$16:$B$34,0),MATCH('Monthly Cash Flow'!BM$4,'Sponsor Pro Forma'!$O$15:$Z$15,0))/12,IF('Sponsor Pro Forma'!$L$42="Annual",'Monthly Cash Flow'!BL83*(1+'Sponsor Pro Forma'!$M27)^(IF(MOD(BM$5,12)=1,1,0)),'Monthly Cash Flow'!BL83*(1+'Sponsor Pro Forma'!$M27/12)))</f>
        <v>14306.679047865602</v>
      </c>
      <c r="BN83" s="1300">
        <f>IF('Sponsor Pro Forma'!$N27="Override",INDEX('Sponsor Pro Forma'!$O$16:$Z$34,MATCH('Monthly Cash Flow'!$B83,'Sponsor Pro Forma'!$B$16:$B$34,0),MATCH('Monthly Cash Flow'!BN$4,'Sponsor Pro Forma'!$O$15:$Z$15,0))/12,IF('Sponsor Pro Forma'!$L$42="Annual",'Monthly Cash Flow'!BM83*(1+'Sponsor Pro Forma'!$M27)^(IF(MOD(BN$5,12)=1,1,0)),'Monthly Cash Flow'!BM83*(1+'Sponsor Pro Forma'!$M27/12)))</f>
        <v>14306.679047865602</v>
      </c>
      <c r="BO83" s="1300">
        <f>IF('Sponsor Pro Forma'!$N27="Override",INDEX('Sponsor Pro Forma'!$O$16:$Z$34,MATCH('Monthly Cash Flow'!$B83,'Sponsor Pro Forma'!$B$16:$B$34,0),MATCH('Monthly Cash Flow'!BO$4,'Sponsor Pro Forma'!$O$15:$Z$15,0))/12,IF('Sponsor Pro Forma'!$L$42="Annual",'Monthly Cash Flow'!BN83*(1+'Sponsor Pro Forma'!$M27)^(IF(MOD(BO$5,12)=1,1,0)),'Monthly Cash Flow'!BN83*(1+'Sponsor Pro Forma'!$M27/12)))</f>
        <v>14306.679047865602</v>
      </c>
      <c r="BP83" s="1300">
        <f>IF('Sponsor Pro Forma'!$N27="Override",INDEX('Sponsor Pro Forma'!$O$16:$Z$34,MATCH('Monthly Cash Flow'!$B83,'Sponsor Pro Forma'!$B$16:$B$34,0),MATCH('Monthly Cash Flow'!BP$4,'Sponsor Pro Forma'!$O$15:$Z$15,0))/12,IF('Sponsor Pro Forma'!$L$42="Annual",'Monthly Cash Flow'!BO83*(1+'Sponsor Pro Forma'!$M27)^(IF(MOD(BP$5,12)=1,1,0)),'Monthly Cash Flow'!BO83*(1+'Sponsor Pro Forma'!$M27/12)))</f>
        <v>14306.679047865602</v>
      </c>
      <c r="BQ83" s="1300">
        <f>IF('Sponsor Pro Forma'!$N27="Override",INDEX('Sponsor Pro Forma'!$O$16:$Z$34,MATCH('Monthly Cash Flow'!$B83,'Sponsor Pro Forma'!$B$16:$B$34,0),MATCH('Monthly Cash Flow'!BQ$4,'Sponsor Pro Forma'!$O$15:$Z$15,0))/12,IF('Sponsor Pro Forma'!$L$42="Annual",'Monthly Cash Flow'!BP83*(1+'Sponsor Pro Forma'!$M27)^(IF(MOD(BQ$5,12)=1,1,0)),'Monthly Cash Flow'!BP83*(1+'Sponsor Pro Forma'!$M27/12)))</f>
        <v>14306.679047865602</v>
      </c>
      <c r="BR83" s="1300">
        <f>IF('Sponsor Pro Forma'!$N27="Override",INDEX('Sponsor Pro Forma'!$O$16:$Z$34,MATCH('Monthly Cash Flow'!$B83,'Sponsor Pro Forma'!$B$16:$B$34,0),MATCH('Monthly Cash Flow'!BR$4,'Sponsor Pro Forma'!$O$15:$Z$15,0))/12,IF('Sponsor Pro Forma'!$L$42="Annual",'Monthly Cash Flow'!BQ83*(1+'Sponsor Pro Forma'!$M27)^(IF(MOD(BR$5,12)=1,1,0)),'Monthly Cash Flow'!BQ83*(1+'Sponsor Pro Forma'!$M27/12)))</f>
        <v>14306.679047865602</v>
      </c>
      <c r="BS83" s="1300">
        <f>IF('Sponsor Pro Forma'!$N27="Override",INDEX('Sponsor Pro Forma'!$O$16:$Z$34,MATCH('Monthly Cash Flow'!$B83,'Sponsor Pro Forma'!$B$16:$B$34,0),MATCH('Monthly Cash Flow'!BS$4,'Sponsor Pro Forma'!$O$15:$Z$15,0))/12,IF('Sponsor Pro Forma'!$L$42="Annual",'Monthly Cash Flow'!BR83*(1+'Sponsor Pro Forma'!$M27)^(IF(MOD(BS$5,12)=1,1,0)),'Monthly Cash Flow'!BR83*(1+'Sponsor Pro Forma'!$M27/12)))</f>
        <v>14306.679047865602</v>
      </c>
      <c r="BT83" s="1300">
        <f>IF('Sponsor Pro Forma'!$N27="Override",INDEX('Sponsor Pro Forma'!$O$16:$Z$34,MATCH('Monthly Cash Flow'!$B83,'Sponsor Pro Forma'!$B$16:$B$34,0),MATCH('Monthly Cash Flow'!BT$4,'Sponsor Pro Forma'!$O$15:$Z$15,0))/12,IF('Sponsor Pro Forma'!$L$42="Annual",'Monthly Cash Flow'!BS83*(1+'Sponsor Pro Forma'!$M27)^(IF(MOD(BT$5,12)=1,1,0)),'Monthly Cash Flow'!BS83*(1+'Sponsor Pro Forma'!$M27/12)))</f>
        <v>14306.679047865602</v>
      </c>
      <c r="BU83" s="1300">
        <f>IF('Sponsor Pro Forma'!$N27="Override",INDEX('Sponsor Pro Forma'!$O$16:$Z$34,MATCH('Monthly Cash Flow'!$B83,'Sponsor Pro Forma'!$B$16:$B$34,0),MATCH('Monthly Cash Flow'!BU$4,'Sponsor Pro Forma'!$O$15:$Z$15,0))/12,IF('Sponsor Pro Forma'!$L$42="Annual",'Monthly Cash Flow'!BT83*(1+'Sponsor Pro Forma'!$M27)^(IF(MOD(BU$5,12)=1,1,0)),'Monthly Cash Flow'!BT83*(1+'Sponsor Pro Forma'!$M27/12)))</f>
        <v>14306.679047865602</v>
      </c>
      <c r="BV83" s="1300">
        <f>IF('Sponsor Pro Forma'!$N27="Override",INDEX('Sponsor Pro Forma'!$O$16:$Z$34,MATCH('Monthly Cash Flow'!$B83,'Sponsor Pro Forma'!$B$16:$B$34,0),MATCH('Monthly Cash Flow'!BV$4,'Sponsor Pro Forma'!$O$15:$Z$15,0))/12,IF('Sponsor Pro Forma'!$L$42="Annual",'Monthly Cash Flow'!BU83*(1+'Sponsor Pro Forma'!$M27)^(IF(MOD(BV$5,12)=1,1,0)),'Monthly Cash Flow'!BU83*(1+'Sponsor Pro Forma'!$M27/12)))</f>
        <v>14306.679047865602</v>
      </c>
      <c r="BW83" s="1300">
        <f>IF('Sponsor Pro Forma'!$N27="Override",INDEX('Sponsor Pro Forma'!$O$16:$Z$34,MATCH('Monthly Cash Flow'!$B83,'Sponsor Pro Forma'!$B$16:$B$34,0),MATCH('Monthly Cash Flow'!BW$4,'Sponsor Pro Forma'!$O$15:$Z$15,0))/12,IF('Sponsor Pro Forma'!$L$42="Annual",'Monthly Cash Flow'!BV83*(1+'Sponsor Pro Forma'!$M27)^(IF(MOD(BW$5,12)=1,1,0)),'Monthly Cash Flow'!BV83*(1+'Sponsor Pro Forma'!$M27/12)))</f>
        <v>14306.679047865602</v>
      </c>
      <c r="BX83" s="1300">
        <f>IF('Sponsor Pro Forma'!$N27="Override",INDEX('Sponsor Pro Forma'!$O$16:$Z$34,MATCH('Monthly Cash Flow'!$B83,'Sponsor Pro Forma'!$B$16:$B$34,0),MATCH('Monthly Cash Flow'!BX$4,'Sponsor Pro Forma'!$O$15:$Z$15,0))/12,IF('Sponsor Pro Forma'!$L$42="Annual",'Monthly Cash Flow'!BW83*(1+'Sponsor Pro Forma'!$M27)^(IF(MOD(BX$5,12)=1,1,0)),'Monthly Cash Flow'!BW83*(1+'Sponsor Pro Forma'!$M27/12)))</f>
        <v>14306.679047865602</v>
      </c>
      <c r="BY83" s="1300">
        <f>IF('Sponsor Pro Forma'!$N27="Override",INDEX('Sponsor Pro Forma'!$O$16:$Z$34,MATCH('Monthly Cash Flow'!$B83,'Sponsor Pro Forma'!$B$16:$B$34,0),MATCH('Monthly Cash Flow'!BY$4,'Sponsor Pro Forma'!$O$15:$Z$15,0))/12,IF('Sponsor Pro Forma'!$L$42="Annual",'Monthly Cash Flow'!BX83*(1+'Sponsor Pro Forma'!$M27)^(IF(MOD(BY$5,12)=1,1,0)),'Monthly Cash Flow'!BX83*(1+'Sponsor Pro Forma'!$M27/12)))</f>
        <v>14592.812628822912</v>
      </c>
      <c r="BZ83" s="1300">
        <f>IF('Sponsor Pro Forma'!$N27="Override",INDEX('Sponsor Pro Forma'!$O$16:$Z$34,MATCH('Monthly Cash Flow'!$B83,'Sponsor Pro Forma'!$B$16:$B$34,0),MATCH('Monthly Cash Flow'!BZ$4,'Sponsor Pro Forma'!$O$15:$Z$15,0))/12,IF('Sponsor Pro Forma'!$L$42="Annual",'Monthly Cash Flow'!BY83*(1+'Sponsor Pro Forma'!$M27)^(IF(MOD(BZ$5,12)=1,1,0)),'Monthly Cash Flow'!BY83*(1+'Sponsor Pro Forma'!$M27/12)))</f>
        <v>14592.812628822912</v>
      </c>
      <c r="CA83" s="1300">
        <f>IF('Sponsor Pro Forma'!$N27="Override",INDEX('Sponsor Pro Forma'!$O$16:$Z$34,MATCH('Monthly Cash Flow'!$B83,'Sponsor Pro Forma'!$B$16:$B$34,0),MATCH('Monthly Cash Flow'!CA$4,'Sponsor Pro Forma'!$O$15:$Z$15,0))/12,IF('Sponsor Pro Forma'!$L$42="Annual",'Monthly Cash Flow'!BZ83*(1+'Sponsor Pro Forma'!$M27)^(IF(MOD(CA$5,12)=1,1,0)),'Monthly Cash Flow'!BZ83*(1+'Sponsor Pro Forma'!$M27/12)))</f>
        <v>14592.812628822912</v>
      </c>
      <c r="CB83" s="1300">
        <f>IF('Sponsor Pro Forma'!$N27="Override",INDEX('Sponsor Pro Forma'!$O$16:$Z$34,MATCH('Monthly Cash Flow'!$B83,'Sponsor Pro Forma'!$B$16:$B$34,0),MATCH('Monthly Cash Flow'!CB$4,'Sponsor Pro Forma'!$O$15:$Z$15,0))/12,IF('Sponsor Pro Forma'!$L$42="Annual",'Monthly Cash Flow'!CA83*(1+'Sponsor Pro Forma'!$M27)^(IF(MOD(CB$5,12)=1,1,0)),'Monthly Cash Flow'!CA83*(1+'Sponsor Pro Forma'!$M27/12)))</f>
        <v>14592.812628822912</v>
      </c>
      <c r="CC83" s="1300">
        <f>IF('Sponsor Pro Forma'!$N27="Override",INDEX('Sponsor Pro Forma'!$O$16:$Z$34,MATCH('Monthly Cash Flow'!$B83,'Sponsor Pro Forma'!$B$16:$B$34,0),MATCH('Monthly Cash Flow'!CC$4,'Sponsor Pro Forma'!$O$15:$Z$15,0))/12,IF('Sponsor Pro Forma'!$L$42="Annual",'Monthly Cash Flow'!CB83*(1+'Sponsor Pro Forma'!$M27)^(IF(MOD(CC$5,12)=1,1,0)),'Monthly Cash Flow'!CB83*(1+'Sponsor Pro Forma'!$M27/12)))</f>
        <v>14592.812628822912</v>
      </c>
      <c r="CD83" s="1300">
        <f>IF('Sponsor Pro Forma'!$N27="Override",INDEX('Sponsor Pro Forma'!$O$16:$Z$34,MATCH('Monthly Cash Flow'!$B83,'Sponsor Pro Forma'!$B$16:$B$34,0),MATCH('Monthly Cash Flow'!CD$4,'Sponsor Pro Forma'!$O$15:$Z$15,0))/12,IF('Sponsor Pro Forma'!$L$42="Annual",'Monthly Cash Flow'!CC83*(1+'Sponsor Pro Forma'!$M27)^(IF(MOD(CD$5,12)=1,1,0)),'Monthly Cash Flow'!CC83*(1+'Sponsor Pro Forma'!$M27/12)))</f>
        <v>14592.812628822912</v>
      </c>
      <c r="CE83" s="1300">
        <f>IF('Sponsor Pro Forma'!$N27="Override",INDEX('Sponsor Pro Forma'!$O$16:$Z$34,MATCH('Monthly Cash Flow'!$B83,'Sponsor Pro Forma'!$B$16:$B$34,0),MATCH('Monthly Cash Flow'!CE$4,'Sponsor Pro Forma'!$O$15:$Z$15,0))/12,IF('Sponsor Pro Forma'!$L$42="Annual",'Monthly Cash Flow'!CD83*(1+'Sponsor Pro Forma'!$M27)^(IF(MOD(CE$5,12)=1,1,0)),'Monthly Cash Flow'!CD83*(1+'Sponsor Pro Forma'!$M27/12)))</f>
        <v>14592.812628822912</v>
      </c>
      <c r="CF83" s="1300">
        <f>IF('Sponsor Pro Forma'!$N27="Override",INDEX('Sponsor Pro Forma'!$O$16:$Z$34,MATCH('Monthly Cash Flow'!$B83,'Sponsor Pro Forma'!$B$16:$B$34,0),MATCH('Monthly Cash Flow'!CF$4,'Sponsor Pro Forma'!$O$15:$Z$15,0))/12,IF('Sponsor Pro Forma'!$L$42="Annual",'Monthly Cash Flow'!CE83*(1+'Sponsor Pro Forma'!$M27)^(IF(MOD(CF$5,12)=1,1,0)),'Monthly Cash Flow'!CE83*(1+'Sponsor Pro Forma'!$M27/12)))</f>
        <v>14592.812628822912</v>
      </c>
      <c r="CG83" s="1300">
        <f>IF('Sponsor Pro Forma'!$N27="Override",INDEX('Sponsor Pro Forma'!$O$16:$Z$34,MATCH('Monthly Cash Flow'!$B83,'Sponsor Pro Forma'!$B$16:$B$34,0),MATCH('Monthly Cash Flow'!CG$4,'Sponsor Pro Forma'!$O$15:$Z$15,0))/12,IF('Sponsor Pro Forma'!$L$42="Annual",'Monthly Cash Flow'!CF83*(1+'Sponsor Pro Forma'!$M27)^(IF(MOD(CG$5,12)=1,1,0)),'Monthly Cash Flow'!CF83*(1+'Sponsor Pro Forma'!$M27/12)))</f>
        <v>14592.812628822912</v>
      </c>
      <c r="CH83" s="1300">
        <f>IF('Sponsor Pro Forma'!$N27="Override",INDEX('Sponsor Pro Forma'!$O$16:$Z$34,MATCH('Monthly Cash Flow'!$B83,'Sponsor Pro Forma'!$B$16:$B$34,0),MATCH('Monthly Cash Flow'!CH$4,'Sponsor Pro Forma'!$O$15:$Z$15,0))/12,IF('Sponsor Pro Forma'!$L$42="Annual",'Monthly Cash Flow'!CG83*(1+'Sponsor Pro Forma'!$M27)^(IF(MOD(CH$5,12)=1,1,0)),'Monthly Cash Flow'!CG83*(1+'Sponsor Pro Forma'!$M27/12)))</f>
        <v>14592.812628822912</v>
      </c>
      <c r="CI83" s="1300">
        <f>IF('Sponsor Pro Forma'!$N27="Override",INDEX('Sponsor Pro Forma'!$O$16:$Z$34,MATCH('Monthly Cash Flow'!$B83,'Sponsor Pro Forma'!$B$16:$B$34,0),MATCH('Monthly Cash Flow'!CI$4,'Sponsor Pro Forma'!$O$15:$Z$15,0))/12,IF('Sponsor Pro Forma'!$L$42="Annual",'Monthly Cash Flow'!CH83*(1+'Sponsor Pro Forma'!$M27)^(IF(MOD(CI$5,12)=1,1,0)),'Monthly Cash Flow'!CH83*(1+'Sponsor Pro Forma'!$M27/12)))</f>
        <v>14592.812628822912</v>
      </c>
      <c r="CJ83" s="1300">
        <f>IF('Sponsor Pro Forma'!$N27="Override",INDEX('Sponsor Pro Forma'!$O$16:$Z$34,MATCH('Monthly Cash Flow'!$B83,'Sponsor Pro Forma'!$B$16:$B$34,0),MATCH('Monthly Cash Flow'!CJ$4,'Sponsor Pro Forma'!$O$15:$Z$15,0))/12,IF('Sponsor Pro Forma'!$L$42="Annual",'Monthly Cash Flow'!CI83*(1+'Sponsor Pro Forma'!$M27)^(IF(MOD(CJ$5,12)=1,1,0)),'Monthly Cash Flow'!CI83*(1+'Sponsor Pro Forma'!$M27/12)))</f>
        <v>14592.812628822912</v>
      </c>
      <c r="CK83" s="1300">
        <f>IF('Sponsor Pro Forma'!$N27="Override",INDEX('Sponsor Pro Forma'!$O$16:$Z$34,MATCH('Monthly Cash Flow'!$B83,'Sponsor Pro Forma'!$B$16:$B$34,0),MATCH('Monthly Cash Flow'!CK$4,'Sponsor Pro Forma'!$O$15:$Z$15,0))/12,IF('Sponsor Pro Forma'!$L$42="Annual",'Monthly Cash Flow'!CJ83*(1+'Sponsor Pro Forma'!$M27)^(IF(MOD(CK$5,12)=1,1,0)),'Monthly Cash Flow'!CJ83*(1+'Sponsor Pro Forma'!$M27/12)))</f>
        <v>14884.66888139937</v>
      </c>
      <c r="CL83" s="1300">
        <f>IF('Sponsor Pro Forma'!$N27="Override",INDEX('Sponsor Pro Forma'!$O$16:$Z$34,MATCH('Monthly Cash Flow'!$B83,'Sponsor Pro Forma'!$B$16:$B$34,0),MATCH('Monthly Cash Flow'!CL$4,'Sponsor Pro Forma'!$O$15:$Z$15,0))/12,IF('Sponsor Pro Forma'!$L$42="Annual",'Monthly Cash Flow'!CK83*(1+'Sponsor Pro Forma'!$M27)^(IF(MOD(CL$5,12)=1,1,0)),'Monthly Cash Flow'!CK83*(1+'Sponsor Pro Forma'!$M27/12)))</f>
        <v>14884.66888139937</v>
      </c>
      <c r="CM83" s="1300">
        <f>IF('Sponsor Pro Forma'!$N27="Override",INDEX('Sponsor Pro Forma'!$O$16:$Z$34,MATCH('Monthly Cash Flow'!$B83,'Sponsor Pro Forma'!$B$16:$B$34,0),MATCH('Monthly Cash Flow'!CM$4,'Sponsor Pro Forma'!$O$15:$Z$15,0))/12,IF('Sponsor Pro Forma'!$L$42="Annual",'Monthly Cash Flow'!CL83*(1+'Sponsor Pro Forma'!$M27)^(IF(MOD(CM$5,12)=1,1,0)),'Monthly Cash Flow'!CL83*(1+'Sponsor Pro Forma'!$M27/12)))</f>
        <v>14884.66888139937</v>
      </c>
      <c r="CN83" s="1300">
        <f>IF('Sponsor Pro Forma'!$N27="Override",INDEX('Sponsor Pro Forma'!$O$16:$Z$34,MATCH('Monthly Cash Flow'!$B83,'Sponsor Pro Forma'!$B$16:$B$34,0),MATCH('Monthly Cash Flow'!CN$4,'Sponsor Pro Forma'!$O$15:$Z$15,0))/12,IF('Sponsor Pro Forma'!$L$42="Annual",'Monthly Cash Flow'!CM83*(1+'Sponsor Pro Forma'!$M27)^(IF(MOD(CN$5,12)=1,1,0)),'Monthly Cash Flow'!CM83*(1+'Sponsor Pro Forma'!$M27/12)))</f>
        <v>14884.66888139937</v>
      </c>
      <c r="CO83" s="1300">
        <f>IF('Sponsor Pro Forma'!$N27="Override",INDEX('Sponsor Pro Forma'!$O$16:$Z$34,MATCH('Monthly Cash Flow'!$B83,'Sponsor Pro Forma'!$B$16:$B$34,0),MATCH('Monthly Cash Flow'!CO$4,'Sponsor Pro Forma'!$O$15:$Z$15,0))/12,IF('Sponsor Pro Forma'!$L$42="Annual",'Monthly Cash Flow'!CN83*(1+'Sponsor Pro Forma'!$M27)^(IF(MOD(CO$5,12)=1,1,0)),'Monthly Cash Flow'!CN83*(1+'Sponsor Pro Forma'!$M27/12)))</f>
        <v>14884.66888139937</v>
      </c>
      <c r="CP83" s="1300">
        <f>IF('Sponsor Pro Forma'!$N27="Override",INDEX('Sponsor Pro Forma'!$O$16:$Z$34,MATCH('Monthly Cash Flow'!$B83,'Sponsor Pro Forma'!$B$16:$B$34,0),MATCH('Monthly Cash Flow'!CP$4,'Sponsor Pro Forma'!$O$15:$Z$15,0))/12,IF('Sponsor Pro Forma'!$L$42="Annual",'Monthly Cash Flow'!CO83*(1+'Sponsor Pro Forma'!$M27)^(IF(MOD(CP$5,12)=1,1,0)),'Monthly Cash Flow'!CO83*(1+'Sponsor Pro Forma'!$M27/12)))</f>
        <v>14884.66888139937</v>
      </c>
      <c r="CQ83" s="1300">
        <f>IF('Sponsor Pro Forma'!$N27="Override",INDEX('Sponsor Pro Forma'!$O$16:$Z$34,MATCH('Monthly Cash Flow'!$B83,'Sponsor Pro Forma'!$B$16:$B$34,0),MATCH('Monthly Cash Flow'!CQ$4,'Sponsor Pro Forma'!$O$15:$Z$15,0))/12,IF('Sponsor Pro Forma'!$L$42="Annual",'Monthly Cash Flow'!CP83*(1+'Sponsor Pro Forma'!$M27)^(IF(MOD(CQ$5,12)=1,1,0)),'Monthly Cash Flow'!CP83*(1+'Sponsor Pro Forma'!$M27/12)))</f>
        <v>14884.66888139937</v>
      </c>
      <c r="CR83" s="1300">
        <f>IF('Sponsor Pro Forma'!$N27="Override",INDEX('Sponsor Pro Forma'!$O$16:$Z$34,MATCH('Monthly Cash Flow'!$B83,'Sponsor Pro Forma'!$B$16:$B$34,0),MATCH('Monthly Cash Flow'!CR$4,'Sponsor Pro Forma'!$O$15:$Z$15,0))/12,IF('Sponsor Pro Forma'!$L$42="Annual",'Monthly Cash Flow'!CQ83*(1+'Sponsor Pro Forma'!$M27)^(IF(MOD(CR$5,12)=1,1,0)),'Monthly Cash Flow'!CQ83*(1+'Sponsor Pro Forma'!$M27/12)))</f>
        <v>14884.66888139937</v>
      </c>
      <c r="CS83" s="1300">
        <f>IF('Sponsor Pro Forma'!$N27="Override",INDEX('Sponsor Pro Forma'!$O$16:$Z$34,MATCH('Monthly Cash Flow'!$B83,'Sponsor Pro Forma'!$B$16:$B$34,0),MATCH('Monthly Cash Flow'!CS$4,'Sponsor Pro Forma'!$O$15:$Z$15,0))/12,IF('Sponsor Pro Forma'!$L$42="Annual",'Monthly Cash Flow'!CR83*(1+'Sponsor Pro Forma'!$M27)^(IF(MOD(CS$5,12)=1,1,0)),'Monthly Cash Flow'!CR83*(1+'Sponsor Pro Forma'!$M27/12)))</f>
        <v>14884.66888139937</v>
      </c>
      <c r="CT83" s="1300">
        <f>IF('Sponsor Pro Forma'!$N27="Override",INDEX('Sponsor Pro Forma'!$O$16:$Z$34,MATCH('Monthly Cash Flow'!$B83,'Sponsor Pro Forma'!$B$16:$B$34,0),MATCH('Monthly Cash Flow'!CT$4,'Sponsor Pro Forma'!$O$15:$Z$15,0))/12,IF('Sponsor Pro Forma'!$L$42="Annual",'Monthly Cash Flow'!CS83*(1+'Sponsor Pro Forma'!$M27)^(IF(MOD(CT$5,12)=1,1,0)),'Monthly Cash Flow'!CS83*(1+'Sponsor Pro Forma'!$M27/12)))</f>
        <v>14884.66888139937</v>
      </c>
      <c r="CU83" s="1300">
        <f>IF('Sponsor Pro Forma'!$N27="Override",INDEX('Sponsor Pro Forma'!$O$16:$Z$34,MATCH('Monthly Cash Flow'!$B83,'Sponsor Pro Forma'!$B$16:$B$34,0),MATCH('Monthly Cash Flow'!CU$4,'Sponsor Pro Forma'!$O$15:$Z$15,0))/12,IF('Sponsor Pro Forma'!$L$42="Annual",'Monthly Cash Flow'!CT83*(1+'Sponsor Pro Forma'!$M27)^(IF(MOD(CU$5,12)=1,1,0)),'Monthly Cash Flow'!CT83*(1+'Sponsor Pro Forma'!$M27/12)))</f>
        <v>14884.66888139937</v>
      </c>
      <c r="CV83" s="1300">
        <f>IF('Sponsor Pro Forma'!$N27="Override",INDEX('Sponsor Pro Forma'!$O$16:$Z$34,MATCH('Monthly Cash Flow'!$B83,'Sponsor Pro Forma'!$B$16:$B$34,0),MATCH('Monthly Cash Flow'!CV$4,'Sponsor Pro Forma'!$O$15:$Z$15,0))/12,IF('Sponsor Pro Forma'!$L$42="Annual",'Monthly Cash Flow'!CU83*(1+'Sponsor Pro Forma'!$M27)^(IF(MOD(CV$5,12)=1,1,0)),'Monthly Cash Flow'!CU83*(1+'Sponsor Pro Forma'!$M27/12)))</f>
        <v>14884.66888139937</v>
      </c>
      <c r="CW83" s="1300">
        <f>IF('Sponsor Pro Forma'!$N27="Override",INDEX('Sponsor Pro Forma'!$O$16:$Z$34,MATCH('Monthly Cash Flow'!$B83,'Sponsor Pro Forma'!$B$16:$B$34,0),MATCH('Monthly Cash Flow'!CW$4,'Sponsor Pro Forma'!$O$15:$Z$15,0))/12,IF('Sponsor Pro Forma'!$L$42="Annual",'Monthly Cash Flow'!CV83*(1+'Sponsor Pro Forma'!$M27)^(IF(MOD(CW$5,12)=1,1,0)),'Monthly Cash Flow'!CV83*(1+'Sponsor Pro Forma'!$M27/12)))</f>
        <v>15182.362259027359</v>
      </c>
      <c r="CX83" s="1300">
        <f>IF('Sponsor Pro Forma'!$N27="Override",INDEX('Sponsor Pro Forma'!$O$16:$Z$34,MATCH('Monthly Cash Flow'!$B83,'Sponsor Pro Forma'!$B$16:$B$34,0),MATCH('Monthly Cash Flow'!CX$4,'Sponsor Pro Forma'!$O$15:$Z$15,0))/12,IF('Sponsor Pro Forma'!$L$42="Annual",'Monthly Cash Flow'!CW83*(1+'Sponsor Pro Forma'!$M27)^(IF(MOD(CX$5,12)=1,1,0)),'Monthly Cash Flow'!CW83*(1+'Sponsor Pro Forma'!$M27/12)))</f>
        <v>15182.362259027359</v>
      </c>
      <c r="CY83" s="1300">
        <f>IF('Sponsor Pro Forma'!$N27="Override",INDEX('Sponsor Pro Forma'!$O$16:$Z$34,MATCH('Monthly Cash Flow'!$B83,'Sponsor Pro Forma'!$B$16:$B$34,0),MATCH('Monthly Cash Flow'!CY$4,'Sponsor Pro Forma'!$O$15:$Z$15,0))/12,IF('Sponsor Pro Forma'!$L$42="Annual",'Monthly Cash Flow'!CX83*(1+'Sponsor Pro Forma'!$M27)^(IF(MOD(CY$5,12)=1,1,0)),'Monthly Cash Flow'!CX83*(1+'Sponsor Pro Forma'!$M27/12)))</f>
        <v>15182.362259027359</v>
      </c>
      <c r="CZ83" s="1300">
        <f>IF('Sponsor Pro Forma'!$N27="Override",INDEX('Sponsor Pro Forma'!$O$16:$Z$34,MATCH('Monthly Cash Flow'!$B83,'Sponsor Pro Forma'!$B$16:$B$34,0),MATCH('Monthly Cash Flow'!CZ$4,'Sponsor Pro Forma'!$O$15:$Z$15,0))/12,IF('Sponsor Pro Forma'!$L$42="Annual",'Monthly Cash Flow'!CY83*(1+'Sponsor Pro Forma'!$M27)^(IF(MOD(CZ$5,12)=1,1,0)),'Monthly Cash Flow'!CY83*(1+'Sponsor Pro Forma'!$M27/12)))</f>
        <v>15182.362259027359</v>
      </c>
      <c r="DA83" s="1300">
        <f>IF('Sponsor Pro Forma'!$N27="Override",INDEX('Sponsor Pro Forma'!$O$16:$Z$34,MATCH('Monthly Cash Flow'!$B83,'Sponsor Pro Forma'!$B$16:$B$34,0),MATCH('Monthly Cash Flow'!DA$4,'Sponsor Pro Forma'!$O$15:$Z$15,0))/12,IF('Sponsor Pro Forma'!$L$42="Annual",'Monthly Cash Flow'!CZ83*(1+'Sponsor Pro Forma'!$M27)^(IF(MOD(DA$5,12)=1,1,0)),'Monthly Cash Flow'!CZ83*(1+'Sponsor Pro Forma'!$M27/12)))</f>
        <v>15182.362259027359</v>
      </c>
      <c r="DB83" s="1300">
        <f>IF('Sponsor Pro Forma'!$N27="Override",INDEX('Sponsor Pro Forma'!$O$16:$Z$34,MATCH('Monthly Cash Flow'!$B83,'Sponsor Pro Forma'!$B$16:$B$34,0),MATCH('Monthly Cash Flow'!DB$4,'Sponsor Pro Forma'!$O$15:$Z$15,0))/12,IF('Sponsor Pro Forma'!$L$42="Annual",'Monthly Cash Flow'!DA83*(1+'Sponsor Pro Forma'!$M27)^(IF(MOD(DB$5,12)=1,1,0)),'Monthly Cash Flow'!DA83*(1+'Sponsor Pro Forma'!$M27/12)))</f>
        <v>15182.362259027359</v>
      </c>
      <c r="DC83" s="1300">
        <f>IF('Sponsor Pro Forma'!$N27="Override",INDEX('Sponsor Pro Forma'!$O$16:$Z$34,MATCH('Monthly Cash Flow'!$B83,'Sponsor Pro Forma'!$B$16:$B$34,0),MATCH('Monthly Cash Flow'!DC$4,'Sponsor Pro Forma'!$O$15:$Z$15,0))/12,IF('Sponsor Pro Forma'!$L$42="Annual",'Monthly Cash Flow'!DB83*(1+'Sponsor Pro Forma'!$M27)^(IF(MOD(DC$5,12)=1,1,0)),'Monthly Cash Flow'!DB83*(1+'Sponsor Pro Forma'!$M27/12)))</f>
        <v>15182.362259027359</v>
      </c>
      <c r="DD83" s="1300">
        <f>IF('Sponsor Pro Forma'!$N27="Override",INDEX('Sponsor Pro Forma'!$O$16:$Z$34,MATCH('Monthly Cash Flow'!$B83,'Sponsor Pro Forma'!$B$16:$B$34,0),MATCH('Monthly Cash Flow'!DD$4,'Sponsor Pro Forma'!$O$15:$Z$15,0))/12,IF('Sponsor Pro Forma'!$L$42="Annual",'Monthly Cash Flow'!DC83*(1+'Sponsor Pro Forma'!$M27)^(IF(MOD(DD$5,12)=1,1,0)),'Monthly Cash Flow'!DC83*(1+'Sponsor Pro Forma'!$M27/12)))</f>
        <v>15182.362259027359</v>
      </c>
      <c r="DE83" s="1300">
        <f>IF('Sponsor Pro Forma'!$N27="Override",INDEX('Sponsor Pro Forma'!$O$16:$Z$34,MATCH('Monthly Cash Flow'!$B83,'Sponsor Pro Forma'!$B$16:$B$34,0),MATCH('Monthly Cash Flow'!DE$4,'Sponsor Pro Forma'!$O$15:$Z$15,0))/12,IF('Sponsor Pro Forma'!$L$42="Annual",'Monthly Cash Flow'!DD83*(1+'Sponsor Pro Forma'!$M27)^(IF(MOD(DE$5,12)=1,1,0)),'Monthly Cash Flow'!DD83*(1+'Sponsor Pro Forma'!$M27/12)))</f>
        <v>15182.362259027359</v>
      </c>
      <c r="DF83" s="1300">
        <f>IF('Sponsor Pro Forma'!$N27="Override",INDEX('Sponsor Pro Forma'!$O$16:$Z$34,MATCH('Monthly Cash Flow'!$B83,'Sponsor Pro Forma'!$B$16:$B$34,0),MATCH('Monthly Cash Flow'!DF$4,'Sponsor Pro Forma'!$O$15:$Z$15,0))/12,IF('Sponsor Pro Forma'!$L$42="Annual",'Monthly Cash Flow'!DE83*(1+'Sponsor Pro Forma'!$M27)^(IF(MOD(DF$5,12)=1,1,0)),'Monthly Cash Flow'!DE83*(1+'Sponsor Pro Forma'!$M27/12)))</f>
        <v>15182.362259027359</v>
      </c>
      <c r="DG83" s="1300">
        <f>IF('Sponsor Pro Forma'!$N27="Override",INDEX('Sponsor Pro Forma'!$O$16:$Z$34,MATCH('Monthly Cash Flow'!$B83,'Sponsor Pro Forma'!$B$16:$B$34,0),MATCH('Monthly Cash Flow'!DG$4,'Sponsor Pro Forma'!$O$15:$Z$15,0))/12,IF('Sponsor Pro Forma'!$L$42="Annual",'Monthly Cash Flow'!DF83*(1+'Sponsor Pro Forma'!$M27)^(IF(MOD(DG$5,12)=1,1,0)),'Monthly Cash Flow'!DF83*(1+'Sponsor Pro Forma'!$M27/12)))</f>
        <v>15182.362259027359</v>
      </c>
      <c r="DH83" s="1300">
        <f>IF('Sponsor Pro Forma'!$N27="Override",INDEX('Sponsor Pro Forma'!$O$16:$Z$34,MATCH('Monthly Cash Flow'!$B83,'Sponsor Pro Forma'!$B$16:$B$34,0),MATCH('Monthly Cash Flow'!DH$4,'Sponsor Pro Forma'!$O$15:$Z$15,0))/12,IF('Sponsor Pro Forma'!$L$42="Annual",'Monthly Cash Flow'!DG83*(1+'Sponsor Pro Forma'!$M27)^(IF(MOD(DH$5,12)=1,1,0)),'Monthly Cash Flow'!DG83*(1+'Sponsor Pro Forma'!$M27/12)))</f>
        <v>15182.362259027359</v>
      </c>
      <c r="DI83" s="1300">
        <f>IF('Sponsor Pro Forma'!$N27="Override",INDEX('Sponsor Pro Forma'!$O$16:$Z$34,MATCH('Monthly Cash Flow'!$B83,'Sponsor Pro Forma'!$B$16:$B$34,0),MATCH('Monthly Cash Flow'!DI$4,'Sponsor Pro Forma'!$O$15:$Z$15,0))/12,IF('Sponsor Pro Forma'!$L$42="Annual",'Monthly Cash Flow'!DH83*(1+'Sponsor Pro Forma'!$M27)^(IF(MOD(DI$5,12)=1,1,0)),'Monthly Cash Flow'!DH83*(1+'Sponsor Pro Forma'!$M27/12)))</f>
        <v>15486.009504207907</v>
      </c>
      <c r="DJ83" s="1300">
        <f>IF('Sponsor Pro Forma'!$N27="Override",INDEX('Sponsor Pro Forma'!$O$16:$Z$34,MATCH('Monthly Cash Flow'!$B83,'Sponsor Pro Forma'!$B$16:$B$34,0),MATCH('Monthly Cash Flow'!DJ$4,'Sponsor Pro Forma'!$O$15:$Z$15,0))/12,IF('Sponsor Pro Forma'!$L$42="Annual",'Monthly Cash Flow'!DI83*(1+'Sponsor Pro Forma'!$M27)^(IF(MOD(DJ$5,12)=1,1,0)),'Monthly Cash Flow'!DI83*(1+'Sponsor Pro Forma'!$M27/12)))</f>
        <v>15486.009504207907</v>
      </c>
      <c r="DK83" s="1300">
        <f>IF('Sponsor Pro Forma'!$N27="Override",INDEX('Sponsor Pro Forma'!$O$16:$Z$34,MATCH('Monthly Cash Flow'!$B83,'Sponsor Pro Forma'!$B$16:$B$34,0),MATCH('Monthly Cash Flow'!DK$4,'Sponsor Pro Forma'!$O$15:$Z$15,0))/12,IF('Sponsor Pro Forma'!$L$42="Annual",'Monthly Cash Flow'!DJ83*(1+'Sponsor Pro Forma'!$M27)^(IF(MOD(DK$5,12)=1,1,0)),'Monthly Cash Flow'!DJ83*(1+'Sponsor Pro Forma'!$M27/12)))</f>
        <v>15486.009504207907</v>
      </c>
      <c r="DL83" s="1300">
        <f>IF('Sponsor Pro Forma'!$N27="Override",INDEX('Sponsor Pro Forma'!$O$16:$Z$34,MATCH('Monthly Cash Flow'!$B83,'Sponsor Pro Forma'!$B$16:$B$34,0),MATCH('Monthly Cash Flow'!DL$4,'Sponsor Pro Forma'!$O$15:$Z$15,0))/12,IF('Sponsor Pro Forma'!$L$42="Annual",'Monthly Cash Flow'!DK83*(1+'Sponsor Pro Forma'!$M27)^(IF(MOD(DL$5,12)=1,1,0)),'Monthly Cash Flow'!DK83*(1+'Sponsor Pro Forma'!$M27/12)))</f>
        <v>15486.009504207907</v>
      </c>
      <c r="DM83" s="1300">
        <f>IF('Sponsor Pro Forma'!$N27="Override",INDEX('Sponsor Pro Forma'!$O$16:$Z$34,MATCH('Monthly Cash Flow'!$B83,'Sponsor Pro Forma'!$B$16:$B$34,0),MATCH('Monthly Cash Flow'!DM$4,'Sponsor Pro Forma'!$O$15:$Z$15,0))/12,IF('Sponsor Pro Forma'!$L$42="Annual",'Monthly Cash Flow'!DL83*(1+'Sponsor Pro Forma'!$M27)^(IF(MOD(DM$5,12)=1,1,0)),'Monthly Cash Flow'!DL83*(1+'Sponsor Pro Forma'!$M27/12)))</f>
        <v>15486.009504207907</v>
      </c>
      <c r="DN83" s="1300">
        <f>IF('Sponsor Pro Forma'!$N27="Override",INDEX('Sponsor Pro Forma'!$O$16:$Z$34,MATCH('Monthly Cash Flow'!$B83,'Sponsor Pro Forma'!$B$16:$B$34,0),MATCH('Monthly Cash Flow'!DN$4,'Sponsor Pro Forma'!$O$15:$Z$15,0))/12,IF('Sponsor Pro Forma'!$L$42="Annual",'Monthly Cash Flow'!DM83*(1+'Sponsor Pro Forma'!$M27)^(IF(MOD(DN$5,12)=1,1,0)),'Monthly Cash Flow'!DM83*(1+'Sponsor Pro Forma'!$M27/12)))</f>
        <v>15486.009504207907</v>
      </c>
      <c r="DO83" s="1300">
        <f>IF('Sponsor Pro Forma'!$N27="Override",INDEX('Sponsor Pro Forma'!$O$16:$Z$34,MATCH('Monthly Cash Flow'!$B83,'Sponsor Pro Forma'!$B$16:$B$34,0),MATCH('Monthly Cash Flow'!DO$4,'Sponsor Pro Forma'!$O$15:$Z$15,0))/12,IF('Sponsor Pro Forma'!$L$42="Annual",'Monthly Cash Flow'!DN83*(1+'Sponsor Pro Forma'!$M27)^(IF(MOD(DO$5,12)=1,1,0)),'Monthly Cash Flow'!DN83*(1+'Sponsor Pro Forma'!$M27/12)))</f>
        <v>15486.009504207907</v>
      </c>
      <c r="DP83" s="1300">
        <f>IF('Sponsor Pro Forma'!$N27="Override",INDEX('Sponsor Pro Forma'!$O$16:$Z$34,MATCH('Monthly Cash Flow'!$B83,'Sponsor Pro Forma'!$B$16:$B$34,0),MATCH('Monthly Cash Flow'!DP$4,'Sponsor Pro Forma'!$O$15:$Z$15,0))/12,IF('Sponsor Pro Forma'!$L$42="Annual",'Monthly Cash Flow'!DO83*(1+'Sponsor Pro Forma'!$M27)^(IF(MOD(DP$5,12)=1,1,0)),'Monthly Cash Flow'!DO83*(1+'Sponsor Pro Forma'!$M27/12)))</f>
        <v>15486.009504207907</v>
      </c>
      <c r="DQ83" s="1300">
        <f>IF('Sponsor Pro Forma'!$N27="Override",INDEX('Sponsor Pro Forma'!$O$16:$Z$34,MATCH('Monthly Cash Flow'!$B83,'Sponsor Pro Forma'!$B$16:$B$34,0),MATCH('Monthly Cash Flow'!DQ$4,'Sponsor Pro Forma'!$O$15:$Z$15,0))/12,IF('Sponsor Pro Forma'!$L$42="Annual",'Monthly Cash Flow'!DP83*(1+'Sponsor Pro Forma'!$M27)^(IF(MOD(DQ$5,12)=1,1,0)),'Monthly Cash Flow'!DP83*(1+'Sponsor Pro Forma'!$M27/12)))</f>
        <v>15486.009504207907</v>
      </c>
      <c r="DR83" s="1300">
        <f>IF('Sponsor Pro Forma'!$N27="Override",INDEX('Sponsor Pro Forma'!$O$16:$Z$34,MATCH('Monthly Cash Flow'!$B83,'Sponsor Pro Forma'!$B$16:$B$34,0),MATCH('Monthly Cash Flow'!DR$4,'Sponsor Pro Forma'!$O$15:$Z$15,0))/12,IF('Sponsor Pro Forma'!$L$42="Annual",'Monthly Cash Flow'!DQ83*(1+'Sponsor Pro Forma'!$M27)^(IF(MOD(DR$5,12)=1,1,0)),'Monthly Cash Flow'!DQ83*(1+'Sponsor Pro Forma'!$M27/12)))</f>
        <v>15486.009504207907</v>
      </c>
      <c r="DS83" s="1300">
        <f>IF('Sponsor Pro Forma'!$N27="Override",INDEX('Sponsor Pro Forma'!$O$16:$Z$34,MATCH('Monthly Cash Flow'!$B83,'Sponsor Pro Forma'!$B$16:$B$34,0),MATCH('Monthly Cash Flow'!DS$4,'Sponsor Pro Forma'!$O$15:$Z$15,0))/12,IF('Sponsor Pro Forma'!$L$42="Annual",'Monthly Cash Flow'!DR83*(1+'Sponsor Pro Forma'!$M27)^(IF(MOD(DS$5,12)=1,1,0)),'Monthly Cash Flow'!DR83*(1+'Sponsor Pro Forma'!$M27/12)))</f>
        <v>15486.009504207907</v>
      </c>
      <c r="DT83" s="1300">
        <f>IF('Sponsor Pro Forma'!$N27="Override",INDEX('Sponsor Pro Forma'!$O$16:$Z$34,MATCH('Monthly Cash Flow'!$B83,'Sponsor Pro Forma'!$B$16:$B$34,0),MATCH('Monthly Cash Flow'!DT$4,'Sponsor Pro Forma'!$O$15:$Z$15,0))/12,IF('Sponsor Pro Forma'!$L$42="Annual",'Monthly Cash Flow'!DS83*(1+'Sponsor Pro Forma'!$M27)^(IF(MOD(DT$5,12)=1,1,0)),'Monthly Cash Flow'!DS83*(1+'Sponsor Pro Forma'!$M27/12)))</f>
        <v>15486.009504207907</v>
      </c>
      <c r="DU83" s="1301" t="s">
        <v>557</v>
      </c>
      <c r="DV83" s="196"/>
    </row>
    <row r="84" spans="1:126" s="5" customFormat="1" ht="15" customHeight="1">
      <c r="A84" s="399">
        <v>9</v>
      </c>
      <c r="B84" s="203" t="str">
        <f>'Debt Sizing'!A29</f>
        <v>General &amp; Admin</v>
      </c>
      <c r="C84" s="397"/>
      <c r="D84" s="413">
        <f>IF('Sponsor Pro Forma'!$N28="Override",'Sponsor Pro Forma'!$O28/12,'Sponsor Pro Forma'!K28/12)</f>
        <v>12496</v>
      </c>
      <c r="E84" s="1303">
        <f t="shared" si="142"/>
        <v>12496</v>
      </c>
      <c r="F84" s="1300">
        <f>IF('Sponsor Pro Forma'!$N28="Override",INDEX('Sponsor Pro Forma'!$O$16:$Z$34,MATCH('Monthly Cash Flow'!$B84,'Sponsor Pro Forma'!$B$16:$B$34,0),MATCH('Monthly Cash Flow'!F$4,'Sponsor Pro Forma'!$O$15:$Z$15,0))/12,IF('Sponsor Pro Forma'!$L$42="Annual",'Monthly Cash Flow'!E84*(1+'Sponsor Pro Forma'!$M28)^(IF(MOD(F$5,12)=1,1,0)),'Monthly Cash Flow'!E84*(1+'Sponsor Pro Forma'!$M28/12)))</f>
        <v>12496</v>
      </c>
      <c r="G84" s="1300">
        <f>IF('Sponsor Pro Forma'!$N28="Override",INDEX('Sponsor Pro Forma'!$O$16:$Z$34,MATCH('Monthly Cash Flow'!$B84,'Sponsor Pro Forma'!$B$16:$B$34,0),MATCH('Monthly Cash Flow'!G$4,'Sponsor Pro Forma'!$O$15:$Z$15,0))/12,IF('Sponsor Pro Forma'!$L$42="Annual",'Monthly Cash Flow'!F84*(1+'Sponsor Pro Forma'!$M28)^(IF(MOD(G$5,12)=1,1,0)),'Monthly Cash Flow'!F84*(1+'Sponsor Pro Forma'!$M28/12)))</f>
        <v>12496</v>
      </c>
      <c r="H84" s="1300">
        <f>IF('Sponsor Pro Forma'!$N28="Override",INDEX('Sponsor Pro Forma'!$O$16:$Z$34,MATCH('Monthly Cash Flow'!$B84,'Sponsor Pro Forma'!$B$16:$B$34,0),MATCH('Monthly Cash Flow'!H$4,'Sponsor Pro Forma'!$O$15:$Z$15,0))/12,IF('Sponsor Pro Forma'!$L$42="Annual",'Monthly Cash Flow'!G84*(1+'Sponsor Pro Forma'!$M28)^(IF(MOD(H$5,12)=1,1,0)),'Monthly Cash Flow'!G84*(1+'Sponsor Pro Forma'!$M28/12)))</f>
        <v>12496</v>
      </c>
      <c r="I84" s="1300">
        <f>IF('Sponsor Pro Forma'!$N28="Override",INDEX('Sponsor Pro Forma'!$O$16:$Z$34,MATCH('Monthly Cash Flow'!$B84,'Sponsor Pro Forma'!$B$16:$B$34,0),MATCH('Monthly Cash Flow'!I$4,'Sponsor Pro Forma'!$O$15:$Z$15,0))/12,IF('Sponsor Pro Forma'!$L$42="Annual",'Monthly Cash Flow'!H84*(1+'Sponsor Pro Forma'!$M28)^(IF(MOD(I$5,12)=1,1,0)),'Monthly Cash Flow'!H84*(1+'Sponsor Pro Forma'!$M28/12)))</f>
        <v>12496</v>
      </c>
      <c r="J84" s="1300">
        <f>IF('Sponsor Pro Forma'!$N28="Override",INDEX('Sponsor Pro Forma'!$O$16:$Z$34,MATCH('Monthly Cash Flow'!$B84,'Sponsor Pro Forma'!$B$16:$B$34,0),MATCH('Monthly Cash Flow'!J$4,'Sponsor Pro Forma'!$O$15:$Z$15,0))/12,IF('Sponsor Pro Forma'!$L$42="Annual",'Monthly Cash Flow'!I84*(1+'Sponsor Pro Forma'!$M28)^(IF(MOD(J$5,12)=1,1,0)),'Monthly Cash Flow'!I84*(1+'Sponsor Pro Forma'!$M28/12)))</f>
        <v>12496</v>
      </c>
      <c r="K84" s="1300">
        <f>IF('Sponsor Pro Forma'!$N28="Override",INDEX('Sponsor Pro Forma'!$O$16:$Z$34,MATCH('Monthly Cash Flow'!$B84,'Sponsor Pro Forma'!$B$16:$B$34,0),MATCH('Monthly Cash Flow'!K$4,'Sponsor Pro Forma'!$O$15:$Z$15,0))/12,IF('Sponsor Pro Forma'!$L$42="Annual",'Monthly Cash Flow'!J84*(1+'Sponsor Pro Forma'!$M28)^(IF(MOD(K$5,12)=1,1,0)),'Monthly Cash Flow'!J84*(1+'Sponsor Pro Forma'!$M28/12)))</f>
        <v>12496</v>
      </c>
      <c r="L84" s="1300">
        <f>IF('Sponsor Pro Forma'!$N28="Override",INDEX('Sponsor Pro Forma'!$O$16:$Z$34,MATCH('Monthly Cash Flow'!$B84,'Sponsor Pro Forma'!$B$16:$B$34,0),MATCH('Monthly Cash Flow'!L$4,'Sponsor Pro Forma'!$O$15:$Z$15,0))/12,IF('Sponsor Pro Forma'!$L$42="Annual",'Monthly Cash Flow'!K84*(1+'Sponsor Pro Forma'!$M28)^(IF(MOD(L$5,12)=1,1,0)),'Monthly Cash Flow'!K84*(1+'Sponsor Pro Forma'!$M28/12)))</f>
        <v>12496</v>
      </c>
      <c r="M84" s="1300">
        <f>IF('Sponsor Pro Forma'!$N28="Override",INDEX('Sponsor Pro Forma'!$O$16:$Z$34,MATCH('Monthly Cash Flow'!$B84,'Sponsor Pro Forma'!$B$16:$B$34,0),MATCH('Monthly Cash Flow'!M$4,'Sponsor Pro Forma'!$O$15:$Z$15,0))/12,IF('Sponsor Pro Forma'!$L$42="Annual",'Monthly Cash Flow'!L84*(1+'Sponsor Pro Forma'!$M28)^(IF(MOD(M$5,12)=1,1,0)),'Monthly Cash Flow'!L84*(1+'Sponsor Pro Forma'!$M28/12)))</f>
        <v>12496</v>
      </c>
      <c r="N84" s="1300">
        <f>IF('Sponsor Pro Forma'!$N28="Override",INDEX('Sponsor Pro Forma'!$O$16:$Z$34,MATCH('Monthly Cash Flow'!$B84,'Sponsor Pro Forma'!$B$16:$B$34,0),MATCH('Monthly Cash Flow'!N$4,'Sponsor Pro Forma'!$O$15:$Z$15,0))/12,IF('Sponsor Pro Forma'!$L$42="Annual",'Monthly Cash Flow'!M84*(1+'Sponsor Pro Forma'!$M28)^(IF(MOD(N$5,12)=1,1,0)),'Monthly Cash Flow'!M84*(1+'Sponsor Pro Forma'!$M28/12)))</f>
        <v>12496</v>
      </c>
      <c r="O84" s="1300">
        <f>IF('Sponsor Pro Forma'!$N28="Override",INDEX('Sponsor Pro Forma'!$O$16:$Z$34,MATCH('Monthly Cash Flow'!$B84,'Sponsor Pro Forma'!$B$16:$B$34,0),MATCH('Monthly Cash Flow'!O$4,'Sponsor Pro Forma'!$O$15:$Z$15,0))/12,IF('Sponsor Pro Forma'!$L$42="Annual",'Monthly Cash Flow'!N84*(1+'Sponsor Pro Forma'!$M28)^(IF(MOD(O$5,12)=1,1,0)),'Monthly Cash Flow'!N84*(1+'Sponsor Pro Forma'!$M28/12)))</f>
        <v>12496</v>
      </c>
      <c r="P84" s="1300">
        <f>IF('Sponsor Pro Forma'!$N28="Override",INDEX('Sponsor Pro Forma'!$O$16:$Z$34,MATCH('Monthly Cash Flow'!$B84,'Sponsor Pro Forma'!$B$16:$B$34,0),MATCH('Monthly Cash Flow'!P$4,'Sponsor Pro Forma'!$O$15:$Z$15,0))/12,IF('Sponsor Pro Forma'!$L$42="Annual",'Monthly Cash Flow'!O84*(1+'Sponsor Pro Forma'!$M28)^(IF(MOD(P$5,12)=1,1,0)),'Monthly Cash Flow'!O84*(1+'Sponsor Pro Forma'!$M28/12)))</f>
        <v>12496</v>
      </c>
      <c r="Q84" s="1300">
        <f>IF('Sponsor Pro Forma'!$N28="Override",INDEX('Sponsor Pro Forma'!$O$16:$Z$34,MATCH('Monthly Cash Flow'!$B84,'Sponsor Pro Forma'!$B$16:$B$34,0),MATCH('Monthly Cash Flow'!Q$4,'Sponsor Pro Forma'!$O$15:$Z$15,0))/12,IF('Sponsor Pro Forma'!$L$42="Annual",'Monthly Cash Flow'!P84*(1+'Sponsor Pro Forma'!$M28)^(IF(MOD(Q$5,12)=1,1,0)),'Monthly Cash Flow'!P84*(1+'Sponsor Pro Forma'!$M28/12)))</f>
        <v>12745.92</v>
      </c>
      <c r="R84" s="1300">
        <f>IF('Sponsor Pro Forma'!$N28="Override",INDEX('Sponsor Pro Forma'!$O$16:$Z$34,MATCH('Monthly Cash Flow'!$B84,'Sponsor Pro Forma'!$B$16:$B$34,0),MATCH('Monthly Cash Flow'!R$4,'Sponsor Pro Forma'!$O$15:$Z$15,0))/12,IF('Sponsor Pro Forma'!$L$42="Annual",'Monthly Cash Flow'!Q84*(1+'Sponsor Pro Forma'!$M28)^(IF(MOD(R$5,12)=1,1,0)),'Monthly Cash Flow'!Q84*(1+'Sponsor Pro Forma'!$M28/12)))</f>
        <v>12745.92</v>
      </c>
      <c r="S84" s="1300">
        <f>IF('Sponsor Pro Forma'!$N28="Override",INDEX('Sponsor Pro Forma'!$O$16:$Z$34,MATCH('Monthly Cash Flow'!$B84,'Sponsor Pro Forma'!$B$16:$B$34,0),MATCH('Monthly Cash Flow'!S$4,'Sponsor Pro Forma'!$O$15:$Z$15,0))/12,IF('Sponsor Pro Forma'!$L$42="Annual",'Monthly Cash Flow'!R84*(1+'Sponsor Pro Forma'!$M28)^(IF(MOD(S$5,12)=1,1,0)),'Monthly Cash Flow'!R84*(1+'Sponsor Pro Forma'!$M28/12)))</f>
        <v>12745.92</v>
      </c>
      <c r="T84" s="1300">
        <f>IF('Sponsor Pro Forma'!$N28="Override",INDEX('Sponsor Pro Forma'!$O$16:$Z$34,MATCH('Monthly Cash Flow'!$B84,'Sponsor Pro Forma'!$B$16:$B$34,0),MATCH('Monthly Cash Flow'!T$4,'Sponsor Pro Forma'!$O$15:$Z$15,0))/12,IF('Sponsor Pro Forma'!$L$42="Annual",'Monthly Cash Flow'!S84*(1+'Sponsor Pro Forma'!$M28)^(IF(MOD(T$5,12)=1,1,0)),'Monthly Cash Flow'!S84*(1+'Sponsor Pro Forma'!$M28/12)))</f>
        <v>12745.92</v>
      </c>
      <c r="U84" s="1300">
        <f>IF('Sponsor Pro Forma'!$N28="Override",INDEX('Sponsor Pro Forma'!$O$16:$Z$34,MATCH('Monthly Cash Flow'!$B84,'Sponsor Pro Forma'!$B$16:$B$34,0),MATCH('Monthly Cash Flow'!U$4,'Sponsor Pro Forma'!$O$15:$Z$15,0))/12,IF('Sponsor Pro Forma'!$L$42="Annual",'Monthly Cash Flow'!T84*(1+'Sponsor Pro Forma'!$M28)^(IF(MOD(U$5,12)=1,1,0)),'Monthly Cash Flow'!T84*(1+'Sponsor Pro Forma'!$M28/12)))</f>
        <v>12745.92</v>
      </c>
      <c r="V84" s="1300">
        <f>IF('Sponsor Pro Forma'!$N28="Override",INDEX('Sponsor Pro Forma'!$O$16:$Z$34,MATCH('Monthly Cash Flow'!$B84,'Sponsor Pro Forma'!$B$16:$B$34,0),MATCH('Monthly Cash Flow'!V$4,'Sponsor Pro Forma'!$O$15:$Z$15,0))/12,IF('Sponsor Pro Forma'!$L$42="Annual",'Monthly Cash Flow'!U84*(1+'Sponsor Pro Forma'!$M28)^(IF(MOD(V$5,12)=1,1,0)),'Monthly Cash Flow'!U84*(1+'Sponsor Pro Forma'!$M28/12)))</f>
        <v>12745.92</v>
      </c>
      <c r="W84" s="1300">
        <f>IF('Sponsor Pro Forma'!$N28="Override",INDEX('Sponsor Pro Forma'!$O$16:$Z$34,MATCH('Monthly Cash Flow'!$B84,'Sponsor Pro Forma'!$B$16:$B$34,0),MATCH('Monthly Cash Flow'!W$4,'Sponsor Pro Forma'!$O$15:$Z$15,0))/12,IF('Sponsor Pro Forma'!$L$42="Annual",'Monthly Cash Flow'!V84*(1+'Sponsor Pro Forma'!$M28)^(IF(MOD(W$5,12)=1,1,0)),'Monthly Cash Flow'!V84*(1+'Sponsor Pro Forma'!$M28/12)))</f>
        <v>12745.92</v>
      </c>
      <c r="X84" s="1300">
        <f>IF('Sponsor Pro Forma'!$N28="Override",INDEX('Sponsor Pro Forma'!$O$16:$Z$34,MATCH('Monthly Cash Flow'!$B84,'Sponsor Pro Forma'!$B$16:$B$34,0),MATCH('Monthly Cash Flow'!X$4,'Sponsor Pro Forma'!$O$15:$Z$15,0))/12,IF('Sponsor Pro Forma'!$L$42="Annual",'Monthly Cash Flow'!W84*(1+'Sponsor Pro Forma'!$M28)^(IF(MOD(X$5,12)=1,1,0)),'Monthly Cash Flow'!W84*(1+'Sponsor Pro Forma'!$M28/12)))</f>
        <v>12745.92</v>
      </c>
      <c r="Y84" s="1300">
        <f>IF('Sponsor Pro Forma'!$N28="Override",INDEX('Sponsor Pro Forma'!$O$16:$Z$34,MATCH('Monthly Cash Flow'!$B84,'Sponsor Pro Forma'!$B$16:$B$34,0),MATCH('Monthly Cash Flow'!Y$4,'Sponsor Pro Forma'!$O$15:$Z$15,0))/12,IF('Sponsor Pro Forma'!$L$42="Annual",'Monthly Cash Flow'!X84*(1+'Sponsor Pro Forma'!$M28)^(IF(MOD(Y$5,12)=1,1,0)),'Monthly Cash Flow'!X84*(1+'Sponsor Pro Forma'!$M28/12)))</f>
        <v>12745.92</v>
      </c>
      <c r="Z84" s="1300">
        <f>IF('Sponsor Pro Forma'!$N28="Override",INDEX('Sponsor Pro Forma'!$O$16:$Z$34,MATCH('Monthly Cash Flow'!$B84,'Sponsor Pro Forma'!$B$16:$B$34,0),MATCH('Monthly Cash Flow'!Z$4,'Sponsor Pro Forma'!$O$15:$Z$15,0))/12,IF('Sponsor Pro Forma'!$L$42="Annual",'Monthly Cash Flow'!Y84*(1+'Sponsor Pro Forma'!$M28)^(IF(MOD(Z$5,12)=1,1,0)),'Monthly Cash Flow'!Y84*(1+'Sponsor Pro Forma'!$M28/12)))</f>
        <v>12745.92</v>
      </c>
      <c r="AA84" s="1300">
        <f>IF('Sponsor Pro Forma'!$N28="Override",INDEX('Sponsor Pro Forma'!$O$16:$Z$34,MATCH('Monthly Cash Flow'!$B84,'Sponsor Pro Forma'!$B$16:$B$34,0),MATCH('Monthly Cash Flow'!AA$4,'Sponsor Pro Forma'!$O$15:$Z$15,0))/12,IF('Sponsor Pro Forma'!$L$42="Annual",'Monthly Cash Flow'!Z84*(1+'Sponsor Pro Forma'!$M28)^(IF(MOD(AA$5,12)=1,1,0)),'Monthly Cash Flow'!Z84*(1+'Sponsor Pro Forma'!$M28/12)))</f>
        <v>12745.92</v>
      </c>
      <c r="AB84" s="1300">
        <f>IF('Sponsor Pro Forma'!$N28="Override",INDEX('Sponsor Pro Forma'!$O$16:$Z$34,MATCH('Monthly Cash Flow'!$B84,'Sponsor Pro Forma'!$B$16:$B$34,0),MATCH('Monthly Cash Flow'!AB$4,'Sponsor Pro Forma'!$O$15:$Z$15,0))/12,IF('Sponsor Pro Forma'!$L$42="Annual",'Monthly Cash Flow'!AA84*(1+'Sponsor Pro Forma'!$M28)^(IF(MOD(AB$5,12)=1,1,0)),'Monthly Cash Flow'!AA84*(1+'Sponsor Pro Forma'!$M28/12)))</f>
        <v>12745.92</v>
      </c>
      <c r="AC84" s="1300">
        <f>IF('Sponsor Pro Forma'!$N28="Override",INDEX('Sponsor Pro Forma'!$O$16:$Z$34,MATCH('Monthly Cash Flow'!$B84,'Sponsor Pro Forma'!$B$16:$B$34,0),MATCH('Monthly Cash Flow'!AC$4,'Sponsor Pro Forma'!$O$15:$Z$15,0))/12,IF('Sponsor Pro Forma'!$L$42="Annual",'Monthly Cash Flow'!AB84*(1+'Sponsor Pro Forma'!$M28)^(IF(MOD(AC$5,12)=1,1,0)),'Monthly Cash Flow'!AB84*(1+'Sponsor Pro Forma'!$M28/12)))</f>
        <v>13000.838400000001</v>
      </c>
      <c r="AD84" s="1300">
        <f>IF('Sponsor Pro Forma'!$N28="Override",INDEX('Sponsor Pro Forma'!$O$16:$Z$34,MATCH('Monthly Cash Flow'!$B84,'Sponsor Pro Forma'!$B$16:$B$34,0),MATCH('Monthly Cash Flow'!AD$4,'Sponsor Pro Forma'!$O$15:$Z$15,0))/12,IF('Sponsor Pro Forma'!$L$42="Annual",'Monthly Cash Flow'!AC84*(1+'Sponsor Pro Forma'!$M28)^(IF(MOD(AD$5,12)=1,1,0)),'Monthly Cash Flow'!AC84*(1+'Sponsor Pro Forma'!$M28/12)))</f>
        <v>13000.838400000001</v>
      </c>
      <c r="AE84" s="1300">
        <f>IF('Sponsor Pro Forma'!$N28="Override",INDEX('Sponsor Pro Forma'!$O$16:$Z$34,MATCH('Monthly Cash Flow'!$B84,'Sponsor Pro Forma'!$B$16:$B$34,0),MATCH('Monthly Cash Flow'!AE$4,'Sponsor Pro Forma'!$O$15:$Z$15,0))/12,IF('Sponsor Pro Forma'!$L$42="Annual",'Monthly Cash Flow'!AD84*(1+'Sponsor Pro Forma'!$M28)^(IF(MOD(AE$5,12)=1,1,0)),'Monthly Cash Flow'!AD84*(1+'Sponsor Pro Forma'!$M28/12)))</f>
        <v>13000.838400000001</v>
      </c>
      <c r="AF84" s="1300">
        <f>IF('Sponsor Pro Forma'!$N28="Override",INDEX('Sponsor Pro Forma'!$O$16:$Z$34,MATCH('Monthly Cash Flow'!$B84,'Sponsor Pro Forma'!$B$16:$B$34,0),MATCH('Monthly Cash Flow'!AF$4,'Sponsor Pro Forma'!$O$15:$Z$15,0))/12,IF('Sponsor Pro Forma'!$L$42="Annual",'Monthly Cash Flow'!AE84*(1+'Sponsor Pro Forma'!$M28)^(IF(MOD(AF$5,12)=1,1,0)),'Monthly Cash Flow'!AE84*(1+'Sponsor Pro Forma'!$M28/12)))</f>
        <v>13000.838400000001</v>
      </c>
      <c r="AG84" s="1300">
        <f>IF('Sponsor Pro Forma'!$N28="Override",INDEX('Sponsor Pro Forma'!$O$16:$Z$34,MATCH('Monthly Cash Flow'!$B84,'Sponsor Pro Forma'!$B$16:$B$34,0),MATCH('Monthly Cash Flow'!AG$4,'Sponsor Pro Forma'!$O$15:$Z$15,0))/12,IF('Sponsor Pro Forma'!$L$42="Annual",'Monthly Cash Flow'!AF84*(1+'Sponsor Pro Forma'!$M28)^(IF(MOD(AG$5,12)=1,1,0)),'Monthly Cash Flow'!AF84*(1+'Sponsor Pro Forma'!$M28/12)))</f>
        <v>13000.838400000001</v>
      </c>
      <c r="AH84" s="1300">
        <f>IF('Sponsor Pro Forma'!$N28="Override",INDEX('Sponsor Pro Forma'!$O$16:$Z$34,MATCH('Monthly Cash Flow'!$B84,'Sponsor Pro Forma'!$B$16:$B$34,0),MATCH('Monthly Cash Flow'!AH$4,'Sponsor Pro Forma'!$O$15:$Z$15,0))/12,IF('Sponsor Pro Forma'!$L$42="Annual",'Monthly Cash Flow'!AG84*(1+'Sponsor Pro Forma'!$M28)^(IF(MOD(AH$5,12)=1,1,0)),'Monthly Cash Flow'!AG84*(1+'Sponsor Pro Forma'!$M28/12)))</f>
        <v>13000.838400000001</v>
      </c>
      <c r="AI84" s="1300">
        <f>IF('Sponsor Pro Forma'!$N28="Override",INDEX('Sponsor Pro Forma'!$O$16:$Z$34,MATCH('Monthly Cash Flow'!$B84,'Sponsor Pro Forma'!$B$16:$B$34,0),MATCH('Monthly Cash Flow'!AI$4,'Sponsor Pro Forma'!$O$15:$Z$15,0))/12,IF('Sponsor Pro Forma'!$L$42="Annual",'Monthly Cash Flow'!AH84*(1+'Sponsor Pro Forma'!$M28)^(IF(MOD(AI$5,12)=1,1,0)),'Monthly Cash Flow'!AH84*(1+'Sponsor Pro Forma'!$M28/12)))</f>
        <v>13000.838400000001</v>
      </c>
      <c r="AJ84" s="1300">
        <f>IF('Sponsor Pro Forma'!$N28="Override",INDEX('Sponsor Pro Forma'!$O$16:$Z$34,MATCH('Monthly Cash Flow'!$B84,'Sponsor Pro Forma'!$B$16:$B$34,0),MATCH('Monthly Cash Flow'!AJ$4,'Sponsor Pro Forma'!$O$15:$Z$15,0))/12,IF('Sponsor Pro Forma'!$L$42="Annual",'Monthly Cash Flow'!AI84*(1+'Sponsor Pro Forma'!$M28)^(IF(MOD(AJ$5,12)=1,1,0)),'Monthly Cash Flow'!AI84*(1+'Sponsor Pro Forma'!$M28/12)))</f>
        <v>13000.838400000001</v>
      </c>
      <c r="AK84" s="1300">
        <f>IF('Sponsor Pro Forma'!$N28="Override",INDEX('Sponsor Pro Forma'!$O$16:$Z$34,MATCH('Monthly Cash Flow'!$B84,'Sponsor Pro Forma'!$B$16:$B$34,0),MATCH('Monthly Cash Flow'!AK$4,'Sponsor Pro Forma'!$O$15:$Z$15,0))/12,IF('Sponsor Pro Forma'!$L$42="Annual",'Monthly Cash Flow'!AJ84*(1+'Sponsor Pro Forma'!$M28)^(IF(MOD(AK$5,12)=1,1,0)),'Monthly Cash Flow'!AJ84*(1+'Sponsor Pro Forma'!$M28/12)))</f>
        <v>13000.838400000001</v>
      </c>
      <c r="AL84" s="1300">
        <f>IF('Sponsor Pro Forma'!$N28="Override",INDEX('Sponsor Pro Forma'!$O$16:$Z$34,MATCH('Monthly Cash Flow'!$B84,'Sponsor Pro Forma'!$B$16:$B$34,0),MATCH('Monthly Cash Flow'!AL$4,'Sponsor Pro Forma'!$O$15:$Z$15,0))/12,IF('Sponsor Pro Forma'!$L$42="Annual",'Monthly Cash Flow'!AK84*(1+'Sponsor Pro Forma'!$M28)^(IF(MOD(AL$5,12)=1,1,0)),'Monthly Cash Flow'!AK84*(1+'Sponsor Pro Forma'!$M28/12)))</f>
        <v>13000.838400000001</v>
      </c>
      <c r="AM84" s="1300">
        <f>IF('Sponsor Pro Forma'!$N28="Override",INDEX('Sponsor Pro Forma'!$O$16:$Z$34,MATCH('Monthly Cash Flow'!$B84,'Sponsor Pro Forma'!$B$16:$B$34,0),MATCH('Monthly Cash Flow'!AM$4,'Sponsor Pro Forma'!$O$15:$Z$15,0))/12,IF('Sponsor Pro Forma'!$L$42="Annual",'Monthly Cash Flow'!AL84*(1+'Sponsor Pro Forma'!$M28)^(IF(MOD(AM$5,12)=1,1,0)),'Monthly Cash Flow'!AL84*(1+'Sponsor Pro Forma'!$M28/12)))</f>
        <v>13000.838400000001</v>
      </c>
      <c r="AN84" s="1300">
        <f>IF('Sponsor Pro Forma'!$N28="Override",INDEX('Sponsor Pro Forma'!$O$16:$Z$34,MATCH('Monthly Cash Flow'!$B84,'Sponsor Pro Forma'!$B$16:$B$34,0),MATCH('Monthly Cash Flow'!AN$4,'Sponsor Pro Forma'!$O$15:$Z$15,0))/12,IF('Sponsor Pro Forma'!$L$42="Annual",'Monthly Cash Flow'!AM84*(1+'Sponsor Pro Forma'!$M28)^(IF(MOD(AN$5,12)=1,1,0)),'Monthly Cash Flow'!AM84*(1+'Sponsor Pro Forma'!$M28/12)))</f>
        <v>13000.838400000001</v>
      </c>
      <c r="AO84" s="1300">
        <f>IF('Sponsor Pro Forma'!$N28="Override",INDEX('Sponsor Pro Forma'!$O$16:$Z$34,MATCH('Monthly Cash Flow'!$B84,'Sponsor Pro Forma'!$B$16:$B$34,0),MATCH('Monthly Cash Flow'!AO$4,'Sponsor Pro Forma'!$O$15:$Z$15,0))/12,IF('Sponsor Pro Forma'!$L$42="Annual",'Monthly Cash Flow'!AN84*(1+'Sponsor Pro Forma'!$M28)^(IF(MOD(AO$5,12)=1,1,0)),'Monthly Cash Flow'!AN84*(1+'Sponsor Pro Forma'!$M28/12)))</f>
        <v>13260.855168000002</v>
      </c>
      <c r="AP84" s="1300">
        <f>IF('Sponsor Pro Forma'!$N28="Override",INDEX('Sponsor Pro Forma'!$O$16:$Z$34,MATCH('Monthly Cash Flow'!$B84,'Sponsor Pro Forma'!$B$16:$B$34,0),MATCH('Monthly Cash Flow'!AP$4,'Sponsor Pro Forma'!$O$15:$Z$15,0))/12,IF('Sponsor Pro Forma'!$L$42="Annual",'Monthly Cash Flow'!AO84*(1+'Sponsor Pro Forma'!$M28)^(IF(MOD(AP$5,12)=1,1,0)),'Monthly Cash Flow'!AO84*(1+'Sponsor Pro Forma'!$M28/12)))</f>
        <v>13260.855168000002</v>
      </c>
      <c r="AQ84" s="1300">
        <f>IF('Sponsor Pro Forma'!$N28="Override",INDEX('Sponsor Pro Forma'!$O$16:$Z$34,MATCH('Monthly Cash Flow'!$B84,'Sponsor Pro Forma'!$B$16:$B$34,0),MATCH('Monthly Cash Flow'!AQ$4,'Sponsor Pro Forma'!$O$15:$Z$15,0))/12,IF('Sponsor Pro Forma'!$L$42="Annual",'Monthly Cash Flow'!AP84*(1+'Sponsor Pro Forma'!$M28)^(IF(MOD(AQ$5,12)=1,1,0)),'Monthly Cash Flow'!AP84*(1+'Sponsor Pro Forma'!$M28/12)))</f>
        <v>13260.855168000002</v>
      </c>
      <c r="AR84" s="1300">
        <f>IF('Sponsor Pro Forma'!$N28="Override",INDEX('Sponsor Pro Forma'!$O$16:$Z$34,MATCH('Monthly Cash Flow'!$B84,'Sponsor Pro Forma'!$B$16:$B$34,0),MATCH('Monthly Cash Flow'!AR$4,'Sponsor Pro Forma'!$O$15:$Z$15,0))/12,IF('Sponsor Pro Forma'!$L$42="Annual",'Monthly Cash Flow'!AQ84*(1+'Sponsor Pro Forma'!$M28)^(IF(MOD(AR$5,12)=1,1,0)),'Monthly Cash Flow'!AQ84*(1+'Sponsor Pro Forma'!$M28/12)))</f>
        <v>13260.855168000002</v>
      </c>
      <c r="AS84" s="1300">
        <f>IF('Sponsor Pro Forma'!$N28="Override",INDEX('Sponsor Pro Forma'!$O$16:$Z$34,MATCH('Monthly Cash Flow'!$B84,'Sponsor Pro Forma'!$B$16:$B$34,0),MATCH('Monthly Cash Flow'!AS$4,'Sponsor Pro Forma'!$O$15:$Z$15,0))/12,IF('Sponsor Pro Forma'!$L$42="Annual",'Monthly Cash Flow'!AR84*(1+'Sponsor Pro Forma'!$M28)^(IF(MOD(AS$5,12)=1,1,0)),'Monthly Cash Flow'!AR84*(1+'Sponsor Pro Forma'!$M28/12)))</f>
        <v>13260.855168000002</v>
      </c>
      <c r="AT84" s="1300">
        <f>IF('Sponsor Pro Forma'!$N28="Override",INDEX('Sponsor Pro Forma'!$O$16:$Z$34,MATCH('Monthly Cash Flow'!$B84,'Sponsor Pro Forma'!$B$16:$B$34,0),MATCH('Monthly Cash Flow'!AT$4,'Sponsor Pro Forma'!$O$15:$Z$15,0))/12,IF('Sponsor Pro Forma'!$L$42="Annual",'Monthly Cash Flow'!AS84*(1+'Sponsor Pro Forma'!$M28)^(IF(MOD(AT$5,12)=1,1,0)),'Monthly Cash Flow'!AS84*(1+'Sponsor Pro Forma'!$M28/12)))</f>
        <v>13260.855168000002</v>
      </c>
      <c r="AU84" s="1300">
        <f>IF('Sponsor Pro Forma'!$N28="Override",INDEX('Sponsor Pro Forma'!$O$16:$Z$34,MATCH('Monthly Cash Flow'!$B84,'Sponsor Pro Forma'!$B$16:$B$34,0),MATCH('Monthly Cash Flow'!AU$4,'Sponsor Pro Forma'!$O$15:$Z$15,0))/12,IF('Sponsor Pro Forma'!$L$42="Annual",'Monthly Cash Flow'!AT84*(1+'Sponsor Pro Forma'!$M28)^(IF(MOD(AU$5,12)=1,1,0)),'Monthly Cash Flow'!AT84*(1+'Sponsor Pro Forma'!$M28/12)))</f>
        <v>13260.855168000002</v>
      </c>
      <c r="AV84" s="1300">
        <f>IF('Sponsor Pro Forma'!$N28="Override",INDEX('Sponsor Pro Forma'!$O$16:$Z$34,MATCH('Monthly Cash Flow'!$B84,'Sponsor Pro Forma'!$B$16:$B$34,0),MATCH('Monthly Cash Flow'!AV$4,'Sponsor Pro Forma'!$O$15:$Z$15,0))/12,IF('Sponsor Pro Forma'!$L$42="Annual",'Monthly Cash Flow'!AU84*(1+'Sponsor Pro Forma'!$M28)^(IF(MOD(AV$5,12)=1,1,0)),'Monthly Cash Flow'!AU84*(1+'Sponsor Pro Forma'!$M28/12)))</f>
        <v>13260.855168000002</v>
      </c>
      <c r="AW84" s="1300">
        <f>IF('Sponsor Pro Forma'!$N28="Override",INDEX('Sponsor Pro Forma'!$O$16:$Z$34,MATCH('Monthly Cash Flow'!$B84,'Sponsor Pro Forma'!$B$16:$B$34,0),MATCH('Monthly Cash Flow'!AW$4,'Sponsor Pro Forma'!$O$15:$Z$15,0))/12,IF('Sponsor Pro Forma'!$L$42="Annual",'Monthly Cash Flow'!AV84*(1+'Sponsor Pro Forma'!$M28)^(IF(MOD(AW$5,12)=1,1,0)),'Monthly Cash Flow'!AV84*(1+'Sponsor Pro Forma'!$M28/12)))</f>
        <v>13260.855168000002</v>
      </c>
      <c r="AX84" s="1300">
        <f>IF('Sponsor Pro Forma'!$N28="Override",INDEX('Sponsor Pro Forma'!$O$16:$Z$34,MATCH('Monthly Cash Flow'!$B84,'Sponsor Pro Forma'!$B$16:$B$34,0),MATCH('Monthly Cash Flow'!AX$4,'Sponsor Pro Forma'!$O$15:$Z$15,0))/12,IF('Sponsor Pro Forma'!$L$42="Annual",'Monthly Cash Flow'!AW84*(1+'Sponsor Pro Forma'!$M28)^(IF(MOD(AX$5,12)=1,1,0)),'Monthly Cash Flow'!AW84*(1+'Sponsor Pro Forma'!$M28/12)))</f>
        <v>13260.855168000002</v>
      </c>
      <c r="AY84" s="1300">
        <f>IF('Sponsor Pro Forma'!$N28="Override",INDEX('Sponsor Pro Forma'!$O$16:$Z$34,MATCH('Monthly Cash Flow'!$B84,'Sponsor Pro Forma'!$B$16:$B$34,0),MATCH('Monthly Cash Flow'!AY$4,'Sponsor Pro Forma'!$O$15:$Z$15,0))/12,IF('Sponsor Pro Forma'!$L$42="Annual",'Monthly Cash Flow'!AX84*(1+'Sponsor Pro Forma'!$M28)^(IF(MOD(AY$5,12)=1,1,0)),'Monthly Cash Flow'!AX84*(1+'Sponsor Pro Forma'!$M28/12)))</f>
        <v>13260.855168000002</v>
      </c>
      <c r="AZ84" s="1300">
        <f>IF('Sponsor Pro Forma'!$N28="Override",INDEX('Sponsor Pro Forma'!$O$16:$Z$34,MATCH('Monthly Cash Flow'!$B84,'Sponsor Pro Forma'!$B$16:$B$34,0),MATCH('Monthly Cash Flow'!AZ$4,'Sponsor Pro Forma'!$O$15:$Z$15,0))/12,IF('Sponsor Pro Forma'!$L$42="Annual",'Monthly Cash Flow'!AY84*(1+'Sponsor Pro Forma'!$M28)^(IF(MOD(AZ$5,12)=1,1,0)),'Monthly Cash Flow'!AY84*(1+'Sponsor Pro Forma'!$M28/12)))</f>
        <v>13260.855168000002</v>
      </c>
      <c r="BA84" s="1300">
        <f>IF('Sponsor Pro Forma'!$N28="Override",INDEX('Sponsor Pro Forma'!$O$16:$Z$34,MATCH('Monthly Cash Flow'!$B84,'Sponsor Pro Forma'!$B$16:$B$34,0),MATCH('Monthly Cash Flow'!BA$4,'Sponsor Pro Forma'!$O$15:$Z$15,0))/12,IF('Sponsor Pro Forma'!$L$42="Annual",'Monthly Cash Flow'!AZ84*(1+'Sponsor Pro Forma'!$M28)^(IF(MOD(BA$5,12)=1,1,0)),'Monthly Cash Flow'!AZ84*(1+'Sponsor Pro Forma'!$M28/12)))</f>
        <v>13526.072271360003</v>
      </c>
      <c r="BB84" s="1300">
        <f>IF('Sponsor Pro Forma'!$N28="Override",INDEX('Sponsor Pro Forma'!$O$16:$Z$34,MATCH('Monthly Cash Flow'!$B84,'Sponsor Pro Forma'!$B$16:$B$34,0),MATCH('Monthly Cash Flow'!BB$4,'Sponsor Pro Forma'!$O$15:$Z$15,0))/12,IF('Sponsor Pro Forma'!$L$42="Annual",'Monthly Cash Flow'!BA84*(1+'Sponsor Pro Forma'!$M28)^(IF(MOD(BB$5,12)=1,1,0)),'Monthly Cash Flow'!BA84*(1+'Sponsor Pro Forma'!$M28/12)))</f>
        <v>13526.072271360003</v>
      </c>
      <c r="BC84" s="1300">
        <f>IF('Sponsor Pro Forma'!$N28="Override",INDEX('Sponsor Pro Forma'!$O$16:$Z$34,MATCH('Monthly Cash Flow'!$B84,'Sponsor Pro Forma'!$B$16:$B$34,0),MATCH('Monthly Cash Flow'!BC$4,'Sponsor Pro Forma'!$O$15:$Z$15,0))/12,IF('Sponsor Pro Forma'!$L$42="Annual",'Monthly Cash Flow'!BB84*(1+'Sponsor Pro Forma'!$M28)^(IF(MOD(BC$5,12)=1,1,0)),'Monthly Cash Flow'!BB84*(1+'Sponsor Pro Forma'!$M28/12)))</f>
        <v>13526.072271360003</v>
      </c>
      <c r="BD84" s="1300">
        <f>IF('Sponsor Pro Forma'!$N28="Override",INDEX('Sponsor Pro Forma'!$O$16:$Z$34,MATCH('Monthly Cash Flow'!$B84,'Sponsor Pro Forma'!$B$16:$B$34,0),MATCH('Monthly Cash Flow'!BD$4,'Sponsor Pro Forma'!$O$15:$Z$15,0))/12,IF('Sponsor Pro Forma'!$L$42="Annual",'Monthly Cash Flow'!BC84*(1+'Sponsor Pro Forma'!$M28)^(IF(MOD(BD$5,12)=1,1,0)),'Monthly Cash Flow'!BC84*(1+'Sponsor Pro Forma'!$M28/12)))</f>
        <v>13526.072271360003</v>
      </c>
      <c r="BE84" s="1300">
        <f>IF('Sponsor Pro Forma'!$N28="Override",INDEX('Sponsor Pro Forma'!$O$16:$Z$34,MATCH('Monthly Cash Flow'!$B84,'Sponsor Pro Forma'!$B$16:$B$34,0),MATCH('Monthly Cash Flow'!BE$4,'Sponsor Pro Forma'!$O$15:$Z$15,0))/12,IF('Sponsor Pro Forma'!$L$42="Annual",'Monthly Cash Flow'!BD84*(1+'Sponsor Pro Forma'!$M28)^(IF(MOD(BE$5,12)=1,1,0)),'Monthly Cash Flow'!BD84*(1+'Sponsor Pro Forma'!$M28/12)))</f>
        <v>13526.072271360003</v>
      </c>
      <c r="BF84" s="1300">
        <f>IF('Sponsor Pro Forma'!$N28="Override",INDEX('Sponsor Pro Forma'!$O$16:$Z$34,MATCH('Monthly Cash Flow'!$B84,'Sponsor Pro Forma'!$B$16:$B$34,0),MATCH('Monthly Cash Flow'!BF$4,'Sponsor Pro Forma'!$O$15:$Z$15,0))/12,IF('Sponsor Pro Forma'!$L$42="Annual",'Monthly Cash Flow'!BE84*(1+'Sponsor Pro Forma'!$M28)^(IF(MOD(BF$5,12)=1,1,0)),'Monthly Cash Flow'!BE84*(1+'Sponsor Pro Forma'!$M28/12)))</f>
        <v>13526.072271360003</v>
      </c>
      <c r="BG84" s="1300">
        <f>IF('Sponsor Pro Forma'!$N28="Override",INDEX('Sponsor Pro Forma'!$O$16:$Z$34,MATCH('Monthly Cash Flow'!$B84,'Sponsor Pro Forma'!$B$16:$B$34,0),MATCH('Monthly Cash Flow'!BG$4,'Sponsor Pro Forma'!$O$15:$Z$15,0))/12,IF('Sponsor Pro Forma'!$L$42="Annual",'Monthly Cash Flow'!BF84*(1+'Sponsor Pro Forma'!$M28)^(IF(MOD(BG$5,12)=1,1,0)),'Monthly Cash Flow'!BF84*(1+'Sponsor Pro Forma'!$M28/12)))</f>
        <v>13526.072271360003</v>
      </c>
      <c r="BH84" s="1300">
        <f>IF('Sponsor Pro Forma'!$N28="Override",INDEX('Sponsor Pro Forma'!$O$16:$Z$34,MATCH('Monthly Cash Flow'!$B84,'Sponsor Pro Forma'!$B$16:$B$34,0),MATCH('Monthly Cash Flow'!BH$4,'Sponsor Pro Forma'!$O$15:$Z$15,0))/12,IF('Sponsor Pro Forma'!$L$42="Annual",'Monthly Cash Flow'!BG84*(1+'Sponsor Pro Forma'!$M28)^(IF(MOD(BH$5,12)=1,1,0)),'Monthly Cash Flow'!BG84*(1+'Sponsor Pro Forma'!$M28/12)))</f>
        <v>13526.072271360003</v>
      </c>
      <c r="BI84" s="1300">
        <f>IF('Sponsor Pro Forma'!$N28="Override",INDEX('Sponsor Pro Forma'!$O$16:$Z$34,MATCH('Monthly Cash Flow'!$B84,'Sponsor Pro Forma'!$B$16:$B$34,0),MATCH('Monthly Cash Flow'!BI$4,'Sponsor Pro Forma'!$O$15:$Z$15,0))/12,IF('Sponsor Pro Forma'!$L$42="Annual",'Monthly Cash Flow'!BH84*(1+'Sponsor Pro Forma'!$M28)^(IF(MOD(BI$5,12)=1,1,0)),'Monthly Cash Flow'!BH84*(1+'Sponsor Pro Forma'!$M28/12)))</f>
        <v>13526.072271360003</v>
      </c>
      <c r="BJ84" s="1300">
        <f>IF('Sponsor Pro Forma'!$N28="Override",INDEX('Sponsor Pro Forma'!$O$16:$Z$34,MATCH('Monthly Cash Flow'!$B84,'Sponsor Pro Forma'!$B$16:$B$34,0),MATCH('Monthly Cash Flow'!BJ$4,'Sponsor Pro Forma'!$O$15:$Z$15,0))/12,IF('Sponsor Pro Forma'!$L$42="Annual",'Monthly Cash Flow'!BI84*(1+'Sponsor Pro Forma'!$M28)^(IF(MOD(BJ$5,12)=1,1,0)),'Monthly Cash Flow'!BI84*(1+'Sponsor Pro Forma'!$M28/12)))</f>
        <v>13526.072271360003</v>
      </c>
      <c r="BK84" s="1300">
        <f>IF('Sponsor Pro Forma'!$N28="Override",INDEX('Sponsor Pro Forma'!$O$16:$Z$34,MATCH('Monthly Cash Flow'!$B84,'Sponsor Pro Forma'!$B$16:$B$34,0),MATCH('Monthly Cash Flow'!BK$4,'Sponsor Pro Forma'!$O$15:$Z$15,0))/12,IF('Sponsor Pro Forma'!$L$42="Annual",'Monthly Cash Flow'!BJ84*(1+'Sponsor Pro Forma'!$M28)^(IF(MOD(BK$5,12)=1,1,0)),'Monthly Cash Flow'!BJ84*(1+'Sponsor Pro Forma'!$M28/12)))</f>
        <v>13526.072271360003</v>
      </c>
      <c r="BL84" s="1300">
        <f>IF('Sponsor Pro Forma'!$N28="Override",INDEX('Sponsor Pro Forma'!$O$16:$Z$34,MATCH('Monthly Cash Flow'!$B84,'Sponsor Pro Forma'!$B$16:$B$34,0),MATCH('Monthly Cash Flow'!BL$4,'Sponsor Pro Forma'!$O$15:$Z$15,0))/12,IF('Sponsor Pro Forma'!$L$42="Annual",'Monthly Cash Flow'!BK84*(1+'Sponsor Pro Forma'!$M28)^(IF(MOD(BL$5,12)=1,1,0)),'Monthly Cash Flow'!BK84*(1+'Sponsor Pro Forma'!$M28/12)))</f>
        <v>13526.072271360003</v>
      </c>
      <c r="BM84" s="1300">
        <f>IF('Sponsor Pro Forma'!$N28="Override",INDEX('Sponsor Pro Forma'!$O$16:$Z$34,MATCH('Monthly Cash Flow'!$B84,'Sponsor Pro Forma'!$B$16:$B$34,0),MATCH('Monthly Cash Flow'!BM$4,'Sponsor Pro Forma'!$O$15:$Z$15,0))/12,IF('Sponsor Pro Forma'!$L$42="Annual",'Monthly Cash Flow'!BL84*(1+'Sponsor Pro Forma'!$M28)^(IF(MOD(BM$5,12)=1,1,0)),'Monthly Cash Flow'!BL84*(1+'Sponsor Pro Forma'!$M28/12)))</f>
        <v>13796.593716787202</v>
      </c>
      <c r="BN84" s="1300">
        <f>IF('Sponsor Pro Forma'!$N28="Override",INDEX('Sponsor Pro Forma'!$O$16:$Z$34,MATCH('Monthly Cash Flow'!$B84,'Sponsor Pro Forma'!$B$16:$B$34,0),MATCH('Monthly Cash Flow'!BN$4,'Sponsor Pro Forma'!$O$15:$Z$15,0))/12,IF('Sponsor Pro Forma'!$L$42="Annual",'Monthly Cash Flow'!BM84*(1+'Sponsor Pro Forma'!$M28)^(IF(MOD(BN$5,12)=1,1,0)),'Monthly Cash Flow'!BM84*(1+'Sponsor Pro Forma'!$M28/12)))</f>
        <v>13796.593716787202</v>
      </c>
      <c r="BO84" s="1300">
        <f>IF('Sponsor Pro Forma'!$N28="Override",INDEX('Sponsor Pro Forma'!$O$16:$Z$34,MATCH('Monthly Cash Flow'!$B84,'Sponsor Pro Forma'!$B$16:$B$34,0),MATCH('Monthly Cash Flow'!BO$4,'Sponsor Pro Forma'!$O$15:$Z$15,0))/12,IF('Sponsor Pro Forma'!$L$42="Annual",'Monthly Cash Flow'!BN84*(1+'Sponsor Pro Forma'!$M28)^(IF(MOD(BO$5,12)=1,1,0)),'Monthly Cash Flow'!BN84*(1+'Sponsor Pro Forma'!$M28/12)))</f>
        <v>13796.593716787202</v>
      </c>
      <c r="BP84" s="1300">
        <f>IF('Sponsor Pro Forma'!$N28="Override",INDEX('Sponsor Pro Forma'!$O$16:$Z$34,MATCH('Monthly Cash Flow'!$B84,'Sponsor Pro Forma'!$B$16:$B$34,0),MATCH('Monthly Cash Flow'!BP$4,'Sponsor Pro Forma'!$O$15:$Z$15,0))/12,IF('Sponsor Pro Forma'!$L$42="Annual",'Monthly Cash Flow'!BO84*(1+'Sponsor Pro Forma'!$M28)^(IF(MOD(BP$5,12)=1,1,0)),'Monthly Cash Flow'!BO84*(1+'Sponsor Pro Forma'!$M28/12)))</f>
        <v>13796.593716787202</v>
      </c>
      <c r="BQ84" s="1300">
        <f>IF('Sponsor Pro Forma'!$N28="Override",INDEX('Sponsor Pro Forma'!$O$16:$Z$34,MATCH('Monthly Cash Flow'!$B84,'Sponsor Pro Forma'!$B$16:$B$34,0),MATCH('Monthly Cash Flow'!BQ$4,'Sponsor Pro Forma'!$O$15:$Z$15,0))/12,IF('Sponsor Pro Forma'!$L$42="Annual",'Monthly Cash Flow'!BP84*(1+'Sponsor Pro Forma'!$M28)^(IF(MOD(BQ$5,12)=1,1,0)),'Monthly Cash Flow'!BP84*(1+'Sponsor Pro Forma'!$M28/12)))</f>
        <v>13796.593716787202</v>
      </c>
      <c r="BR84" s="1300">
        <f>IF('Sponsor Pro Forma'!$N28="Override",INDEX('Sponsor Pro Forma'!$O$16:$Z$34,MATCH('Monthly Cash Flow'!$B84,'Sponsor Pro Forma'!$B$16:$B$34,0),MATCH('Monthly Cash Flow'!BR$4,'Sponsor Pro Forma'!$O$15:$Z$15,0))/12,IF('Sponsor Pro Forma'!$L$42="Annual",'Monthly Cash Flow'!BQ84*(1+'Sponsor Pro Forma'!$M28)^(IF(MOD(BR$5,12)=1,1,0)),'Monthly Cash Flow'!BQ84*(1+'Sponsor Pro Forma'!$M28/12)))</f>
        <v>13796.593716787202</v>
      </c>
      <c r="BS84" s="1300">
        <f>IF('Sponsor Pro Forma'!$N28="Override",INDEX('Sponsor Pro Forma'!$O$16:$Z$34,MATCH('Monthly Cash Flow'!$B84,'Sponsor Pro Forma'!$B$16:$B$34,0),MATCH('Monthly Cash Flow'!BS$4,'Sponsor Pro Forma'!$O$15:$Z$15,0))/12,IF('Sponsor Pro Forma'!$L$42="Annual",'Monthly Cash Flow'!BR84*(1+'Sponsor Pro Forma'!$M28)^(IF(MOD(BS$5,12)=1,1,0)),'Monthly Cash Flow'!BR84*(1+'Sponsor Pro Forma'!$M28/12)))</f>
        <v>13796.593716787202</v>
      </c>
      <c r="BT84" s="1300">
        <f>IF('Sponsor Pro Forma'!$N28="Override",INDEX('Sponsor Pro Forma'!$O$16:$Z$34,MATCH('Monthly Cash Flow'!$B84,'Sponsor Pro Forma'!$B$16:$B$34,0),MATCH('Monthly Cash Flow'!BT$4,'Sponsor Pro Forma'!$O$15:$Z$15,0))/12,IF('Sponsor Pro Forma'!$L$42="Annual",'Monthly Cash Flow'!BS84*(1+'Sponsor Pro Forma'!$M28)^(IF(MOD(BT$5,12)=1,1,0)),'Monthly Cash Flow'!BS84*(1+'Sponsor Pro Forma'!$M28/12)))</f>
        <v>13796.593716787202</v>
      </c>
      <c r="BU84" s="1300">
        <f>IF('Sponsor Pro Forma'!$N28="Override",INDEX('Sponsor Pro Forma'!$O$16:$Z$34,MATCH('Monthly Cash Flow'!$B84,'Sponsor Pro Forma'!$B$16:$B$34,0),MATCH('Monthly Cash Flow'!BU$4,'Sponsor Pro Forma'!$O$15:$Z$15,0))/12,IF('Sponsor Pro Forma'!$L$42="Annual",'Monthly Cash Flow'!BT84*(1+'Sponsor Pro Forma'!$M28)^(IF(MOD(BU$5,12)=1,1,0)),'Monthly Cash Flow'!BT84*(1+'Sponsor Pro Forma'!$M28/12)))</f>
        <v>13796.593716787202</v>
      </c>
      <c r="BV84" s="1300">
        <f>IF('Sponsor Pro Forma'!$N28="Override",INDEX('Sponsor Pro Forma'!$O$16:$Z$34,MATCH('Monthly Cash Flow'!$B84,'Sponsor Pro Forma'!$B$16:$B$34,0),MATCH('Monthly Cash Flow'!BV$4,'Sponsor Pro Forma'!$O$15:$Z$15,0))/12,IF('Sponsor Pro Forma'!$L$42="Annual",'Monthly Cash Flow'!BU84*(1+'Sponsor Pro Forma'!$M28)^(IF(MOD(BV$5,12)=1,1,0)),'Monthly Cash Flow'!BU84*(1+'Sponsor Pro Forma'!$M28/12)))</f>
        <v>13796.593716787202</v>
      </c>
      <c r="BW84" s="1300">
        <f>IF('Sponsor Pro Forma'!$N28="Override",INDEX('Sponsor Pro Forma'!$O$16:$Z$34,MATCH('Monthly Cash Flow'!$B84,'Sponsor Pro Forma'!$B$16:$B$34,0),MATCH('Monthly Cash Flow'!BW$4,'Sponsor Pro Forma'!$O$15:$Z$15,0))/12,IF('Sponsor Pro Forma'!$L$42="Annual",'Monthly Cash Flow'!BV84*(1+'Sponsor Pro Forma'!$M28)^(IF(MOD(BW$5,12)=1,1,0)),'Monthly Cash Flow'!BV84*(1+'Sponsor Pro Forma'!$M28/12)))</f>
        <v>13796.593716787202</v>
      </c>
      <c r="BX84" s="1300">
        <f>IF('Sponsor Pro Forma'!$N28="Override",INDEX('Sponsor Pro Forma'!$O$16:$Z$34,MATCH('Monthly Cash Flow'!$B84,'Sponsor Pro Forma'!$B$16:$B$34,0),MATCH('Monthly Cash Flow'!BX$4,'Sponsor Pro Forma'!$O$15:$Z$15,0))/12,IF('Sponsor Pro Forma'!$L$42="Annual",'Monthly Cash Flow'!BW84*(1+'Sponsor Pro Forma'!$M28)^(IF(MOD(BX$5,12)=1,1,0)),'Monthly Cash Flow'!BW84*(1+'Sponsor Pro Forma'!$M28/12)))</f>
        <v>13796.593716787202</v>
      </c>
      <c r="BY84" s="1300">
        <f>IF('Sponsor Pro Forma'!$N28="Override",INDEX('Sponsor Pro Forma'!$O$16:$Z$34,MATCH('Monthly Cash Flow'!$B84,'Sponsor Pro Forma'!$B$16:$B$34,0),MATCH('Monthly Cash Flow'!BY$4,'Sponsor Pro Forma'!$O$15:$Z$15,0))/12,IF('Sponsor Pro Forma'!$L$42="Annual",'Monthly Cash Flow'!BX84*(1+'Sponsor Pro Forma'!$M28)^(IF(MOD(BY$5,12)=1,1,0)),'Monthly Cash Flow'!BX84*(1+'Sponsor Pro Forma'!$M28/12)))</f>
        <v>14072.525591122945</v>
      </c>
      <c r="BZ84" s="1300">
        <f>IF('Sponsor Pro Forma'!$N28="Override",INDEX('Sponsor Pro Forma'!$O$16:$Z$34,MATCH('Monthly Cash Flow'!$B84,'Sponsor Pro Forma'!$B$16:$B$34,0),MATCH('Monthly Cash Flow'!BZ$4,'Sponsor Pro Forma'!$O$15:$Z$15,0))/12,IF('Sponsor Pro Forma'!$L$42="Annual",'Monthly Cash Flow'!BY84*(1+'Sponsor Pro Forma'!$M28)^(IF(MOD(BZ$5,12)=1,1,0)),'Monthly Cash Flow'!BY84*(1+'Sponsor Pro Forma'!$M28/12)))</f>
        <v>14072.525591122945</v>
      </c>
      <c r="CA84" s="1300">
        <f>IF('Sponsor Pro Forma'!$N28="Override",INDEX('Sponsor Pro Forma'!$O$16:$Z$34,MATCH('Monthly Cash Flow'!$B84,'Sponsor Pro Forma'!$B$16:$B$34,0),MATCH('Monthly Cash Flow'!CA$4,'Sponsor Pro Forma'!$O$15:$Z$15,0))/12,IF('Sponsor Pro Forma'!$L$42="Annual",'Monthly Cash Flow'!BZ84*(1+'Sponsor Pro Forma'!$M28)^(IF(MOD(CA$5,12)=1,1,0)),'Monthly Cash Flow'!BZ84*(1+'Sponsor Pro Forma'!$M28/12)))</f>
        <v>14072.525591122945</v>
      </c>
      <c r="CB84" s="1300">
        <f>IF('Sponsor Pro Forma'!$N28="Override",INDEX('Sponsor Pro Forma'!$O$16:$Z$34,MATCH('Monthly Cash Flow'!$B84,'Sponsor Pro Forma'!$B$16:$B$34,0),MATCH('Monthly Cash Flow'!CB$4,'Sponsor Pro Forma'!$O$15:$Z$15,0))/12,IF('Sponsor Pro Forma'!$L$42="Annual",'Monthly Cash Flow'!CA84*(1+'Sponsor Pro Forma'!$M28)^(IF(MOD(CB$5,12)=1,1,0)),'Monthly Cash Flow'!CA84*(1+'Sponsor Pro Forma'!$M28/12)))</f>
        <v>14072.525591122945</v>
      </c>
      <c r="CC84" s="1300">
        <f>IF('Sponsor Pro Forma'!$N28="Override",INDEX('Sponsor Pro Forma'!$O$16:$Z$34,MATCH('Monthly Cash Flow'!$B84,'Sponsor Pro Forma'!$B$16:$B$34,0),MATCH('Monthly Cash Flow'!CC$4,'Sponsor Pro Forma'!$O$15:$Z$15,0))/12,IF('Sponsor Pro Forma'!$L$42="Annual",'Monthly Cash Flow'!CB84*(1+'Sponsor Pro Forma'!$M28)^(IF(MOD(CC$5,12)=1,1,0)),'Monthly Cash Flow'!CB84*(1+'Sponsor Pro Forma'!$M28/12)))</f>
        <v>14072.525591122945</v>
      </c>
      <c r="CD84" s="1300">
        <f>IF('Sponsor Pro Forma'!$N28="Override",INDEX('Sponsor Pro Forma'!$O$16:$Z$34,MATCH('Monthly Cash Flow'!$B84,'Sponsor Pro Forma'!$B$16:$B$34,0),MATCH('Monthly Cash Flow'!CD$4,'Sponsor Pro Forma'!$O$15:$Z$15,0))/12,IF('Sponsor Pro Forma'!$L$42="Annual",'Monthly Cash Flow'!CC84*(1+'Sponsor Pro Forma'!$M28)^(IF(MOD(CD$5,12)=1,1,0)),'Monthly Cash Flow'!CC84*(1+'Sponsor Pro Forma'!$M28/12)))</f>
        <v>14072.525591122945</v>
      </c>
      <c r="CE84" s="1300">
        <f>IF('Sponsor Pro Forma'!$N28="Override",INDEX('Sponsor Pro Forma'!$O$16:$Z$34,MATCH('Monthly Cash Flow'!$B84,'Sponsor Pro Forma'!$B$16:$B$34,0),MATCH('Monthly Cash Flow'!CE$4,'Sponsor Pro Forma'!$O$15:$Z$15,0))/12,IF('Sponsor Pro Forma'!$L$42="Annual",'Monthly Cash Flow'!CD84*(1+'Sponsor Pro Forma'!$M28)^(IF(MOD(CE$5,12)=1,1,0)),'Monthly Cash Flow'!CD84*(1+'Sponsor Pro Forma'!$M28/12)))</f>
        <v>14072.525591122945</v>
      </c>
      <c r="CF84" s="1300">
        <f>IF('Sponsor Pro Forma'!$N28="Override",INDEX('Sponsor Pro Forma'!$O$16:$Z$34,MATCH('Monthly Cash Flow'!$B84,'Sponsor Pro Forma'!$B$16:$B$34,0),MATCH('Monthly Cash Flow'!CF$4,'Sponsor Pro Forma'!$O$15:$Z$15,0))/12,IF('Sponsor Pro Forma'!$L$42="Annual",'Monthly Cash Flow'!CE84*(1+'Sponsor Pro Forma'!$M28)^(IF(MOD(CF$5,12)=1,1,0)),'Monthly Cash Flow'!CE84*(1+'Sponsor Pro Forma'!$M28/12)))</f>
        <v>14072.525591122945</v>
      </c>
      <c r="CG84" s="1300">
        <f>IF('Sponsor Pro Forma'!$N28="Override",INDEX('Sponsor Pro Forma'!$O$16:$Z$34,MATCH('Monthly Cash Flow'!$B84,'Sponsor Pro Forma'!$B$16:$B$34,0),MATCH('Monthly Cash Flow'!CG$4,'Sponsor Pro Forma'!$O$15:$Z$15,0))/12,IF('Sponsor Pro Forma'!$L$42="Annual",'Monthly Cash Flow'!CF84*(1+'Sponsor Pro Forma'!$M28)^(IF(MOD(CG$5,12)=1,1,0)),'Monthly Cash Flow'!CF84*(1+'Sponsor Pro Forma'!$M28/12)))</f>
        <v>14072.525591122945</v>
      </c>
      <c r="CH84" s="1300">
        <f>IF('Sponsor Pro Forma'!$N28="Override",INDEX('Sponsor Pro Forma'!$O$16:$Z$34,MATCH('Monthly Cash Flow'!$B84,'Sponsor Pro Forma'!$B$16:$B$34,0),MATCH('Monthly Cash Flow'!CH$4,'Sponsor Pro Forma'!$O$15:$Z$15,0))/12,IF('Sponsor Pro Forma'!$L$42="Annual",'Monthly Cash Flow'!CG84*(1+'Sponsor Pro Forma'!$M28)^(IF(MOD(CH$5,12)=1,1,0)),'Monthly Cash Flow'!CG84*(1+'Sponsor Pro Forma'!$M28/12)))</f>
        <v>14072.525591122945</v>
      </c>
      <c r="CI84" s="1300">
        <f>IF('Sponsor Pro Forma'!$N28="Override",INDEX('Sponsor Pro Forma'!$O$16:$Z$34,MATCH('Monthly Cash Flow'!$B84,'Sponsor Pro Forma'!$B$16:$B$34,0),MATCH('Monthly Cash Flow'!CI$4,'Sponsor Pro Forma'!$O$15:$Z$15,0))/12,IF('Sponsor Pro Forma'!$L$42="Annual",'Monthly Cash Flow'!CH84*(1+'Sponsor Pro Forma'!$M28)^(IF(MOD(CI$5,12)=1,1,0)),'Monthly Cash Flow'!CH84*(1+'Sponsor Pro Forma'!$M28/12)))</f>
        <v>14072.525591122945</v>
      </c>
      <c r="CJ84" s="1300">
        <f>IF('Sponsor Pro Forma'!$N28="Override",INDEX('Sponsor Pro Forma'!$O$16:$Z$34,MATCH('Monthly Cash Flow'!$B84,'Sponsor Pro Forma'!$B$16:$B$34,0),MATCH('Monthly Cash Flow'!CJ$4,'Sponsor Pro Forma'!$O$15:$Z$15,0))/12,IF('Sponsor Pro Forma'!$L$42="Annual",'Monthly Cash Flow'!CI84*(1+'Sponsor Pro Forma'!$M28)^(IF(MOD(CJ$5,12)=1,1,0)),'Monthly Cash Flow'!CI84*(1+'Sponsor Pro Forma'!$M28/12)))</f>
        <v>14072.525591122945</v>
      </c>
      <c r="CK84" s="1300">
        <f>IF('Sponsor Pro Forma'!$N28="Override",INDEX('Sponsor Pro Forma'!$O$16:$Z$34,MATCH('Monthly Cash Flow'!$B84,'Sponsor Pro Forma'!$B$16:$B$34,0),MATCH('Monthly Cash Flow'!CK$4,'Sponsor Pro Forma'!$O$15:$Z$15,0))/12,IF('Sponsor Pro Forma'!$L$42="Annual",'Monthly Cash Flow'!CJ84*(1+'Sponsor Pro Forma'!$M28)^(IF(MOD(CK$5,12)=1,1,0)),'Monthly Cash Flow'!CJ84*(1+'Sponsor Pro Forma'!$M28/12)))</f>
        <v>14353.976102945404</v>
      </c>
      <c r="CL84" s="1300">
        <f>IF('Sponsor Pro Forma'!$N28="Override",INDEX('Sponsor Pro Forma'!$O$16:$Z$34,MATCH('Monthly Cash Flow'!$B84,'Sponsor Pro Forma'!$B$16:$B$34,0),MATCH('Monthly Cash Flow'!CL$4,'Sponsor Pro Forma'!$O$15:$Z$15,0))/12,IF('Sponsor Pro Forma'!$L$42="Annual",'Monthly Cash Flow'!CK84*(1+'Sponsor Pro Forma'!$M28)^(IF(MOD(CL$5,12)=1,1,0)),'Monthly Cash Flow'!CK84*(1+'Sponsor Pro Forma'!$M28/12)))</f>
        <v>14353.976102945404</v>
      </c>
      <c r="CM84" s="1300">
        <f>IF('Sponsor Pro Forma'!$N28="Override",INDEX('Sponsor Pro Forma'!$O$16:$Z$34,MATCH('Monthly Cash Flow'!$B84,'Sponsor Pro Forma'!$B$16:$B$34,0),MATCH('Monthly Cash Flow'!CM$4,'Sponsor Pro Forma'!$O$15:$Z$15,0))/12,IF('Sponsor Pro Forma'!$L$42="Annual",'Monthly Cash Flow'!CL84*(1+'Sponsor Pro Forma'!$M28)^(IF(MOD(CM$5,12)=1,1,0)),'Monthly Cash Flow'!CL84*(1+'Sponsor Pro Forma'!$M28/12)))</f>
        <v>14353.976102945404</v>
      </c>
      <c r="CN84" s="1300">
        <f>IF('Sponsor Pro Forma'!$N28="Override",INDEX('Sponsor Pro Forma'!$O$16:$Z$34,MATCH('Monthly Cash Flow'!$B84,'Sponsor Pro Forma'!$B$16:$B$34,0),MATCH('Monthly Cash Flow'!CN$4,'Sponsor Pro Forma'!$O$15:$Z$15,0))/12,IF('Sponsor Pro Forma'!$L$42="Annual",'Monthly Cash Flow'!CM84*(1+'Sponsor Pro Forma'!$M28)^(IF(MOD(CN$5,12)=1,1,0)),'Monthly Cash Flow'!CM84*(1+'Sponsor Pro Forma'!$M28/12)))</f>
        <v>14353.976102945404</v>
      </c>
      <c r="CO84" s="1300">
        <f>IF('Sponsor Pro Forma'!$N28="Override",INDEX('Sponsor Pro Forma'!$O$16:$Z$34,MATCH('Monthly Cash Flow'!$B84,'Sponsor Pro Forma'!$B$16:$B$34,0),MATCH('Monthly Cash Flow'!CO$4,'Sponsor Pro Forma'!$O$15:$Z$15,0))/12,IF('Sponsor Pro Forma'!$L$42="Annual",'Monthly Cash Flow'!CN84*(1+'Sponsor Pro Forma'!$M28)^(IF(MOD(CO$5,12)=1,1,0)),'Monthly Cash Flow'!CN84*(1+'Sponsor Pro Forma'!$M28/12)))</f>
        <v>14353.976102945404</v>
      </c>
      <c r="CP84" s="1300">
        <f>IF('Sponsor Pro Forma'!$N28="Override",INDEX('Sponsor Pro Forma'!$O$16:$Z$34,MATCH('Monthly Cash Flow'!$B84,'Sponsor Pro Forma'!$B$16:$B$34,0),MATCH('Monthly Cash Flow'!CP$4,'Sponsor Pro Forma'!$O$15:$Z$15,0))/12,IF('Sponsor Pro Forma'!$L$42="Annual",'Monthly Cash Flow'!CO84*(1+'Sponsor Pro Forma'!$M28)^(IF(MOD(CP$5,12)=1,1,0)),'Monthly Cash Flow'!CO84*(1+'Sponsor Pro Forma'!$M28/12)))</f>
        <v>14353.976102945404</v>
      </c>
      <c r="CQ84" s="1300">
        <f>IF('Sponsor Pro Forma'!$N28="Override",INDEX('Sponsor Pro Forma'!$O$16:$Z$34,MATCH('Monthly Cash Flow'!$B84,'Sponsor Pro Forma'!$B$16:$B$34,0),MATCH('Monthly Cash Flow'!CQ$4,'Sponsor Pro Forma'!$O$15:$Z$15,0))/12,IF('Sponsor Pro Forma'!$L$42="Annual",'Monthly Cash Flow'!CP84*(1+'Sponsor Pro Forma'!$M28)^(IF(MOD(CQ$5,12)=1,1,0)),'Monthly Cash Flow'!CP84*(1+'Sponsor Pro Forma'!$M28/12)))</f>
        <v>14353.976102945404</v>
      </c>
      <c r="CR84" s="1300">
        <f>IF('Sponsor Pro Forma'!$N28="Override",INDEX('Sponsor Pro Forma'!$O$16:$Z$34,MATCH('Monthly Cash Flow'!$B84,'Sponsor Pro Forma'!$B$16:$B$34,0),MATCH('Monthly Cash Flow'!CR$4,'Sponsor Pro Forma'!$O$15:$Z$15,0))/12,IF('Sponsor Pro Forma'!$L$42="Annual",'Monthly Cash Flow'!CQ84*(1+'Sponsor Pro Forma'!$M28)^(IF(MOD(CR$5,12)=1,1,0)),'Monthly Cash Flow'!CQ84*(1+'Sponsor Pro Forma'!$M28/12)))</f>
        <v>14353.976102945404</v>
      </c>
      <c r="CS84" s="1300">
        <f>IF('Sponsor Pro Forma'!$N28="Override",INDEX('Sponsor Pro Forma'!$O$16:$Z$34,MATCH('Monthly Cash Flow'!$B84,'Sponsor Pro Forma'!$B$16:$B$34,0),MATCH('Monthly Cash Flow'!CS$4,'Sponsor Pro Forma'!$O$15:$Z$15,0))/12,IF('Sponsor Pro Forma'!$L$42="Annual",'Monthly Cash Flow'!CR84*(1+'Sponsor Pro Forma'!$M28)^(IF(MOD(CS$5,12)=1,1,0)),'Monthly Cash Flow'!CR84*(1+'Sponsor Pro Forma'!$M28/12)))</f>
        <v>14353.976102945404</v>
      </c>
      <c r="CT84" s="1300">
        <f>IF('Sponsor Pro Forma'!$N28="Override",INDEX('Sponsor Pro Forma'!$O$16:$Z$34,MATCH('Monthly Cash Flow'!$B84,'Sponsor Pro Forma'!$B$16:$B$34,0),MATCH('Monthly Cash Flow'!CT$4,'Sponsor Pro Forma'!$O$15:$Z$15,0))/12,IF('Sponsor Pro Forma'!$L$42="Annual",'Monthly Cash Flow'!CS84*(1+'Sponsor Pro Forma'!$M28)^(IF(MOD(CT$5,12)=1,1,0)),'Monthly Cash Flow'!CS84*(1+'Sponsor Pro Forma'!$M28/12)))</f>
        <v>14353.976102945404</v>
      </c>
      <c r="CU84" s="1300">
        <f>IF('Sponsor Pro Forma'!$N28="Override",INDEX('Sponsor Pro Forma'!$O$16:$Z$34,MATCH('Monthly Cash Flow'!$B84,'Sponsor Pro Forma'!$B$16:$B$34,0),MATCH('Monthly Cash Flow'!CU$4,'Sponsor Pro Forma'!$O$15:$Z$15,0))/12,IF('Sponsor Pro Forma'!$L$42="Annual",'Monthly Cash Flow'!CT84*(1+'Sponsor Pro Forma'!$M28)^(IF(MOD(CU$5,12)=1,1,0)),'Monthly Cash Flow'!CT84*(1+'Sponsor Pro Forma'!$M28/12)))</f>
        <v>14353.976102945404</v>
      </c>
      <c r="CV84" s="1300">
        <f>IF('Sponsor Pro Forma'!$N28="Override",INDEX('Sponsor Pro Forma'!$O$16:$Z$34,MATCH('Monthly Cash Flow'!$B84,'Sponsor Pro Forma'!$B$16:$B$34,0),MATCH('Monthly Cash Flow'!CV$4,'Sponsor Pro Forma'!$O$15:$Z$15,0))/12,IF('Sponsor Pro Forma'!$L$42="Annual",'Monthly Cash Flow'!CU84*(1+'Sponsor Pro Forma'!$M28)^(IF(MOD(CV$5,12)=1,1,0)),'Monthly Cash Flow'!CU84*(1+'Sponsor Pro Forma'!$M28/12)))</f>
        <v>14353.976102945404</v>
      </c>
      <c r="CW84" s="1300">
        <f>IF('Sponsor Pro Forma'!$N28="Override",INDEX('Sponsor Pro Forma'!$O$16:$Z$34,MATCH('Monthly Cash Flow'!$B84,'Sponsor Pro Forma'!$B$16:$B$34,0),MATCH('Monthly Cash Flow'!CW$4,'Sponsor Pro Forma'!$O$15:$Z$15,0))/12,IF('Sponsor Pro Forma'!$L$42="Annual",'Monthly Cash Flow'!CV84*(1+'Sponsor Pro Forma'!$M28)^(IF(MOD(CW$5,12)=1,1,0)),'Monthly Cash Flow'!CV84*(1+'Sponsor Pro Forma'!$M28/12)))</f>
        <v>14641.055625004314</v>
      </c>
      <c r="CX84" s="1300">
        <f>IF('Sponsor Pro Forma'!$N28="Override",INDEX('Sponsor Pro Forma'!$O$16:$Z$34,MATCH('Monthly Cash Flow'!$B84,'Sponsor Pro Forma'!$B$16:$B$34,0),MATCH('Monthly Cash Flow'!CX$4,'Sponsor Pro Forma'!$O$15:$Z$15,0))/12,IF('Sponsor Pro Forma'!$L$42="Annual",'Monthly Cash Flow'!CW84*(1+'Sponsor Pro Forma'!$M28)^(IF(MOD(CX$5,12)=1,1,0)),'Monthly Cash Flow'!CW84*(1+'Sponsor Pro Forma'!$M28/12)))</f>
        <v>14641.055625004314</v>
      </c>
      <c r="CY84" s="1300">
        <f>IF('Sponsor Pro Forma'!$N28="Override",INDEX('Sponsor Pro Forma'!$O$16:$Z$34,MATCH('Monthly Cash Flow'!$B84,'Sponsor Pro Forma'!$B$16:$B$34,0),MATCH('Monthly Cash Flow'!CY$4,'Sponsor Pro Forma'!$O$15:$Z$15,0))/12,IF('Sponsor Pro Forma'!$L$42="Annual",'Monthly Cash Flow'!CX84*(1+'Sponsor Pro Forma'!$M28)^(IF(MOD(CY$5,12)=1,1,0)),'Monthly Cash Flow'!CX84*(1+'Sponsor Pro Forma'!$M28/12)))</f>
        <v>14641.055625004314</v>
      </c>
      <c r="CZ84" s="1300">
        <f>IF('Sponsor Pro Forma'!$N28="Override",INDEX('Sponsor Pro Forma'!$O$16:$Z$34,MATCH('Monthly Cash Flow'!$B84,'Sponsor Pro Forma'!$B$16:$B$34,0),MATCH('Monthly Cash Flow'!CZ$4,'Sponsor Pro Forma'!$O$15:$Z$15,0))/12,IF('Sponsor Pro Forma'!$L$42="Annual",'Monthly Cash Flow'!CY84*(1+'Sponsor Pro Forma'!$M28)^(IF(MOD(CZ$5,12)=1,1,0)),'Monthly Cash Flow'!CY84*(1+'Sponsor Pro Forma'!$M28/12)))</f>
        <v>14641.055625004314</v>
      </c>
      <c r="DA84" s="1300">
        <f>IF('Sponsor Pro Forma'!$N28="Override",INDEX('Sponsor Pro Forma'!$O$16:$Z$34,MATCH('Monthly Cash Flow'!$B84,'Sponsor Pro Forma'!$B$16:$B$34,0),MATCH('Monthly Cash Flow'!DA$4,'Sponsor Pro Forma'!$O$15:$Z$15,0))/12,IF('Sponsor Pro Forma'!$L$42="Annual",'Monthly Cash Flow'!CZ84*(1+'Sponsor Pro Forma'!$M28)^(IF(MOD(DA$5,12)=1,1,0)),'Monthly Cash Flow'!CZ84*(1+'Sponsor Pro Forma'!$M28/12)))</f>
        <v>14641.055625004314</v>
      </c>
      <c r="DB84" s="1300">
        <f>IF('Sponsor Pro Forma'!$N28="Override",INDEX('Sponsor Pro Forma'!$O$16:$Z$34,MATCH('Monthly Cash Flow'!$B84,'Sponsor Pro Forma'!$B$16:$B$34,0),MATCH('Monthly Cash Flow'!DB$4,'Sponsor Pro Forma'!$O$15:$Z$15,0))/12,IF('Sponsor Pro Forma'!$L$42="Annual",'Monthly Cash Flow'!DA84*(1+'Sponsor Pro Forma'!$M28)^(IF(MOD(DB$5,12)=1,1,0)),'Monthly Cash Flow'!DA84*(1+'Sponsor Pro Forma'!$M28/12)))</f>
        <v>14641.055625004314</v>
      </c>
      <c r="DC84" s="1300">
        <f>IF('Sponsor Pro Forma'!$N28="Override",INDEX('Sponsor Pro Forma'!$O$16:$Z$34,MATCH('Monthly Cash Flow'!$B84,'Sponsor Pro Forma'!$B$16:$B$34,0),MATCH('Monthly Cash Flow'!DC$4,'Sponsor Pro Forma'!$O$15:$Z$15,0))/12,IF('Sponsor Pro Forma'!$L$42="Annual",'Monthly Cash Flow'!DB84*(1+'Sponsor Pro Forma'!$M28)^(IF(MOD(DC$5,12)=1,1,0)),'Monthly Cash Flow'!DB84*(1+'Sponsor Pro Forma'!$M28/12)))</f>
        <v>14641.055625004314</v>
      </c>
      <c r="DD84" s="1300">
        <f>IF('Sponsor Pro Forma'!$N28="Override",INDEX('Sponsor Pro Forma'!$O$16:$Z$34,MATCH('Monthly Cash Flow'!$B84,'Sponsor Pro Forma'!$B$16:$B$34,0),MATCH('Monthly Cash Flow'!DD$4,'Sponsor Pro Forma'!$O$15:$Z$15,0))/12,IF('Sponsor Pro Forma'!$L$42="Annual",'Monthly Cash Flow'!DC84*(1+'Sponsor Pro Forma'!$M28)^(IF(MOD(DD$5,12)=1,1,0)),'Monthly Cash Flow'!DC84*(1+'Sponsor Pro Forma'!$M28/12)))</f>
        <v>14641.055625004314</v>
      </c>
      <c r="DE84" s="1300">
        <f>IF('Sponsor Pro Forma'!$N28="Override",INDEX('Sponsor Pro Forma'!$O$16:$Z$34,MATCH('Monthly Cash Flow'!$B84,'Sponsor Pro Forma'!$B$16:$B$34,0),MATCH('Monthly Cash Flow'!DE$4,'Sponsor Pro Forma'!$O$15:$Z$15,0))/12,IF('Sponsor Pro Forma'!$L$42="Annual",'Monthly Cash Flow'!DD84*(1+'Sponsor Pro Forma'!$M28)^(IF(MOD(DE$5,12)=1,1,0)),'Monthly Cash Flow'!DD84*(1+'Sponsor Pro Forma'!$M28/12)))</f>
        <v>14641.055625004314</v>
      </c>
      <c r="DF84" s="1300">
        <f>IF('Sponsor Pro Forma'!$N28="Override",INDEX('Sponsor Pro Forma'!$O$16:$Z$34,MATCH('Monthly Cash Flow'!$B84,'Sponsor Pro Forma'!$B$16:$B$34,0),MATCH('Monthly Cash Flow'!DF$4,'Sponsor Pro Forma'!$O$15:$Z$15,0))/12,IF('Sponsor Pro Forma'!$L$42="Annual",'Monthly Cash Flow'!DE84*(1+'Sponsor Pro Forma'!$M28)^(IF(MOD(DF$5,12)=1,1,0)),'Monthly Cash Flow'!DE84*(1+'Sponsor Pro Forma'!$M28/12)))</f>
        <v>14641.055625004314</v>
      </c>
      <c r="DG84" s="1300">
        <f>IF('Sponsor Pro Forma'!$N28="Override",INDEX('Sponsor Pro Forma'!$O$16:$Z$34,MATCH('Monthly Cash Flow'!$B84,'Sponsor Pro Forma'!$B$16:$B$34,0),MATCH('Monthly Cash Flow'!DG$4,'Sponsor Pro Forma'!$O$15:$Z$15,0))/12,IF('Sponsor Pro Forma'!$L$42="Annual",'Monthly Cash Flow'!DF84*(1+'Sponsor Pro Forma'!$M28)^(IF(MOD(DG$5,12)=1,1,0)),'Monthly Cash Flow'!DF84*(1+'Sponsor Pro Forma'!$M28/12)))</f>
        <v>14641.055625004314</v>
      </c>
      <c r="DH84" s="1300">
        <f>IF('Sponsor Pro Forma'!$N28="Override",INDEX('Sponsor Pro Forma'!$O$16:$Z$34,MATCH('Monthly Cash Flow'!$B84,'Sponsor Pro Forma'!$B$16:$B$34,0),MATCH('Monthly Cash Flow'!DH$4,'Sponsor Pro Forma'!$O$15:$Z$15,0))/12,IF('Sponsor Pro Forma'!$L$42="Annual",'Monthly Cash Flow'!DG84*(1+'Sponsor Pro Forma'!$M28)^(IF(MOD(DH$5,12)=1,1,0)),'Monthly Cash Flow'!DG84*(1+'Sponsor Pro Forma'!$M28/12)))</f>
        <v>14641.055625004314</v>
      </c>
      <c r="DI84" s="1300">
        <f>IF('Sponsor Pro Forma'!$N28="Override",INDEX('Sponsor Pro Forma'!$O$16:$Z$34,MATCH('Monthly Cash Flow'!$B84,'Sponsor Pro Forma'!$B$16:$B$34,0),MATCH('Monthly Cash Flow'!DI$4,'Sponsor Pro Forma'!$O$15:$Z$15,0))/12,IF('Sponsor Pro Forma'!$L$42="Annual",'Monthly Cash Flow'!DH84*(1+'Sponsor Pro Forma'!$M28)^(IF(MOD(DI$5,12)=1,1,0)),'Monthly Cash Flow'!DH84*(1+'Sponsor Pro Forma'!$M28/12)))</f>
        <v>14933.876737504399</v>
      </c>
      <c r="DJ84" s="1300">
        <f>IF('Sponsor Pro Forma'!$N28="Override",INDEX('Sponsor Pro Forma'!$O$16:$Z$34,MATCH('Monthly Cash Flow'!$B84,'Sponsor Pro Forma'!$B$16:$B$34,0),MATCH('Monthly Cash Flow'!DJ$4,'Sponsor Pro Forma'!$O$15:$Z$15,0))/12,IF('Sponsor Pro Forma'!$L$42="Annual",'Monthly Cash Flow'!DI84*(1+'Sponsor Pro Forma'!$M28)^(IF(MOD(DJ$5,12)=1,1,0)),'Monthly Cash Flow'!DI84*(1+'Sponsor Pro Forma'!$M28/12)))</f>
        <v>14933.876737504399</v>
      </c>
      <c r="DK84" s="1300">
        <f>IF('Sponsor Pro Forma'!$N28="Override",INDEX('Sponsor Pro Forma'!$O$16:$Z$34,MATCH('Monthly Cash Flow'!$B84,'Sponsor Pro Forma'!$B$16:$B$34,0),MATCH('Monthly Cash Flow'!DK$4,'Sponsor Pro Forma'!$O$15:$Z$15,0))/12,IF('Sponsor Pro Forma'!$L$42="Annual",'Monthly Cash Flow'!DJ84*(1+'Sponsor Pro Forma'!$M28)^(IF(MOD(DK$5,12)=1,1,0)),'Monthly Cash Flow'!DJ84*(1+'Sponsor Pro Forma'!$M28/12)))</f>
        <v>14933.876737504399</v>
      </c>
      <c r="DL84" s="1300">
        <f>IF('Sponsor Pro Forma'!$N28="Override",INDEX('Sponsor Pro Forma'!$O$16:$Z$34,MATCH('Monthly Cash Flow'!$B84,'Sponsor Pro Forma'!$B$16:$B$34,0),MATCH('Monthly Cash Flow'!DL$4,'Sponsor Pro Forma'!$O$15:$Z$15,0))/12,IF('Sponsor Pro Forma'!$L$42="Annual",'Monthly Cash Flow'!DK84*(1+'Sponsor Pro Forma'!$M28)^(IF(MOD(DL$5,12)=1,1,0)),'Monthly Cash Flow'!DK84*(1+'Sponsor Pro Forma'!$M28/12)))</f>
        <v>14933.876737504399</v>
      </c>
      <c r="DM84" s="1300">
        <f>IF('Sponsor Pro Forma'!$N28="Override",INDEX('Sponsor Pro Forma'!$O$16:$Z$34,MATCH('Monthly Cash Flow'!$B84,'Sponsor Pro Forma'!$B$16:$B$34,0),MATCH('Monthly Cash Flow'!DM$4,'Sponsor Pro Forma'!$O$15:$Z$15,0))/12,IF('Sponsor Pro Forma'!$L$42="Annual",'Monthly Cash Flow'!DL84*(1+'Sponsor Pro Forma'!$M28)^(IF(MOD(DM$5,12)=1,1,0)),'Monthly Cash Flow'!DL84*(1+'Sponsor Pro Forma'!$M28/12)))</f>
        <v>14933.876737504399</v>
      </c>
      <c r="DN84" s="1300">
        <f>IF('Sponsor Pro Forma'!$N28="Override",INDEX('Sponsor Pro Forma'!$O$16:$Z$34,MATCH('Monthly Cash Flow'!$B84,'Sponsor Pro Forma'!$B$16:$B$34,0),MATCH('Monthly Cash Flow'!DN$4,'Sponsor Pro Forma'!$O$15:$Z$15,0))/12,IF('Sponsor Pro Forma'!$L$42="Annual",'Monthly Cash Flow'!DM84*(1+'Sponsor Pro Forma'!$M28)^(IF(MOD(DN$5,12)=1,1,0)),'Monthly Cash Flow'!DM84*(1+'Sponsor Pro Forma'!$M28/12)))</f>
        <v>14933.876737504399</v>
      </c>
      <c r="DO84" s="1300">
        <f>IF('Sponsor Pro Forma'!$N28="Override",INDEX('Sponsor Pro Forma'!$O$16:$Z$34,MATCH('Monthly Cash Flow'!$B84,'Sponsor Pro Forma'!$B$16:$B$34,0),MATCH('Monthly Cash Flow'!DO$4,'Sponsor Pro Forma'!$O$15:$Z$15,0))/12,IF('Sponsor Pro Forma'!$L$42="Annual",'Monthly Cash Flow'!DN84*(1+'Sponsor Pro Forma'!$M28)^(IF(MOD(DO$5,12)=1,1,0)),'Monthly Cash Flow'!DN84*(1+'Sponsor Pro Forma'!$M28/12)))</f>
        <v>14933.876737504399</v>
      </c>
      <c r="DP84" s="1300">
        <f>IF('Sponsor Pro Forma'!$N28="Override",INDEX('Sponsor Pro Forma'!$O$16:$Z$34,MATCH('Monthly Cash Flow'!$B84,'Sponsor Pro Forma'!$B$16:$B$34,0),MATCH('Monthly Cash Flow'!DP$4,'Sponsor Pro Forma'!$O$15:$Z$15,0))/12,IF('Sponsor Pro Forma'!$L$42="Annual",'Monthly Cash Flow'!DO84*(1+'Sponsor Pro Forma'!$M28)^(IF(MOD(DP$5,12)=1,1,0)),'Monthly Cash Flow'!DO84*(1+'Sponsor Pro Forma'!$M28/12)))</f>
        <v>14933.876737504399</v>
      </c>
      <c r="DQ84" s="1300">
        <f>IF('Sponsor Pro Forma'!$N28="Override",INDEX('Sponsor Pro Forma'!$O$16:$Z$34,MATCH('Monthly Cash Flow'!$B84,'Sponsor Pro Forma'!$B$16:$B$34,0),MATCH('Monthly Cash Flow'!DQ$4,'Sponsor Pro Forma'!$O$15:$Z$15,0))/12,IF('Sponsor Pro Forma'!$L$42="Annual",'Monthly Cash Flow'!DP84*(1+'Sponsor Pro Forma'!$M28)^(IF(MOD(DQ$5,12)=1,1,0)),'Monthly Cash Flow'!DP84*(1+'Sponsor Pro Forma'!$M28/12)))</f>
        <v>14933.876737504399</v>
      </c>
      <c r="DR84" s="1300">
        <f>IF('Sponsor Pro Forma'!$N28="Override",INDEX('Sponsor Pro Forma'!$O$16:$Z$34,MATCH('Monthly Cash Flow'!$B84,'Sponsor Pro Forma'!$B$16:$B$34,0),MATCH('Monthly Cash Flow'!DR$4,'Sponsor Pro Forma'!$O$15:$Z$15,0))/12,IF('Sponsor Pro Forma'!$L$42="Annual",'Monthly Cash Flow'!DQ84*(1+'Sponsor Pro Forma'!$M28)^(IF(MOD(DR$5,12)=1,1,0)),'Monthly Cash Flow'!DQ84*(1+'Sponsor Pro Forma'!$M28/12)))</f>
        <v>14933.876737504399</v>
      </c>
      <c r="DS84" s="1300">
        <f>IF('Sponsor Pro Forma'!$N28="Override",INDEX('Sponsor Pro Forma'!$O$16:$Z$34,MATCH('Monthly Cash Flow'!$B84,'Sponsor Pro Forma'!$B$16:$B$34,0),MATCH('Monthly Cash Flow'!DS$4,'Sponsor Pro Forma'!$O$15:$Z$15,0))/12,IF('Sponsor Pro Forma'!$L$42="Annual",'Monthly Cash Flow'!DR84*(1+'Sponsor Pro Forma'!$M28)^(IF(MOD(DS$5,12)=1,1,0)),'Monthly Cash Flow'!DR84*(1+'Sponsor Pro Forma'!$M28/12)))</f>
        <v>14933.876737504399</v>
      </c>
      <c r="DT84" s="1300">
        <f>IF('Sponsor Pro Forma'!$N28="Override",INDEX('Sponsor Pro Forma'!$O$16:$Z$34,MATCH('Monthly Cash Flow'!$B84,'Sponsor Pro Forma'!$B$16:$B$34,0),MATCH('Monthly Cash Flow'!DT$4,'Sponsor Pro Forma'!$O$15:$Z$15,0))/12,IF('Sponsor Pro Forma'!$L$42="Annual",'Monthly Cash Flow'!DS84*(1+'Sponsor Pro Forma'!$M28)^(IF(MOD(DT$5,12)=1,1,0)),'Monthly Cash Flow'!DS84*(1+'Sponsor Pro Forma'!$M28/12)))</f>
        <v>14933.876737504399</v>
      </c>
      <c r="DU84" s="1301" t="s">
        <v>557</v>
      </c>
      <c r="DV84" s="196"/>
    </row>
    <row r="85" spans="1:126" s="5" customFormat="1" ht="19">
      <c r="A85" s="399">
        <v>9</v>
      </c>
      <c r="B85" s="203" t="str">
        <f>'Debt Sizing'!A30</f>
        <v>Utilities</v>
      </c>
      <c r="C85" s="402"/>
      <c r="D85" s="413">
        <f>IF('Sponsor Pro Forma'!$N29="Override",'Sponsor Pro Forma'!$O29/12,'Sponsor Pro Forma'!K29/12)</f>
        <v>33704</v>
      </c>
      <c r="E85" s="1303">
        <f t="shared" si="142"/>
        <v>33704</v>
      </c>
      <c r="F85" s="1300">
        <f>IF('Sponsor Pro Forma'!$N29="Override",INDEX('Sponsor Pro Forma'!$O$16:$Z$34,MATCH('Monthly Cash Flow'!$B85,'Sponsor Pro Forma'!$B$16:$B$34,0),MATCH('Monthly Cash Flow'!F$4,'Sponsor Pro Forma'!$O$15:$Z$15,0))/12,IF('Sponsor Pro Forma'!$L$42="Annual",'Monthly Cash Flow'!E85*(1+'Sponsor Pro Forma'!$M29)^(IF(MOD(F$5,12)=1,1,0)),'Monthly Cash Flow'!E85*(1+'Sponsor Pro Forma'!$M29/12)))</f>
        <v>33704</v>
      </c>
      <c r="G85" s="1300">
        <f>IF('Sponsor Pro Forma'!$N29="Override",INDEX('Sponsor Pro Forma'!$O$16:$Z$34,MATCH('Monthly Cash Flow'!$B85,'Sponsor Pro Forma'!$B$16:$B$34,0),MATCH('Monthly Cash Flow'!G$4,'Sponsor Pro Forma'!$O$15:$Z$15,0))/12,IF('Sponsor Pro Forma'!$L$42="Annual",'Monthly Cash Flow'!F85*(1+'Sponsor Pro Forma'!$M29)^(IF(MOD(G$5,12)=1,1,0)),'Monthly Cash Flow'!F85*(1+'Sponsor Pro Forma'!$M29/12)))</f>
        <v>33704</v>
      </c>
      <c r="H85" s="1300">
        <f>IF('Sponsor Pro Forma'!$N29="Override",INDEX('Sponsor Pro Forma'!$O$16:$Z$34,MATCH('Monthly Cash Flow'!$B85,'Sponsor Pro Forma'!$B$16:$B$34,0),MATCH('Monthly Cash Flow'!H$4,'Sponsor Pro Forma'!$O$15:$Z$15,0))/12,IF('Sponsor Pro Forma'!$L$42="Annual",'Monthly Cash Flow'!G85*(1+'Sponsor Pro Forma'!$M29)^(IF(MOD(H$5,12)=1,1,0)),'Monthly Cash Flow'!G85*(1+'Sponsor Pro Forma'!$M29/12)))</f>
        <v>33704</v>
      </c>
      <c r="I85" s="1300">
        <f>IF('Sponsor Pro Forma'!$N29="Override",INDEX('Sponsor Pro Forma'!$O$16:$Z$34,MATCH('Monthly Cash Flow'!$B85,'Sponsor Pro Forma'!$B$16:$B$34,0),MATCH('Monthly Cash Flow'!I$4,'Sponsor Pro Forma'!$O$15:$Z$15,0))/12,IF('Sponsor Pro Forma'!$L$42="Annual",'Monthly Cash Flow'!H85*(1+'Sponsor Pro Forma'!$M29)^(IF(MOD(I$5,12)=1,1,0)),'Monthly Cash Flow'!H85*(1+'Sponsor Pro Forma'!$M29/12)))</f>
        <v>33704</v>
      </c>
      <c r="J85" s="1300">
        <f>IF('Sponsor Pro Forma'!$N29="Override",INDEX('Sponsor Pro Forma'!$O$16:$Z$34,MATCH('Monthly Cash Flow'!$B85,'Sponsor Pro Forma'!$B$16:$B$34,0),MATCH('Monthly Cash Flow'!J$4,'Sponsor Pro Forma'!$O$15:$Z$15,0))/12,IF('Sponsor Pro Forma'!$L$42="Annual",'Monthly Cash Flow'!I85*(1+'Sponsor Pro Forma'!$M29)^(IF(MOD(J$5,12)=1,1,0)),'Monthly Cash Flow'!I85*(1+'Sponsor Pro Forma'!$M29/12)))</f>
        <v>33704</v>
      </c>
      <c r="K85" s="1300">
        <f>IF('Sponsor Pro Forma'!$N29="Override",INDEX('Sponsor Pro Forma'!$O$16:$Z$34,MATCH('Monthly Cash Flow'!$B85,'Sponsor Pro Forma'!$B$16:$B$34,0),MATCH('Monthly Cash Flow'!K$4,'Sponsor Pro Forma'!$O$15:$Z$15,0))/12,IF('Sponsor Pro Forma'!$L$42="Annual",'Monthly Cash Flow'!J85*(1+'Sponsor Pro Forma'!$M29)^(IF(MOD(K$5,12)=1,1,0)),'Monthly Cash Flow'!J85*(1+'Sponsor Pro Forma'!$M29/12)))</f>
        <v>33704</v>
      </c>
      <c r="L85" s="1300">
        <f>IF('Sponsor Pro Forma'!$N29="Override",INDEX('Sponsor Pro Forma'!$O$16:$Z$34,MATCH('Monthly Cash Flow'!$B85,'Sponsor Pro Forma'!$B$16:$B$34,0),MATCH('Monthly Cash Flow'!L$4,'Sponsor Pro Forma'!$O$15:$Z$15,0))/12,IF('Sponsor Pro Forma'!$L$42="Annual",'Monthly Cash Flow'!K85*(1+'Sponsor Pro Forma'!$M29)^(IF(MOD(L$5,12)=1,1,0)),'Monthly Cash Flow'!K85*(1+'Sponsor Pro Forma'!$M29/12)))</f>
        <v>33704</v>
      </c>
      <c r="M85" s="1300">
        <f>IF('Sponsor Pro Forma'!$N29="Override",INDEX('Sponsor Pro Forma'!$O$16:$Z$34,MATCH('Monthly Cash Flow'!$B85,'Sponsor Pro Forma'!$B$16:$B$34,0),MATCH('Monthly Cash Flow'!M$4,'Sponsor Pro Forma'!$O$15:$Z$15,0))/12,IF('Sponsor Pro Forma'!$L$42="Annual",'Monthly Cash Flow'!L85*(1+'Sponsor Pro Forma'!$M29)^(IF(MOD(M$5,12)=1,1,0)),'Monthly Cash Flow'!L85*(1+'Sponsor Pro Forma'!$M29/12)))</f>
        <v>33704</v>
      </c>
      <c r="N85" s="1300">
        <f>IF('Sponsor Pro Forma'!$N29="Override",INDEX('Sponsor Pro Forma'!$O$16:$Z$34,MATCH('Monthly Cash Flow'!$B85,'Sponsor Pro Forma'!$B$16:$B$34,0),MATCH('Monthly Cash Flow'!N$4,'Sponsor Pro Forma'!$O$15:$Z$15,0))/12,IF('Sponsor Pro Forma'!$L$42="Annual",'Monthly Cash Flow'!M85*(1+'Sponsor Pro Forma'!$M29)^(IF(MOD(N$5,12)=1,1,0)),'Monthly Cash Flow'!M85*(1+'Sponsor Pro Forma'!$M29/12)))</f>
        <v>33704</v>
      </c>
      <c r="O85" s="1300">
        <f>IF('Sponsor Pro Forma'!$N29="Override",INDEX('Sponsor Pro Forma'!$O$16:$Z$34,MATCH('Monthly Cash Flow'!$B85,'Sponsor Pro Forma'!$B$16:$B$34,0),MATCH('Monthly Cash Flow'!O$4,'Sponsor Pro Forma'!$O$15:$Z$15,0))/12,IF('Sponsor Pro Forma'!$L$42="Annual",'Monthly Cash Flow'!N85*(1+'Sponsor Pro Forma'!$M29)^(IF(MOD(O$5,12)=1,1,0)),'Monthly Cash Flow'!N85*(1+'Sponsor Pro Forma'!$M29/12)))</f>
        <v>33704</v>
      </c>
      <c r="P85" s="1300">
        <f>IF('Sponsor Pro Forma'!$N29="Override",INDEX('Sponsor Pro Forma'!$O$16:$Z$34,MATCH('Monthly Cash Flow'!$B85,'Sponsor Pro Forma'!$B$16:$B$34,0),MATCH('Monthly Cash Flow'!P$4,'Sponsor Pro Forma'!$O$15:$Z$15,0))/12,IF('Sponsor Pro Forma'!$L$42="Annual",'Monthly Cash Flow'!O85*(1+'Sponsor Pro Forma'!$M29)^(IF(MOD(P$5,12)=1,1,0)),'Monthly Cash Flow'!O85*(1+'Sponsor Pro Forma'!$M29/12)))</f>
        <v>33704</v>
      </c>
      <c r="Q85" s="1300">
        <f>IF('Sponsor Pro Forma'!$N29="Override",INDEX('Sponsor Pro Forma'!$O$16:$Z$34,MATCH('Monthly Cash Flow'!$B85,'Sponsor Pro Forma'!$B$16:$B$34,0),MATCH('Monthly Cash Flow'!Q$4,'Sponsor Pro Forma'!$O$15:$Z$15,0))/12,IF('Sponsor Pro Forma'!$L$42="Annual",'Monthly Cash Flow'!P85*(1+'Sponsor Pro Forma'!$M29)^(IF(MOD(Q$5,12)=1,1,0)),'Monthly Cash Flow'!P85*(1+'Sponsor Pro Forma'!$M29/12)))</f>
        <v>34378.080000000002</v>
      </c>
      <c r="R85" s="1300">
        <f>IF('Sponsor Pro Forma'!$N29="Override",INDEX('Sponsor Pro Forma'!$O$16:$Z$34,MATCH('Monthly Cash Flow'!$B85,'Sponsor Pro Forma'!$B$16:$B$34,0),MATCH('Monthly Cash Flow'!R$4,'Sponsor Pro Forma'!$O$15:$Z$15,0))/12,IF('Sponsor Pro Forma'!$L$42="Annual",'Monthly Cash Flow'!Q85*(1+'Sponsor Pro Forma'!$M29)^(IF(MOD(R$5,12)=1,1,0)),'Monthly Cash Flow'!Q85*(1+'Sponsor Pro Forma'!$M29/12)))</f>
        <v>34378.080000000002</v>
      </c>
      <c r="S85" s="1300">
        <f>IF('Sponsor Pro Forma'!$N29="Override",INDEX('Sponsor Pro Forma'!$O$16:$Z$34,MATCH('Monthly Cash Flow'!$B85,'Sponsor Pro Forma'!$B$16:$B$34,0),MATCH('Monthly Cash Flow'!S$4,'Sponsor Pro Forma'!$O$15:$Z$15,0))/12,IF('Sponsor Pro Forma'!$L$42="Annual",'Monthly Cash Flow'!R85*(1+'Sponsor Pro Forma'!$M29)^(IF(MOD(S$5,12)=1,1,0)),'Monthly Cash Flow'!R85*(1+'Sponsor Pro Forma'!$M29/12)))</f>
        <v>34378.080000000002</v>
      </c>
      <c r="T85" s="1300">
        <f>IF('Sponsor Pro Forma'!$N29="Override",INDEX('Sponsor Pro Forma'!$O$16:$Z$34,MATCH('Monthly Cash Flow'!$B85,'Sponsor Pro Forma'!$B$16:$B$34,0),MATCH('Monthly Cash Flow'!T$4,'Sponsor Pro Forma'!$O$15:$Z$15,0))/12,IF('Sponsor Pro Forma'!$L$42="Annual",'Monthly Cash Flow'!S85*(1+'Sponsor Pro Forma'!$M29)^(IF(MOD(T$5,12)=1,1,0)),'Monthly Cash Flow'!S85*(1+'Sponsor Pro Forma'!$M29/12)))</f>
        <v>34378.080000000002</v>
      </c>
      <c r="U85" s="1300">
        <f>IF('Sponsor Pro Forma'!$N29="Override",INDEX('Sponsor Pro Forma'!$O$16:$Z$34,MATCH('Monthly Cash Flow'!$B85,'Sponsor Pro Forma'!$B$16:$B$34,0),MATCH('Monthly Cash Flow'!U$4,'Sponsor Pro Forma'!$O$15:$Z$15,0))/12,IF('Sponsor Pro Forma'!$L$42="Annual",'Monthly Cash Flow'!T85*(1+'Sponsor Pro Forma'!$M29)^(IF(MOD(U$5,12)=1,1,0)),'Monthly Cash Flow'!T85*(1+'Sponsor Pro Forma'!$M29/12)))</f>
        <v>34378.080000000002</v>
      </c>
      <c r="V85" s="1300">
        <f>IF('Sponsor Pro Forma'!$N29="Override",INDEX('Sponsor Pro Forma'!$O$16:$Z$34,MATCH('Monthly Cash Flow'!$B85,'Sponsor Pro Forma'!$B$16:$B$34,0),MATCH('Monthly Cash Flow'!V$4,'Sponsor Pro Forma'!$O$15:$Z$15,0))/12,IF('Sponsor Pro Forma'!$L$42="Annual",'Monthly Cash Flow'!U85*(1+'Sponsor Pro Forma'!$M29)^(IF(MOD(V$5,12)=1,1,0)),'Monthly Cash Flow'!U85*(1+'Sponsor Pro Forma'!$M29/12)))</f>
        <v>34378.080000000002</v>
      </c>
      <c r="W85" s="1300">
        <f>IF('Sponsor Pro Forma'!$N29="Override",INDEX('Sponsor Pro Forma'!$O$16:$Z$34,MATCH('Monthly Cash Flow'!$B85,'Sponsor Pro Forma'!$B$16:$B$34,0),MATCH('Monthly Cash Flow'!W$4,'Sponsor Pro Forma'!$O$15:$Z$15,0))/12,IF('Sponsor Pro Forma'!$L$42="Annual",'Monthly Cash Flow'!V85*(1+'Sponsor Pro Forma'!$M29)^(IF(MOD(W$5,12)=1,1,0)),'Monthly Cash Flow'!V85*(1+'Sponsor Pro Forma'!$M29/12)))</f>
        <v>34378.080000000002</v>
      </c>
      <c r="X85" s="1300">
        <f>IF('Sponsor Pro Forma'!$N29="Override",INDEX('Sponsor Pro Forma'!$O$16:$Z$34,MATCH('Monthly Cash Flow'!$B85,'Sponsor Pro Forma'!$B$16:$B$34,0),MATCH('Monthly Cash Flow'!X$4,'Sponsor Pro Forma'!$O$15:$Z$15,0))/12,IF('Sponsor Pro Forma'!$L$42="Annual",'Monthly Cash Flow'!W85*(1+'Sponsor Pro Forma'!$M29)^(IF(MOD(X$5,12)=1,1,0)),'Monthly Cash Flow'!W85*(1+'Sponsor Pro Forma'!$M29/12)))</f>
        <v>34378.080000000002</v>
      </c>
      <c r="Y85" s="1300">
        <f>IF('Sponsor Pro Forma'!$N29="Override",INDEX('Sponsor Pro Forma'!$O$16:$Z$34,MATCH('Monthly Cash Flow'!$B85,'Sponsor Pro Forma'!$B$16:$B$34,0),MATCH('Monthly Cash Flow'!Y$4,'Sponsor Pro Forma'!$O$15:$Z$15,0))/12,IF('Sponsor Pro Forma'!$L$42="Annual",'Monthly Cash Flow'!X85*(1+'Sponsor Pro Forma'!$M29)^(IF(MOD(Y$5,12)=1,1,0)),'Monthly Cash Flow'!X85*(1+'Sponsor Pro Forma'!$M29/12)))</f>
        <v>34378.080000000002</v>
      </c>
      <c r="Z85" s="1300">
        <f>IF('Sponsor Pro Forma'!$N29="Override",INDEX('Sponsor Pro Forma'!$O$16:$Z$34,MATCH('Monthly Cash Flow'!$B85,'Sponsor Pro Forma'!$B$16:$B$34,0),MATCH('Monthly Cash Flow'!Z$4,'Sponsor Pro Forma'!$O$15:$Z$15,0))/12,IF('Sponsor Pro Forma'!$L$42="Annual",'Monthly Cash Flow'!Y85*(1+'Sponsor Pro Forma'!$M29)^(IF(MOD(Z$5,12)=1,1,0)),'Monthly Cash Flow'!Y85*(1+'Sponsor Pro Forma'!$M29/12)))</f>
        <v>34378.080000000002</v>
      </c>
      <c r="AA85" s="1300">
        <f>IF('Sponsor Pro Forma'!$N29="Override",INDEX('Sponsor Pro Forma'!$O$16:$Z$34,MATCH('Monthly Cash Flow'!$B85,'Sponsor Pro Forma'!$B$16:$B$34,0),MATCH('Monthly Cash Flow'!AA$4,'Sponsor Pro Forma'!$O$15:$Z$15,0))/12,IF('Sponsor Pro Forma'!$L$42="Annual",'Monthly Cash Flow'!Z85*(1+'Sponsor Pro Forma'!$M29)^(IF(MOD(AA$5,12)=1,1,0)),'Monthly Cash Flow'!Z85*(1+'Sponsor Pro Forma'!$M29/12)))</f>
        <v>34378.080000000002</v>
      </c>
      <c r="AB85" s="1300">
        <f>IF('Sponsor Pro Forma'!$N29="Override",INDEX('Sponsor Pro Forma'!$O$16:$Z$34,MATCH('Monthly Cash Flow'!$B85,'Sponsor Pro Forma'!$B$16:$B$34,0),MATCH('Monthly Cash Flow'!AB$4,'Sponsor Pro Forma'!$O$15:$Z$15,0))/12,IF('Sponsor Pro Forma'!$L$42="Annual",'Monthly Cash Flow'!AA85*(1+'Sponsor Pro Forma'!$M29)^(IF(MOD(AB$5,12)=1,1,0)),'Monthly Cash Flow'!AA85*(1+'Sponsor Pro Forma'!$M29/12)))</f>
        <v>34378.080000000002</v>
      </c>
      <c r="AC85" s="1300">
        <f>IF('Sponsor Pro Forma'!$N29="Override",INDEX('Sponsor Pro Forma'!$O$16:$Z$34,MATCH('Monthly Cash Flow'!$B85,'Sponsor Pro Forma'!$B$16:$B$34,0),MATCH('Monthly Cash Flow'!AC$4,'Sponsor Pro Forma'!$O$15:$Z$15,0))/12,IF('Sponsor Pro Forma'!$L$42="Annual",'Monthly Cash Flow'!AB85*(1+'Sponsor Pro Forma'!$M29)^(IF(MOD(AC$5,12)=1,1,0)),'Monthly Cash Flow'!AB85*(1+'Sponsor Pro Forma'!$M29/12)))</f>
        <v>35065.641600000003</v>
      </c>
      <c r="AD85" s="1300">
        <f>IF('Sponsor Pro Forma'!$N29="Override",INDEX('Sponsor Pro Forma'!$O$16:$Z$34,MATCH('Monthly Cash Flow'!$B85,'Sponsor Pro Forma'!$B$16:$B$34,0),MATCH('Monthly Cash Flow'!AD$4,'Sponsor Pro Forma'!$O$15:$Z$15,0))/12,IF('Sponsor Pro Forma'!$L$42="Annual",'Monthly Cash Flow'!AC85*(1+'Sponsor Pro Forma'!$M29)^(IF(MOD(AD$5,12)=1,1,0)),'Monthly Cash Flow'!AC85*(1+'Sponsor Pro Forma'!$M29/12)))</f>
        <v>35065.641600000003</v>
      </c>
      <c r="AE85" s="1300">
        <f>IF('Sponsor Pro Forma'!$N29="Override",INDEX('Sponsor Pro Forma'!$O$16:$Z$34,MATCH('Monthly Cash Flow'!$B85,'Sponsor Pro Forma'!$B$16:$B$34,0),MATCH('Monthly Cash Flow'!AE$4,'Sponsor Pro Forma'!$O$15:$Z$15,0))/12,IF('Sponsor Pro Forma'!$L$42="Annual",'Monthly Cash Flow'!AD85*(1+'Sponsor Pro Forma'!$M29)^(IF(MOD(AE$5,12)=1,1,0)),'Monthly Cash Flow'!AD85*(1+'Sponsor Pro Forma'!$M29/12)))</f>
        <v>35065.641600000003</v>
      </c>
      <c r="AF85" s="1300">
        <f>IF('Sponsor Pro Forma'!$N29="Override",INDEX('Sponsor Pro Forma'!$O$16:$Z$34,MATCH('Monthly Cash Flow'!$B85,'Sponsor Pro Forma'!$B$16:$B$34,0),MATCH('Monthly Cash Flow'!AF$4,'Sponsor Pro Forma'!$O$15:$Z$15,0))/12,IF('Sponsor Pro Forma'!$L$42="Annual",'Monthly Cash Flow'!AE85*(1+'Sponsor Pro Forma'!$M29)^(IF(MOD(AF$5,12)=1,1,0)),'Monthly Cash Flow'!AE85*(1+'Sponsor Pro Forma'!$M29/12)))</f>
        <v>35065.641600000003</v>
      </c>
      <c r="AG85" s="1300">
        <f>IF('Sponsor Pro Forma'!$N29="Override",INDEX('Sponsor Pro Forma'!$O$16:$Z$34,MATCH('Monthly Cash Flow'!$B85,'Sponsor Pro Forma'!$B$16:$B$34,0),MATCH('Monthly Cash Flow'!AG$4,'Sponsor Pro Forma'!$O$15:$Z$15,0))/12,IF('Sponsor Pro Forma'!$L$42="Annual",'Monthly Cash Flow'!AF85*(1+'Sponsor Pro Forma'!$M29)^(IF(MOD(AG$5,12)=1,1,0)),'Monthly Cash Flow'!AF85*(1+'Sponsor Pro Forma'!$M29/12)))</f>
        <v>35065.641600000003</v>
      </c>
      <c r="AH85" s="1300">
        <f>IF('Sponsor Pro Forma'!$N29="Override",INDEX('Sponsor Pro Forma'!$O$16:$Z$34,MATCH('Monthly Cash Flow'!$B85,'Sponsor Pro Forma'!$B$16:$B$34,0),MATCH('Monthly Cash Flow'!AH$4,'Sponsor Pro Forma'!$O$15:$Z$15,0))/12,IF('Sponsor Pro Forma'!$L$42="Annual",'Monthly Cash Flow'!AG85*(1+'Sponsor Pro Forma'!$M29)^(IF(MOD(AH$5,12)=1,1,0)),'Monthly Cash Flow'!AG85*(1+'Sponsor Pro Forma'!$M29/12)))</f>
        <v>35065.641600000003</v>
      </c>
      <c r="AI85" s="1300">
        <f>IF('Sponsor Pro Forma'!$N29="Override",INDEX('Sponsor Pro Forma'!$O$16:$Z$34,MATCH('Monthly Cash Flow'!$B85,'Sponsor Pro Forma'!$B$16:$B$34,0),MATCH('Monthly Cash Flow'!AI$4,'Sponsor Pro Forma'!$O$15:$Z$15,0))/12,IF('Sponsor Pro Forma'!$L$42="Annual",'Monthly Cash Flow'!AH85*(1+'Sponsor Pro Forma'!$M29)^(IF(MOD(AI$5,12)=1,1,0)),'Monthly Cash Flow'!AH85*(1+'Sponsor Pro Forma'!$M29/12)))</f>
        <v>35065.641600000003</v>
      </c>
      <c r="AJ85" s="1300">
        <f>IF('Sponsor Pro Forma'!$N29="Override",INDEX('Sponsor Pro Forma'!$O$16:$Z$34,MATCH('Monthly Cash Flow'!$B85,'Sponsor Pro Forma'!$B$16:$B$34,0),MATCH('Monthly Cash Flow'!AJ$4,'Sponsor Pro Forma'!$O$15:$Z$15,0))/12,IF('Sponsor Pro Forma'!$L$42="Annual",'Monthly Cash Flow'!AI85*(1+'Sponsor Pro Forma'!$M29)^(IF(MOD(AJ$5,12)=1,1,0)),'Monthly Cash Flow'!AI85*(1+'Sponsor Pro Forma'!$M29/12)))</f>
        <v>35065.641600000003</v>
      </c>
      <c r="AK85" s="1300">
        <f>IF('Sponsor Pro Forma'!$N29="Override",INDEX('Sponsor Pro Forma'!$O$16:$Z$34,MATCH('Monthly Cash Flow'!$B85,'Sponsor Pro Forma'!$B$16:$B$34,0),MATCH('Monthly Cash Flow'!AK$4,'Sponsor Pro Forma'!$O$15:$Z$15,0))/12,IF('Sponsor Pro Forma'!$L$42="Annual",'Monthly Cash Flow'!AJ85*(1+'Sponsor Pro Forma'!$M29)^(IF(MOD(AK$5,12)=1,1,0)),'Monthly Cash Flow'!AJ85*(1+'Sponsor Pro Forma'!$M29/12)))</f>
        <v>35065.641600000003</v>
      </c>
      <c r="AL85" s="1300">
        <f>IF('Sponsor Pro Forma'!$N29="Override",INDEX('Sponsor Pro Forma'!$O$16:$Z$34,MATCH('Monthly Cash Flow'!$B85,'Sponsor Pro Forma'!$B$16:$B$34,0),MATCH('Monthly Cash Flow'!AL$4,'Sponsor Pro Forma'!$O$15:$Z$15,0))/12,IF('Sponsor Pro Forma'!$L$42="Annual",'Monthly Cash Flow'!AK85*(1+'Sponsor Pro Forma'!$M29)^(IF(MOD(AL$5,12)=1,1,0)),'Monthly Cash Flow'!AK85*(1+'Sponsor Pro Forma'!$M29/12)))</f>
        <v>35065.641600000003</v>
      </c>
      <c r="AM85" s="1300">
        <f>IF('Sponsor Pro Forma'!$N29="Override",INDEX('Sponsor Pro Forma'!$O$16:$Z$34,MATCH('Monthly Cash Flow'!$B85,'Sponsor Pro Forma'!$B$16:$B$34,0),MATCH('Monthly Cash Flow'!AM$4,'Sponsor Pro Forma'!$O$15:$Z$15,0))/12,IF('Sponsor Pro Forma'!$L$42="Annual",'Monthly Cash Flow'!AL85*(1+'Sponsor Pro Forma'!$M29)^(IF(MOD(AM$5,12)=1,1,0)),'Monthly Cash Flow'!AL85*(1+'Sponsor Pro Forma'!$M29/12)))</f>
        <v>35065.641600000003</v>
      </c>
      <c r="AN85" s="1300">
        <f>IF('Sponsor Pro Forma'!$N29="Override",INDEX('Sponsor Pro Forma'!$O$16:$Z$34,MATCH('Monthly Cash Flow'!$B85,'Sponsor Pro Forma'!$B$16:$B$34,0),MATCH('Monthly Cash Flow'!AN$4,'Sponsor Pro Forma'!$O$15:$Z$15,0))/12,IF('Sponsor Pro Forma'!$L$42="Annual",'Monthly Cash Flow'!AM85*(1+'Sponsor Pro Forma'!$M29)^(IF(MOD(AN$5,12)=1,1,0)),'Monthly Cash Flow'!AM85*(1+'Sponsor Pro Forma'!$M29/12)))</f>
        <v>35065.641600000003</v>
      </c>
      <c r="AO85" s="1300">
        <f>IF('Sponsor Pro Forma'!$N29="Override",INDEX('Sponsor Pro Forma'!$O$16:$Z$34,MATCH('Monthly Cash Flow'!$B85,'Sponsor Pro Forma'!$B$16:$B$34,0),MATCH('Monthly Cash Flow'!AO$4,'Sponsor Pro Forma'!$O$15:$Z$15,0))/12,IF('Sponsor Pro Forma'!$L$42="Annual",'Monthly Cash Flow'!AN85*(1+'Sponsor Pro Forma'!$M29)^(IF(MOD(AO$5,12)=1,1,0)),'Monthly Cash Flow'!AN85*(1+'Sponsor Pro Forma'!$M29/12)))</f>
        <v>35766.954432000006</v>
      </c>
      <c r="AP85" s="1300">
        <f>IF('Sponsor Pro Forma'!$N29="Override",INDEX('Sponsor Pro Forma'!$O$16:$Z$34,MATCH('Monthly Cash Flow'!$B85,'Sponsor Pro Forma'!$B$16:$B$34,0),MATCH('Monthly Cash Flow'!AP$4,'Sponsor Pro Forma'!$O$15:$Z$15,0))/12,IF('Sponsor Pro Forma'!$L$42="Annual",'Monthly Cash Flow'!AO85*(1+'Sponsor Pro Forma'!$M29)^(IF(MOD(AP$5,12)=1,1,0)),'Monthly Cash Flow'!AO85*(1+'Sponsor Pro Forma'!$M29/12)))</f>
        <v>35766.954432000006</v>
      </c>
      <c r="AQ85" s="1300">
        <f>IF('Sponsor Pro Forma'!$N29="Override",INDEX('Sponsor Pro Forma'!$O$16:$Z$34,MATCH('Monthly Cash Flow'!$B85,'Sponsor Pro Forma'!$B$16:$B$34,0),MATCH('Monthly Cash Flow'!AQ$4,'Sponsor Pro Forma'!$O$15:$Z$15,0))/12,IF('Sponsor Pro Forma'!$L$42="Annual",'Monthly Cash Flow'!AP85*(1+'Sponsor Pro Forma'!$M29)^(IF(MOD(AQ$5,12)=1,1,0)),'Monthly Cash Flow'!AP85*(1+'Sponsor Pro Forma'!$M29/12)))</f>
        <v>35766.954432000006</v>
      </c>
      <c r="AR85" s="1300">
        <f>IF('Sponsor Pro Forma'!$N29="Override",INDEX('Sponsor Pro Forma'!$O$16:$Z$34,MATCH('Monthly Cash Flow'!$B85,'Sponsor Pro Forma'!$B$16:$B$34,0),MATCH('Monthly Cash Flow'!AR$4,'Sponsor Pro Forma'!$O$15:$Z$15,0))/12,IF('Sponsor Pro Forma'!$L$42="Annual",'Monthly Cash Flow'!AQ85*(1+'Sponsor Pro Forma'!$M29)^(IF(MOD(AR$5,12)=1,1,0)),'Monthly Cash Flow'!AQ85*(1+'Sponsor Pro Forma'!$M29/12)))</f>
        <v>35766.954432000006</v>
      </c>
      <c r="AS85" s="1300">
        <f>IF('Sponsor Pro Forma'!$N29="Override",INDEX('Sponsor Pro Forma'!$O$16:$Z$34,MATCH('Monthly Cash Flow'!$B85,'Sponsor Pro Forma'!$B$16:$B$34,0),MATCH('Monthly Cash Flow'!AS$4,'Sponsor Pro Forma'!$O$15:$Z$15,0))/12,IF('Sponsor Pro Forma'!$L$42="Annual",'Monthly Cash Flow'!AR85*(1+'Sponsor Pro Forma'!$M29)^(IF(MOD(AS$5,12)=1,1,0)),'Monthly Cash Flow'!AR85*(1+'Sponsor Pro Forma'!$M29/12)))</f>
        <v>35766.954432000006</v>
      </c>
      <c r="AT85" s="1300">
        <f>IF('Sponsor Pro Forma'!$N29="Override",INDEX('Sponsor Pro Forma'!$O$16:$Z$34,MATCH('Monthly Cash Flow'!$B85,'Sponsor Pro Forma'!$B$16:$B$34,0),MATCH('Monthly Cash Flow'!AT$4,'Sponsor Pro Forma'!$O$15:$Z$15,0))/12,IF('Sponsor Pro Forma'!$L$42="Annual",'Monthly Cash Flow'!AS85*(1+'Sponsor Pro Forma'!$M29)^(IF(MOD(AT$5,12)=1,1,0)),'Monthly Cash Flow'!AS85*(1+'Sponsor Pro Forma'!$M29/12)))</f>
        <v>35766.954432000006</v>
      </c>
      <c r="AU85" s="1300">
        <f>IF('Sponsor Pro Forma'!$N29="Override",INDEX('Sponsor Pro Forma'!$O$16:$Z$34,MATCH('Monthly Cash Flow'!$B85,'Sponsor Pro Forma'!$B$16:$B$34,0),MATCH('Monthly Cash Flow'!AU$4,'Sponsor Pro Forma'!$O$15:$Z$15,0))/12,IF('Sponsor Pro Forma'!$L$42="Annual",'Monthly Cash Flow'!AT85*(1+'Sponsor Pro Forma'!$M29)^(IF(MOD(AU$5,12)=1,1,0)),'Monthly Cash Flow'!AT85*(1+'Sponsor Pro Forma'!$M29/12)))</f>
        <v>35766.954432000006</v>
      </c>
      <c r="AV85" s="1300">
        <f>IF('Sponsor Pro Forma'!$N29="Override",INDEX('Sponsor Pro Forma'!$O$16:$Z$34,MATCH('Monthly Cash Flow'!$B85,'Sponsor Pro Forma'!$B$16:$B$34,0),MATCH('Monthly Cash Flow'!AV$4,'Sponsor Pro Forma'!$O$15:$Z$15,0))/12,IF('Sponsor Pro Forma'!$L$42="Annual",'Monthly Cash Flow'!AU85*(1+'Sponsor Pro Forma'!$M29)^(IF(MOD(AV$5,12)=1,1,0)),'Monthly Cash Flow'!AU85*(1+'Sponsor Pro Forma'!$M29/12)))</f>
        <v>35766.954432000006</v>
      </c>
      <c r="AW85" s="1300">
        <f>IF('Sponsor Pro Forma'!$N29="Override",INDEX('Sponsor Pro Forma'!$O$16:$Z$34,MATCH('Monthly Cash Flow'!$B85,'Sponsor Pro Forma'!$B$16:$B$34,0),MATCH('Monthly Cash Flow'!AW$4,'Sponsor Pro Forma'!$O$15:$Z$15,0))/12,IF('Sponsor Pro Forma'!$L$42="Annual",'Monthly Cash Flow'!AV85*(1+'Sponsor Pro Forma'!$M29)^(IF(MOD(AW$5,12)=1,1,0)),'Monthly Cash Flow'!AV85*(1+'Sponsor Pro Forma'!$M29/12)))</f>
        <v>35766.954432000006</v>
      </c>
      <c r="AX85" s="1300">
        <f>IF('Sponsor Pro Forma'!$N29="Override",INDEX('Sponsor Pro Forma'!$O$16:$Z$34,MATCH('Monthly Cash Flow'!$B85,'Sponsor Pro Forma'!$B$16:$B$34,0),MATCH('Monthly Cash Flow'!AX$4,'Sponsor Pro Forma'!$O$15:$Z$15,0))/12,IF('Sponsor Pro Forma'!$L$42="Annual",'Monthly Cash Flow'!AW85*(1+'Sponsor Pro Forma'!$M29)^(IF(MOD(AX$5,12)=1,1,0)),'Monthly Cash Flow'!AW85*(1+'Sponsor Pro Forma'!$M29/12)))</f>
        <v>35766.954432000006</v>
      </c>
      <c r="AY85" s="1300">
        <f>IF('Sponsor Pro Forma'!$N29="Override",INDEX('Sponsor Pro Forma'!$O$16:$Z$34,MATCH('Monthly Cash Flow'!$B85,'Sponsor Pro Forma'!$B$16:$B$34,0),MATCH('Monthly Cash Flow'!AY$4,'Sponsor Pro Forma'!$O$15:$Z$15,0))/12,IF('Sponsor Pro Forma'!$L$42="Annual",'Monthly Cash Flow'!AX85*(1+'Sponsor Pro Forma'!$M29)^(IF(MOD(AY$5,12)=1,1,0)),'Monthly Cash Flow'!AX85*(1+'Sponsor Pro Forma'!$M29/12)))</f>
        <v>35766.954432000006</v>
      </c>
      <c r="AZ85" s="1300">
        <f>IF('Sponsor Pro Forma'!$N29="Override",INDEX('Sponsor Pro Forma'!$O$16:$Z$34,MATCH('Monthly Cash Flow'!$B85,'Sponsor Pro Forma'!$B$16:$B$34,0),MATCH('Monthly Cash Flow'!AZ$4,'Sponsor Pro Forma'!$O$15:$Z$15,0))/12,IF('Sponsor Pro Forma'!$L$42="Annual",'Monthly Cash Flow'!AY85*(1+'Sponsor Pro Forma'!$M29)^(IF(MOD(AZ$5,12)=1,1,0)),'Monthly Cash Flow'!AY85*(1+'Sponsor Pro Forma'!$M29/12)))</f>
        <v>35766.954432000006</v>
      </c>
      <c r="BA85" s="1300">
        <f>IF('Sponsor Pro Forma'!$N29="Override",INDEX('Sponsor Pro Forma'!$O$16:$Z$34,MATCH('Monthly Cash Flow'!$B85,'Sponsor Pro Forma'!$B$16:$B$34,0),MATCH('Monthly Cash Flow'!BA$4,'Sponsor Pro Forma'!$O$15:$Z$15,0))/12,IF('Sponsor Pro Forma'!$L$42="Annual",'Monthly Cash Flow'!AZ85*(1+'Sponsor Pro Forma'!$M29)^(IF(MOD(BA$5,12)=1,1,0)),'Monthly Cash Flow'!AZ85*(1+'Sponsor Pro Forma'!$M29/12)))</f>
        <v>36482.293520640007</v>
      </c>
      <c r="BB85" s="1300">
        <f>IF('Sponsor Pro Forma'!$N29="Override",INDEX('Sponsor Pro Forma'!$O$16:$Z$34,MATCH('Monthly Cash Flow'!$B85,'Sponsor Pro Forma'!$B$16:$B$34,0),MATCH('Monthly Cash Flow'!BB$4,'Sponsor Pro Forma'!$O$15:$Z$15,0))/12,IF('Sponsor Pro Forma'!$L$42="Annual",'Monthly Cash Flow'!BA85*(1+'Sponsor Pro Forma'!$M29)^(IF(MOD(BB$5,12)=1,1,0)),'Monthly Cash Flow'!BA85*(1+'Sponsor Pro Forma'!$M29/12)))</f>
        <v>36482.293520640007</v>
      </c>
      <c r="BC85" s="1300">
        <f>IF('Sponsor Pro Forma'!$N29="Override",INDEX('Sponsor Pro Forma'!$O$16:$Z$34,MATCH('Monthly Cash Flow'!$B85,'Sponsor Pro Forma'!$B$16:$B$34,0),MATCH('Monthly Cash Flow'!BC$4,'Sponsor Pro Forma'!$O$15:$Z$15,0))/12,IF('Sponsor Pro Forma'!$L$42="Annual",'Monthly Cash Flow'!BB85*(1+'Sponsor Pro Forma'!$M29)^(IF(MOD(BC$5,12)=1,1,0)),'Monthly Cash Flow'!BB85*(1+'Sponsor Pro Forma'!$M29/12)))</f>
        <v>36482.293520640007</v>
      </c>
      <c r="BD85" s="1300">
        <f>IF('Sponsor Pro Forma'!$N29="Override",INDEX('Sponsor Pro Forma'!$O$16:$Z$34,MATCH('Monthly Cash Flow'!$B85,'Sponsor Pro Forma'!$B$16:$B$34,0),MATCH('Monthly Cash Flow'!BD$4,'Sponsor Pro Forma'!$O$15:$Z$15,0))/12,IF('Sponsor Pro Forma'!$L$42="Annual",'Monthly Cash Flow'!BC85*(1+'Sponsor Pro Forma'!$M29)^(IF(MOD(BD$5,12)=1,1,0)),'Monthly Cash Flow'!BC85*(1+'Sponsor Pro Forma'!$M29/12)))</f>
        <v>36482.293520640007</v>
      </c>
      <c r="BE85" s="1300">
        <f>IF('Sponsor Pro Forma'!$N29="Override",INDEX('Sponsor Pro Forma'!$O$16:$Z$34,MATCH('Monthly Cash Flow'!$B85,'Sponsor Pro Forma'!$B$16:$B$34,0),MATCH('Monthly Cash Flow'!BE$4,'Sponsor Pro Forma'!$O$15:$Z$15,0))/12,IF('Sponsor Pro Forma'!$L$42="Annual",'Monthly Cash Flow'!BD85*(1+'Sponsor Pro Forma'!$M29)^(IF(MOD(BE$5,12)=1,1,0)),'Monthly Cash Flow'!BD85*(1+'Sponsor Pro Forma'!$M29/12)))</f>
        <v>36482.293520640007</v>
      </c>
      <c r="BF85" s="1300">
        <f>IF('Sponsor Pro Forma'!$N29="Override",INDEX('Sponsor Pro Forma'!$O$16:$Z$34,MATCH('Monthly Cash Flow'!$B85,'Sponsor Pro Forma'!$B$16:$B$34,0),MATCH('Monthly Cash Flow'!BF$4,'Sponsor Pro Forma'!$O$15:$Z$15,0))/12,IF('Sponsor Pro Forma'!$L$42="Annual",'Monthly Cash Flow'!BE85*(1+'Sponsor Pro Forma'!$M29)^(IF(MOD(BF$5,12)=1,1,0)),'Monthly Cash Flow'!BE85*(1+'Sponsor Pro Forma'!$M29/12)))</f>
        <v>36482.293520640007</v>
      </c>
      <c r="BG85" s="1300">
        <f>IF('Sponsor Pro Forma'!$N29="Override",INDEX('Sponsor Pro Forma'!$O$16:$Z$34,MATCH('Monthly Cash Flow'!$B85,'Sponsor Pro Forma'!$B$16:$B$34,0),MATCH('Monthly Cash Flow'!BG$4,'Sponsor Pro Forma'!$O$15:$Z$15,0))/12,IF('Sponsor Pro Forma'!$L$42="Annual",'Monthly Cash Flow'!BF85*(1+'Sponsor Pro Forma'!$M29)^(IF(MOD(BG$5,12)=1,1,0)),'Monthly Cash Flow'!BF85*(1+'Sponsor Pro Forma'!$M29/12)))</f>
        <v>36482.293520640007</v>
      </c>
      <c r="BH85" s="1300">
        <f>IF('Sponsor Pro Forma'!$N29="Override",INDEX('Sponsor Pro Forma'!$O$16:$Z$34,MATCH('Monthly Cash Flow'!$B85,'Sponsor Pro Forma'!$B$16:$B$34,0),MATCH('Monthly Cash Flow'!BH$4,'Sponsor Pro Forma'!$O$15:$Z$15,0))/12,IF('Sponsor Pro Forma'!$L$42="Annual",'Monthly Cash Flow'!BG85*(1+'Sponsor Pro Forma'!$M29)^(IF(MOD(BH$5,12)=1,1,0)),'Monthly Cash Flow'!BG85*(1+'Sponsor Pro Forma'!$M29/12)))</f>
        <v>36482.293520640007</v>
      </c>
      <c r="BI85" s="1300">
        <f>IF('Sponsor Pro Forma'!$N29="Override",INDEX('Sponsor Pro Forma'!$O$16:$Z$34,MATCH('Monthly Cash Flow'!$B85,'Sponsor Pro Forma'!$B$16:$B$34,0),MATCH('Monthly Cash Flow'!BI$4,'Sponsor Pro Forma'!$O$15:$Z$15,0))/12,IF('Sponsor Pro Forma'!$L$42="Annual",'Monthly Cash Flow'!BH85*(1+'Sponsor Pro Forma'!$M29)^(IF(MOD(BI$5,12)=1,1,0)),'Monthly Cash Flow'!BH85*(1+'Sponsor Pro Forma'!$M29/12)))</f>
        <v>36482.293520640007</v>
      </c>
      <c r="BJ85" s="1300">
        <f>IF('Sponsor Pro Forma'!$N29="Override",INDEX('Sponsor Pro Forma'!$O$16:$Z$34,MATCH('Monthly Cash Flow'!$B85,'Sponsor Pro Forma'!$B$16:$B$34,0),MATCH('Monthly Cash Flow'!BJ$4,'Sponsor Pro Forma'!$O$15:$Z$15,0))/12,IF('Sponsor Pro Forma'!$L$42="Annual",'Monthly Cash Flow'!BI85*(1+'Sponsor Pro Forma'!$M29)^(IF(MOD(BJ$5,12)=1,1,0)),'Monthly Cash Flow'!BI85*(1+'Sponsor Pro Forma'!$M29/12)))</f>
        <v>36482.293520640007</v>
      </c>
      <c r="BK85" s="1300">
        <f>IF('Sponsor Pro Forma'!$N29="Override",INDEX('Sponsor Pro Forma'!$O$16:$Z$34,MATCH('Monthly Cash Flow'!$B85,'Sponsor Pro Forma'!$B$16:$B$34,0),MATCH('Monthly Cash Flow'!BK$4,'Sponsor Pro Forma'!$O$15:$Z$15,0))/12,IF('Sponsor Pro Forma'!$L$42="Annual",'Monthly Cash Flow'!BJ85*(1+'Sponsor Pro Forma'!$M29)^(IF(MOD(BK$5,12)=1,1,0)),'Monthly Cash Flow'!BJ85*(1+'Sponsor Pro Forma'!$M29/12)))</f>
        <v>36482.293520640007</v>
      </c>
      <c r="BL85" s="1300">
        <f>IF('Sponsor Pro Forma'!$N29="Override",INDEX('Sponsor Pro Forma'!$O$16:$Z$34,MATCH('Monthly Cash Flow'!$B85,'Sponsor Pro Forma'!$B$16:$B$34,0),MATCH('Monthly Cash Flow'!BL$4,'Sponsor Pro Forma'!$O$15:$Z$15,0))/12,IF('Sponsor Pro Forma'!$L$42="Annual",'Monthly Cash Flow'!BK85*(1+'Sponsor Pro Forma'!$M29)^(IF(MOD(BL$5,12)=1,1,0)),'Monthly Cash Flow'!BK85*(1+'Sponsor Pro Forma'!$M29/12)))</f>
        <v>36482.293520640007</v>
      </c>
      <c r="BM85" s="1300">
        <f>IF('Sponsor Pro Forma'!$N29="Override",INDEX('Sponsor Pro Forma'!$O$16:$Z$34,MATCH('Monthly Cash Flow'!$B85,'Sponsor Pro Forma'!$B$16:$B$34,0),MATCH('Monthly Cash Flow'!BM$4,'Sponsor Pro Forma'!$O$15:$Z$15,0))/12,IF('Sponsor Pro Forma'!$L$42="Annual",'Monthly Cash Flow'!BL85*(1+'Sponsor Pro Forma'!$M29)^(IF(MOD(BM$5,12)=1,1,0)),'Monthly Cash Flow'!BL85*(1+'Sponsor Pro Forma'!$M29/12)))</f>
        <v>37211.939391052809</v>
      </c>
      <c r="BN85" s="1300">
        <f>IF('Sponsor Pro Forma'!$N29="Override",INDEX('Sponsor Pro Forma'!$O$16:$Z$34,MATCH('Monthly Cash Flow'!$B85,'Sponsor Pro Forma'!$B$16:$B$34,0),MATCH('Monthly Cash Flow'!BN$4,'Sponsor Pro Forma'!$O$15:$Z$15,0))/12,IF('Sponsor Pro Forma'!$L$42="Annual",'Monthly Cash Flow'!BM85*(1+'Sponsor Pro Forma'!$M29)^(IF(MOD(BN$5,12)=1,1,0)),'Monthly Cash Flow'!BM85*(1+'Sponsor Pro Forma'!$M29/12)))</f>
        <v>37211.939391052809</v>
      </c>
      <c r="BO85" s="1300">
        <f>IF('Sponsor Pro Forma'!$N29="Override",INDEX('Sponsor Pro Forma'!$O$16:$Z$34,MATCH('Monthly Cash Flow'!$B85,'Sponsor Pro Forma'!$B$16:$B$34,0),MATCH('Monthly Cash Flow'!BO$4,'Sponsor Pro Forma'!$O$15:$Z$15,0))/12,IF('Sponsor Pro Forma'!$L$42="Annual",'Monthly Cash Flow'!BN85*(1+'Sponsor Pro Forma'!$M29)^(IF(MOD(BO$5,12)=1,1,0)),'Monthly Cash Flow'!BN85*(1+'Sponsor Pro Forma'!$M29/12)))</f>
        <v>37211.939391052809</v>
      </c>
      <c r="BP85" s="1300">
        <f>IF('Sponsor Pro Forma'!$N29="Override",INDEX('Sponsor Pro Forma'!$O$16:$Z$34,MATCH('Monthly Cash Flow'!$B85,'Sponsor Pro Forma'!$B$16:$B$34,0),MATCH('Monthly Cash Flow'!BP$4,'Sponsor Pro Forma'!$O$15:$Z$15,0))/12,IF('Sponsor Pro Forma'!$L$42="Annual",'Monthly Cash Flow'!BO85*(1+'Sponsor Pro Forma'!$M29)^(IF(MOD(BP$5,12)=1,1,0)),'Monthly Cash Flow'!BO85*(1+'Sponsor Pro Forma'!$M29/12)))</f>
        <v>37211.939391052809</v>
      </c>
      <c r="BQ85" s="1300">
        <f>IF('Sponsor Pro Forma'!$N29="Override",INDEX('Sponsor Pro Forma'!$O$16:$Z$34,MATCH('Monthly Cash Flow'!$B85,'Sponsor Pro Forma'!$B$16:$B$34,0),MATCH('Monthly Cash Flow'!BQ$4,'Sponsor Pro Forma'!$O$15:$Z$15,0))/12,IF('Sponsor Pro Forma'!$L$42="Annual",'Monthly Cash Flow'!BP85*(1+'Sponsor Pro Forma'!$M29)^(IF(MOD(BQ$5,12)=1,1,0)),'Monthly Cash Flow'!BP85*(1+'Sponsor Pro Forma'!$M29/12)))</f>
        <v>37211.939391052809</v>
      </c>
      <c r="BR85" s="1300">
        <f>IF('Sponsor Pro Forma'!$N29="Override",INDEX('Sponsor Pro Forma'!$O$16:$Z$34,MATCH('Monthly Cash Flow'!$B85,'Sponsor Pro Forma'!$B$16:$B$34,0),MATCH('Monthly Cash Flow'!BR$4,'Sponsor Pro Forma'!$O$15:$Z$15,0))/12,IF('Sponsor Pro Forma'!$L$42="Annual",'Monthly Cash Flow'!BQ85*(1+'Sponsor Pro Forma'!$M29)^(IF(MOD(BR$5,12)=1,1,0)),'Monthly Cash Flow'!BQ85*(1+'Sponsor Pro Forma'!$M29/12)))</f>
        <v>37211.939391052809</v>
      </c>
      <c r="BS85" s="1300">
        <f>IF('Sponsor Pro Forma'!$N29="Override",INDEX('Sponsor Pro Forma'!$O$16:$Z$34,MATCH('Monthly Cash Flow'!$B85,'Sponsor Pro Forma'!$B$16:$B$34,0),MATCH('Monthly Cash Flow'!BS$4,'Sponsor Pro Forma'!$O$15:$Z$15,0))/12,IF('Sponsor Pro Forma'!$L$42="Annual",'Monthly Cash Flow'!BR85*(1+'Sponsor Pro Forma'!$M29)^(IF(MOD(BS$5,12)=1,1,0)),'Monthly Cash Flow'!BR85*(1+'Sponsor Pro Forma'!$M29/12)))</f>
        <v>37211.939391052809</v>
      </c>
      <c r="BT85" s="1300">
        <f>IF('Sponsor Pro Forma'!$N29="Override",INDEX('Sponsor Pro Forma'!$O$16:$Z$34,MATCH('Monthly Cash Flow'!$B85,'Sponsor Pro Forma'!$B$16:$B$34,0),MATCH('Monthly Cash Flow'!BT$4,'Sponsor Pro Forma'!$O$15:$Z$15,0))/12,IF('Sponsor Pro Forma'!$L$42="Annual",'Monthly Cash Flow'!BS85*(1+'Sponsor Pro Forma'!$M29)^(IF(MOD(BT$5,12)=1,1,0)),'Monthly Cash Flow'!BS85*(1+'Sponsor Pro Forma'!$M29/12)))</f>
        <v>37211.939391052809</v>
      </c>
      <c r="BU85" s="1300">
        <f>IF('Sponsor Pro Forma'!$N29="Override",INDEX('Sponsor Pro Forma'!$O$16:$Z$34,MATCH('Monthly Cash Flow'!$B85,'Sponsor Pro Forma'!$B$16:$B$34,0),MATCH('Monthly Cash Flow'!BU$4,'Sponsor Pro Forma'!$O$15:$Z$15,0))/12,IF('Sponsor Pro Forma'!$L$42="Annual",'Monthly Cash Flow'!BT85*(1+'Sponsor Pro Forma'!$M29)^(IF(MOD(BU$5,12)=1,1,0)),'Monthly Cash Flow'!BT85*(1+'Sponsor Pro Forma'!$M29/12)))</f>
        <v>37211.939391052809</v>
      </c>
      <c r="BV85" s="1300">
        <f>IF('Sponsor Pro Forma'!$N29="Override",INDEX('Sponsor Pro Forma'!$O$16:$Z$34,MATCH('Monthly Cash Flow'!$B85,'Sponsor Pro Forma'!$B$16:$B$34,0),MATCH('Monthly Cash Flow'!BV$4,'Sponsor Pro Forma'!$O$15:$Z$15,0))/12,IF('Sponsor Pro Forma'!$L$42="Annual",'Monthly Cash Flow'!BU85*(1+'Sponsor Pro Forma'!$M29)^(IF(MOD(BV$5,12)=1,1,0)),'Monthly Cash Flow'!BU85*(1+'Sponsor Pro Forma'!$M29/12)))</f>
        <v>37211.939391052809</v>
      </c>
      <c r="BW85" s="1300">
        <f>IF('Sponsor Pro Forma'!$N29="Override",INDEX('Sponsor Pro Forma'!$O$16:$Z$34,MATCH('Monthly Cash Flow'!$B85,'Sponsor Pro Forma'!$B$16:$B$34,0),MATCH('Monthly Cash Flow'!BW$4,'Sponsor Pro Forma'!$O$15:$Z$15,0))/12,IF('Sponsor Pro Forma'!$L$42="Annual",'Monthly Cash Flow'!BV85*(1+'Sponsor Pro Forma'!$M29)^(IF(MOD(BW$5,12)=1,1,0)),'Monthly Cash Flow'!BV85*(1+'Sponsor Pro Forma'!$M29/12)))</f>
        <v>37211.939391052809</v>
      </c>
      <c r="BX85" s="1300">
        <f>IF('Sponsor Pro Forma'!$N29="Override",INDEX('Sponsor Pro Forma'!$O$16:$Z$34,MATCH('Monthly Cash Flow'!$B85,'Sponsor Pro Forma'!$B$16:$B$34,0),MATCH('Monthly Cash Flow'!BX$4,'Sponsor Pro Forma'!$O$15:$Z$15,0))/12,IF('Sponsor Pro Forma'!$L$42="Annual",'Monthly Cash Flow'!BW85*(1+'Sponsor Pro Forma'!$M29)^(IF(MOD(BX$5,12)=1,1,0)),'Monthly Cash Flow'!BW85*(1+'Sponsor Pro Forma'!$M29/12)))</f>
        <v>37211.939391052809</v>
      </c>
      <c r="BY85" s="1300">
        <f>IF('Sponsor Pro Forma'!$N29="Override",INDEX('Sponsor Pro Forma'!$O$16:$Z$34,MATCH('Monthly Cash Flow'!$B85,'Sponsor Pro Forma'!$B$16:$B$34,0),MATCH('Monthly Cash Flow'!BY$4,'Sponsor Pro Forma'!$O$15:$Z$15,0))/12,IF('Sponsor Pro Forma'!$L$42="Annual",'Monthly Cash Flow'!BX85*(1+'Sponsor Pro Forma'!$M29)^(IF(MOD(BY$5,12)=1,1,0)),'Monthly Cash Flow'!BX85*(1+'Sponsor Pro Forma'!$M29/12)))</f>
        <v>37956.178178873866</v>
      </c>
      <c r="BZ85" s="1300">
        <f>IF('Sponsor Pro Forma'!$N29="Override",INDEX('Sponsor Pro Forma'!$O$16:$Z$34,MATCH('Monthly Cash Flow'!$B85,'Sponsor Pro Forma'!$B$16:$B$34,0),MATCH('Monthly Cash Flow'!BZ$4,'Sponsor Pro Forma'!$O$15:$Z$15,0))/12,IF('Sponsor Pro Forma'!$L$42="Annual",'Monthly Cash Flow'!BY85*(1+'Sponsor Pro Forma'!$M29)^(IF(MOD(BZ$5,12)=1,1,0)),'Monthly Cash Flow'!BY85*(1+'Sponsor Pro Forma'!$M29/12)))</f>
        <v>37956.178178873866</v>
      </c>
      <c r="CA85" s="1300">
        <f>IF('Sponsor Pro Forma'!$N29="Override",INDEX('Sponsor Pro Forma'!$O$16:$Z$34,MATCH('Monthly Cash Flow'!$B85,'Sponsor Pro Forma'!$B$16:$B$34,0),MATCH('Monthly Cash Flow'!CA$4,'Sponsor Pro Forma'!$O$15:$Z$15,0))/12,IF('Sponsor Pro Forma'!$L$42="Annual",'Monthly Cash Flow'!BZ85*(1+'Sponsor Pro Forma'!$M29)^(IF(MOD(CA$5,12)=1,1,0)),'Monthly Cash Flow'!BZ85*(1+'Sponsor Pro Forma'!$M29/12)))</f>
        <v>37956.178178873866</v>
      </c>
      <c r="CB85" s="1300">
        <f>IF('Sponsor Pro Forma'!$N29="Override",INDEX('Sponsor Pro Forma'!$O$16:$Z$34,MATCH('Monthly Cash Flow'!$B85,'Sponsor Pro Forma'!$B$16:$B$34,0),MATCH('Monthly Cash Flow'!CB$4,'Sponsor Pro Forma'!$O$15:$Z$15,0))/12,IF('Sponsor Pro Forma'!$L$42="Annual",'Monthly Cash Flow'!CA85*(1+'Sponsor Pro Forma'!$M29)^(IF(MOD(CB$5,12)=1,1,0)),'Monthly Cash Flow'!CA85*(1+'Sponsor Pro Forma'!$M29/12)))</f>
        <v>37956.178178873866</v>
      </c>
      <c r="CC85" s="1300">
        <f>IF('Sponsor Pro Forma'!$N29="Override",INDEX('Sponsor Pro Forma'!$O$16:$Z$34,MATCH('Monthly Cash Flow'!$B85,'Sponsor Pro Forma'!$B$16:$B$34,0),MATCH('Monthly Cash Flow'!CC$4,'Sponsor Pro Forma'!$O$15:$Z$15,0))/12,IF('Sponsor Pro Forma'!$L$42="Annual",'Monthly Cash Flow'!CB85*(1+'Sponsor Pro Forma'!$M29)^(IF(MOD(CC$5,12)=1,1,0)),'Monthly Cash Flow'!CB85*(1+'Sponsor Pro Forma'!$M29/12)))</f>
        <v>37956.178178873866</v>
      </c>
      <c r="CD85" s="1300">
        <f>IF('Sponsor Pro Forma'!$N29="Override",INDEX('Sponsor Pro Forma'!$O$16:$Z$34,MATCH('Monthly Cash Flow'!$B85,'Sponsor Pro Forma'!$B$16:$B$34,0),MATCH('Monthly Cash Flow'!CD$4,'Sponsor Pro Forma'!$O$15:$Z$15,0))/12,IF('Sponsor Pro Forma'!$L$42="Annual",'Monthly Cash Flow'!CC85*(1+'Sponsor Pro Forma'!$M29)^(IF(MOD(CD$5,12)=1,1,0)),'Monthly Cash Flow'!CC85*(1+'Sponsor Pro Forma'!$M29/12)))</f>
        <v>37956.178178873866</v>
      </c>
      <c r="CE85" s="1300">
        <f>IF('Sponsor Pro Forma'!$N29="Override",INDEX('Sponsor Pro Forma'!$O$16:$Z$34,MATCH('Monthly Cash Flow'!$B85,'Sponsor Pro Forma'!$B$16:$B$34,0),MATCH('Monthly Cash Flow'!CE$4,'Sponsor Pro Forma'!$O$15:$Z$15,0))/12,IF('Sponsor Pro Forma'!$L$42="Annual",'Monthly Cash Flow'!CD85*(1+'Sponsor Pro Forma'!$M29)^(IF(MOD(CE$5,12)=1,1,0)),'Monthly Cash Flow'!CD85*(1+'Sponsor Pro Forma'!$M29/12)))</f>
        <v>37956.178178873866</v>
      </c>
      <c r="CF85" s="1300">
        <f>IF('Sponsor Pro Forma'!$N29="Override",INDEX('Sponsor Pro Forma'!$O$16:$Z$34,MATCH('Monthly Cash Flow'!$B85,'Sponsor Pro Forma'!$B$16:$B$34,0),MATCH('Monthly Cash Flow'!CF$4,'Sponsor Pro Forma'!$O$15:$Z$15,0))/12,IF('Sponsor Pro Forma'!$L$42="Annual",'Monthly Cash Flow'!CE85*(1+'Sponsor Pro Forma'!$M29)^(IF(MOD(CF$5,12)=1,1,0)),'Monthly Cash Flow'!CE85*(1+'Sponsor Pro Forma'!$M29/12)))</f>
        <v>37956.178178873866</v>
      </c>
      <c r="CG85" s="1300">
        <f>IF('Sponsor Pro Forma'!$N29="Override",INDEX('Sponsor Pro Forma'!$O$16:$Z$34,MATCH('Monthly Cash Flow'!$B85,'Sponsor Pro Forma'!$B$16:$B$34,0),MATCH('Monthly Cash Flow'!CG$4,'Sponsor Pro Forma'!$O$15:$Z$15,0))/12,IF('Sponsor Pro Forma'!$L$42="Annual",'Monthly Cash Flow'!CF85*(1+'Sponsor Pro Forma'!$M29)^(IF(MOD(CG$5,12)=1,1,0)),'Monthly Cash Flow'!CF85*(1+'Sponsor Pro Forma'!$M29/12)))</f>
        <v>37956.178178873866</v>
      </c>
      <c r="CH85" s="1300">
        <f>IF('Sponsor Pro Forma'!$N29="Override",INDEX('Sponsor Pro Forma'!$O$16:$Z$34,MATCH('Monthly Cash Flow'!$B85,'Sponsor Pro Forma'!$B$16:$B$34,0),MATCH('Monthly Cash Flow'!CH$4,'Sponsor Pro Forma'!$O$15:$Z$15,0))/12,IF('Sponsor Pro Forma'!$L$42="Annual",'Monthly Cash Flow'!CG85*(1+'Sponsor Pro Forma'!$M29)^(IF(MOD(CH$5,12)=1,1,0)),'Monthly Cash Flow'!CG85*(1+'Sponsor Pro Forma'!$M29/12)))</f>
        <v>37956.178178873866</v>
      </c>
      <c r="CI85" s="1300">
        <f>IF('Sponsor Pro Forma'!$N29="Override",INDEX('Sponsor Pro Forma'!$O$16:$Z$34,MATCH('Monthly Cash Flow'!$B85,'Sponsor Pro Forma'!$B$16:$B$34,0),MATCH('Monthly Cash Flow'!CI$4,'Sponsor Pro Forma'!$O$15:$Z$15,0))/12,IF('Sponsor Pro Forma'!$L$42="Annual",'Monthly Cash Flow'!CH85*(1+'Sponsor Pro Forma'!$M29)^(IF(MOD(CI$5,12)=1,1,0)),'Monthly Cash Flow'!CH85*(1+'Sponsor Pro Forma'!$M29/12)))</f>
        <v>37956.178178873866</v>
      </c>
      <c r="CJ85" s="1300">
        <f>IF('Sponsor Pro Forma'!$N29="Override",INDEX('Sponsor Pro Forma'!$O$16:$Z$34,MATCH('Monthly Cash Flow'!$B85,'Sponsor Pro Forma'!$B$16:$B$34,0),MATCH('Monthly Cash Flow'!CJ$4,'Sponsor Pro Forma'!$O$15:$Z$15,0))/12,IF('Sponsor Pro Forma'!$L$42="Annual",'Monthly Cash Flow'!CI85*(1+'Sponsor Pro Forma'!$M29)^(IF(MOD(CJ$5,12)=1,1,0)),'Monthly Cash Flow'!CI85*(1+'Sponsor Pro Forma'!$M29/12)))</f>
        <v>37956.178178873866</v>
      </c>
      <c r="CK85" s="1300">
        <f>IF('Sponsor Pro Forma'!$N29="Override",INDEX('Sponsor Pro Forma'!$O$16:$Z$34,MATCH('Monthly Cash Flow'!$B85,'Sponsor Pro Forma'!$B$16:$B$34,0),MATCH('Monthly Cash Flow'!CK$4,'Sponsor Pro Forma'!$O$15:$Z$15,0))/12,IF('Sponsor Pro Forma'!$L$42="Annual",'Monthly Cash Flow'!CJ85*(1+'Sponsor Pro Forma'!$M29)^(IF(MOD(CK$5,12)=1,1,0)),'Monthly Cash Flow'!CJ85*(1+'Sponsor Pro Forma'!$M29/12)))</f>
        <v>38715.301742451345</v>
      </c>
      <c r="CL85" s="1300">
        <f>IF('Sponsor Pro Forma'!$N29="Override",INDEX('Sponsor Pro Forma'!$O$16:$Z$34,MATCH('Monthly Cash Flow'!$B85,'Sponsor Pro Forma'!$B$16:$B$34,0),MATCH('Monthly Cash Flow'!CL$4,'Sponsor Pro Forma'!$O$15:$Z$15,0))/12,IF('Sponsor Pro Forma'!$L$42="Annual",'Monthly Cash Flow'!CK85*(1+'Sponsor Pro Forma'!$M29)^(IF(MOD(CL$5,12)=1,1,0)),'Monthly Cash Flow'!CK85*(1+'Sponsor Pro Forma'!$M29/12)))</f>
        <v>38715.301742451345</v>
      </c>
      <c r="CM85" s="1300">
        <f>IF('Sponsor Pro Forma'!$N29="Override",INDEX('Sponsor Pro Forma'!$O$16:$Z$34,MATCH('Monthly Cash Flow'!$B85,'Sponsor Pro Forma'!$B$16:$B$34,0),MATCH('Monthly Cash Flow'!CM$4,'Sponsor Pro Forma'!$O$15:$Z$15,0))/12,IF('Sponsor Pro Forma'!$L$42="Annual",'Monthly Cash Flow'!CL85*(1+'Sponsor Pro Forma'!$M29)^(IF(MOD(CM$5,12)=1,1,0)),'Monthly Cash Flow'!CL85*(1+'Sponsor Pro Forma'!$M29/12)))</f>
        <v>38715.301742451345</v>
      </c>
      <c r="CN85" s="1300">
        <f>IF('Sponsor Pro Forma'!$N29="Override",INDEX('Sponsor Pro Forma'!$O$16:$Z$34,MATCH('Monthly Cash Flow'!$B85,'Sponsor Pro Forma'!$B$16:$B$34,0),MATCH('Monthly Cash Flow'!CN$4,'Sponsor Pro Forma'!$O$15:$Z$15,0))/12,IF('Sponsor Pro Forma'!$L$42="Annual",'Monthly Cash Flow'!CM85*(1+'Sponsor Pro Forma'!$M29)^(IF(MOD(CN$5,12)=1,1,0)),'Monthly Cash Flow'!CM85*(1+'Sponsor Pro Forma'!$M29/12)))</f>
        <v>38715.301742451345</v>
      </c>
      <c r="CO85" s="1300">
        <f>IF('Sponsor Pro Forma'!$N29="Override",INDEX('Sponsor Pro Forma'!$O$16:$Z$34,MATCH('Monthly Cash Flow'!$B85,'Sponsor Pro Forma'!$B$16:$B$34,0),MATCH('Monthly Cash Flow'!CO$4,'Sponsor Pro Forma'!$O$15:$Z$15,0))/12,IF('Sponsor Pro Forma'!$L$42="Annual",'Monthly Cash Flow'!CN85*(1+'Sponsor Pro Forma'!$M29)^(IF(MOD(CO$5,12)=1,1,0)),'Monthly Cash Flow'!CN85*(1+'Sponsor Pro Forma'!$M29/12)))</f>
        <v>38715.301742451345</v>
      </c>
      <c r="CP85" s="1300">
        <f>IF('Sponsor Pro Forma'!$N29="Override",INDEX('Sponsor Pro Forma'!$O$16:$Z$34,MATCH('Monthly Cash Flow'!$B85,'Sponsor Pro Forma'!$B$16:$B$34,0),MATCH('Monthly Cash Flow'!CP$4,'Sponsor Pro Forma'!$O$15:$Z$15,0))/12,IF('Sponsor Pro Forma'!$L$42="Annual",'Monthly Cash Flow'!CO85*(1+'Sponsor Pro Forma'!$M29)^(IF(MOD(CP$5,12)=1,1,0)),'Monthly Cash Flow'!CO85*(1+'Sponsor Pro Forma'!$M29/12)))</f>
        <v>38715.301742451345</v>
      </c>
      <c r="CQ85" s="1300">
        <f>IF('Sponsor Pro Forma'!$N29="Override",INDEX('Sponsor Pro Forma'!$O$16:$Z$34,MATCH('Monthly Cash Flow'!$B85,'Sponsor Pro Forma'!$B$16:$B$34,0),MATCH('Monthly Cash Flow'!CQ$4,'Sponsor Pro Forma'!$O$15:$Z$15,0))/12,IF('Sponsor Pro Forma'!$L$42="Annual",'Monthly Cash Flow'!CP85*(1+'Sponsor Pro Forma'!$M29)^(IF(MOD(CQ$5,12)=1,1,0)),'Monthly Cash Flow'!CP85*(1+'Sponsor Pro Forma'!$M29/12)))</f>
        <v>38715.301742451345</v>
      </c>
      <c r="CR85" s="1300">
        <f>IF('Sponsor Pro Forma'!$N29="Override",INDEX('Sponsor Pro Forma'!$O$16:$Z$34,MATCH('Monthly Cash Flow'!$B85,'Sponsor Pro Forma'!$B$16:$B$34,0),MATCH('Monthly Cash Flow'!CR$4,'Sponsor Pro Forma'!$O$15:$Z$15,0))/12,IF('Sponsor Pro Forma'!$L$42="Annual",'Monthly Cash Flow'!CQ85*(1+'Sponsor Pro Forma'!$M29)^(IF(MOD(CR$5,12)=1,1,0)),'Monthly Cash Flow'!CQ85*(1+'Sponsor Pro Forma'!$M29/12)))</f>
        <v>38715.301742451345</v>
      </c>
      <c r="CS85" s="1300">
        <f>IF('Sponsor Pro Forma'!$N29="Override",INDEX('Sponsor Pro Forma'!$O$16:$Z$34,MATCH('Monthly Cash Flow'!$B85,'Sponsor Pro Forma'!$B$16:$B$34,0),MATCH('Monthly Cash Flow'!CS$4,'Sponsor Pro Forma'!$O$15:$Z$15,0))/12,IF('Sponsor Pro Forma'!$L$42="Annual",'Monthly Cash Flow'!CR85*(1+'Sponsor Pro Forma'!$M29)^(IF(MOD(CS$5,12)=1,1,0)),'Monthly Cash Flow'!CR85*(1+'Sponsor Pro Forma'!$M29/12)))</f>
        <v>38715.301742451345</v>
      </c>
      <c r="CT85" s="1300">
        <f>IF('Sponsor Pro Forma'!$N29="Override",INDEX('Sponsor Pro Forma'!$O$16:$Z$34,MATCH('Monthly Cash Flow'!$B85,'Sponsor Pro Forma'!$B$16:$B$34,0),MATCH('Monthly Cash Flow'!CT$4,'Sponsor Pro Forma'!$O$15:$Z$15,0))/12,IF('Sponsor Pro Forma'!$L$42="Annual",'Monthly Cash Flow'!CS85*(1+'Sponsor Pro Forma'!$M29)^(IF(MOD(CT$5,12)=1,1,0)),'Monthly Cash Flow'!CS85*(1+'Sponsor Pro Forma'!$M29/12)))</f>
        <v>38715.301742451345</v>
      </c>
      <c r="CU85" s="1300">
        <f>IF('Sponsor Pro Forma'!$N29="Override",INDEX('Sponsor Pro Forma'!$O$16:$Z$34,MATCH('Monthly Cash Flow'!$B85,'Sponsor Pro Forma'!$B$16:$B$34,0),MATCH('Monthly Cash Flow'!CU$4,'Sponsor Pro Forma'!$O$15:$Z$15,0))/12,IF('Sponsor Pro Forma'!$L$42="Annual",'Monthly Cash Flow'!CT85*(1+'Sponsor Pro Forma'!$M29)^(IF(MOD(CU$5,12)=1,1,0)),'Monthly Cash Flow'!CT85*(1+'Sponsor Pro Forma'!$M29/12)))</f>
        <v>38715.301742451345</v>
      </c>
      <c r="CV85" s="1300">
        <f>IF('Sponsor Pro Forma'!$N29="Override",INDEX('Sponsor Pro Forma'!$O$16:$Z$34,MATCH('Monthly Cash Flow'!$B85,'Sponsor Pro Forma'!$B$16:$B$34,0),MATCH('Monthly Cash Flow'!CV$4,'Sponsor Pro Forma'!$O$15:$Z$15,0))/12,IF('Sponsor Pro Forma'!$L$42="Annual",'Monthly Cash Flow'!CU85*(1+'Sponsor Pro Forma'!$M29)^(IF(MOD(CV$5,12)=1,1,0)),'Monthly Cash Flow'!CU85*(1+'Sponsor Pro Forma'!$M29/12)))</f>
        <v>38715.301742451345</v>
      </c>
      <c r="CW85" s="1300">
        <f>IF('Sponsor Pro Forma'!$N29="Override",INDEX('Sponsor Pro Forma'!$O$16:$Z$34,MATCH('Monthly Cash Flow'!$B85,'Sponsor Pro Forma'!$B$16:$B$34,0),MATCH('Monthly Cash Flow'!CW$4,'Sponsor Pro Forma'!$O$15:$Z$15,0))/12,IF('Sponsor Pro Forma'!$L$42="Annual",'Monthly Cash Flow'!CV85*(1+'Sponsor Pro Forma'!$M29)^(IF(MOD(CW$5,12)=1,1,0)),'Monthly Cash Flow'!CV85*(1+'Sponsor Pro Forma'!$M29/12)))</f>
        <v>39489.607777300371</v>
      </c>
      <c r="CX85" s="1300">
        <f>IF('Sponsor Pro Forma'!$N29="Override",INDEX('Sponsor Pro Forma'!$O$16:$Z$34,MATCH('Monthly Cash Flow'!$B85,'Sponsor Pro Forma'!$B$16:$B$34,0),MATCH('Monthly Cash Flow'!CX$4,'Sponsor Pro Forma'!$O$15:$Z$15,0))/12,IF('Sponsor Pro Forma'!$L$42="Annual",'Monthly Cash Flow'!CW85*(1+'Sponsor Pro Forma'!$M29)^(IF(MOD(CX$5,12)=1,1,0)),'Monthly Cash Flow'!CW85*(1+'Sponsor Pro Forma'!$M29/12)))</f>
        <v>39489.607777300371</v>
      </c>
      <c r="CY85" s="1300">
        <f>IF('Sponsor Pro Forma'!$N29="Override",INDEX('Sponsor Pro Forma'!$O$16:$Z$34,MATCH('Monthly Cash Flow'!$B85,'Sponsor Pro Forma'!$B$16:$B$34,0),MATCH('Monthly Cash Flow'!CY$4,'Sponsor Pro Forma'!$O$15:$Z$15,0))/12,IF('Sponsor Pro Forma'!$L$42="Annual",'Monthly Cash Flow'!CX85*(1+'Sponsor Pro Forma'!$M29)^(IF(MOD(CY$5,12)=1,1,0)),'Monthly Cash Flow'!CX85*(1+'Sponsor Pro Forma'!$M29/12)))</f>
        <v>39489.607777300371</v>
      </c>
      <c r="CZ85" s="1300">
        <f>IF('Sponsor Pro Forma'!$N29="Override",INDEX('Sponsor Pro Forma'!$O$16:$Z$34,MATCH('Monthly Cash Flow'!$B85,'Sponsor Pro Forma'!$B$16:$B$34,0),MATCH('Monthly Cash Flow'!CZ$4,'Sponsor Pro Forma'!$O$15:$Z$15,0))/12,IF('Sponsor Pro Forma'!$L$42="Annual",'Monthly Cash Flow'!CY85*(1+'Sponsor Pro Forma'!$M29)^(IF(MOD(CZ$5,12)=1,1,0)),'Monthly Cash Flow'!CY85*(1+'Sponsor Pro Forma'!$M29/12)))</f>
        <v>39489.607777300371</v>
      </c>
      <c r="DA85" s="1300">
        <f>IF('Sponsor Pro Forma'!$N29="Override",INDEX('Sponsor Pro Forma'!$O$16:$Z$34,MATCH('Monthly Cash Flow'!$B85,'Sponsor Pro Forma'!$B$16:$B$34,0),MATCH('Monthly Cash Flow'!DA$4,'Sponsor Pro Forma'!$O$15:$Z$15,0))/12,IF('Sponsor Pro Forma'!$L$42="Annual",'Monthly Cash Flow'!CZ85*(1+'Sponsor Pro Forma'!$M29)^(IF(MOD(DA$5,12)=1,1,0)),'Monthly Cash Flow'!CZ85*(1+'Sponsor Pro Forma'!$M29/12)))</f>
        <v>39489.607777300371</v>
      </c>
      <c r="DB85" s="1300">
        <f>IF('Sponsor Pro Forma'!$N29="Override",INDEX('Sponsor Pro Forma'!$O$16:$Z$34,MATCH('Monthly Cash Flow'!$B85,'Sponsor Pro Forma'!$B$16:$B$34,0),MATCH('Monthly Cash Flow'!DB$4,'Sponsor Pro Forma'!$O$15:$Z$15,0))/12,IF('Sponsor Pro Forma'!$L$42="Annual",'Monthly Cash Flow'!DA85*(1+'Sponsor Pro Forma'!$M29)^(IF(MOD(DB$5,12)=1,1,0)),'Monthly Cash Flow'!DA85*(1+'Sponsor Pro Forma'!$M29/12)))</f>
        <v>39489.607777300371</v>
      </c>
      <c r="DC85" s="1300">
        <f>IF('Sponsor Pro Forma'!$N29="Override",INDEX('Sponsor Pro Forma'!$O$16:$Z$34,MATCH('Monthly Cash Flow'!$B85,'Sponsor Pro Forma'!$B$16:$B$34,0),MATCH('Monthly Cash Flow'!DC$4,'Sponsor Pro Forma'!$O$15:$Z$15,0))/12,IF('Sponsor Pro Forma'!$L$42="Annual",'Monthly Cash Flow'!DB85*(1+'Sponsor Pro Forma'!$M29)^(IF(MOD(DC$5,12)=1,1,0)),'Monthly Cash Flow'!DB85*(1+'Sponsor Pro Forma'!$M29/12)))</f>
        <v>39489.607777300371</v>
      </c>
      <c r="DD85" s="1300">
        <f>IF('Sponsor Pro Forma'!$N29="Override",INDEX('Sponsor Pro Forma'!$O$16:$Z$34,MATCH('Monthly Cash Flow'!$B85,'Sponsor Pro Forma'!$B$16:$B$34,0),MATCH('Monthly Cash Flow'!DD$4,'Sponsor Pro Forma'!$O$15:$Z$15,0))/12,IF('Sponsor Pro Forma'!$L$42="Annual",'Monthly Cash Flow'!DC85*(1+'Sponsor Pro Forma'!$M29)^(IF(MOD(DD$5,12)=1,1,0)),'Monthly Cash Flow'!DC85*(1+'Sponsor Pro Forma'!$M29/12)))</f>
        <v>39489.607777300371</v>
      </c>
      <c r="DE85" s="1300">
        <f>IF('Sponsor Pro Forma'!$N29="Override",INDEX('Sponsor Pro Forma'!$O$16:$Z$34,MATCH('Monthly Cash Flow'!$B85,'Sponsor Pro Forma'!$B$16:$B$34,0),MATCH('Monthly Cash Flow'!DE$4,'Sponsor Pro Forma'!$O$15:$Z$15,0))/12,IF('Sponsor Pro Forma'!$L$42="Annual",'Monthly Cash Flow'!DD85*(1+'Sponsor Pro Forma'!$M29)^(IF(MOD(DE$5,12)=1,1,0)),'Monthly Cash Flow'!DD85*(1+'Sponsor Pro Forma'!$M29/12)))</f>
        <v>39489.607777300371</v>
      </c>
      <c r="DF85" s="1300">
        <f>IF('Sponsor Pro Forma'!$N29="Override",INDEX('Sponsor Pro Forma'!$O$16:$Z$34,MATCH('Monthly Cash Flow'!$B85,'Sponsor Pro Forma'!$B$16:$B$34,0),MATCH('Monthly Cash Flow'!DF$4,'Sponsor Pro Forma'!$O$15:$Z$15,0))/12,IF('Sponsor Pro Forma'!$L$42="Annual",'Monthly Cash Flow'!DE85*(1+'Sponsor Pro Forma'!$M29)^(IF(MOD(DF$5,12)=1,1,0)),'Monthly Cash Flow'!DE85*(1+'Sponsor Pro Forma'!$M29/12)))</f>
        <v>39489.607777300371</v>
      </c>
      <c r="DG85" s="1300">
        <f>IF('Sponsor Pro Forma'!$N29="Override",INDEX('Sponsor Pro Forma'!$O$16:$Z$34,MATCH('Monthly Cash Flow'!$B85,'Sponsor Pro Forma'!$B$16:$B$34,0),MATCH('Monthly Cash Flow'!DG$4,'Sponsor Pro Forma'!$O$15:$Z$15,0))/12,IF('Sponsor Pro Forma'!$L$42="Annual",'Monthly Cash Flow'!DF85*(1+'Sponsor Pro Forma'!$M29)^(IF(MOD(DG$5,12)=1,1,0)),'Monthly Cash Flow'!DF85*(1+'Sponsor Pro Forma'!$M29/12)))</f>
        <v>39489.607777300371</v>
      </c>
      <c r="DH85" s="1300">
        <f>IF('Sponsor Pro Forma'!$N29="Override",INDEX('Sponsor Pro Forma'!$O$16:$Z$34,MATCH('Monthly Cash Flow'!$B85,'Sponsor Pro Forma'!$B$16:$B$34,0),MATCH('Monthly Cash Flow'!DH$4,'Sponsor Pro Forma'!$O$15:$Z$15,0))/12,IF('Sponsor Pro Forma'!$L$42="Annual",'Monthly Cash Flow'!DG85*(1+'Sponsor Pro Forma'!$M29)^(IF(MOD(DH$5,12)=1,1,0)),'Monthly Cash Flow'!DG85*(1+'Sponsor Pro Forma'!$M29/12)))</f>
        <v>39489.607777300371</v>
      </c>
      <c r="DI85" s="1300">
        <f>IF('Sponsor Pro Forma'!$N29="Override",INDEX('Sponsor Pro Forma'!$O$16:$Z$34,MATCH('Monthly Cash Flow'!$B85,'Sponsor Pro Forma'!$B$16:$B$34,0),MATCH('Monthly Cash Flow'!DI$4,'Sponsor Pro Forma'!$O$15:$Z$15,0))/12,IF('Sponsor Pro Forma'!$L$42="Annual",'Monthly Cash Flow'!DH85*(1+'Sponsor Pro Forma'!$M29)^(IF(MOD(DI$5,12)=1,1,0)),'Monthly Cash Flow'!DH85*(1+'Sponsor Pro Forma'!$M29/12)))</f>
        <v>40279.399932846376</v>
      </c>
      <c r="DJ85" s="1300">
        <f>IF('Sponsor Pro Forma'!$N29="Override",INDEX('Sponsor Pro Forma'!$O$16:$Z$34,MATCH('Monthly Cash Flow'!$B85,'Sponsor Pro Forma'!$B$16:$B$34,0),MATCH('Monthly Cash Flow'!DJ$4,'Sponsor Pro Forma'!$O$15:$Z$15,0))/12,IF('Sponsor Pro Forma'!$L$42="Annual",'Monthly Cash Flow'!DI85*(1+'Sponsor Pro Forma'!$M29)^(IF(MOD(DJ$5,12)=1,1,0)),'Monthly Cash Flow'!DI85*(1+'Sponsor Pro Forma'!$M29/12)))</f>
        <v>40279.399932846376</v>
      </c>
      <c r="DK85" s="1300">
        <f>IF('Sponsor Pro Forma'!$N29="Override",INDEX('Sponsor Pro Forma'!$O$16:$Z$34,MATCH('Monthly Cash Flow'!$B85,'Sponsor Pro Forma'!$B$16:$B$34,0),MATCH('Monthly Cash Flow'!DK$4,'Sponsor Pro Forma'!$O$15:$Z$15,0))/12,IF('Sponsor Pro Forma'!$L$42="Annual",'Monthly Cash Flow'!DJ85*(1+'Sponsor Pro Forma'!$M29)^(IF(MOD(DK$5,12)=1,1,0)),'Monthly Cash Flow'!DJ85*(1+'Sponsor Pro Forma'!$M29/12)))</f>
        <v>40279.399932846376</v>
      </c>
      <c r="DL85" s="1300">
        <f>IF('Sponsor Pro Forma'!$N29="Override",INDEX('Sponsor Pro Forma'!$O$16:$Z$34,MATCH('Monthly Cash Flow'!$B85,'Sponsor Pro Forma'!$B$16:$B$34,0),MATCH('Monthly Cash Flow'!DL$4,'Sponsor Pro Forma'!$O$15:$Z$15,0))/12,IF('Sponsor Pro Forma'!$L$42="Annual",'Monthly Cash Flow'!DK85*(1+'Sponsor Pro Forma'!$M29)^(IF(MOD(DL$5,12)=1,1,0)),'Monthly Cash Flow'!DK85*(1+'Sponsor Pro Forma'!$M29/12)))</f>
        <v>40279.399932846376</v>
      </c>
      <c r="DM85" s="1300">
        <f>IF('Sponsor Pro Forma'!$N29="Override",INDEX('Sponsor Pro Forma'!$O$16:$Z$34,MATCH('Monthly Cash Flow'!$B85,'Sponsor Pro Forma'!$B$16:$B$34,0),MATCH('Monthly Cash Flow'!DM$4,'Sponsor Pro Forma'!$O$15:$Z$15,0))/12,IF('Sponsor Pro Forma'!$L$42="Annual",'Monthly Cash Flow'!DL85*(1+'Sponsor Pro Forma'!$M29)^(IF(MOD(DM$5,12)=1,1,0)),'Monthly Cash Flow'!DL85*(1+'Sponsor Pro Forma'!$M29/12)))</f>
        <v>40279.399932846376</v>
      </c>
      <c r="DN85" s="1300">
        <f>IF('Sponsor Pro Forma'!$N29="Override",INDEX('Sponsor Pro Forma'!$O$16:$Z$34,MATCH('Monthly Cash Flow'!$B85,'Sponsor Pro Forma'!$B$16:$B$34,0),MATCH('Monthly Cash Flow'!DN$4,'Sponsor Pro Forma'!$O$15:$Z$15,0))/12,IF('Sponsor Pro Forma'!$L$42="Annual",'Monthly Cash Flow'!DM85*(1+'Sponsor Pro Forma'!$M29)^(IF(MOD(DN$5,12)=1,1,0)),'Monthly Cash Flow'!DM85*(1+'Sponsor Pro Forma'!$M29/12)))</f>
        <v>40279.399932846376</v>
      </c>
      <c r="DO85" s="1300">
        <f>IF('Sponsor Pro Forma'!$N29="Override",INDEX('Sponsor Pro Forma'!$O$16:$Z$34,MATCH('Monthly Cash Flow'!$B85,'Sponsor Pro Forma'!$B$16:$B$34,0),MATCH('Monthly Cash Flow'!DO$4,'Sponsor Pro Forma'!$O$15:$Z$15,0))/12,IF('Sponsor Pro Forma'!$L$42="Annual",'Monthly Cash Flow'!DN85*(1+'Sponsor Pro Forma'!$M29)^(IF(MOD(DO$5,12)=1,1,0)),'Monthly Cash Flow'!DN85*(1+'Sponsor Pro Forma'!$M29/12)))</f>
        <v>40279.399932846376</v>
      </c>
      <c r="DP85" s="1300">
        <f>IF('Sponsor Pro Forma'!$N29="Override",INDEX('Sponsor Pro Forma'!$O$16:$Z$34,MATCH('Monthly Cash Flow'!$B85,'Sponsor Pro Forma'!$B$16:$B$34,0),MATCH('Monthly Cash Flow'!DP$4,'Sponsor Pro Forma'!$O$15:$Z$15,0))/12,IF('Sponsor Pro Forma'!$L$42="Annual",'Monthly Cash Flow'!DO85*(1+'Sponsor Pro Forma'!$M29)^(IF(MOD(DP$5,12)=1,1,0)),'Monthly Cash Flow'!DO85*(1+'Sponsor Pro Forma'!$M29/12)))</f>
        <v>40279.399932846376</v>
      </c>
      <c r="DQ85" s="1300">
        <f>IF('Sponsor Pro Forma'!$N29="Override",INDEX('Sponsor Pro Forma'!$O$16:$Z$34,MATCH('Monthly Cash Flow'!$B85,'Sponsor Pro Forma'!$B$16:$B$34,0),MATCH('Monthly Cash Flow'!DQ$4,'Sponsor Pro Forma'!$O$15:$Z$15,0))/12,IF('Sponsor Pro Forma'!$L$42="Annual",'Monthly Cash Flow'!DP85*(1+'Sponsor Pro Forma'!$M29)^(IF(MOD(DQ$5,12)=1,1,0)),'Monthly Cash Flow'!DP85*(1+'Sponsor Pro Forma'!$M29/12)))</f>
        <v>40279.399932846376</v>
      </c>
      <c r="DR85" s="1300">
        <f>IF('Sponsor Pro Forma'!$N29="Override",INDEX('Sponsor Pro Forma'!$O$16:$Z$34,MATCH('Monthly Cash Flow'!$B85,'Sponsor Pro Forma'!$B$16:$B$34,0),MATCH('Monthly Cash Flow'!DR$4,'Sponsor Pro Forma'!$O$15:$Z$15,0))/12,IF('Sponsor Pro Forma'!$L$42="Annual",'Monthly Cash Flow'!DQ85*(1+'Sponsor Pro Forma'!$M29)^(IF(MOD(DR$5,12)=1,1,0)),'Monthly Cash Flow'!DQ85*(1+'Sponsor Pro Forma'!$M29/12)))</f>
        <v>40279.399932846376</v>
      </c>
      <c r="DS85" s="1300">
        <f>IF('Sponsor Pro Forma'!$N29="Override",INDEX('Sponsor Pro Forma'!$O$16:$Z$34,MATCH('Monthly Cash Flow'!$B85,'Sponsor Pro Forma'!$B$16:$B$34,0),MATCH('Monthly Cash Flow'!DS$4,'Sponsor Pro Forma'!$O$15:$Z$15,0))/12,IF('Sponsor Pro Forma'!$L$42="Annual",'Monthly Cash Flow'!DR85*(1+'Sponsor Pro Forma'!$M29)^(IF(MOD(DS$5,12)=1,1,0)),'Monthly Cash Flow'!DR85*(1+'Sponsor Pro Forma'!$M29/12)))</f>
        <v>40279.399932846376</v>
      </c>
      <c r="DT85" s="1300">
        <f>IF('Sponsor Pro Forma'!$N29="Override",INDEX('Sponsor Pro Forma'!$O$16:$Z$34,MATCH('Monthly Cash Flow'!$B85,'Sponsor Pro Forma'!$B$16:$B$34,0),MATCH('Monthly Cash Flow'!DT$4,'Sponsor Pro Forma'!$O$15:$Z$15,0))/12,IF('Sponsor Pro Forma'!$L$42="Annual",'Monthly Cash Flow'!DS85*(1+'Sponsor Pro Forma'!$M29)^(IF(MOD(DT$5,12)=1,1,0)),'Monthly Cash Flow'!DS85*(1+'Sponsor Pro Forma'!$M29/12)))</f>
        <v>40279.399932846376</v>
      </c>
      <c r="DU85" s="1301" t="s">
        <v>557</v>
      </c>
      <c r="DV85" s="196"/>
    </row>
    <row r="86" spans="1:126" s="5" customFormat="1" ht="19">
      <c r="A86" s="399"/>
      <c r="B86" s="414" t="s">
        <v>611</v>
      </c>
      <c r="C86" s="403"/>
      <c r="D86" s="415">
        <f t="shared" ref="D86:BP86" si="143">SUM(D79:D85)</f>
        <v>120890</v>
      </c>
      <c r="E86" s="405">
        <f t="shared" si="143"/>
        <v>120890</v>
      </c>
      <c r="F86" s="405">
        <f t="shared" si="143"/>
        <v>120890</v>
      </c>
      <c r="G86" s="405">
        <f t="shared" si="143"/>
        <v>120890</v>
      </c>
      <c r="H86" s="405">
        <f t="shared" si="143"/>
        <v>120890</v>
      </c>
      <c r="I86" s="405">
        <f t="shared" si="143"/>
        <v>120890</v>
      </c>
      <c r="J86" s="405">
        <f t="shared" si="143"/>
        <v>120890</v>
      </c>
      <c r="K86" s="405">
        <f t="shared" si="143"/>
        <v>120890</v>
      </c>
      <c r="L86" s="405">
        <f t="shared" si="143"/>
        <v>120890</v>
      </c>
      <c r="M86" s="405">
        <f t="shared" si="143"/>
        <v>120890</v>
      </c>
      <c r="N86" s="405">
        <f t="shared" si="143"/>
        <v>120890</v>
      </c>
      <c r="O86" s="405">
        <f t="shared" si="143"/>
        <v>120890</v>
      </c>
      <c r="P86" s="405">
        <f t="shared" si="143"/>
        <v>120890</v>
      </c>
      <c r="Q86" s="405">
        <f t="shared" si="143"/>
        <v>123307.8</v>
      </c>
      <c r="R86" s="405">
        <f t="shared" si="143"/>
        <v>123307.8</v>
      </c>
      <c r="S86" s="405">
        <f t="shared" si="143"/>
        <v>123307.8</v>
      </c>
      <c r="T86" s="405">
        <f t="shared" si="143"/>
        <v>123307.8</v>
      </c>
      <c r="U86" s="405">
        <f t="shared" si="143"/>
        <v>123307.8</v>
      </c>
      <c r="V86" s="405">
        <f t="shared" si="143"/>
        <v>123307.8</v>
      </c>
      <c r="W86" s="405">
        <f t="shared" si="143"/>
        <v>123307.8</v>
      </c>
      <c r="X86" s="405">
        <f t="shared" si="143"/>
        <v>123307.8</v>
      </c>
      <c r="Y86" s="405">
        <f t="shared" si="143"/>
        <v>123307.8</v>
      </c>
      <c r="Z86" s="405">
        <f t="shared" si="143"/>
        <v>123307.8</v>
      </c>
      <c r="AA86" s="405">
        <f t="shared" si="143"/>
        <v>123307.8</v>
      </c>
      <c r="AB86" s="405">
        <f t="shared" si="143"/>
        <v>123307.8</v>
      </c>
      <c r="AC86" s="405">
        <f t="shared" si="143"/>
        <v>125773.95600000001</v>
      </c>
      <c r="AD86" s="405">
        <f t="shared" si="143"/>
        <v>125773.95600000001</v>
      </c>
      <c r="AE86" s="405">
        <f t="shared" si="143"/>
        <v>125773.95600000001</v>
      </c>
      <c r="AF86" s="405">
        <f t="shared" si="143"/>
        <v>125773.95600000001</v>
      </c>
      <c r="AG86" s="405">
        <f t="shared" si="143"/>
        <v>125773.95600000001</v>
      </c>
      <c r="AH86" s="405">
        <f t="shared" si="143"/>
        <v>125773.95600000001</v>
      </c>
      <c r="AI86" s="405">
        <f t="shared" si="143"/>
        <v>125773.95600000001</v>
      </c>
      <c r="AJ86" s="405">
        <f t="shared" si="143"/>
        <v>125773.95600000001</v>
      </c>
      <c r="AK86" s="405">
        <f t="shared" si="143"/>
        <v>125773.95600000001</v>
      </c>
      <c r="AL86" s="405">
        <f t="shared" si="143"/>
        <v>125773.95600000001</v>
      </c>
      <c r="AM86" s="405">
        <f t="shared" si="143"/>
        <v>125773.95600000001</v>
      </c>
      <c r="AN86" s="405">
        <f t="shared" si="143"/>
        <v>125773.95600000001</v>
      </c>
      <c r="AO86" s="405">
        <f t="shared" si="143"/>
        <v>128289.43512000001</v>
      </c>
      <c r="AP86" s="405">
        <f t="shared" si="143"/>
        <v>128289.43512000001</v>
      </c>
      <c r="AQ86" s="405">
        <f t="shared" si="143"/>
        <v>128289.43512000001</v>
      </c>
      <c r="AR86" s="405">
        <f t="shared" si="143"/>
        <v>128289.43512000001</v>
      </c>
      <c r="AS86" s="405">
        <f t="shared" si="143"/>
        <v>128289.43512000001</v>
      </c>
      <c r="AT86" s="405">
        <f t="shared" si="143"/>
        <v>128289.43512000001</v>
      </c>
      <c r="AU86" s="405">
        <f t="shared" si="143"/>
        <v>128289.43512000001</v>
      </c>
      <c r="AV86" s="405">
        <f t="shared" si="143"/>
        <v>128289.43512000001</v>
      </c>
      <c r="AW86" s="405">
        <f t="shared" si="143"/>
        <v>128289.43512000001</v>
      </c>
      <c r="AX86" s="405">
        <f t="shared" si="143"/>
        <v>128289.43512000001</v>
      </c>
      <c r="AY86" s="405">
        <f t="shared" si="143"/>
        <v>128289.43512000001</v>
      </c>
      <c r="AZ86" s="405">
        <f t="shared" si="143"/>
        <v>128289.43512000001</v>
      </c>
      <c r="BA86" s="405">
        <f t="shared" si="143"/>
        <v>130855.2238224</v>
      </c>
      <c r="BB86" s="405">
        <f t="shared" si="143"/>
        <v>130855.2238224</v>
      </c>
      <c r="BC86" s="405">
        <f t="shared" si="143"/>
        <v>130855.2238224</v>
      </c>
      <c r="BD86" s="405">
        <f t="shared" si="143"/>
        <v>130855.2238224</v>
      </c>
      <c r="BE86" s="405">
        <f t="shared" si="143"/>
        <v>130855.2238224</v>
      </c>
      <c r="BF86" s="405">
        <f t="shared" si="143"/>
        <v>130855.2238224</v>
      </c>
      <c r="BG86" s="405">
        <f t="shared" si="143"/>
        <v>130855.2238224</v>
      </c>
      <c r="BH86" s="405">
        <f t="shared" si="143"/>
        <v>130855.2238224</v>
      </c>
      <c r="BI86" s="405">
        <f t="shared" si="143"/>
        <v>130855.2238224</v>
      </c>
      <c r="BJ86" s="405">
        <f t="shared" si="143"/>
        <v>130855.2238224</v>
      </c>
      <c r="BK86" s="405">
        <f t="shared" si="143"/>
        <v>130855.2238224</v>
      </c>
      <c r="BL86" s="405">
        <f t="shared" si="143"/>
        <v>130855.2238224</v>
      </c>
      <c r="BM86" s="405">
        <f t="shared" si="143"/>
        <v>133472.32829884804</v>
      </c>
      <c r="BN86" s="405">
        <f t="shared" si="143"/>
        <v>133472.32829884804</v>
      </c>
      <c r="BO86" s="405">
        <f t="shared" si="143"/>
        <v>133472.32829884804</v>
      </c>
      <c r="BP86" s="405">
        <f t="shared" si="143"/>
        <v>133472.32829884804</v>
      </c>
      <c r="BQ86" s="405">
        <f t="shared" ref="BQ86:DT86" si="144">SUM(BQ79:BQ85)</f>
        <v>133472.32829884804</v>
      </c>
      <c r="BR86" s="405">
        <f t="shared" si="144"/>
        <v>133472.32829884804</v>
      </c>
      <c r="BS86" s="405">
        <f t="shared" si="144"/>
        <v>133472.32829884804</v>
      </c>
      <c r="BT86" s="405">
        <f t="shared" si="144"/>
        <v>133472.32829884804</v>
      </c>
      <c r="BU86" s="405">
        <f t="shared" si="144"/>
        <v>133472.32829884804</v>
      </c>
      <c r="BV86" s="405">
        <f t="shared" si="144"/>
        <v>133472.32829884804</v>
      </c>
      <c r="BW86" s="405">
        <f t="shared" si="144"/>
        <v>133472.32829884804</v>
      </c>
      <c r="BX86" s="405">
        <f t="shared" si="144"/>
        <v>133472.32829884804</v>
      </c>
      <c r="BY86" s="405">
        <f t="shared" si="144"/>
        <v>136141.77486482498</v>
      </c>
      <c r="BZ86" s="405">
        <f t="shared" si="144"/>
        <v>136141.77486482498</v>
      </c>
      <c r="CA86" s="405">
        <f t="shared" si="144"/>
        <v>136141.77486482498</v>
      </c>
      <c r="CB86" s="405">
        <f t="shared" si="144"/>
        <v>136141.77486482498</v>
      </c>
      <c r="CC86" s="405">
        <f t="shared" si="144"/>
        <v>136141.77486482498</v>
      </c>
      <c r="CD86" s="405">
        <f t="shared" si="144"/>
        <v>136141.77486482498</v>
      </c>
      <c r="CE86" s="405">
        <f t="shared" si="144"/>
        <v>136141.77486482498</v>
      </c>
      <c r="CF86" s="405">
        <f t="shared" si="144"/>
        <v>136141.77486482498</v>
      </c>
      <c r="CG86" s="405">
        <f t="shared" si="144"/>
        <v>136141.77486482498</v>
      </c>
      <c r="CH86" s="405">
        <f t="shared" si="144"/>
        <v>136141.77486482498</v>
      </c>
      <c r="CI86" s="405">
        <f t="shared" si="144"/>
        <v>136141.77486482498</v>
      </c>
      <c r="CJ86" s="405">
        <f t="shared" si="144"/>
        <v>136141.77486482498</v>
      </c>
      <c r="CK86" s="405">
        <f t="shared" si="144"/>
        <v>138864.61036212149</v>
      </c>
      <c r="CL86" s="405">
        <f t="shared" si="144"/>
        <v>138864.61036212149</v>
      </c>
      <c r="CM86" s="405">
        <f t="shared" si="144"/>
        <v>138864.61036212149</v>
      </c>
      <c r="CN86" s="405">
        <f t="shared" si="144"/>
        <v>138864.61036212149</v>
      </c>
      <c r="CO86" s="405">
        <f t="shared" si="144"/>
        <v>138864.61036212149</v>
      </c>
      <c r="CP86" s="405">
        <f t="shared" si="144"/>
        <v>138864.61036212149</v>
      </c>
      <c r="CQ86" s="405">
        <f t="shared" si="144"/>
        <v>138864.61036212149</v>
      </c>
      <c r="CR86" s="405">
        <f t="shared" si="144"/>
        <v>138864.61036212149</v>
      </c>
      <c r="CS86" s="405">
        <f t="shared" si="144"/>
        <v>138864.61036212149</v>
      </c>
      <c r="CT86" s="405">
        <f t="shared" si="144"/>
        <v>138864.61036212149</v>
      </c>
      <c r="CU86" s="405">
        <f t="shared" si="144"/>
        <v>138864.61036212149</v>
      </c>
      <c r="CV86" s="405">
        <f t="shared" si="144"/>
        <v>138864.61036212149</v>
      </c>
      <c r="CW86" s="405">
        <f t="shared" si="144"/>
        <v>141641.90256936391</v>
      </c>
      <c r="CX86" s="405">
        <f t="shared" si="144"/>
        <v>141641.90256936391</v>
      </c>
      <c r="CY86" s="405">
        <f t="shared" si="144"/>
        <v>141641.90256936391</v>
      </c>
      <c r="CZ86" s="405">
        <f t="shared" si="144"/>
        <v>141641.90256936391</v>
      </c>
      <c r="DA86" s="405">
        <f t="shared" si="144"/>
        <v>141641.90256936391</v>
      </c>
      <c r="DB86" s="405">
        <f t="shared" si="144"/>
        <v>141641.90256936391</v>
      </c>
      <c r="DC86" s="405">
        <f t="shared" si="144"/>
        <v>141641.90256936391</v>
      </c>
      <c r="DD86" s="405">
        <f t="shared" si="144"/>
        <v>141641.90256936391</v>
      </c>
      <c r="DE86" s="405">
        <f t="shared" si="144"/>
        <v>141641.90256936391</v>
      </c>
      <c r="DF86" s="405">
        <f t="shared" si="144"/>
        <v>141641.90256936391</v>
      </c>
      <c r="DG86" s="405">
        <f t="shared" si="144"/>
        <v>141641.90256936391</v>
      </c>
      <c r="DH86" s="405">
        <f t="shared" si="144"/>
        <v>141641.90256936391</v>
      </c>
      <c r="DI86" s="405">
        <f t="shared" si="144"/>
        <v>144474.7406207512</v>
      </c>
      <c r="DJ86" s="405">
        <f t="shared" si="144"/>
        <v>144474.7406207512</v>
      </c>
      <c r="DK86" s="405">
        <f t="shared" si="144"/>
        <v>144474.7406207512</v>
      </c>
      <c r="DL86" s="405">
        <f t="shared" si="144"/>
        <v>144474.7406207512</v>
      </c>
      <c r="DM86" s="405">
        <f t="shared" si="144"/>
        <v>144474.7406207512</v>
      </c>
      <c r="DN86" s="405">
        <f t="shared" si="144"/>
        <v>144474.7406207512</v>
      </c>
      <c r="DO86" s="405">
        <f t="shared" si="144"/>
        <v>144474.7406207512</v>
      </c>
      <c r="DP86" s="405">
        <f t="shared" si="144"/>
        <v>144474.7406207512</v>
      </c>
      <c r="DQ86" s="405">
        <f t="shared" si="144"/>
        <v>144474.7406207512</v>
      </c>
      <c r="DR86" s="405">
        <f t="shared" si="144"/>
        <v>144474.7406207512</v>
      </c>
      <c r="DS86" s="405">
        <f t="shared" si="144"/>
        <v>144474.7406207512</v>
      </c>
      <c r="DT86" s="405">
        <f t="shared" si="144"/>
        <v>144474.7406207512</v>
      </c>
      <c r="DU86" s="405" t="s">
        <v>557</v>
      </c>
      <c r="DV86" s="196"/>
    </row>
    <row r="87" spans="1:126" s="5" customFormat="1" ht="19">
      <c r="A87" s="399"/>
      <c r="B87" s="203"/>
      <c r="C87" s="397"/>
      <c r="D87" s="423"/>
      <c r="E87" s="424"/>
      <c r="F87" s="424"/>
      <c r="G87" s="424"/>
      <c r="H87" s="424"/>
      <c r="I87" s="424"/>
      <c r="J87" s="424"/>
      <c r="K87" s="424"/>
      <c r="L87" s="424"/>
      <c r="M87" s="424"/>
      <c r="N87" s="424"/>
      <c r="O87" s="424"/>
      <c r="P87" s="424"/>
      <c r="Q87" s="424"/>
      <c r="R87" s="424"/>
      <c r="S87" s="424"/>
      <c r="T87" s="424"/>
      <c r="U87" s="424"/>
      <c r="V87" s="424"/>
      <c r="W87" s="424"/>
      <c r="X87" s="424"/>
      <c r="Y87" s="424"/>
      <c r="Z87" s="424"/>
      <c r="AA87" s="424"/>
      <c r="AB87" s="424"/>
      <c r="AC87" s="424"/>
      <c r="AD87" s="424"/>
      <c r="AE87" s="424"/>
      <c r="AF87" s="424"/>
      <c r="AG87" s="424"/>
      <c r="AH87" s="424"/>
      <c r="AI87" s="424"/>
      <c r="AJ87" s="424"/>
      <c r="AK87" s="424"/>
      <c r="AL87" s="424"/>
      <c r="AM87" s="424"/>
      <c r="AN87" s="424"/>
      <c r="AO87" s="424"/>
      <c r="AP87" s="424"/>
      <c r="AQ87" s="424"/>
      <c r="AR87" s="424"/>
      <c r="AS87" s="424"/>
      <c r="AT87" s="424"/>
      <c r="AU87" s="424"/>
      <c r="AV87" s="424"/>
      <c r="AW87" s="424"/>
      <c r="AX87" s="424"/>
      <c r="AY87" s="424"/>
      <c r="AZ87" s="424"/>
      <c r="BA87" s="424"/>
      <c r="BB87" s="424"/>
      <c r="BC87" s="424"/>
      <c r="BD87" s="424"/>
      <c r="BE87" s="424"/>
      <c r="BF87" s="424"/>
      <c r="BG87" s="424"/>
      <c r="BH87" s="424"/>
      <c r="BI87" s="424"/>
      <c r="BJ87" s="424"/>
      <c r="BK87" s="424"/>
      <c r="BL87" s="424"/>
      <c r="BM87" s="424"/>
      <c r="BN87" s="424"/>
      <c r="BO87" s="424"/>
      <c r="BP87" s="424"/>
      <c r="BQ87" s="424"/>
      <c r="BR87" s="424"/>
      <c r="BS87" s="424"/>
      <c r="BT87" s="424"/>
      <c r="BU87" s="424"/>
      <c r="BV87" s="424"/>
      <c r="BW87" s="424"/>
      <c r="BX87" s="424"/>
      <c r="BY87" s="424"/>
      <c r="BZ87" s="424"/>
      <c r="CA87" s="424"/>
      <c r="CB87" s="424"/>
      <c r="CC87" s="424"/>
      <c r="CD87" s="424"/>
      <c r="CE87" s="424"/>
      <c r="CF87" s="424"/>
      <c r="CG87" s="424"/>
      <c r="CH87" s="424"/>
      <c r="CI87" s="424"/>
      <c r="CJ87" s="424"/>
      <c r="CK87" s="424"/>
      <c r="CL87" s="424"/>
      <c r="CM87" s="424"/>
      <c r="CN87" s="424"/>
      <c r="CO87" s="424"/>
      <c r="CP87" s="424"/>
      <c r="CQ87" s="424"/>
      <c r="CR87" s="424"/>
      <c r="CS87" s="424"/>
      <c r="CT87" s="424"/>
      <c r="CU87" s="424"/>
      <c r="CV87" s="424"/>
      <c r="CW87" s="424"/>
      <c r="CX87" s="424"/>
      <c r="CY87" s="424"/>
      <c r="CZ87" s="424"/>
      <c r="DA87" s="424"/>
      <c r="DB87" s="424"/>
      <c r="DC87" s="424"/>
      <c r="DD87" s="424"/>
      <c r="DE87" s="424"/>
      <c r="DF87" s="424"/>
      <c r="DG87" s="424"/>
      <c r="DH87" s="424"/>
      <c r="DI87" s="424"/>
      <c r="DJ87" s="424"/>
      <c r="DK87" s="424"/>
      <c r="DL87" s="424"/>
      <c r="DM87" s="424"/>
      <c r="DN87" s="424"/>
      <c r="DO87" s="424"/>
      <c r="DP87" s="424"/>
      <c r="DQ87" s="424"/>
      <c r="DR87" s="424"/>
      <c r="DS87" s="424"/>
      <c r="DT87" s="424"/>
      <c r="DU87" s="425" t="s">
        <v>557</v>
      </c>
      <c r="DV87" s="196"/>
    </row>
    <row r="88" spans="1:126" s="5" customFormat="1" ht="15" customHeight="1">
      <c r="A88" s="399">
        <v>9</v>
      </c>
      <c r="B88" s="203" t="str">
        <f>'Debt Sizing'!A33</f>
        <v>Insurance</v>
      </c>
      <c r="C88" s="397"/>
      <c r="D88" s="413">
        <f>IF('Sponsor Pro Forma'!AP$16="Override",'Sponsor Pro Forma'!$O32/12,'Sponsor Pro Forma'!K32/12)</f>
        <v>9790</v>
      </c>
      <c r="E88" s="1303">
        <f>D88</f>
        <v>9790</v>
      </c>
      <c r="F88" s="1300">
        <f>IF('Sponsor Pro Forma'!$N32="Override",INDEX('Sponsor Pro Forma'!$O$16:$Z$34,MATCH('Monthly Cash Flow'!$B88,'Sponsor Pro Forma'!$B$16:$B$34,0),MATCH('Monthly Cash Flow'!F$4,'Sponsor Pro Forma'!$O$15:$Z$15,0))/12,IF('Sponsor Pro Forma'!$L$42="Annual",'Monthly Cash Flow'!E88*(1+'Sponsor Pro Forma'!$M32)^(IF(MOD(F$5,12)=1,1,0)),'Monthly Cash Flow'!E88*(1+'Sponsor Pro Forma'!$M32/12)))</f>
        <v>9790</v>
      </c>
      <c r="G88" s="1300">
        <f>IF('Sponsor Pro Forma'!$N32="Override",INDEX('Sponsor Pro Forma'!$O$16:$Z$34,MATCH('Monthly Cash Flow'!$B88,'Sponsor Pro Forma'!$B$16:$B$34,0),MATCH('Monthly Cash Flow'!G$4,'Sponsor Pro Forma'!$O$15:$Z$15,0))/12,IF('Sponsor Pro Forma'!$L$42="Annual",'Monthly Cash Flow'!F88*(1+'Sponsor Pro Forma'!$M32)^(IF(MOD(G$5,12)=1,1,0)),'Monthly Cash Flow'!F88*(1+'Sponsor Pro Forma'!$M32/12)))</f>
        <v>9790</v>
      </c>
      <c r="H88" s="1300">
        <f>IF('Sponsor Pro Forma'!$N32="Override",INDEX('Sponsor Pro Forma'!$O$16:$Z$34,MATCH('Monthly Cash Flow'!$B88,'Sponsor Pro Forma'!$B$16:$B$34,0),MATCH('Monthly Cash Flow'!H$4,'Sponsor Pro Forma'!$O$15:$Z$15,0))/12,IF('Sponsor Pro Forma'!$L$42="Annual",'Monthly Cash Flow'!G88*(1+'Sponsor Pro Forma'!$M32)^(IF(MOD(H$5,12)=1,1,0)),'Monthly Cash Flow'!G88*(1+'Sponsor Pro Forma'!$M32/12)))</f>
        <v>9790</v>
      </c>
      <c r="I88" s="1300">
        <f>IF('Sponsor Pro Forma'!$N32="Override",INDEX('Sponsor Pro Forma'!$O$16:$Z$34,MATCH('Monthly Cash Flow'!$B88,'Sponsor Pro Forma'!$B$16:$B$34,0),MATCH('Monthly Cash Flow'!I$4,'Sponsor Pro Forma'!$O$15:$Z$15,0))/12,IF('Sponsor Pro Forma'!$L$42="Annual",'Monthly Cash Flow'!H88*(1+'Sponsor Pro Forma'!$M32)^(IF(MOD(I$5,12)=1,1,0)),'Monthly Cash Flow'!H88*(1+'Sponsor Pro Forma'!$M32/12)))</f>
        <v>9790</v>
      </c>
      <c r="J88" s="1300">
        <f>IF('Sponsor Pro Forma'!$N32="Override",INDEX('Sponsor Pro Forma'!$O$16:$Z$34,MATCH('Monthly Cash Flow'!$B88,'Sponsor Pro Forma'!$B$16:$B$34,0),MATCH('Monthly Cash Flow'!J$4,'Sponsor Pro Forma'!$O$15:$Z$15,0))/12,IF('Sponsor Pro Forma'!$L$42="Annual",'Monthly Cash Flow'!I88*(1+'Sponsor Pro Forma'!$M32)^(IF(MOD(J$5,12)=1,1,0)),'Monthly Cash Flow'!I88*(1+'Sponsor Pro Forma'!$M32/12)))</f>
        <v>9790</v>
      </c>
      <c r="K88" s="1300">
        <f>IF('Sponsor Pro Forma'!$N32="Override",INDEX('Sponsor Pro Forma'!$O$16:$Z$34,MATCH('Monthly Cash Flow'!$B88,'Sponsor Pro Forma'!$B$16:$B$34,0),MATCH('Monthly Cash Flow'!K$4,'Sponsor Pro Forma'!$O$15:$Z$15,0))/12,IF('Sponsor Pro Forma'!$L$42="Annual",'Monthly Cash Flow'!J88*(1+'Sponsor Pro Forma'!$M32)^(IF(MOD(K$5,12)=1,1,0)),'Monthly Cash Flow'!J88*(1+'Sponsor Pro Forma'!$M32/12)))</f>
        <v>9790</v>
      </c>
      <c r="L88" s="1300">
        <f>IF('Sponsor Pro Forma'!$N32="Override",INDEX('Sponsor Pro Forma'!$O$16:$Z$34,MATCH('Monthly Cash Flow'!$B88,'Sponsor Pro Forma'!$B$16:$B$34,0),MATCH('Monthly Cash Flow'!L$4,'Sponsor Pro Forma'!$O$15:$Z$15,0))/12,IF('Sponsor Pro Forma'!$L$42="Annual",'Monthly Cash Flow'!K88*(1+'Sponsor Pro Forma'!$M32)^(IF(MOD(L$5,12)=1,1,0)),'Monthly Cash Flow'!K88*(1+'Sponsor Pro Forma'!$M32/12)))</f>
        <v>9790</v>
      </c>
      <c r="M88" s="1300">
        <f>IF('Sponsor Pro Forma'!$N32="Override",INDEX('Sponsor Pro Forma'!$O$16:$Z$34,MATCH('Monthly Cash Flow'!$B88,'Sponsor Pro Forma'!$B$16:$B$34,0),MATCH('Monthly Cash Flow'!M$4,'Sponsor Pro Forma'!$O$15:$Z$15,0))/12,IF('Sponsor Pro Forma'!$L$42="Annual",'Monthly Cash Flow'!L88*(1+'Sponsor Pro Forma'!$M32)^(IF(MOD(M$5,12)=1,1,0)),'Monthly Cash Flow'!L88*(1+'Sponsor Pro Forma'!$M32/12)))</f>
        <v>9790</v>
      </c>
      <c r="N88" s="1300">
        <f>IF('Sponsor Pro Forma'!$N32="Override",INDEX('Sponsor Pro Forma'!$O$16:$Z$34,MATCH('Monthly Cash Flow'!$B88,'Sponsor Pro Forma'!$B$16:$B$34,0),MATCH('Monthly Cash Flow'!N$4,'Sponsor Pro Forma'!$O$15:$Z$15,0))/12,IF('Sponsor Pro Forma'!$L$42="Annual",'Monthly Cash Flow'!M88*(1+'Sponsor Pro Forma'!$M32)^(IF(MOD(N$5,12)=1,1,0)),'Monthly Cash Flow'!M88*(1+'Sponsor Pro Forma'!$M32/12)))</f>
        <v>9790</v>
      </c>
      <c r="O88" s="1300">
        <f>IF('Sponsor Pro Forma'!$N32="Override",INDEX('Sponsor Pro Forma'!$O$16:$Z$34,MATCH('Monthly Cash Flow'!$B88,'Sponsor Pro Forma'!$B$16:$B$34,0),MATCH('Monthly Cash Flow'!O$4,'Sponsor Pro Forma'!$O$15:$Z$15,0))/12,IF('Sponsor Pro Forma'!$L$42="Annual",'Monthly Cash Flow'!N88*(1+'Sponsor Pro Forma'!$M32)^(IF(MOD(O$5,12)=1,1,0)),'Monthly Cash Flow'!N88*(1+'Sponsor Pro Forma'!$M32/12)))</f>
        <v>9790</v>
      </c>
      <c r="P88" s="1300">
        <f>IF('Sponsor Pro Forma'!$N32="Override",INDEX('Sponsor Pro Forma'!$O$16:$Z$34,MATCH('Monthly Cash Flow'!$B88,'Sponsor Pro Forma'!$B$16:$B$34,0),MATCH('Monthly Cash Flow'!P$4,'Sponsor Pro Forma'!$O$15:$Z$15,0))/12,IF('Sponsor Pro Forma'!$L$42="Annual",'Monthly Cash Flow'!O88*(1+'Sponsor Pro Forma'!$M32)^(IF(MOD(P$5,12)=1,1,0)),'Monthly Cash Flow'!O88*(1+'Sponsor Pro Forma'!$M32/12)))</f>
        <v>9790</v>
      </c>
      <c r="Q88" s="1300">
        <f>IF('Sponsor Pro Forma'!$N32="Override",INDEX('Sponsor Pro Forma'!$O$16:$Z$34,MATCH('Monthly Cash Flow'!$B88,'Sponsor Pro Forma'!$B$16:$B$34,0),MATCH('Monthly Cash Flow'!Q$4,'Sponsor Pro Forma'!$O$15:$Z$15,0))/12,IF('Sponsor Pro Forma'!$L$42="Annual",'Monthly Cash Flow'!P88*(1+'Sponsor Pro Forma'!$M32)^(IF(MOD(Q$5,12)=1,1,0)),'Monthly Cash Flow'!P88*(1+'Sponsor Pro Forma'!$M32/12)))</f>
        <v>10083.700000000001</v>
      </c>
      <c r="R88" s="1300">
        <f>IF('Sponsor Pro Forma'!$N32="Override",INDEX('Sponsor Pro Forma'!$O$16:$Z$34,MATCH('Monthly Cash Flow'!$B88,'Sponsor Pro Forma'!$B$16:$B$34,0),MATCH('Monthly Cash Flow'!R$4,'Sponsor Pro Forma'!$O$15:$Z$15,0))/12,IF('Sponsor Pro Forma'!$L$42="Annual",'Monthly Cash Flow'!Q88*(1+'Sponsor Pro Forma'!$M32)^(IF(MOD(R$5,12)=1,1,0)),'Monthly Cash Flow'!Q88*(1+'Sponsor Pro Forma'!$M32/12)))</f>
        <v>10083.700000000001</v>
      </c>
      <c r="S88" s="1300">
        <f>IF('Sponsor Pro Forma'!$N32="Override",INDEX('Sponsor Pro Forma'!$O$16:$Z$34,MATCH('Monthly Cash Flow'!$B88,'Sponsor Pro Forma'!$B$16:$B$34,0),MATCH('Monthly Cash Flow'!S$4,'Sponsor Pro Forma'!$O$15:$Z$15,0))/12,IF('Sponsor Pro Forma'!$L$42="Annual",'Monthly Cash Flow'!R88*(1+'Sponsor Pro Forma'!$M32)^(IF(MOD(S$5,12)=1,1,0)),'Monthly Cash Flow'!R88*(1+'Sponsor Pro Forma'!$M32/12)))</f>
        <v>10083.700000000001</v>
      </c>
      <c r="T88" s="1300">
        <f>IF('Sponsor Pro Forma'!$N32="Override",INDEX('Sponsor Pro Forma'!$O$16:$Z$34,MATCH('Monthly Cash Flow'!$B88,'Sponsor Pro Forma'!$B$16:$B$34,0),MATCH('Monthly Cash Flow'!T$4,'Sponsor Pro Forma'!$O$15:$Z$15,0))/12,IF('Sponsor Pro Forma'!$L$42="Annual",'Monthly Cash Flow'!S88*(1+'Sponsor Pro Forma'!$M32)^(IF(MOD(T$5,12)=1,1,0)),'Monthly Cash Flow'!S88*(1+'Sponsor Pro Forma'!$M32/12)))</f>
        <v>10083.700000000001</v>
      </c>
      <c r="U88" s="1300">
        <f>IF('Sponsor Pro Forma'!$N32="Override",INDEX('Sponsor Pro Forma'!$O$16:$Z$34,MATCH('Monthly Cash Flow'!$B88,'Sponsor Pro Forma'!$B$16:$B$34,0),MATCH('Monthly Cash Flow'!U$4,'Sponsor Pro Forma'!$O$15:$Z$15,0))/12,IF('Sponsor Pro Forma'!$L$42="Annual",'Monthly Cash Flow'!T88*(1+'Sponsor Pro Forma'!$M32)^(IF(MOD(U$5,12)=1,1,0)),'Monthly Cash Flow'!T88*(1+'Sponsor Pro Forma'!$M32/12)))</f>
        <v>10083.700000000001</v>
      </c>
      <c r="V88" s="1300">
        <f>IF('Sponsor Pro Forma'!$N32="Override",INDEX('Sponsor Pro Forma'!$O$16:$Z$34,MATCH('Monthly Cash Flow'!$B88,'Sponsor Pro Forma'!$B$16:$B$34,0),MATCH('Monthly Cash Flow'!V$4,'Sponsor Pro Forma'!$O$15:$Z$15,0))/12,IF('Sponsor Pro Forma'!$L$42="Annual",'Monthly Cash Flow'!U88*(1+'Sponsor Pro Forma'!$M32)^(IF(MOD(V$5,12)=1,1,0)),'Monthly Cash Flow'!U88*(1+'Sponsor Pro Forma'!$M32/12)))</f>
        <v>10083.700000000001</v>
      </c>
      <c r="W88" s="1300">
        <f>IF('Sponsor Pro Forma'!$N32="Override",INDEX('Sponsor Pro Forma'!$O$16:$Z$34,MATCH('Monthly Cash Flow'!$B88,'Sponsor Pro Forma'!$B$16:$B$34,0),MATCH('Monthly Cash Flow'!W$4,'Sponsor Pro Forma'!$O$15:$Z$15,0))/12,IF('Sponsor Pro Forma'!$L$42="Annual",'Monthly Cash Flow'!V88*(1+'Sponsor Pro Forma'!$M32)^(IF(MOD(W$5,12)=1,1,0)),'Monthly Cash Flow'!V88*(1+'Sponsor Pro Forma'!$M32/12)))</f>
        <v>10083.700000000001</v>
      </c>
      <c r="X88" s="1300">
        <f>IF('Sponsor Pro Forma'!$N32="Override",INDEX('Sponsor Pro Forma'!$O$16:$Z$34,MATCH('Monthly Cash Flow'!$B88,'Sponsor Pro Forma'!$B$16:$B$34,0),MATCH('Monthly Cash Flow'!X$4,'Sponsor Pro Forma'!$O$15:$Z$15,0))/12,IF('Sponsor Pro Forma'!$L$42="Annual",'Monthly Cash Flow'!W88*(1+'Sponsor Pro Forma'!$M32)^(IF(MOD(X$5,12)=1,1,0)),'Monthly Cash Flow'!W88*(1+'Sponsor Pro Forma'!$M32/12)))</f>
        <v>10083.700000000001</v>
      </c>
      <c r="Y88" s="1300">
        <f>IF('Sponsor Pro Forma'!$N32="Override",INDEX('Sponsor Pro Forma'!$O$16:$Z$34,MATCH('Monthly Cash Flow'!$B88,'Sponsor Pro Forma'!$B$16:$B$34,0),MATCH('Monthly Cash Flow'!Y$4,'Sponsor Pro Forma'!$O$15:$Z$15,0))/12,IF('Sponsor Pro Forma'!$L$42="Annual",'Monthly Cash Flow'!X88*(1+'Sponsor Pro Forma'!$M32)^(IF(MOD(Y$5,12)=1,1,0)),'Monthly Cash Flow'!X88*(1+'Sponsor Pro Forma'!$M32/12)))</f>
        <v>10083.700000000001</v>
      </c>
      <c r="Z88" s="1300">
        <f>IF('Sponsor Pro Forma'!$N32="Override",INDEX('Sponsor Pro Forma'!$O$16:$Z$34,MATCH('Monthly Cash Flow'!$B88,'Sponsor Pro Forma'!$B$16:$B$34,0),MATCH('Monthly Cash Flow'!Z$4,'Sponsor Pro Forma'!$O$15:$Z$15,0))/12,IF('Sponsor Pro Forma'!$L$42="Annual",'Monthly Cash Flow'!Y88*(1+'Sponsor Pro Forma'!$M32)^(IF(MOD(Z$5,12)=1,1,0)),'Monthly Cash Flow'!Y88*(1+'Sponsor Pro Forma'!$M32/12)))</f>
        <v>10083.700000000001</v>
      </c>
      <c r="AA88" s="1300">
        <f>IF('Sponsor Pro Forma'!$N32="Override",INDEX('Sponsor Pro Forma'!$O$16:$Z$34,MATCH('Monthly Cash Flow'!$B88,'Sponsor Pro Forma'!$B$16:$B$34,0),MATCH('Monthly Cash Flow'!AA$4,'Sponsor Pro Forma'!$O$15:$Z$15,0))/12,IF('Sponsor Pro Forma'!$L$42="Annual",'Monthly Cash Flow'!Z88*(1+'Sponsor Pro Forma'!$M32)^(IF(MOD(AA$5,12)=1,1,0)),'Monthly Cash Flow'!Z88*(1+'Sponsor Pro Forma'!$M32/12)))</f>
        <v>10083.700000000001</v>
      </c>
      <c r="AB88" s="1300">
        <f>IF('Sponsor Pro Forma'!$N32="Override",INDEX('Sponsor Pro Forma'!$O$16:$Z$34,MATCH('Monthly Cash Flow'!$B88,'Sponsor Pro Forma'!$B$16:$B$34,0),MATCH('Monthly Cash Flow'!AB$4,'Sponsor Pro Forma'!$O$15:$Z$15,0))/12,IF('Sponsor Pro Forma'!$L$42="Annual",'Monthly Cash Flow'!AA88*(1+'Sponsor Pro Forma'!$M32)^(IF(MOD(AB$5,12)=1,1,0)),'Monthly Cash Flow'!AA88*(1+'Sponsor Pro Forma'!$M32/12)))</f>
        <v>10083.700000000001</v>
      </c>
      <c r="AC88" s="1300">
        <f>IF('Sponsor Pro Forma'!$N32="Override",INDEX('Sponsor Pro Forma'!$O$16:$Z$34,MATCH('Monthly Cash Flow'!$B88,'Sponsor Pro Forma'!$B$16:$B$34,0),MATCH('Monthly Cash Flow'!AC$4,'Sponsor Pro Forma'!$O$15:$Z$15,0))/12,IF('Sponsor Pro Forma'!$L$42="Annual",'Monthly Cash Flow'!AB88*(1+'Sponsor Pro Forma'!$M32)^(IF(MOD(AC$5,12)=1,1,0)),'Monthly Cash Flow'!AB88*(1+'Sponsor Pro Forma'!$M32/12)))</f>
        <v>10386.211000000001</v>
      </c>
      <c r="AD88" s="1300">
        <f>IF('Sponsor Pro Forma'!$N32="Override",INDEX('Sponsor Pro Forma'!$O$16:$Z$34,MATCH('Monthly Cash Flow'!$B88,'Sponsor Pro Forma'!$B$16:$B$34,0),MATCH('Monthly Cash Flow'!AD$4,'Sponsor Pro Forma'!$O$15:$Z$15,0))/12,IF('Sponsor Pro Forma'!$L$42="Annual",'Monthly Cash Flow'!AC88*(1+'Sponsor Pro Forma'!$M32)^(IF(MOD(AD$5,12)=1,1,0)),'Monthly Cash Flow'!AC88*(1+'Sponsor Pro Forma'!$M32/12)))</f>
        <v>10386.211000000001</v>
      </c>
      <c r="AE88" s="1300">
        <f>IF('Sponsor Pro Forma'!$N32="Override",INDEX('Sponsor Pro Forma'!$O$16:$Z$34,MATCH('Monthly Cash Flow'!$B88,'Sponsor Pro Forma'!$B$16:$B$34,0),MATCH('Monthly Cash Flow'!AE$4,'Sponsor Pro Forma'!$O$15:$Z$15,0))/12,IF('Sponsor Pro Forma'!$L$42="Annual",'Monthly Cash Flow'!AD88*(1+'Sponsor Pro Forma'!$M32)^(IF(MOD(AE$5,12)=1,1,0)),'Monthly Cash Flow'!AD88*(1+'Sponsor Pro Forma'!$M32/12)))</f>
        <v>10386.211000000001</v>
      </c>
      <c r="AF88" s="1300">
        <f>IF('Sponsor Pro Forma'!$N32="Override",INDEX('Sponsor Pro Forma'!$O$16:$Z$34,MATCH('Monthly Cash Flow'!$B88,'Sponsor Pro Forma'!$B$16:$B$34,0),MATCH('Monthly Cash Flow'!AF$4,'Sponsor Pro Forma'!$O$15:$Z$15,0))/12,IF('Sponsor Pro Forma'!$L$42="Annual",'Monthly Cash Flow'!AE88*(1+'Sponsor Pro Forma'!$M32)^(IF(MOD(AF$5,12)=1,1,0)),'Monthly Cash Flow'!AE88*(1+'Sponsor Pro Forma'!$M32/12)))</f>
        <v>10386.211000000001</v>
      </c>
      <c r="AG88" s="1300">
        <f>IF('Sponsor Pro Forma'!$N32="Override",INDEX('Sponsor Pro Forma'!$O$16:$Z$34,MATCH('Monthly Cash Flow'!$B88,'Sponsor Pro Forma'!$B$16:$B$34,0),MATCH('Monthly Cash Flow'!AG$4,'Sponsor Pro Forma'!$O$15:$Z$15,0))/12,IF('Sponsor Pro Forma'!$L$42="Annual",'Monthly Cash Flow'!AF88*(1+'Sponsor Pro Forma'!$M32)^(IF(MOD(AG$5,12)=1,1,0)),'Monthly Cash Flow'!AF88*(1+'Sponsor Pro Forma'!$M32/12)))</f>
        <v>10386.211000000001</v>
      </c>
      <c r="AH88" s="1300">
        <f>IF('Sponsor Pro Forma'!$N32="Override",INDEX('Sponsor Pro Forma'!$O$16:$Z$34,MATCH('Monthly Cash Flow'!$B88,'Sponsor Pro Forma'!$B$16:$B$34,0),MATCH('Monthly Cash Flow'!AH$4,'Sponsor Pro Forma'!$O$15:$Z$15,0))/12,IF('Sponsor Pro Forma'!$L$42="Annual",'Monthly Cash Flow'!AG88*(1+'Sponsor Pro Forma'!$M32)^(IF(MOD(AH$5,12)=1,1,0)),'Monthly Cash Flow'!AG88*(1+'Sponsor Pro Forma'!$M32/12)))</f>
        <v>10386.211000000001</v>
      </c>
      <c r="AI88" s="1300">
        <f>IF('Sponsor Pro Forma'!$N32="Override",INDEX('Sponsor Pro Forma'!$O$16:$Z$34,MATCH('Monthly Cash Flow'!$B88,'Sponsor Pro Forma'!$B$16:$B$34,0),MATCH('Monthly Cash Flow'!AI$4,'Sponsor Pro Forma'!$O$15:$Z$15,0))/12,IF('Sponsor Pro Forma'!$L$42="Annual",'Monthly Cash Flow'!AH88*(1+'Sponsor Pro Forma'!$M32)^(IF(MOD(AI$5,12)=1,1,0)),'Monthly Cash Flow'!AH88*(1+'Sponsor Pro Forma'!$M32/12)))</f>
        <v>10386.211000000001</v>
      </c>
      <c r="AJ88" s="1300">
        <f>IF('Sponsor Pro Forma'!$N32="Override",INDEX('Sponsor Pro Forma'!$O$16:$Z$34,MATCH('Monthly Cash Flow'!$B88,'Sponsor Pro Forma'!$B$16:$B$34,0),MATCH('Monthly Cash Flow'!AJ$4,'Sponsor Pro Forma'!$O$15:$Z$15,0))/12,IF('Sponsor Pro Forma'!$L$42="Annual",'Monthly Cash Flow'!AI88*(1+'Sponsor Pro Forma'!$M32)^(IF(MOD(AJ$5,12)=1,1,0)),'Monthly Cash Flow'!AI88*(1+'Sponsor Pro Forma'!$M32/12)))</f>
        <v>10386.211000000001</v>
      </c>
      <c r="AK88" s="1300">
        <f>IF('Sponsor Pro Forma'!$N32="Override",INDEX('Sponsor Pro Forma'!$O$16:$Z$34,MATCH('Monthly Cash Flow'!$B88,'Sponsor Pro Forma'!$B$16:$B$34,0),MATCH('Monthly Cash Flow'!AK$4,'Sponsor Pro Forma'!$O$15:$Z$15,0))/12,IF('Sponsor Pro Forma'!$L$42="Annual",'Monthly Cash Flow'!AJ88*(1+'Sponsor Pro Forma'!$M32)^(IF(MOD(AK$5,12)=1,1,0)),'Monthly Cash Flow'!AJ88*(1+'Sponsor Pro Forma'!$M32/12)))</f>
        <v>10386.211000000001</v>
      </c>
      <c r="AL88" s="1300">
        <f>IF('Sponsor Pro Forma'!$N32="Override",INDEX('Sponsor Pro Forma'!$O$16:$Z$34,MATCH('Monthly Cash Flow'!$B88,'Sponsor Pro Forma'!$B$16:$B$34,0),MATCH('Monthly Cash Flow'!AL$4,'Sponsor Pro Forma'!$O$15:$Z$15,0))/12,IF('Sponsor Pro Forma'!$L$42="Annual",'Monthly Cash Flow'!AK88*(1+'Sponsor Pro Forma'!$M32)^(IF(MOD(AL$5,12)=1,1,0)),'Monthly Cash Flow'!AK88*(1+'Sponsor Pro Forma'!$M32/12)))</f>
        <v>10386.211000000001</v>
      </c>
      <c r="AM88" s="1300">
        <f>IF('Sponsor Pro Forma'!$N32="Override",INDEX('Sponsor Pro Forma'!$O$16:$Z$34,MATCH('Monthly Cash Flow'!$B88,'Sponsor Pro Forma'!$B$16:$B$34,0),MATCH('Monthly Cash Flow'!AM$4,'Sponsor Pro Forma'!$O$15:$Z$15,0))/12,IF('Sponsor Pro Forma'!$L$42="Annual",'Monthly Cash Flow'!AL88*(1+'Sponsor Pro Forma'!$M32)^(IF(MOD(AM$5,12)=1,1,0)),'Monthly Cash Flow'!AL88*(1+'Sponsor Pro Forma'!$M32/12)))</f>
        <v>10386.211000000001</v>
      </c>
      <c r="AN88" s="1300">
        <f>IF('Sponsor Pro Forma'!$N32="Override",INDEX('Sponsor Pro Forma'!$O$16:$Z$34,MATCH('Monthly Cash Flow'!$B88,'Sponsor Pro Forma'!$B$16:$B$34,0),MATCH('Monthly Cash Flow'!AN$4,'Sponsor Pro Forma'!$O$15:$Z$15,0))/12,IF('Sponsor Pro Forma'!$L$42="Annual",'Monthly Cash Flow'!AM88*(1+'Sponsor Pro Forma'!$M32)^(IF(MOD(AN$5,12)=1,1,0)),'Monthly Cash Flow'!AM88*(1+'Sponsor Pro Forma'!$M32/12)))</f>
        <v>10386.211000000001</v>
      </c>
      <c r="AO88" s="1300">
        <f>IF('Sponsor Pro Forma'!$N32="Override",INDEX('Sponsor Pro Forma'!$O$16:$Z$34,MATCH('Monthly Cash Flow'!$B88,'Sponsor Pro Forma'!$B$16:$B$34,0),MATCH('Monthly Cash Flow'!AO$4,'Sponsor Pro Forma'!$O$15:$Z$15,0))/12,IF('Sponsor Pro Forma'!$L$42="Annual",'Monthly Cash Flow'!AN88*(1+'Sponsor Pro Forma'!$M32)^(IF(MOD(AO$5,12)=1,1,0)),'Monthly Cash Flow'!AN88*(1+'Sponsor Pro Forma'!$M32/12)))</f>
        <v>10697.797330000001</v>
      </c>
      <c r="AP88" s="1300">
        <f>IF('Sponsor Pro Forma'!$N32="Override",INDEX('Sponsor Pro Forma'!$O$16:$Z$34,MATCH('Monthly Cash Flow'!$B88,'Sponsor Pro Forma'!$B$16:$B$34,0),MATCH('Monthly Cash Flow'!AP$4,'Sponsor Pro Forma'!$O$15:$Z$15,0))/12,IF('Sponsor Pro Forma'!$L$42="Annual",'Monthly Cash Flow'!AO88*(1+'Sponsor Pro Forma'!$M32)^(IF(MOD(AP$5,12)=1,1,0)),'Monthly Cash Flow'!AO88*(1+'Sponsor Pro Forma'!$M32/12)))</f>
        <v>10697.797330000001</v>
      </c>
      <c r="AQ88" s="1300">
        <f>IF('Sponsor Pro Forma'!$N32="Override",INDEX('Sponsor Pro Forma'!$O$16:$Z$34,MATCH('Monthly Cash Flow'!$B88,'Sponsor Pro Forma'!$B$16:$B$34,0),MATCH('Monthly Cash Flow'!AQ$4,'Sponsor Pro Forma'!$O$15:$Z$15,0))/12,IF('Sponsor Pro Forma'!$L$42="Annual",'Monthly Cash Flow'!AP88*(1+'Sponsor Pro Forma'!$M32)^(IF(MOD(AQ$5,12)=1,1,0)),'Monthly Cash Flow'!AP88*(1+'Sponsor Pro Forma'!$M32/12)))</f>
        <v>10697.797330000001</v>
      </c>
      <c r="AR88" s="1300">
        <f>IF('Sponsor Pro Forma'!$N32="Override",INDEX('Sponsor Pro Forma'!$O$16:$Z$34,MATCH('Monthly Cash Flow'!$B88,'Sponsor Pro Forma'!$B$16:$B$34,0),MATCH('Monthly Cash Flow'!AR$4,'Sponsor Pro Forma'!$O$15:$Z$15,0))/12,IF('Sponsor Pro Forma'!$L$42="Annual",'Monthly Cash Flow'!AQ88*(1+'Sponsor Pro Forma'!$M32)^(IF(MOD(AR$5,12)=1,1,0)),'Monthly Cash Flow'!AQ88*(1+'Sponsor Pro Forma'!$M32/12)))</f>
        <v>10697.797330000001</v>
      </c>
      <c r="AS88" s="1300">
        <f>IF('Sponsor Pro Forma'!$N32="Override",INDEX('Sponsor Pro Forma'!$O$16:$Z$34,MATCH('Monthly Cash Flow'!$B88,'Sponsor Pro Forma'!$B$16:$B$34,0),MATCH('Monthly Cash Flow'!AS$4,'Sponsor Pro Forma'!$O$15:$Z$15,0))/12,IF('Sponsor Pro Forma'!$L$42="Annual",'Monthly Cash Flow'!AR88*(1+'Sponsor Pro Forma'!$M32)^(IF(MOD(AS$5,12)=1,1,0)),'Monthly Cash Flow'!AR88*(1+'Sponsor Pro Forma'!$M32/12)))</f>
        <v>10697.797330000001</v>
      </c>
      <c r="AT88" s="1300">
        <f>IF('Sponsor Pro Forma'!$N32="Override",INDEX('Sponsor Pro Forma'!$O$16:$Z$34,MATCH('Monthly Cash Flow'!$B88,'Sponsor Pro Forma'!$B$16:$B$34,0),MATCH('Monthly Cash Flow'!AT$4,'Sponsor Pro Forma'!$O$15:$Z$15,0))/12,IF('Sponsor Pro Forma'!$L$42="Annual",'Monthly Cash Flow'!AS88*(1+'Sponsor Pro Forma'!$M32)^(IF(MOD(AT$5,12)=1,1,0)),'Monthly Cash Flow'!AS88*(1+'Sponsor Pro Forma'!$M32/12)))</f>
        <v>10697.797330000001</v>
      </c>
      <c r="AU88" s="1300">
        <f>IF('Sponsor Pro Forma'!$N32="Override",INDEX('Sponsor Pro Forma'!$O$16:$Z$34,MATCH('Monthly Cash Flow'!$B88,'Sponsor Pro Forma'!$B$16:$B$34,0),MATCH('Monthly Cash Flow'!AU$4,'Sponsor Pro Forma'!$O$15:$Z$15,0))/12,IF('Sponsor Pro Forma'!$L$42="Annual",'Monthly Cash Flow'!AT88*(1+'Sponsor Pro Forma'!$M32)^(IF(MOD(AU$5,12)=1,1,0)),'Monthly Cash Flow'!AT88*(1+'Sponsor Pro Forma'!$M32/12)))</f>
        <v>10697.797330000001</v>
      </c>
      <c r="AV88" s="1300">
        <f>IF('Sponsor Pro Forma'!$N32="Override",INDEX('Sponsor Pro Forma'!$O$16:$Z$34,MATCH('Monthly Cash Flow'!$B88,'Sponsor Pro Forma'!$B$16:$B$34,0),MATCH('Monthly Cash Flow'!AV$4,'Sponsor Pro Forma'!$O$15:$Z$15,0))/12,IF('Sponsor Pro Forma'!$L$42="Annual",'Monthly Cash Flow'!AU88*(1+'Sponsor Pro Forma'!$M32)^(IF(MOD(AV$5,12)=1,1,0)),'Monthly Cash Flow'!AU88*(1+'Sponsor Pro Forma'!$M32/12)))</f>
        <v>10697.797330000001</v>
      </c>
      <c r="AW88" s="1300">
        <f>IF('Sponsor Pro Forma'!$N32="Override",INDEX('Sponsor Pro Forma'!$O$16:$Z$34,MATCH('Monthly Cash Flow'!$B88,'Sponsor Pro Forma'!$B$16:$B$34,0),MATCH('Monthly Cash Flow'!AW$4,'Sponsor Pro Forma'!$O$15:$Z$15,0))/12,IF('Sponsor Pro Forma'!$L$42="Annual",'Monthly Cash Flow'!AV88*(1+'Sponsor Pro Forma'!$M32)^(IF(MOD(AW$5,12)=1,1,0)),'Monthly Cash Flow'!AV88*(1+'Sponsor Pro Forma'!$M32/12)))</f>
        <v>10697.797330000001</v>
      </c>
      <c r="AX88" s="1300">
        <f>IF('Sponsor Pro Forma'!$N32="Override",INDEX('Sponsor Pro Forma'!$O$16:$Z$34,MATCH('Monthly Cash Flow'!$B88,'Sponsor Pro Forma'!$B$16:$B$34,0),MATCH('Monthly Cash Flow'!AX$4,'Sponsor Pro Forma'!$O$15:$Z$15,0))/12,IF('Sponsor Pro Forma'!$L$42="Annual",'Monthly Cash Flow'!AW88*(1+'Sponsor Pro Forma'!$M32)^(IF(MOD(AX$5,12)=1,1,0)),'Monthly Cash Flow'!AW88*(1+'Sponsor Pro Forma'!$M32/12)))</f>
        <v>10697.797330000001</v>
      </c>
      <c r="AY88" s="1300">
        <f>IF('Sponsor Pro Forma'!$N32="Override",INDEX('Sponsor Pro Forma'!$O$16:$Z$34,MATCH('Monthly Cash Flow'!$B88,'Sponsor Pro Forma'!$B$16:$B$34,0),MATCH('Monthly Cash Flow'!AY$4,'Sponsor Pro Forma'!$O$15:$Z$15,0))/12,IF('Sponsor Pro Forma'!$L$42="Annual",'Monthly Cash Flow'!AX88*(1+'Sponsor Pro Forma'!$M32)^(IF(MOD(AY$5,12)=1,1,0)),'Monthly Cash Flow'!AX88*(1+'Sponsor Pro Forma'!$M32/12)))</f>
        <v>10697.797330000001</v>
      </c>
      <c r="AZ88" s="1300">
        <f>IF('Sponsor Pro Forma'!$N32="Override",INDEX('Sponsor Pro Forma'!$O$16:$Z$34,MATCH('Monthly Cash Flow'!$B88,'Sponsor Pro Forma'!$B$16:$B$34,0),MATCH('Monthly Cash Flow'!AZ$4,'Sponsor Pro Forma'!$O$15:$Z$15,0))/12,IF('Sponsor Pro Forma'!$L$42="Annual",'Monthly Cash Flow'!AY88*(1+'Sponsor Pro Forma'!$M32)^(IF(MOD(AZ$5,12)=1,1,0)),'Monthly Cash Flow'!AY88*(1+'Sponsor Pro Forma'!$M32/12)))</f>
        <v>10697.797330000001</v>
      </c>
      <c r="BA88" s="1300">
        <f>IF('Sponsor Pro Forma'!$N32="Override",INDEX('Sponsor Pro Forma'!$O$16:$Z$34,MATCH('Monthly Cash Flow'!$B88,'Sponsor Pro Forma'!$B$16:$B$34,0),MATCH('Monthly Cash Flow'!BA$4,'Sponsor Pro Forma'!$O$15:$Z$15,0))/12,IF('Sponsor Pro Forma'!$L$42="Annual",'Monthly Cash Flow'!AZ88*(1+'Sponsor Pro Forma'!$M32)^(IF(MOD(BA$5,12)=1,1,0)),'Monthly Cash Flow'!AZ88*(1+'Sponsor Pro Forma'!$M32/12)))</f>
        <v>11018.731249900002</v>
      </c>
      <c r="BB88" s="1300">
        <f>IF('Sponsor Pro Forma'!$N32="Override",INDEX('Sponsor Pro Forma'!$O$16:$Z$34,MATCH('Monthly Cash Flow'!$B88,'Sponsor Pro Forma'!$B$16:$B$34,0),MATCH('Monthly Cash Flow'!BB$4,'Sponsor Pro Forma'!$O$15:$Z$15,0))/12,IF('Sponsor Pro Forma'!$L$42="Annual",'Monthly Cash Flow'!BA88*(1+'Sponsor Pro Forma'!$M32)^(IF(MOD(BB$5,12)=1,1,0)),'Monthly Cash Flow'!BA88*(1+'Sponsor Pro Forma'!$M32/12)))</f>
        <v>11018.731249900002</v>
      </c>
      <c r="BC88" s="1300">
        <f>IF('Sponsor Pro Forma'!$N32="Override",INDEX('Sponsor Pro Forma'!$O$16:$Z$34,MATCH('Monthly Cash Flow'!$B88,'Sponsor Pro Forma'!$B$16:$B$34,0),MATCH('Monthly Cash Flow'!BC$4,'Sponsor Pro Forma'!$O$15:$Z$15,0))/12,IF('Sponsor Pro Forma'!$L$42="Annual",'Monthly Cash Flow'!BB88*(1+'Sponsor Pro Forma'!$M32)^(IF(MOD(BC$5,12)=1,1,0)),'Monthly Cash Flow'!BB88*(1+'Sponsor Pro Forma'!$M32/12)))</f>
        <v>11018.731249900002</v>
      </c>
      <c r="BD88" s="1300">
        <f>IF('Sponsor Pro Forma'!$N32="Override",INDEX('Sponsor Pro Forma'!$O$16:$Z$34,MATCH('Monthly Cash Flow'!$B88,'Sponsor Pro Forma'!$B$16:$B$34,0),MATCH('Monthly Cash Flow'!BD$4,'Sponsor Pro Forma'!$O$15:$Z$15,0))/12,IF('Sponsor Pro Forma'!$L$42="Annual",'Monthly Cash Flow'!BC88*(1+'Sponsor Pro Forma'!$M32)^(IF(MOD(BD$5,12)=1,1,0)),'Monthly Cash Flow'!BC88*(1+'Sponsor Pro Forma'!$M32/12)))</f>
        <v>11018.731249900002</v>
      </c>
      <c r="BE88" s="1300">
        <f>IF('Sponsor Pro Forma'!$N32="Override",INDEX('Sponsor Pro Forma'!$O$16:$Z$34,MATCH('Monthly Cash Flow'!$B88,'Sponsor Pro Forma'!$B$16:$B$34,0),MATCH('Monthly Cash Flow'!BE$4,'Sponsor Pro Forma'!$O$15:$Z$15,0))/12,IF('Sponsor Pro Forma'!$L$42="Annual",'Monthly Cash Flow'!BD88*(1+'Sponsor Pro Forma'!$M32)^(IF(MOD(BE$5,12)=1,1,0)),'Monthly Cash Flow'!BD88*(1+'Sponsor Pro Forma'!$M32/12)))</f>
        <v>11018.731249900002</v>
      </c>
      <c r="BF88" s="1300">
        <f>IF('Sponsor Pro Forma'!$N32="Override",INDEX('Sponsor Pro Forma'!$O$16:$Z$34,MATCH('Monthly Cash Flow'!$B88,'Sponsor Pro Forma'!$B$16:$B$34,0),MATCH('Monthly Cash Flow'!BF$4,'Sponsor Pro Forma'!$O$15:$Z$15,0))/12,IF('Sponsor Pro Forma'!$L$42="Annual",'Monthly Cash Flow'!BE88*(1+'Sponsor Pro Forma'!$M32)^(IF(MOD(BF$5,12)=1,1,0)),'Monthly Cash Flow'!BE88*(1+'Sponsor Pro Forma'!$M32/12)))</f>
        <v>11018.731249900002</v>
      </c>
      <c r="BG88" s="1300">
        <f>IF('Sponsor Pro Forma'!$N32="Override",INDEX('Sponsor Pro Forma'!$O$16:$Z$34,MATCH('Monthly Cash Flow'!$B88,'Sponsor Pro Forma'!$B$16:$B$34,0),MATCH('Monthly Cash Flow'!BG$4,'Sponsor Pro Forma'!$O$15:$Z$15,0))/12,IF('Sponsor Pro Forma'!$L$42="Annual",'Monthly Cash Flow'!BF88*(1+'Sponsor Pro Forma'!$M32)^(IF(MOD(BG$5,12)=1,1,0)),'Monthly Cash Flow'!BF88*(1+'Sponsor Pro Forma'!$M32/12)))</f>
        <v>11018.731249900002</v>
      </c>
      <c r="BH88" s="1300">
        <f>IF('Sponsor Pro Forma'!$N32="Override",INDEX('Sponsor Pro Forma'!$O$16:$Z$34,MATCH('Monthly Cash Flow'!$B88,'Sponsor Pro Forma'!$B$16:$B$34,0),MATCH('Monthly Cash Flow'!BH$4,'Sponsor Pro Forma'!$O$15:$Z$15,0))/12,IF('Sponsor Pro Forma'!$L$42="Annual",'Monthly Cash Flow'!BG88*(1+'Sponsor Pro Forma'!$M32)^(IF(MOD(BH$5,12)=1,1,0)),'Monthly Cash Flow'!BG88*(1+'Sponsor Pro Forma'!$M32/12)))</f>
        <v>11018.731249900002</v>
      </c>
      <c r="BI88" s="1300">
        <f>IF('Sponsor Pro Forma'!$N32="Override",INDEX('Sponsor Pro Forma'!$O$16:$Z$34,MATCH('Monthly Cash Flow'!$B88,'Sponsor Pro Forma'!$B$16:$B$34,0),MATCH('Monthly Cash Flow'!BI$4,'Sponsor Pro Forma'!$O$15:$Z$15,0))/12,IF('Sponsor Pro Forma'!$L$42="Annual",'Monthly Cash Flow'!BH88*(1+'Sponsor Pro Forma'!$M32)^(IF(MOD(BI$5,12)=1,1,0)),'Monthly Cash Flow'!BH88*(1+'Sponsor Pro Forma'!$M32/12)))</f>
        <v>11018.731249900002</v>
      </c>
      <c r="BJ88" s="1300">
        <f>IF('Sponsor Pro Forma'!$N32="Override",INDEX('Sponsor Pro Forma'!$O$16:$Z$34,MATCH('Monthly Cash Flow'!$B88,'Sponsor Pro Forma'!$B$16:$B$34,0),MATCH('Monthly Cash Flow'!BJ$4,'Sponsor Pro Forma'!$O$15:$Z$15,0))/12,IF('Sponsor Pro Forma'!$L$42="Annual",'Monthly Cash Flow'!BI88*(1+'Sponsor Pro Forma'!$M32)^(IF(MOD(BJ$5,12)=1,1,0)),'Monthly Cash Flow'!BI88*(1+'Sponsor Pro Forma'!$M32/12)))</f>
        <v>11018.731249900002</v>
      </c>
      <c r="BK88" s="1300">
        <f>IF('Sponsor Pro Forma'!$N32="Override",INDEX('Sponsor Pro Forma'!$O$16:$Z$34,MATCH('Monthly Cash Flow'!$B88,'Sponsor Pro Forma'!$B$16:$B$34,0),MATCH('Monthly Cash Flow'!BK$4,'Sponsor Pro Forma'!$O$15:$Z$15,0))/12,IF('Sponsor Pro Forma'!$L$42="Annual",'Monthly Cash Flow'!BJ88*(1+'Sponsor Pro Forma'!$M32)^(IF(MOD(BK$5,12)=1,1,0)),'Monthly Cash Flow'!BJ88*(1+'Sponsor Pro Forma'!$M32/12)))</f>
        <v>11018.731249900002</v>
      </c>
      <c r="BL88" s="1300">
        <f>IF('Sponsor Pro Forma'!$N32="Override",INDEX('Sponsor Pro Forma'!$O$16:$Z$34,MATCH('Monthly Cash Flow'!$B88,'Sponsor Pro Forma'!$B$16:$B$34,0),MATCH('Monthly Cash Flow'!BL$4,'Sponsor Pro Forma'!$O$15:$Z$15,0))/12,IF('Sponsor Pro Forma'!$L$42="Annual",'Monthly Cash Flow'!BK88*(1+'Sponsor Pro Forma'!$M32)^(IF(MOD(BL$5,12)=1,1,0)),'Monthly Cash Flow'!BK88*(1+'Sponsor Pro Forma'!$M32/12)))</f>
        <v>11018.731249900002</v>
      </c>
      <c r="BM88" s="1300">
        <f>IF('Sponsor Pro Forma'!$N32="Override",INDEX('Sponsor Pro Forma'!$O$16:$Z$34,MATCH('Monthly Cash Flow'!$B88,'Sponsor Pro Forma'!$B$16:$B$34,0),MATCH('Monthly Cash Flow'!BM$4,'Sponsor Pro Forma'!$O$15:$Z$15,0))/12,IF('Sponsor Pro Forma'!$L$42="Annual",'Monthly Cash Flow'!BL88*(1+'Sponsor Pro Forma'!$M32)^(IF(MOD(BM$5,12)=1,1,0)),'Monthly Cash Flow'!BL88*(1+'Sponsor Pro Forma'!$M32/12)))</f>
        <v>11349.293187397003</v>
      </c>
      <c r="BN88" s="1300">
        <f>IF('Sponsor Pro Forma'!$N32="Override",INDEX('Sponsor Pro Forma'!$O$16:$Z$34,MATCH('Monthly Cash Flow'!$B88,'Sponsor Pro Forma'!$B$16:$B$34,0),MATCH('Monthly Cash Flow'!BN$4,'Sponsor Pro Forma'!$O$15:$Z$15,0))/12,IF('Sponsor Pro Forma'!$L$42="Annual",'Monthly Cash Flow'!BM88*(1+'Sponsor Pro Forma'!$M32)^(IF(MOD(BN$5,12)=1,1,0)),'Monthly Cash Flow'!BM88*(1+'Sponsor Pro Forma'!$M32/12)))</f>
        <v>11349.293187397003</v>
      </c>
      <c r="BO88" s="1300">
        <f>IF('Sponsor Pro Forma'!$N32="Override",INDEX('Sponsor Pro Forma'!$O$16:$Z$34,MATCH('Monthly Cash Flow'!$B88,'Sponsor Pro Forma'!$B$16:$B$34,0),MATCH('Monthly Cash Flow'!BO$4,'Sponsor Pro Forma'!$O$15:$Z$15,0))/12,IF('Sponsor Pro Forma'!$L$42="Annual",'Monthly Cash Flow'!BN88*(1+'Sponsor Pro Forma'!$M32)^(IF(MOD(BO$5,12)=1,1,0)),'Monthly Cash Flow'!BN88*(1+'Sponsor Pro Forma'!$M32/12)))</f>
        <v>11349.293187397003</v>
      </c>
      <c r="BP88" s="1300">
        <f>IF('Sponsor Pro Forma'!$N32="Override",INDEX('Sponsor Pro Forma'!$O$16:$Z$34,MATCH('Monthly Cash Flow'!$B88,'Sponsor Pro Forma'!$B$16:$B$34,0),MATCH('Monthly Cash Flow'!BP$4,'Sponsor Pro Forma'!$O$15:$Z$15,0))/12,IF('Sponsor Pro Forma'!$L$42="Annual",'Monthly Cash Flow'!BO88*(1+'Sponsor Pro Forma'!$M32)^(IF(MOD(BP$5,12)=1,1,0)),'Monthly Cash Flow'!BO88*(1+'Sponsor Pro Forma'!$M32/12)))</f>
        <v>11349.293187397003</v>
      </c>
      <c r="BQ88" s="1300">
        <f>IF('Sponsor Pro Forma'!$N32="Override",INDEX('Sponsor Pro Forma'!$O$16:$Z$34,MATCH('Monthly Cash Flow'!$B88,'Sponsor Pro Forma'!$B$16:$B$34,0),MATCH('Monthly Cash Flow'!BQ$4,'Sponsor Pro Forma'!$O$15:$Z$15,0))/12,IF('Sponsor Pro Forma'!$L$42="Annual",'Monthly Cash Flow'!BP88*(1+'Sponsor Pro Forma'!$M32)^(IF(MOD(BQ$5,12)=1,1,0)),'Monthly Cash Flow'!BP88*(1+'Sponsor Pro Forma'!$M32/12)))</f>
        <v>11349.293187397003</v>
      </c>
      <c r="BR88" s="1300">
        <f>IF('Sponsor Pro Forma'!$N32="Override",INDEX('Sponsor Pro Forma'!$O$16:$Z$34,MATCH('Monthly Cash Flow'!$B88,'Sponsor Pro Forma'!$B$16:$B$34,0),MATCH('Monthly Cash Flow'!BR$4,'Sponsor Pro Forma'!$O$15:$Z$15,0))/12,IF('Sponsor Pro Forma'!$L$42="Annual",'Monthly Cash Flow'!BQ88*(1+'Sponsor Pro Forma'!$M32)^(IF(MOD(BR$5,12)=1,1,0)),'Monthly Cash Flow'!BQ88*(1+'Sponsor Pro Forma'!$M32/12)))</f>
        <v>11349.293187397003</v>
      </c>
      <c r="BS88" s="1300">
        <f>IF('Sponsor Pro Forma'!$N32="Override",INDEX('Sponsor Pro Forma'!$O$16:$Z$34,MATCH('Monthly Cash Flow'!$B88,'Sponsor Pro Forma'!$B$16:$B$34,0),MATCH('Monthly Cash Flow'!BS$4,'Sponsor Pro Forma'!$O$15:$Z$15,0))/12,IF('Sponsor Pro Forma'!$L$42="Annual",'Monthly Cash Flow'!BR88*(1+'Sponsor Pro Forma'!$M32)^(IF(MOD(BS$5,12)=1,1,0)),'Monthly Cash Flow'!BR88*(1+'Sponsor Pro Forma'!$M32/12)))</f>
        <v>11349.293187397003</v>
      </c>
      <c r="BT88" s="1300">
        <f>IF('Sponsor Pro Forma'!$N32="Override",INDEX('Sponsor Pro Forma'!$O$16:$Z$34,MATCH('Monthly Cash Flow'!$B88,'Sponsor Pro Forma'!$B$16:$B$34,0),MATCH('Monthly Cash Flow'!BT$4,'Sponsor Pro Forma'!$O$15:$Z$15,0))/12,IF('Sponsor Pro Forma'!$L$42="Annual",'Monthly Cash Flow'!BS88*(1+'Sponsor Pro Forma'!$M32)^(IF(MOD(BT$5,12)=1,1,0)),'Monthly Cash Flow'!BS88*(1+'Sponsor Pro Forma'!$M32/12)))</f>
        <v>11349.293187397003</v>
      </c>
      <c r="BU88" s="1300">
        <f>IF('Sponsor Pro Forma'!$N32="Override",INDEX('Sponsor Pro Forma'!$O$16:$Z$34,MATCH('Monthly Cash Flow'!$B88,'Sponsor Pro Forma'!$B$16:$B$34,0),MATCH('Monthly Cash Flow'!BU$4,'Sponsor Pro Forma'!$O$15:$Z$15,0))/12,IF('Sponsor Pro Forma'!$L$42="Annual",'Monthly Cash Flow'!BT88*(1+'Sponsor Pro Forma'!$M32)^(IF(MOD(BU$5,12)=1,1,0)),'Monthly Cash Flow'!BT88*(1+'Sponsor Pro Forma'!$M32/12)))</f>
        <v>11349.293187397003</v>
      </c>
      <c r="BV88" s="1300">
        <f>IF('Sponsor Pro Forma'!$N32="Override",INDEX('Sponsor Pro Forma'!$O$16:$Z$34,MATCH('Monthly Cash Flow'!$B88,'Sponsor Pro Forma'!$B$16:$B$34,0),MATCH('Monthly Cash Flow'!BV$4,'Sponsor Pro Forma'!$O$15:$Z$15,0))/12,IF('Sponsor Pro Forma'!$L$42="Annual",'Monthly Cash Flow'!BU88*(1+'Sponsor Pro Forma'!$M32)^(IF(MOD(BV$5,12)=1,1,0)),'Monthly Cash Flow'!BU88*(1+'Sponsor Pro Forma'!$M32/12)))</f>
        <v>11349.293187397003</v>
      </c>
      <c r="BW88" s="1300">
        <f>IF('Sponsor Pro Forma'!$N32="Override",INDEX('Sponsor Pro Forma'!$O$16:$Z$34,MATCH('Monthly Cash Flow'!$B88,'Sponsor Pro Forma'!$B$16:$B$34,0),MATCH('Monthly Cash Flow'!BW$4,'Sponsor Pro Forma'!$O$15:$Z$15,0))/12,IF('Sponsor Pro Forma'!$L$42="Annual",'Monthly Cash Flow'!BV88*(1+'Sponsor Pro Forma'!$M32)^(IF(MOD(BW$5,12)=1,1,0)),'Monthly Cash Flow'!BV88*(1+'Sponsor Pro Forma'!$M32/12)))</f>
        <v>11349.293187397003</v>
      </c>
      <c r="BX88" s="1300">
        <f>IF('Sponsor Pro Forma'!$N32="Override",INDEX('Sponsor Pro Forma'!$O$16:$Z$34,MATCH('Monthly Cash Flow'!$B88,'Sponsor Pro Forma'!$B$16:$B$34,0),MATCH('Monthly Cash Flow'!BX$4,'Sponsor Pro Forma'!$O$15:$Z$15,0))/12,IF('Sponsor Pro Forma'!$L$42="Annual",'Monthly Cash Flow'!BW88*(1+'Sponsor Pro Forma'!$M32)^(IF(MOD(BX$5,12)=1,1,0)),'Monthly Cash Flow'!BW88*(1+'Sponsor Pro Forma'!$M32/12)))</f>
        <v>11349.293187397003</v>
      </c>
      <c r="BY88" s="1300">
        <f>IF('Sponsor Pro Forma'!$N32="Override",INDEX('Sponsor Pro Forma'!$O$16:$Z$34,MATCH('Monthly Cash Flow'!$B88,'Sponsor Pro Forma'!$B$16:$B$34,0),MATCH('Monthly Cash Flow'!BY$4,'Sponsor Pro Forma'!$O$15:$Z$15,0))/12,IF('Sponsor Pro Forma'!$L$42="Annual",'Monthly Cash Flow'!BX88*(1+'Sponsor Pro Forma'!$M32)^(IF(MOD(BY$5,12)=1,1,0)),'Monthly Cash Flow'!BX88*(1+'Sponsor Pro Forma'!$M32/12)))</f>
        <v>11689.771983018913</v>
      </c>
      <c r="BZ88" s="1300">
        <f>IF('Sponsor Pro Forma'!$N32="Override",INDEX('Sponsor Pro Forma'!$O$16:$Z$34,MATCH('Monthly Cash Flow'!$B88,'Sponsor Pro Forma'!$B$16:$B$34,0),MATCH('Monthly Cash Flow'!BZ$4,'Sponsor Pro Forma'!$O$15:$Z$15,0))/12,IF('Sponsor Pro Forma'!$L$42="Annual",'Monthly Cash Flow'!BY88*(1+'Sponsor Pro Forma'!$M32)^(IF(MOD(BZ$5,12)=1,1,0)),'Monthly Cash Flow'!BY88*(1+'Sponsor Pro Forma'!$M32/12)))</f>
        <v>11689.771983018913</v>
      </c>
      <c r="CA88" s="1300">
        <f>IF('Sponsor Pro Forma'!$N32="Override",INDEX('Sponsor Pro Forma'!$O$16:$Z$34,MATCH('Monthly Cash Flow'!$B88,'Sponsor Pro Forma'!$B$16:$B$34,0),MATCH('Monthly Cash Flow'!CA$4,'Sponsor Pro Forma'!$O$15:$Z$15,0))/12,IF('Sponsor Pro Forma'!$L$42="Annual",'Monthly Cash Flow'!BZ88*(1+'Sponsor Pro Forma'!$M32)^(IF(MOD(CA$5,12)=1,1,0)),'Monthly Cash Flow'!BZ88*(1+'Sponsor Pro Forma'!$M32/12)))</f>
        <v>11689.771983018913</v>
      </c>
      <c r="CB88" s="1300">
        <f>IF('Sponsor Pro Forma'!$N32="Override",INDEX('Sponsor Pro Forma'!$O$16:$Z$34,MATCH('Monthly Cash Flow'!$B88,'Sponsor Pro Forma'!$B$16:$B$34,0),MATCH('Monthly Cash Flow'!CB$4,'Sponsor Pro Forma'!$O$15:$Z$15,0))/12,IF('Sponsor Pro Forma'!$L$42="Annual",'Monthly Cash Flow'!CA88*(1+'Sponsor Pro Forma'!$M32)^(IF(MOD(CB$5,12)=1,1,0)),'Monthly Cash Flow'!CA88*(1+'Sponsor Pro Forma'!$M32/12)))</f>
        <v>11689.771983018913</v>
      </c>
      <c r="CC88" s="1300">
        <f>IF('Sponsor Pro Forma'!$N32="Override",INDEX('Sponsor Pro Forma'!$O$16:$Z$34,MATCH('Monthly Cash Flow'!$B88,'Sponsor Pro Forma'!$B$16:$B$34,0),MATCH('Monthly Cash Flow'!CC$4,'Sponsor Pro Forma'!$O$15:$Z$15,0))/12,IF('Sponsor Pro Forma'!$L$42="Annual",'Monthly Cash Flow'!CB88*(1+'Sponsor Pro Forma'!$M32)^(IF(MOD(CC$5,12)=1,1,0)),'Monthly Cash Flow'!CB88*(1+'Sponsor Pro Forma'!$M32/12)))</f>
        <v>11689.771983018913</v>
      </c>
      <c r="CD88" s="1300">
        <f>IF('Sponsor Pro Forma'!$N32="Override",INDEX('Sponsor Pro Forma'!$O$16:$Z$34,MATCH('Monthly Cash Flow'!$B88,'Sponsor Pro Forma'!$B$16:$B$34,0),MATCH('Monthly Cash Flow'!CD$4,'Sponsor Pro Forma'!$O$15:$Z$15,0))/12,IF('Sponsor Pro Forma'!$L$42="Annual",'Monthly Cash Flow'!CC88*(1+'Sponsor Pro Forma'!$M32)^(IF(MOD(CD$5,12)=1,1,0)),'Monthly Cash Flow'!CC88*(1+'Sponsor Pro Forma'!$M32/12)))</f>
        <v>11689.771983018913</v>
      </c>
      <c r="CE88" s="1300">
        <f>IF('Sponsor Pro Forma'!$N32="Override",INDEX('Sponsor Pro Forma'!$O$16:$Z$34,MATCH('Monthly Cash Flow'!$B88,'Sponsor Pro Forma'!$B$16:$B$34,0),MATCH('Monthly Cash Flow'!CE$4,'Sponsor Pro Forma'!$O$15:$Z$15,0))/12,IF('Sponsor Pro Forma'!$L$42="Annual",'Monthly Cash Flow'!CD88*(1+'Sponsor Pro Forma'!$M32)^(IF(MOD(CE$5,12)=1,1,0)),'Monthly Cash Flow'!CD88*(1+'Sponsor Pro Forma'!$M32/12)))</f>
        <v>11689.771983018913</v>
      </c>
      <c r="CF88" s="1300">
        <f>IF('Sponsor Pro Forma'!$N32="Override",INDEX('Sponsor Pro Forma'!$O$16:$Z$34,MATCH('Monthly Cash Flow'!$B88,'Sponsor Pro Forma'!$B$16:$B$34,0),MATCH('Monthly Cash Flow'!CF$4,'Sponsor Pro Forma'!$O$15:$Z$15,0))/12,IF('Sponsor Pro Forma'!$L$42="Annual",'Monthly Cash Flow'!CE88*(1+'Sponsor Pro Forma'!$M32)^(IF(MOD(CF$5,12)=1,1,0)),'Monthly Cash Flow'!CE88*(1+'Sponsor Pro Forma'!$M32/12)))</f>
        <v>11689.771983018913</v>
      </c>
      <c r="CG88" s="1300">
        <f>IF('Sponsor Pro Forma'!$N32="Override",INDEX('Sponsor Pro Forma'!$O$16:$Z$34,MATCH('Monthly Cash Flow'!$B88,'Sponsor Pro Forma'!$B$16:$B$34,0),MATCH('Monthly Cash Flow'!CG$4,'Sponsor Pro Forma'!$O$15:$Z$15,0))/12,IF('Sponsor Pro Forma'!$L$42="Annual",'Monthly Cash Flow'!CF88*(1+'Sponsor Pro Forma'!$M32)^(IF(MOD(CG$5,12)=1,1,0)),'Monthly Cash Flow'!CF88*(1+'Sponsor Pro Forma'!$M32/12)))</f>
        <v>11689.771983018913</v>
      </c>
      <c r="CH88" s="1300">
        <f>IF('Sponsor Pro Forma'!$N32="Override",INDEX('Sponsor Pro Forma'!$O$16:$Z$34,MATCH('Monthly Cash Flow'!$B88,'Sponsor Pro Forma'!$B$16:$B$34,0),MATCH('Monthly Cash Flow'!CH$4,'Sponsor Pro Forma'!$O$15:$Z$15,0))/12,IF('Sponsor Pro Forma'!$L$42="Annual",'Monthly Cash Flow'!CG88*(1+'Sponsor Pro Forma'!$M32)^(IF(MOD(CH$5,12)=1,1,0)),'Monthly Cash Flow'!CG88*(1+'Sponsor Pro Forma'!$M32/12)))</f>
        <v>11689.771983018913</v>
      </c>
      <c r="CI88" s="1300">
        <f>IF('Sponsor Pro Forma'!$N32="Override",INDEX('Sponsor Pro Forma'!$O$16:$Z$34,MATCH('Monthly Cash Flow'!$B88,'Sponsor Pro Forma'!$B$16:$B$34,0),MATCH('Monthly Cash Flow'!CI$4,'Sponsor Pro Forma'!$O$15:$Z$15,0))/12,IF('Sponsor Pro Forma'!$L$42="Annual",'Monthly Cash Flow'!CH88*(1+'Sponsor Pro Forma'!$M32)^(IF(MOD(CI$5,12)=1,1,0)),'Monthly Cash Flow'!CH88*(1+'Sponsor Pro Forma'!$M32/12)))</f>
        <v>11689.771983018913</v>
      </c>
      <c r="CJ88" s="1300">
        <f>IF('Sponsor Pro Forma'!$N32="Override",INDEX('Sponsor Pro Forma'!$O$16:$Z$34,MATCH('Monthly Cash Flow'!$B88,'Sponsor Pro Forma'!$B$16:$B$34,0),MATCH('Monthly Cash Flow'!CJ$4,'Sponsor Pro Forma'!$O$15:$Z$15,0))/12,IF('Sponsor Pro Forma'!$L$42="Annual",'Monthly Cash Flow'!CI88*(1+'Sponsor Pro Forma'!$M32)^(IF(MOD(CJ$5,12)=1,1,0)),'Monthly Cash Flow'!CI88*(1+'Sponsor Pro Forma'!$M32/12)))</f>
        <v>11689.771983018913</v>
      </c>
      <c r="CK88" s="1300">
        <f>IF('Sponsor Pro Forma'!$N32="Override",INDEX('Sponsor Pro Forma'!$O$16:$Z$34,MATCH('Monthly Cash Flow'!$B88,'Sponsor Pro Forma'!$B$16:$B$34,0),MATCH('Monthly Cash Flow'!CK$4,'Sponsor Pro Forma'!$O$15:$Z$15,0))/12,IF('Sponsor Pro Forma'!$L$42="Annual",'Monthly Cash Flow'!CJ88*(1+'Sponsor Pro Forma'!$M32)^(IF(MOD(CK$5,12)=1,1,0)),'Monthly Cash Flow'!CJ88*(1+'Sponsor Pro Forma'!$M32/12)))</f>
        <v>12040.46514250948</v>
      </c>
      <c r="CL88" s="1300">
        <f>IF('Sponsor Pro Forma'!$N32="Override",INDEX('Sponsor Pro Forma'!$O$16:$Z$34,MATCH('Monthly Cash Flow'!$B88,'Sponsor Pro Forma'!$B$16:$B$34,0),MATCH('Monthly Cash Flow'!CL$4,'Sponsor Pro Forma'!$O$15:$Z$15,0))/12,IF('Sponsor Pro Forma'!$L$42="Annual",'Monthly Cash Flow'!CK88*(1+'Sponsor Pro Forma'!$M32)^(IF(MOD(CL$5,12)=1,1,0)),'Monthly Cash Flow'!CK88*(1+'Sponsor Pro Forma'!$M32/12)))</f>
        <v>12040.46514250948</v>
      </c>
      <c r="CM88" s="1300">
        <f>IF('Sponsor Pro Forma'!$N32="Override",INDEX('Sponsor Pro Forma'!$O$16:$Z$34,MATCH('Monthly Cash Flow'!$B88,'Sponsor Pro Forma'!$B$16:$B$34,0),MATCH('Monthly Cash Flow'!CM$4,'Sponsor Pro Forma'!$O$15:$Z$15,0))/12,IF('Sponsor Pro Forma'!$L$42="Annual",'Monthly Cash Flow'!CL88*(1+'Sponsor Pro Forma'!$M32)^(IF(MOD(CM$5,12)=1,1,0)),'Monthly Cash Flow'!CL88*(1+'Sponsor Pro Forma'!$M32/12)))</f>
        <v>12040.46514250948</v>
      </c>
      <c r="CN88" s="1300">
        <f>IF('Sponsor Pro Forma'!$N32="Override",INDEX('Sponsor Pro Forma'!$O$16:$Z$34,MATCH('Monthly Cash Flow'!$B88,'Sponsor Pro Forma'!$B$16:$B$34,0),MATCH('Monthly Cash Flow'!CN$4,'Sponsor Pro Forma'!$O$15:$Z$15,0))/12,IF('Sponsor Pro Forma'!$L$42="Annual",'Monthly Cash Flow'!CM88*(1+'Sponsor Pro Forma'!$M32)^(IF(MOD(CN$5,12)=1,1,0)),'Monthly Cash Flow'!CM88*(1+'Sponsor Pro Forma'!$M32/12)))</f>
        <v>12040.46514250948</v>
      </c>
      <c r="CO88" s="1300">
        <f>IF('Sponsor Pro Forma'!$N32="Override",INDEX('Sponsor Pro Forma'!$O$16:$Z$34,MATCH('Monthly Cash Flow'!$B88,'Sponsor Pro Forma'!$B$16:$B$34,0),MATCH('Monthly Cash Flow'!CO$4,'Sponsor Pro Forma'!$O$15:$Z$15,0))/12,IF('Sponsor Pro Forma'!$L$42="Annual",'Monthly Cash Flow'!CN88*(1+'Sponsor Pro Forma'!$M32)^(IF(MOD(CO$5,12)=1,1,0)),'Monthly Cash Flow'!CN88*(1+'Sponsor Pro Forma'!$M32/12)))</f>
        <v>12040.46514250948</v>
      </c>
      <c r="CP88" s="1300">
        <f>IF('Sponsor Pro Forma'!$N32="Override",INDEX('Sponsor Pro Forma'!$O$16:$Z$34,MATCH('Monthly Cash Flow'!$B88,'Sponsor Pro Forma'!$B$16:$B$34,0),MATCH('Monthly Cash Flow'!CP$4,'Sponsor Pro Forma'!$O$15:$Z$15,0))/12,IF('Sponsor Pro Forma'!$L$42="Annual",'Monthly Cash Flow'!CO88*(1+'Sponsor Pro Forma'!$M32)^(IF(MOD(CP$5,12)=1,1,0)),'Monthly Cash Flow'!CO88*(1+'Sponsor Pro Forma'!$M32/12)))</f>
        <v>12040.46514250948</v>
      </c>
      <c r="CQ88" s="1300">
        <f>IF('Sponsor Pro Forma'!$N32="Override",INDEX('Sponsor Pro Forma'!$O$16:$Z$34,MATCH('Monthly Cash Flow'!$B88,'Sponsor Pro Forma'!$B$16:$B$34,0),MATCH('Monthly Cash Flow'!CQ$4,'Sponsor Pro Forma'!$O$15:$Z$15,0))/12,IF('Sponsor Pro Forma'!$L$42="Annual",'Monthly Cash Flow'!CP88*(1+'Sponsor Pro Forma'!$M32)^(IF(MOD(CQ$5,12)=1,1,0)),'Monthly Cash Flow'!CP88*(1+'Sponsor Pro Forma'!$M32/12)))</f>
        <v>12040.46514250948</v>
      </c>
      <c r="CR88" s="1300">
        <f>IF('Sponsor Pro Forma'!$N32="Override",INDEX('Sponsor Pro Forma'!$O$16:$Z$34,MATCH('Monthly Cash Flow'!$B88,'Sponsor Pro Forma'!$B$16:$B$34,0),MATCH('Monthly Cash Flow'!CR$4,'Sponsor Pro Forma'!$O$15:$Z$15,0))/12,IF('Sponsor Pro Forma'!$L$42="Annual",'Monthly Cash Flow'!CQ88*(1+'Sponsor Pro Forma'!$M32)^(IF(MOD(CR$5,12)=1,1,0)),'Monthly Cash Flow'!CQ88*(1+'Sponsor Pro Forma'!$M32/12)))</f>
        <v>12040.46514250948</v>
      </c>
      <c r="CS88" s="1300">
        <f>IF('Sponsor Pro Forma'!$N32="Override",INDEX('Sponsor Pro Forma'!$O$16:$Z$34,MATCH('Monthly Cash Flow'!$B88,'Sponsor Pro Forma'!$B$16:$B$34,0),MATCH('Monthly Cash Flow'!CS$4,'Sponsor Pro Forma'!$O$15:$Z$15,0))/12,IF('Sponsor Pro Forma'!$L$42="Annual",'Monthly Cash Flow'!CR88*(1+'Sponsor Pro Forma'!$M32)^(IF(MOD(CS$5,12)=1,1,0)),'Monthly Cash Flow'!CR88*(1+'Sponsor Pro Forma'!$M32/12)))</f>
        <v>12040.46514250948</v>
      </c>
      <c r="CT88" s="1300">
        <f>IF('Sponsor Pro Forma'!$N32="Override",INDEX('Sponsor Pro Forma'!$O$16:$Z$34,MATCH('Monthly Cash Flow'!$B88,'Sponsor Pro Forma'!$B$16:$B$34,0),MATCH('Monthly Cash Flow'!CT$4,'Sponsor Pro Forma'!$O$15:$Z$15,0))/12,IF('Sponsor Pro Forma'!$L$42="Annual",'Monthly Cash Flow'!CS88*(1+'Sponsor Pro Forma'!$M32)^(IF(MOD(CT$5,12)=1,1,0)),'Monthly Cash Flow'!CS88*(1+'Sponsor Pro Forma'!$M32/12)))</f>
        <v>12040.46514250948</v>
      </c>
      <c r="CU88" s="1300">
        <f>IF('Sponsor Pro Forma'!$N32="Override",INDEX('Sponsor Pro Forma'!$O$16:$Z$34,MATCH('Monthly Cash Flow'!$B88,'Sponsor Pro Forma'!$B$16:$B$34,0),MATCH('Monthly Cash Flow'!CU$4,'Sponsor Pro Forma'!$O$15:$Z$15,0))/12,IF('Sponsor Pro Forma'!$L$42="Annual",'Monthly Cash Flow'!CT88*(1+'Sponsor Pro Forma'!$M32)^(IF(MOD(CU$5,12)=1,1,0)),'Monthly Cash Flow'!CT88*(1+'Sponsor Pro Forma'!$M32/12)))</f>
        <v>12040.46514250948</v>
      </c>
      <c r="CV88" s="1300">
        <f>IF('Sponsor Pro Forma'!$N32="Override",INDEX('Sponsor Pro Forma'!$O$16:$Z$34,MATCH('Monthly Cash Flow'!$B88,'Sponsor Pro Forma'!$B$16:$B$34,0),MATCH('Monthly Cash Flow'!CV$4,'Sponsor Pro Forma'!$O$15:$Z$15,0))/12,IF('Sponsor Pro Forma'!$L$42="Annual",'Monthly Cash Flow'!CU88*(1+'Sponsor Pro Forma'!$M32)^(IF(MOD(CV$5,12)=1,1,0)),'Monthly Cash Flow'!CU88*(1+'Sponsor Pro Forma'!$M32/12)))</f>
        <v>12040.46514250948</v>
      </c>
      <c r="CW88" s="1300">
        <f>IF('Sponsor Pro Forma'!$N32="Override",INDEX('Sponsor Pro Forma'!$O$16:$Z$34,MATCH('Monthly Cash Flow'!$B88,'Sponsor Pro Forma'!$B$16:$B$34,0),MATCH('Monthly Cash Flow'!CW$4,'Sponsor Pro Forma'!$O$15:$Z$15,0))/12,IF('Sponsor Pro Forma'!$L$42="Annual",'Monthly Cash Flow'!CV88*(1+'Sponsor Pro Forma'!$M32)^(IF(MOD(CW$5,12)=1,1,0)),'Monthly Cash Flow'!CV88*(1+'Sponsor Pro Forma'!$M32/12)))</f>
        <v>12401.679096784765</v>
      </c>
      <c r="CX88" s="1300">
        <f>IF('Sponsor Pro Forma'!$N32="Override",INDEX('Sponsor Pro Forma'!$O$16:$Z$34,MATCH('Monthly Cash Flow'!$B88,'Sponsor Pro Forma'!$B$16:$B$34,0),MATCH('Monthly Cash Flow'!CX$4,'Sponsor Pro Forma'!$O$15:$Z$15,0))/12,IF('Sponsor Pro Forma'!$L$42="Annual",'Monthly Cash Flow'!CW88*(1+'Sponsor Pro Forma'!$M32)^(IF(MOD(CX$5,12)=1,1,0)),'Monthly Cash Flow'!CW88*(1+'Sponsor Pro Forma'!$M32/12)))</f>
        <v>12401.679096784765</v>
      </c>
      <c r="CY88" s="1300">
        <f>IF('Sponsor Pro Forma'!$N32="Override",INDEX('Sponsor Pro Forma'!$O$16:$Z$34,MATCH('Monthly Cash Flow'!$B88,'Sponsor Pro Forma'!$B$16:$B$34,0),MATCH('Monthly Cash Flow'!CY$4,'Sponsor Pro Forma'!$O$15:$Z$15,0))/12,IF('Sponsor Pro Forma'!$L$42="Annual",'Monthly Cash Flow'!CX88*(1+'Sponsor Pro Forma'!$M32)^(IF(MOD(CY$5,12)=1,1,0)),'Monthly Cash Flow'!CX88*(1+'Sponsor Pro Forma'!$M32/12)))</f>
        <v>12401.679096784765</v>
      </c>
      <c r="CZ88" s="1300">
        <f>IF('Sponsor Pro Forma'!$N32="Override",INDEX('Sponsor Pro Forma'!$O$16:$Z$34,MATCH('Monthly Cash Flow'!$B88,'Sponsor Pro Forma'!$B$16:$B$34,0),MATCH('Monthly Cash Flow'!CZ$4,'Sponsor Pro Forma'!$O$15:$Z$15,0))/12,IF('Sponsor Pro Forma'!$L$42="Annual",'Monthly Cash Flow'!CY88*(1+'Sponsor Pro Forma'!$M32)^(IF(MOD(CZ$5,12)=1,1,0)),'Monthly Cash Flow'!CY88*(1+'Sponsor Pro Forma'!$M32/12)))</f>
        <v>12401.679096784765</v>
      </c>
      <c r="DA88" s="1300">
        <f>IF('Sponsor Pro Forma'!$N32="Override",INDEX('Sponsor Pro Forma'!$O$16:$Z$34,MATCH('Monthly Cash Flow'!$B88,'Sponsor Pro Forma'!$B$16:$B$34,0),MATCH('Monthly Cash Flow'!DA$4,'Sponsor Pro Forma'!$O$15:$Z$15,0))/12,IF('Sponsor Pro Forma'!$L$42="Annual",'Monthly Cash Flow'!CZ88*(1+'Sponsor Pro Forma'!$M32)^(IF(MOD(DA$5,12)=1,1,0)),'Monthly Cash Flow'!CZ88*(1+'Sponsor Pro Forma'!$M32/12)))</f>
        <v>12401.679096784765</v>
      </c>
      <c r="DB88" s="1300">
        <f>IF('Sponsor Pro Forma'!$N32="Override",INDEX('Sponsor Pro Forma'!$O$16:$Z$34,MATCH('Monthly Cash Flow'!$B88,'Sponsor Pro Forma'!$B$16:$B$34,0),MATCH('Monthly Cash Flow'!DB$4,'Sponsor Pro Forma'!$O$15:$Z$15,0))/12,IF('Sponsor Pro Forma'!$L$42="Annual",'Monthly Cash Flow'!DA88*(1+'Sponsor Pro Forma'!$M32)^(IF(MOD(DB$5,12)=1,1,0)),'Monthly Cash Flow'!DA88*(1+'Sponsor Pro Forma'!$M32/12)))</f>
        <v>12401.679096784765</v>
      </c>
      <c r="DC88" s="1300">
        <f>IF('Sponsor Pro Forma'!$N32="Override",INDEX('Sponsor Pro Forma'!$O$16:$Z$34,MATCH('Monthly Cash Flow'!$B88,'Sponsor Pro Forma'!$B$16:$B$34,0),MATCH('Monthly Cash Flow'!DC$4,'Sponsor Pro Forma'!$O$15:$Z$15,0))/12,IF('Sponsor Pro Forma'!$L$42="Annual",'Monthly Cash Flow'!DB88*(1+'Sponsor Pro Forma'!$M32)^(IF(MOD(DC$5,12)=1,1,0)),'Monthly Cash Flow'!DB88*(1+'Sponsor Pro Forma'!$M32/12)))</f>
        <v>12401.679096784765</v>
      </c>
      <c r="DD88" s="1300">
        <f>IF('Sponsor Pro Forma'!$N32="Override",INDEX('Sponsor Pro Forma'!$O$16:$Z$34,MATCH('Monthly Cash Flow'!$B88,'Sponsor Pro Forma'!$B$16:$B$34,0),MATCH('Monthly Cash Flow'!DD$4,'Sponsor Pro Forma'!$O$15:$Z$15,0))/12,IF('Sponsor Pro Forma'!$L$42="Annual",'Monthly Cash Flow'!DC88*(1+'Sponsor Pro Forma'!$M32)^(IF(MOD(DD$5,12)=1,1,0)),'Monthly Cash Flow'!DC88*(1+'Sponsor Pro Forma'!$M32/12)))</f>
        <v>12401.679096784765</v>
      </c>
      <c r="DE88" s="1300">
        <f>IF('Sponsor Pro Forma'!$N32="Override",INDEX('Sponsor Pro Forma'!$O$16:$Z$34,MATCH('Monthly Cash Flow'!$B88,'Sponsor Pro Forma'!$B$16:$B$34,0),MATCH('Monthly Cash Flow'!DE$4,'Sponsor Pro Forma'!$O$15:$Z$15,0))/12,IF('Sponsor Pro Forma'!$L$42="Annual",'Monthly Cash Flow'!DD88*(1+'Sponsor Pro Forma'!$M32)^(IF(MOD(DE$5,12)=1,1,0)),'Monthly Cash Flow'!DD88*(1+'Sponsor Pro Forma'!$M32/12)))</f>
        <v>12401.679096784765</v>
      </c>
      <c r="DF88" s="1300">
        <f>IF('Sponsor Pro Forma'!$N32="Override",INDEX('Sponsor Pro Forma'!$O$16:$Z$34,MATCH('Monthly Cash Flow'!$B88,'Sponsor Pro Forma'!$B$16:$B$34,0),MATCH('Monthly Cash Flow'!DF$4,'Sponsor Pro Forma'!$O$15:$Z$15,0))/12,IF('Sponsor Pro Forma'!$L$42="Annual",'Monthly Cash Flow'!DE88*(1+'Sponsor Pro Forma'!$M32)^(IF(MOD(DF$5,12)=1,1,0)),'Monthly Cash Flow'!DE88*(1+'Sponsor Pro Forma'!$M32/12)))</f>
        <v>12401.679096784765</v>
      </c>
      <c r="DG88" s="1300">
        <f>IF('Sponsor Pro Forma'!$N32="Override",INDEX('Sponsor Pro Forma'!$O$16:$Z$34,MATCH('Monthly Cash Flow'!$B88,'Sponsor Pro Forma'!$B$16:$B$34,0),MATCH('Monthly Cash Flow'!DG$4,'Sponsor Pro Forma'!$O$15:$Z$15,0))/12,IF('Sponsor Pro Forma'!$L$42="Annual",'Monthly Cash Flow'!DF88*(1+'Sponsor Pro Forma'!$M32)^(IF(MOD(DG$5,12)=1,1,0)),'Monthly Cash Flow'!DF88*(1+'Sponsor Pro Forma'!$M32/12)))</f>
        <v>12401.679096784765</v>
      </c>
      <c r="DH88" s="1300">
        <f>IF('Sponsor Pro Forma'!$N32="Override",INDEX('Sponsor Pro Forma'!$O$16:$Z$34,MATCH('Monthly Cash Flow'!$B88,'Sponsor Pro Forma'!$B$16:$B$34,0),MATCH('Monthly Cash Flow'!DH$4,'Sponsor Pro Forma'!$O$15:$Z$15,0))/12,IF('Sponsor Pro Forma'!$L$42="Annual",'Monthly Cash Flow'!DG88*(1+'Sponsor Pro Forma'!$M32)^(IF(MOD(DH$5,12)=1,1,0)),'Monthly Cash Flow'!DG88*(1+'Sponsor Pro Forma'!$M32/12)))</f>
        <v>12401.679096784765</v>
      </c>
      <c r="DI88" s="1300">
        <f>IF('Sponsor Pro Forma'!$N32="Override",INDEX('Sponsor Pro Forma'!$O$16:$Z$34,MATCH('Monthly Cash Flow'!$B88,'Sponsor Pro Forma'!$B$16:$B$34,0),MATCH('Monthly Cash Flow'!DI$4,'Sponsor Pro Forma'!$O$15:$Z$15,0))/12,IF('Sponsor Pro Forma'!$L$42="Annual",'Monthly Cash Flow'!DH88*(1+'Sponsor Pro Forma'!$M32)^(IF(MOD(DI$5,12)=1,1,0)),'Monthly Cash Flow'!DH88*(1+'Sponsor Pro Forma'!$M32/12)))</f>
        <v>12773.729469688307</v>
      </c>
      <c r="DJ88" s="1300">
        <f>IF('Sponsor Pro Forma'!$N32="Override",INDEX('Sponsor Pro Forma'!$O$16:$Z$34,MATCH('Monthly Cash Flow'!$B88,'Sponsor Pro Forma'!$B$16:$B$34,0),MATCH('Monthly Cash Flow'!DJ$4,'Sponsor Pro Forma'!$O$15:$Z$15,0))/12,IF('Sponsor Pro Forma'!$L$42="Annual",'Monthly Cash Flow'!DI88*(1+'Sponsor Pro Forma'!$M32)^(IF(MOD(DJ$5,12)=1,1,0)),'Monthly Cash Flow'!DI88*(1+'Sponsor Pro Forma'!$M32/12)))</f>
        <v>12773.729469688307</v>
      </c>
      <c r="DK88" s="1300">
        <f>IF('Sponsor Pro Forma'!$N32="Override",INDEX('Sponsor Pro Forma'!$O$16:$Z$34,MATCH('Monthly Cash Flow'!$B88,'Sponsor Pro Forma'!$B$16:$B$34,0),MATCH('Monthly Cash Flow'!DK$4,'Sponsor Pro Forma'!$O$15:$Z$15,0))/12,IF('Sponsor Pro Forma'!$L$42="Annual",'Monthly Cash Flow'!DJ88*(1+'Sponsor Pro Forma'!$M32)^(IF(MOD(DK$5,12)=1,1,0)),'Monthly Cash Flow'!DJ88*(1+'Sponsor Pro Forma'!$M32/12)))</f>
        <v>12773.729469688307</v>
      </c>
      <c r="DL88" s="1300">
        <f>IF('Sponsor Pro Forma'!$N32="Override",INDEX('Sponsor Pro Forma'!$O$16:$Z$34,MATCH('Monthly Cash Flow'!$B88,'Sponsor Pro Forma'!$B$16:$B$34,0),MATCH('Monthly Cash Flow'!DL$4,'Sponsor Pro Forma'!$O$15:$Z$15,0))/12,IF('Sponsor Pro Forma'!$L$42="Annual",'Monthly Cash Flow'!DK88*(1+'Sponsor Pro Forma'!$M32)^(IF(MOD(DL$5,12)=1,1,0)),'Monthly Cash Flow'!DK88*(1+'Sponsor Pro Forma'!$M32/12)))</f>
        <v>12773.729469688307</v>
      </c>
      <c r="DM88" s="1300">
        <f>IF('Sponsor Pro Forma'!$N32="Override",INDEX('Sponsor Pro Forma'!$O$16:$Z$34,MATCH('Monthly Cash Flow'!$B88,'Sponsor Pro Forma'!$B$16:$B$34,0),MATCH('Monthly Cash Flow'!DM$4,'Sponsor Pro Forma'!$O$15:$Z$15,0))/12,IF('Sponsor Pro Forma'!$L$42="Annual",'Monthly Cash Flow'!DL88*(1+'Sponsor Pro Forma'!$M32)^(IF(MOD(DM$5,12)=1,1,0)),'Monthly Cash Flow'!DL88*(1+'Sponsor Pro Forma'!$M32/12)))</f>
        <v>12773.729469688307</v>
      </c>
      <c r="DN88" s="1300">
        <f>IF('Sponsor Pro Forma'!$N32="Override",INDEX('Sponsor Pro Forma'!$O$16:$Z$34,MATCH('Monthly Cash Flow'!$B88,'Sponsor Pro Forma'!$B$16:$B$34,0),MATCH('Monthly Cash Flow'!DN$4,'Sponsor Pro Forma'!$O$15:$Z$15,0))/12,IF('Sponsor Pro Forma'!$L$42="Annual",'Monthly Cash Flow'!DM88*(1+'Sponsor Pro Forma'!$M32)^(IF(MOD(DN$5,12)=1,1,0)),'Monthly Cash Flow'!DM88*(1+'Sponsor Pro Forma'!$M32/12)))</f>
        <v>12773.729469688307</v>
      </c>
      <c r="DO88" s="1300">
        <f>IF('Sponsor Pro Forma'!$N32="Override",INDEX('Sponsor Pro Forma'!$O$16:$Z$34,MATCH('Monthly Cash Flow'!$B88,'Sponsor Pro Forma'!$B$16:$B$34,0),MATCH('Monthly Cash Flow'!DO$4,'Sponsor Pro Forma'!$O$15:$Z$15,0))/12,IF('Sponsor Pro Forma'!$L$42="Annual",'Monthly Cash Flow'!DN88*(1+'Sponsor Pro Forma'!$M32)^(IF(MOD(DO$5,12)=1,1,0)),'Monthly Cash Flow'!DN88*(1+'Sponsor Pro Forma'!$M32/12)))</f>
        <v>12773.729469688307</v>
      </c>
      <c r="DP88" s="1300">
        <f>IF('Sponsor Pro Forma'!$N32="Override",INDEX('Sponsor Pro Forma'!$O$16:$Z$34,MATCH('Monthly Cash Flow'!$B88,'Sponsor Pro Forma'!$B$16:$B$34,0),MATCH('Monthly Cash Flow'!DP$4,'Sponsor Pro Forma'!$O$15:$Z$15,0))/12,IF('Sponsor Pro Forma'!$L$42="Annual",'Monthly Cash Flow'!DO88*(1+'Sponsor Pro Forma'!$M32)^(IF(MOD(DP$5,12)=1,1,0)),'Monthly Cash Flow'!DO88*(1+'Sponsor Pro Forma'!$M32/12)))</f>
        <v>12773.729469688307</v>
      </c>
      <c r="DQ88" s="1300">
        <f>IF('Sponsor Pro Forma'!$N32="Override",INDEX('Sponsor Pro Forma'!$O$16:$Z$34,MATCH('Monthly Cash Flow'!$B88,'Sponsor Pro Forma'!$B$16:$B$34,0),MATCH('Monthly Cash Flow'!DQ$4,'Sponsor Pro Forma'!$O$15:$Z$15,0))/12,IF('Sponsor Pro Forma'!$L$42="Annual",'Monthly Cash Flow'!DP88*(1+'Sponsor Pro Forma'!$M32)^(IF(MOD(DQ$5,12)=1,1,0)),'Monthly Cash Flow'!DP88*(1+'Sponsor Pro Forma'!$M32/12)))</f>
        <v>12773.729469688307</v>
      </c>
      <c r="DR88" s="1300">
        <f>IF('Sponsor Pro Forma'!$N32="Override",INDEX('Sponsor Pro Forma'!$O$16:$Z$34,MATCH('Monthly Cash Flow'!$B88,'Sponsor Pro Forma'!$B$16:$B$34,0),MATCH('Monthly Cash Flow'!DR$4,'Sponsor Pro Forma'!$O$15:$Z$15,0))/12,IF('Sponsor Pro Forma'!$L$42="Annual",'Monthly Cash Flow'!DQ88*(1+'Sponsor Pro Forma'!$M32)^(IF(MOD(DR$5,12)=1,1,0)),'Monthly Cash Flow'!DQ88*(1+'Sponsor Pro Forma'!$M32/12)))</f>
        <v>12773.729469688307</v>
      </c>
      <c r="DS88" s="1300">
        <f>IF('Sponsor Pro Forma'!$N32="Override",INDEX('Sponsor Pro Forma'!$O$16:$Z$34,MATCH('Monthly Cash Flow'!$B88,'Sponsor Pro Forma'!$B$16:$B$34,0),MATCH('Monthly Cash Flow'!DS$4,'Sponsor Pro Forma'!$O$15:$Z$15,0))/12,IF('Sponsor Pro Forma'!$L$42="Annual",'Monthly Cash Flow'!DR88*(1+'Sponsor Pro Forma'!$M32)^(IF(MOD(DS$5,12)=1,1,0)),'Monthly Cash Flow'!DR88*(1+'Sponsor Pro Forma'!$M32/12)))</f>
        <v>12773.729469688307</v>
      </c>
      <c r="DT88" s="1300">
        <f>IF('Sponsor Pro Forma'!$N32="Override",INDEX('Sponsor Pro Forma'!$O$16:$Z$34,MATCH('Monthly Cash Flow'!$B88,'Sponsor Pro Forma'!$B$16:$B$34,0),MATCH('Monthly Cash Flow'!DT$4,'Sponsor Pro Forma'!$O$15:$Z$15,0))/12,IF('Sponsor Pro Forma'!$L$42="Annual",'Monthly Cash Flow'!DS88*(1+'Sponsor Pro Forma'!$M32)^(IF(MOD(DT$5,12)=1,1,0)),'Monthly Cash Flow'!DS88*(1+'Sponsor Pro Forma'!$M32/12)))</f>
        <v>12773.729469688307</v>
      </c>
      <c r="DU88" s="401" t="s">
        <v>557</v>
      </c>
      <c r="DV88" s="196"/>
    </row>
    <row r="89" spans="1:126" s="5" customFormat="1" ht="15" customHeight="1">
      <c r="A89" s="399">
        <v>9</v>
      </c>
      <c r="B89" s="203" t="str">
        <f>'Debt Sizing'!A34</f>
        <v xml:space="preserve">Property Management </v>
      </c>
      <c r="C89" s="397"/>
      <c r="D89" s="426">
        <f>'Sponsor Pro Forma'!L33</f>
        <v>0.03</v>
      </c>
      <c r="E89" s="1303">
        <f>$D$89*E76</f>
        <v>11706.142481874245</v>
      </c>
      <c r="F89" s="400">
        <f>$D$89*F76</f>
        <v>11772.191648420072</v>
      </c>
      <c r="G89" s="400">
        <f t="shared" ref="G89:BR89" si="145">$D$89*G76</f>
        <v>11838.681142742871</v>
      </c>
      <c r="H89" s="400">
        <f t="shared" si="145"/>
        <v>11905.613900361159</v>
      </c>
      <c r="I89" s="400">
        <f t="shared" si="145"/>
        <v>11972.992876363565</v>
      </c>
      <c r="J89" s="400">
        <f t="shared" si="145"/>
        <v>12040.821045539322</v>
      </c>
      <c r="K89" s="400">
        <f t="shared" si="145"/>
        <v>12109.101402509585</v>
      </c>
      <c r="L89" s="400">
        <f t="shared" si="145"/>
        <v>12177.836961859646</v>
      </c>
      <c r="M89" s="400">
        <f t="shared" si="145"/>
        <v>12247.030758272042</v>
      </c>
      <c r="N89" s="400">
        <f t="shared" si="145"/>
        <v>12316.685846660524</v>
      </c>
      <c r="O89" s="400">
        <f t="shared" si="145"/>
        <v>12386.805302304927</v>
      </c>
      <c r="P89" s="400">
        <f t="shared" si="145"/>
        <v>12457.392220986956</v>
      </c>
      <c r="Q89" s="400">
        <f t="shared" si="145"/>
        <v>12577.971650493124</v>
      </c>
      <c r="R89" s="400">
        <f t="shared" si="145"/>
        <v>12645.00440752746</v>
      </c>
      <c r="S89" s="400">
        <f t="shared" si="145"/>
        <v>12712.456119293256</v>
      </c>
      <c r="T89" s="400">
        <f t="shared" si="145"/>
        <v>12780.329404257591</v>
      </c>
      <c r="U89" s="400">
        <f t="shared" si="145"/>
        <v>12848.626897252951</v>
      </c>
      <c r="V89" s="400">
        <f t="shared" si="145"/>
        <v>12917.351249579535</v>
      </c>
      <c r="W89" s="400">
        <f t="shared" si="145"/>
        <v>12986.505129108158</v>
      </c>
      <c r="X89" s="400">
        <f t="shared" si="145"/>
        <v>13056.091220383832</v>
      </c>
      <c r="Y89" s="400">
        <f t="shared" si="145"/>
        <v>13126.112224729985</v>
      </c>
      <c r="Z89" s="400">
        <f t="shared" si="145"/>
        <v>13196.570860353297</v>
      </c>
      <c r="AA89" s="400">
        <f t="shared" si="145"/>
        <v>13267.469862449256</v>
      </c>
      <c r="AB89" s="400">
        <f t="shared" si="145"/>
        <v>13338.811983308315</v>
      </c>
      <c r="AC89" s="400">
        <f t="shared" si="145"/>
        <v>13432.680837252678</v>
      </c>
      <c r="AD89" s="400">
        <f t="shared" si="145"/>
        <v>13471.095398574354</v>
      </c>
      <c r="AE89" s="400">
        <f t="shared" si="145"/>
        <v>13509.638008433769</v>
      </c>
      <c r="AF89" s="400">
        <f t="shared" si="145"/>
        <v>13548.309093659382</v>
      </c>
      <c r="AG89" s="400">
        <f t="shared" si="145"/>
        <v>13587.109082502411</v>
      </c>
      <c r="AH89" s="400">
        <f t="shared" si="145"/>
        <v>13626.038404641591</v>
      </c>
      <c r="AI89" s="400">
        <f t="shared" si="145"/>
        <v>13665.097491187897</v>
      </c>
      <c r="AJ89" s="400">
        <f t="shared" si="145"/>
        <v>13704.286774689359</v>
      </c>
      <c r="AK89" s="400">
        <f t="shared" si="145"/>
        <v>13743.60668913582</v>
      </c>
      <c r="AL89" s="400">
        <f t="shared" si="145"/>
        <v>13783.057669963777</v>
      </c>
      <c r="AM89" s="400">
        <f t="shared" si="145"/>
        <v>13822.640154061155</v>
      </c>
      <c r="AN89" s="400">
        <f t="shared" si="145"/>
        <v>13862.354579772196</v>
      </c>
      <c r="AO89" s="400">
        <f t="shared" si="145"/>
        <v>13959.450760124768</v>
      </c>
      <c r="AP89" s="400">
        <f t="shared" si="145"/>
        <v>13999.430389945281</v>
      </c>
      <c r="AQ89" s="400">
        <f t="shared" si="145"/>
        <v>14039.543285198521</v>
      </c>
      <c r="AR89" s="400">
        <f t="shared" si="145"/>
        <v>14079.789890102611</v>
      </c>
      <c r="AS89" s="400">
        <f t="shared" si="145"/>
        <v>14120.170650356378</v>
      </c>
      <c r="AT89" s="400">
        <f t="shared" si="145"/>
        <v>14160.686013144323</v>
      </c>
      <c r="AU89" s="400">
        <f t="shared" si="145"/>
        <v>14201.336427141567</v>
      </c>
      <c r="AV89" s="400">
        <f t="shared" si="145"/>
        <v>14242.122342518795</v>
      </c>
      <c r="AW89" s="400">
        <f t="shared" si="145"/>
        <v>14283.044210947286</v>
      </c>
      <c r="AX89" s="400">
        <f t="shared" si="145"/>
        <v>14324.102485603868</v>
      </c>
      <c r="AY89" s="400">
        <f t="shared" si="145"/>
        <v>14365.297621175976</v>
      </c>
      <c r="AZ89" s="400">
        <f t="shared" si="145"/>
        <v>14406.630073866652</v>
      </c>
      <c r="BA89" s="400">
        <f t="shared" si="145"/>
        <v>14500.404202385862</v>
      </c>
      <c r="BB89" s="400">
        <f t="shared" si="145"/>
        <v>14541.990454165842</v>
      </c>
      <c r="BC89" s="400">
        <f t="shared" si="145"/>
        <v>14583.715326785092</v>
      </c>
      <c r="BD89" s="400">
        <f t="shared" si="145"/>
        <v>14625.579282313069</v>
      </c>
      <c r="BE89" s="400">
        <f t="shared" si="145"/>
        <v>14667.582784359476</v>
      </c>
      <c r="BF89" s="400">
        <f t="shared" si="145"/>
        <v>14709.726298079368</v>
      </c>
      <c r="BG89" s="400">
        <f t="shared" si="145"/>
        <v>14752.010290178328</v>
      </c>
      <c r="BH89" s="400">
        <f t="shared" si="145"/>
        <v>14794.435228917617</v>
      </c>
      <c r="BI89" s="400">
        <f t="shared" si="145"/>
        <v>14837.001584119376</v>
      </c>
      <c r="BJ89" s="400">
        <f t="shared" si="145"/>
        <v>14879.709827171797</v>
      </c>
      <c r="BK89" s="400">
        <f t="shared" si="145"/>
        <v>14922.560431034402</v>
      </c>
      <c r="BL89" s="400">
        <f t="shared" si="145"/>
        <v>14965.55387024321</v>
      </c>
      <c r="BM89" s="400">
        <f t="shared" si="145"/>
        <v>15069.426480967801</v>
      </c>
      <c r="BN89" s="400">
        <f t="shared" si="145"/>
        <v>15112.70702080955</v>
      </c>
      <c r="BO89" s="400">
        <f t="shared" si="145"/>
        <v>15156.131829117436</v>
      </c>
      <c r="BP89" s="400">
        <f t="shared" si="145"/>
        <v>15199.701386786353</v>
      </c>
      <c r="BQ89" s="400">
        <f t="shared" si="145"/>
        <v>15243.416176314164</v>
      </c>
      <c r="BR89" s="400">
        <f t="shared" si="145"/>
        <v>15287.276681807067</v>
      </c>
      <c r="BS89" s="400">
        <f t="shared" ref="BS89:DT89" si="146">$D$89*BS76</f>
        <v>15331.283388984944</v>
      </c>
      <c r="BT89" s="400">
        <f t="shared" si="146"/>
        <v>15375.436785186756</v>
      </c>
      <c r="BU89" s="400">
        <f t="shared" si="146"/>
        <v>15419.737359375897</v>
      </c>
      <c r="BV89" s="400">
        <f t="shared" si="146"/>
        <v>15464.185602145672</v>
      </c>
      <c r="BW89" s="400">
        <f t="shared" si="146"/>
        <v>15508.782005724684</v>
      </c>
      <c r="BX89" s="400">
        <f t="shared" si="146"/>
        <v>15553.527063982287</v>
      </c>
      <c r="BY89" s="400">
        <f t="shared" si="146"/>
        <v>15660.979208287386</v>
      </c>
      <c r="BZ89" s="400">
        <f t="shared" si="146"/>
        <v>15706.023064100691</v>
      </c>
      <c r="CA89" s="400">
        <f t="shared" si="146"/>
        <v>15751.21706610004</v>
      </c>
      <c r="CB89" s="400">
        <f t="shared" si="146"/>
        <v>15796.561714772719</v>
      </c>
      <c r="CC89" s="400">
        <f t="shared" si="146"/>
        <v>15842.057512274303</v>
      </c>
      <c r="CD89" s="400">
        <f t="shared" si="146"/>
        <v>15887.704962434229</v>
      </c>
      <c r="CE89" s="400">
        <f t="shared" si="146"/>
        <v>15933.504570761359</v>
      </c>
      <c r="CF89" s="400">
        <f t="shared" si="146"/>
        <v>15979.456844449576</v>
      </c>
      <c r="CG89" s="400">
        <f t="shared" si="146"/>
        <v>16025.562292383418</v>
      </c>
      <c r="CH89" s="400">
        <f t="shared" si="146"/>
        <v>16071.821425143708</v>
      </c>
      <c r="CI89" s="400">
        <f t="shared" si="146"/>
        <v>16118.2347550132</v>
      </c>
      <c r="CJ89" s="400">
        <f t="shared" si="146"/>
        <v>16164.802795982258</v>
      </c>
      <c r="CK89" s="400">
        <f t="shared" si="146"/>
        <v>16275.960737683443</v>
      </c>
      <c r="CL89" s="400">
        <f t="shared" si="146"/>
        <v>16322.839749681638</v>
      </c>
      <c r="CM89" s="400">
        <f t="shared" si="146"/>
        <v>16369.875025053156</v>
      </c>
      <c r="CN89" s="400">
        <f t="shared" si="146"/>
        <v>16417.067084675917</v>
      </c>
      <c r="CO89" s="400">
        <f t="shared" si="146"/>
        <v>16464.416451164085</v>
      </c>
      <c r="CP89" s="400">
        <f t="shared" si="146"/>
        <v>16511.923648873882</v>
      </c>
      <c r="CQ89" s="400">
        <f t="shared" si="146"/>
        <v>16559.589203909378</v>
      </c>
      <c r="CR89" s="400">
        <f t="shared" si="146"/>
        <v>16607.413644128323</v>
      </c>
      <c r="CS89" s="400">
        <f t="shared" si="146"/>
        <v>16655.397499147999</v>
      </c>
      <c r="CT89" s="400">
        <f t="shared" si="146"/>
        <v>16703.541300351073</v>
      </c>
      <c r="CU89" s="400">
        <f t="shared" si="146"/>
        <v>16751.845580891495</v>
      </c>
      <c r="CV89" s="400">
        <f t="shared" si="146"/>
        <v>16800.310875700379</v>
      </c>
      <c r="CW89" s="400">
        <f t="shared" si="146"/>
        <v>16915.305435638733</v>
      </c>
      <c r="CX89" s="400">
        <f t="shared" si="146"/>
        <v>16964.094370916289</v>
      </c>
      <c r="CY89" s="400">
        <f t="shared" si="146"/>
        <v>17013.045935978105</v>
      </c>
      <c r="CZ89" s="400">
        <f t="shared" si="146"/>
        <v>17062.160672923463</v>
      </c>
      <c r="DA89" s="400">
        <f t="shared" si="146"/>
        <v>17111.439125658628</v>
      </c>
      <c r="DB89" s="400">
        <f t="shared" si="146"/>
        <v>17160.881839902919</v>
      </c>
      <c r="DC89" s="400">
        <f t="shared" si="146"/>
        <v>17210.489363194687</v>
      </c>
      <c r="DD89" s="400">
        <f t="shared" si="146"/>
        <v>17260.262244897429</v>
      </c>
      <c r="DE89" s="400">
        <f t="shared" si="146"/>
        <v>17310.20103620585</v>
      </c>
      <c r="DF89" s="400">
        <f t="shared" si="146"/>
        <v>17360.306290151962</v>
      </c>
      <c r="DG89" s="400">
        <f t="shared" si="146"/>
        <v>17410.578561611226</v>
      </c>
      <c r="DH89" s="400">
        <f t="shared" si="146"/>
        <v>17461.018407308689</v>
      </c>
      <c r="DI89" s="400">
        <f t="shared" si="146"/>
        <v>17579.985131396315</v>
      </c>
      <c r="DJ89" s="400">
        <f t="shared" si="146"/>
        <v>17630.761803174493</v>
      </c>
      <c r="DK89" s="400">
        <f t="shared" si="146"/>
        <v>17681.707730525264</v>
      </c>
      <c r="DL89" s="400">
        <f t="shared" si="146"/>
        <v>17732.823477633872</v>
      </c>
      <c r="DM89" s="400">
        <f t="shared" si="146"/>
        <v>17784.109610566175</v>
      </c>
      <c r="DN89" s="400">
        <f t="shared" si="146"/>
        <v>17835.566697274917</v>
      </c>
      <c r="DO89" s="400">
        <f t="shared" si="146"/>
        <v>17887.195307606024</v>
      </c>
      <c r="DP89" s="400">
        <f t="shared" si="146"/>
        <v>17938.996013304899</v>
      </c>
      <c r="DQ89" s="400">
        <f t="shared" si="146"/>
        <v>17990.969388022768</v>
      </c>
      <c r="DR89" s="400">
        <f t="shared" si="146"/>
        <v>18043.116007323035</v>
      </c>
      <c r="DS89" s="400">
        <f t="shared" si="146"/>
        <v>18095.436448687633</v>
      </c>
      <c r="DT89" s="400">
        <f t="shared" si="146"/>
        <v>18147.931291523448</v>
      </c>
      <c r="DU89" s="401" t="s">
        <v>557</v>
      </c>
      <c r="DV89" s="196"/>
    </row>
    <row r="90" spans="1:126" s="5" customFormat="1" ht="19">
      <c r="A90" s="399">
        <v>9</v>
      </c>
      <c r="B90" s="203" t="str">
        <f>'Debt Sizing'!A35</f>
        <v>Real Estate Taxes</v>
      </c>
      <c r="C90" s="101"/>
      <c r="D90" s="413">
        <f>IF('Sponsor Pro Forma'!$N34="Override",'Sponsor Pro Forma'!$O34/12,'Sponsor Pro Forma'!K34/12)</f>
        <v>39899.360000000001</v>
      </c>
      <c r="E90" s="1303">
        <f t="shared" ref="E90:E92" si="147">D90</f>
        <v>39899.360000000001</v>
      </c>
      <c r="F90" s="1295" cm="1">
        <f t="array" ref="F90">IF(AND('Sponsor Pro Forma'!$N$34="Override",'Monthly Cash Flow'!F$5&gt;'Inputs and Assumptions'!$P$6),Taxes!$O$14,IF('Sponsor Pro Forma'!$N$34="Override",INDEX('Sponsor Pro Forma'!$O$34:$Z$34,,MATCH('Monthly Cash Flow'!F$4,'Sponsor Pro Forma'!$O$22:$Z$22,0))/12,IF('Monthly Cash Flow'!F$5&gt;'Inputs and Assumptions'!$P$6,Taxes!$O$14,IF('Sponsor Pro Forma'!$L$42="Annual",'Monthly Cash Flow'!E90*(1+'Sponsor Pro Forma'!$M32)^(IF(MOD(F$5,12)=1,1,0)),'Monthly Cash Flow'!E90*(1+'Sponsor Pro Forma'!$M$34/12)))))</f>
        <v>39899.360000000001</v>
      </c>
      <c r="G90" s="1295" cm="1">
        <f t="array" ref="G90">IF(AND('Sponsor Pro Forma'!$N$34="Override",'Monthly Cash Flow'!G$5&gt;'Inputs and Assumptions'!$P$6),Taxes!$O$14,IF('Sponsor Pro Forma'!$N$34="Override",INDEX('Sponsor Pro Forma'!$O$34:$Z$34,,MATCH('Monthly Cash Flow'!G$4,'Sponsor Pro Forma'!$O$22:$Z$22,0))/12,IF('Monthly Cash Flow'!G$5&gt;'Inputs and Assumptions'!$P$6,Taxes!$O$14,IF('Sponsor Pro Forma'!$L$42="Annual",'Monthly Cash Flow'!F90*(1+'Sponsor Pro Forma'!$M32)^(IF(MOD(G$5,12)=1,1,0)),'Monthly Cash Flow'!F90*(1+'Sponsor Pro Forma'!$M$34/12)))))</f>
        <v>39899.360000000001</v>
      </c>
      <c r="H90" s="1295" cm="1">
        <f t="array" ref="H90">IF(AND('Sponsor Pro Forma'!$N$34="Override",'Monthly Cash Flow'!H$5&gt;'Inputs and Assumptions'!$P$6),Taxes!$O$14,IF('Sponsor Pro Forma'!$N$34="Override",INDEX('Sponsor Pro Forma'!$O$34:$Z$34,,MATCH('Monthly Cash Flow'!H$4,'Sponsor Pro Forma'!$O$22:$Z$22,0))/12,IF('Monthly Cash Flow'!H$5&gt;'Inputs and Assumptions'!$P$6,Taxes!$O$14,IF('Sponsor Pro Forma'!$L$42="Annual",'Monthly Cash Flow'!G90*(1+'Sponsor Pro Forma'!$M32)^(IF(MOD(H$5,12)=1,1,0)),'Monthly Cash Flow'!G90*(1+'Sponsor Pro Forma'!$M$34/12)))))</f>
        <v>39899.360000000001</v>
      </c>
      <c r="I90" s="1295" cm="1">
        <f t="array" ref="I90">IF(AND('Sponsor Pro Forma'!$N$34="Override",'Monthly Cash Flow'!I$5&gt;'Inputs and Assumptions'!$P$6),Taxes!$O$14,IF('Sponsor Pro Forma'!$N$34="Override",INDEX('Sponsor Pro Forma'!$O$34:$Z$34,,MATCH('Monthly Cash Flow'!I$4,'Sponsor Pro Forma'!$O$22:$Z$22,0))/12,IF('Monthly Cash Flow'!I$5&gt;'Inputs and Assumptions'!$P$6,Taxes!$O$14,IF('Sponsor Pro Forma'!$L$42="Annual",'Monthly Cash Flow'!H90*(1+'Sponsor Pro Forma'!$M32)^(IF(MOD(I$5,12)=1,1,0)),'Monthly Cash Flow'!H90*(1+'Sponsor Pro Forma'!$M$34/12)))))</f>
        <v>39899.360000000001</v>
      </c>
      <c r="J90" s="1295" cm="1">
        <f t="array" ref="J90">IF(AND('Sponsor Pro Forma'!$N$34="Override",'Monthly Cash Flow'!J$5&gt;'Inputs and Assumptions'!$P$6),Taxes!$O$14,IF('Sponsor Pro Forma'!$N$34="Override",INDEX('Sponsor Pro Forma'!$O$34:$Z$34,,MATCH('Monthly Cash Flow'!J$4,'Sponsor Pro Forma'!$O$22:$Z$22,0))/12,IF('Monthly Cash Flow'!J$5&gt;'Inputs and Assumptions'!$P$6,Taxes!$O$14,IF('Sponsor Pro Forma'!$L$42="Annual",'Monthly Cash Flow'!I90*(1+'Sponsor Pro Forma'!$M32)^(IF(MOD(J$5,12)=1,1,0)),'Monthly Cash Flow'!I90*(1+'Sponsor Pro Forma'!$M$34/12)))))</f>
        <v>39899.360000000001</v>
      </c>
      <c r="K90" s="1295" cm="1">
        <f t="array" ref="K90">IF(AND('Sponsor Pro Forma'!$N$34="Override",'Monthly Cash Flow'!K$5&gt;'Inputs and Assumptions'!$P$6),Taxes!$O$14,IF('Sponsor Pro Forma'!$N$34="Override",INDEX('Sponsor Pro Forma'!$O$34:$Z$34,,MATCH('Monthly Cash Flow'!K$4,'Sponsor Pro Forma'!$O$22:$Z$22,0))/12,IF('Monthly Cash Flow'!K$5&gt;'Inputs and Assumptions'!$P$6,Taxes!$O$14,IF('Sponsor Pro Forma'!$L$42="Annual",'Monthly Cash Flow'!J90*(1+'Sponsor Pro Forma'!$M32)^(IF(MOD(K$5,12)=1,1,0)),'Monthly Cash Flow'!J90*(1+'Sponsor Pro Forma'!$M$34/12)))))</f>
        <v>39899.360000000001</v>
      </c>
      <c r="L90" s="1295" cm="1">
        <f t="array" ref="L90">IF(AND('Sponsor Pro Forma'!$N$34="Override",'Monthly Cash Flow'!L$5&gt;'Inputs and Assumptions'!$P$6),Taxes!$O$14,IF('Sponsor Pro Forma'!$N$34="Override",INDEX('Sponsor Pro Forma'!$O$34:$Z$34,,MATCH('Monthly Cash Flow'!L$4,'Sponsor Pro Forma'!$O$22:$Z$22,0))/12,IF('Monthly Cash Flow'!L$5&gt;'Inputs and Assumptions'!$P$6,Taxes!$O$14,IF('Sponsor Pro Forma'!$L$42="Annual",'Monthly Cash Flow'!K90*(1+'Sponsor Pro Forma'!$M32)^(IF(MOD(L$5,12)=1,1,0)),'Monthly Cash Flow'!K90*(1+'Sponsor Pro Forma'!$M$34/12)))))</f>
        <v>39899.360000000001</v>
      </c>
      <c r="M90" s="1295" cm="1">
        <f t="array" ref="M90">IF(AND('Sponsor Pro Forma'!$N$34="Override",'Monthly Cash Flow'!M$5&gt;'Inputs and Assumptions'!$P$6),Taxes!$O$14,IF('Sponsor Pro Forma'!$N$34="Override",INDEX('Sponsor Pro Forma'!$O$34:$Z$34,,MATCH('Monthly Cash Flow'!M$4,'Sponsor Pro Forma'!$O$22:$Z$22,0))/12,IF('Monthly Cash Flow'!M$5&gt;'Inputs and Assumptions'!$P$6,Taxes!$O$14,IF('Sponsor Pro Forma'!$L$42="Annual",'Monthly Cash Flow'!L90*(1+'Sponsor Pro Forma'!$M32)^(IF(MOD(M$5,12)=1,1,0)),'Monthly Cash Flow'!L90*(1+'Sponsor Pro Forma'!$M$34/12)))))</f>
        <v>39899.360000000001</v>
      </c>
      <c r="N90" s="1295" cm="1">
        <f t="array" ref="N90">IF(AND('Sponsor Pro Forma'!$N$34="Override",'Monthly Cash Flow'!N$5&gt;'Inputs and Assumptions'!$P$6),Taxes!$O$14,IF('Sponsor Pro Forma'!$N$34="Override",INDEX('Sponsor Pro Forma'!$O$34:$Z$34,,MATCH('Monthly Cash Flow'!N$4,'Sponsor Pro Forma'!$O$22:$Z$22,0))/12,IF('Monthly Cash Flow'!N$5&gt;'Inputs and Assumptions'!$P$6,Taxes!$O$14,IF('Sponsor Pro Forma'!$L$42="Annual",'Monthly Cash Flow'!M90*(1+'Sponsor Pro Forma'!$M32)^(IF(MOD(N$5,12)=1,1,0)),'Monthly Cash Flow'!M90*(1+'Sponsor Pro Forma'!$M$34/12)))))</f>
        <v>39899.360000000001</v>
      </c>
      <c r="O90" s="1295" cm="1">
        <f t="array" ref="O90">IF(AND('Sponsor Pro Forma'!$N$34="Override",'Monthly Cash Flow'!O$5&gt;'Inputs and Assumptions'!$P$6),Taxes!$O$14,IF('Sponsor Pro Forma'!$N$34="Override",INDEX('Sponsor Pro Forma'!$O$34:$Z$34,,MATCH('Monthly Cash Flow'!O$4,'Sponsor Pro Forma'!$O$22:$Z$22,0))/12,IF('Monthly Cash Flow'!O$5&gt;'Inputs and Assumptions'!$P$6,Taxes!$O$14,IF('Sponsor Pro Forma'!$L$42="Annual",'Monthly Cash Flow'!N90*(1+'Sponsor Pro Forma'!$M32)^(IF(MOD(O$5,12)=1,1,0)),'Monthly Cash Flow'!N90*(1+'Sponsor Pro Forma'!$M$34/12)))))</f>
        <v>39899.360000000001</v>
      </c>
      <c r="P90" s="1295" cm="1">
        <f t="array" ref="P90">IF(AND('Sponsor Pro Forma'!$N$34="Override",'Monthly Cash Flow'!P$5&gt;'Inputs and Assumptions'!$P$6),Taxes!$O$14,IF('Sponsor Pro Forma'!$N$34="Override",INDEX('Sponsor Pro Forma'!$O$34:$Z$34,,MATCH('Monthly Cash Flow'!P$4,'Sponsor Pro Forma'!$O$22:$Z$22,0))/12,IF('Monthly Cash Flow'!P$5&gt;'Inputs and Assumptions'!$P$6,Taxes!$O$14,IF('Sponsor Pro Forma'!$L$42="Annual",'Monthly Cash Flow'!O90*(1+'Sponsor Pro Forma'!$M32)^(IF(MOD(P$5,12)=1,1,0)),'Monthly Cash Flow'!O90*(1+'Sponsor Pro Forma'!$M$34/12)))))</f>
        <v>39899.360000000001</v>
      </c>
      <c r="Q90" s="1295" cm="1">
        <f t="array" ref="Q90">IF(AND('Sponsor Pro Forma'!$N$34="Override",'Monthly Cash Flow'!Q$5&gt;'Inputs and Assumptions'!$P$6),Taxes!$O$14,IF('Sponsor Pro Forma'!$N$34="Override",INDEX('Sponsor Pro Forma'!$O$34:$Z$34,,MATCH('Monthly Cash Flow'!Q$4,'Sponsor Pro Forma'!$O$22:$Z$22,0))/12,IF('Monthly Cash Flow'!Q$5&gt;'Inputs and Assumptions'!$P$6,Taxes!$O$14,IF('Sponsor Pro Forma'!$L$42="Annual",'Monthly Cash Flow'!P90*(1+'Sponsor Pro Forma'!$M32)^(IF(MOD(Q$5,12)=1,1,0)),'Monthly Cash Flow'!P90*(1+'Sponsor Pro Forma'!$M$34/12)))))</f>
        <v>41096.340799999998</v>
      </c>
      <c r="R90" s="1295" cm="1">
        <f t="array" ref="R90">IF(AND('Sponsor Pro Forma'!$N$34="Override",'Monthly Cash Flow'!R$5&gt;'Inputs and Assumptions'!$P$6),Taxes!$O$14,IF('Sponsor Pro Forma'!$N$34="Override",INDEX('Sponsor Pro Forma'!$O$34:$Z$34,,MATCH('Monthly Cash Flow'!R$4,'Sponsor Pro Forma'!$O$22:$Z$22,0))/12,IF('Monthly Cash Flow'!R$5&gt;'Inputs and Assumptions'!$P$6,Taxes!$O$14,IF('Sponsor Pro Forma'!$L$42="Annual",'Monthly Cash Flow'!Q90*(1+'Sponsor Pro Forma'!$M32)^(IF(MOD(R$5,12)=1,1,0)),'Monthly Cash Flow'!Q90*(1+'Sponsor Pro Forma'!$M$34/12)))))</f>
        <v>41096.340799999998</v>
      </c>
      <c r="S90" s="1295" cm="1">
        <f t="array" ref="S90">IF(AND('Sponsor Pro Forma'!$N$34="Override",'Monthly Cash Flow'!S$5&gt;'Inputs and Assumptions'!$P$6),Taxes!$O$14,IF('Sponsor Pro Forma'!$N$34="Override",INDEX('Sponsor Pro Forma'!$O$34:$Z$34,,MATCH('Monthly Cash Flow'!S$4,'Sponsor Pro Forma'!$O$22:$Z$22,0))/12,IF('Monthly Cash Flow'!S$5&gt;'Inputs and Assumptions'!$P$6,Taxes!$O$14,IF('Sponsor Pro Forma'!$L$42="Annual",'Monthly Cash Flow'!R90*(1+'Sponsor Pro Forma'!$M32)^(IF(MOD(S$5,12)=1,1,0)),'Monthly Cash Flow'!R90*(1+'Sponsor Pro Forma'!$M$34/12)))))</f>
        <v>41096.340799999998</v>
      </c>
      <c r="T90" s="1295" cm="1">
        <f t="array" ref="T90">IF(AND('Sponsor Pro Forma'!$N$34="Override",'Monthly Cash Flow'!T$5&gt;'Inputs and Assumptions'!$P$6),Taxes!$O$14,IF('Sponsor Pro Forma'!$N$34="Override",INDEX('Sponsor Pro Forma'!$O$34:$Z$34,,MATCH('Monthly Cash Flow'!T$4,'Sponsor Pro Forma'!$O$22:$Z$22,0))/12,IF('Monthly Cash Flow'!T$5&gt;'Inputs and Assumptions'!$P$6,Taxes!$O$14,IF('Sponsor Pro Forma'!$L$42="Annual",'Monthly Cash Flow'!S90*(1+'Sponsor Pro Forma'!$M32)^(IF(MOD(T$5,12)=1,1,0)),'Monthly Cash Flow'!S90*(1+'Sponsor Pro Forma'!$M$34/12)))))</f>
        <v>41096.340799999998</v>
      </c>
      <c r="U90" s="1295" cm="1">
        <f t="array" ref="U90">IF(AND('Sponsor Pro Forma'!$N$34="Override",'Monthly Cash Flow'!U$5&gt;'Inputs and Assumptions'!$P$6),Taxes!$O$14,IF('Sponsor Pro Forma'!$N$34="Override",INDEX('Sponsor Pro Forma'!$O$34:$Z$34,,MATCH('Monthly Cash Flow'!U$4,'Sponsor Pro Forma'!$O$22:$Z$22,0))/12,IF('Monthly Cash Flow'!U$5&gt;'Inputs and Assumptions'!$P$6,Taxes!$O$14,IF('Sponsor Pro Forma'!$L$42="Annual",'Monthly Cash Flow'!T90*(1+'Sponsor Pro Forma'!$M32)^(IF(MOD(U$5,12)=1,1,0)),'Monthly Cash Flow'!T90*(1+'Sponsor Pro Forma'!$M$34/12)))))</f>
        <v>41096.340799999998</v>
      </c>
      <c r="V90" s="1295" cm="1">
        <f t="array" ref="V90">IF(AND('Sponsor Pro Forma'!$N$34="Override",'Monthly Cash Flow'!V$5&gt;'Inputs and Assumptions'!$P$6),Taxes!$O$14,IF('Sponsor Pro Forma'!$N$34="Override",INDEX('Sponsor Pro Forma'!$O$34:$Z$34,,MATCH('Monthly Cash Flow'!V$4,'Sponsor Pro Forma'!$O$22:$Z$22,0))/12,IF('Monthly Cash Flow'!V$5&gt;'Inputs and Assumptions'!$P$6,Taxes!$O$14,IF('Sponsor Pro Forma'!$L$42="Annual",'Monthly Cash Flow'!U90*(1+'Sponsor Pro Forma'!$M32)^(IF(MOD(V$5,12)=1,1,0)),'Monthly Cash Flow'!U90*(1+'Sponsor Pro Forma'!$M$34/12)))))</f>
        <v>41096.340799999998</v>
      </c>
      <c r="W90" s="1295" cm="1">
        <f t="array" ref="W90">IF(AND('Sponsor Pro Forma'!$N$34="Override",'Monthly Cash Flow'!W$5&gt;'Inputs and Assumptions'!$P$6),Taxes!$O$14,IF('Sponsor Pro Forma'!$N$34="Override",INDEX('Sponsor Pro Forma'!$O$34:$Z$34,,MATCH('Monthly Cash Flow'!W$4,'Sponsor Pro Forma'!$O$22:$Z$22,0))/12,IF('Monthly Cash Flow'!W$5&gt;'Inputs and Assumptions'!$P$6,Taxes!$O$14,IF('Sponsor Pro Forma'!$L$42="Annual",'Monthly Cash Flow'!V90*(1+'Sponsor Pro Forma'!$M32)^(IF(MOD(W$5,12)=1,1,0)),'Monthly Cash Flow'!V90*(1+'Sponsor Pro Forma'!$M$34/12)))))</f>
        <v>41096.340799999998</v>
      </c>
      <c r="X90" s="1295" cm="1">
        <f t="array" ref="X90">IF(AND('Sponsor Pro Forma'!$N$34="Override",'Monthly Cash Flow'!X$5&gt;'Inputs and Assumptions'!$P$6),Taxes!$O$14,IF('Sponsor Pro Forma'!$N$34="Override",INDEX('Sponsor Pro Forma'!$O$34:$Z$34,,MATCH('Monthly Cash Flow'!X$4,'Sponsor Pro Forma'!$O$22:$Z$22,0))/12,IF('Monthly Cash Flow'!X$5&gt;'Inputs and Assumptions'!$P$6,Taxes!$O$14,IF('Sponsor Pro Forma'!$L$42="Annual",'Monthly Cash Flow'!W90*(1+'Sponsor Pro Forma'!$M32)^(IF(MOD(X$5,12)=1,1,0)),'Monthly Cash Flow'!W90*(1+'Sponsor Pro Forma'!$M$34/12)))))</f>
        <v>41096.340799999998</v>
      </c>
      <c r="Y90" s="1295" cm="1">
        <f t="array" ref="Y90">IF(AND('Sponsor Pro Forma'!$N$34="Override",'Monthly Cash Flow'!Y$5&gt;'Inputs and Assumptions'!$P$6),Taxes!$O$14,IF('Sponsor Pro Forma'!$N$34="Override",INDEX('Sponsor Pro Forma'!$O$34:$Z$34,,MATCH('Monthly Cash Flow'!Y$4,'Sponsor Pro Forma'!$O$22:$Z$22,0))/12,IF('Monthly Cash Flow'!Y$5&gt;'Inputs and Assumptions'!$P$6,Taxes!$O$14,IF('Sponsor Pro Forma'!$L$42="Annual",'Monthly Cash Flow'!X90*(1+'Sponsor Pro Forma'!$M32)^(IF(MOD(Y$5,12)=1,1,0)),'Monthly Cash Flow'!X90*(1+'Sponsor Pro Forma'!$M$34/12)))))</f>
        <v>41096.340799999998</v>
      </c>
      <c r="Z90" s="1295" cm="1">
        <f t="array" ref="Z90">IF(AND('Sponsor Pro Forma'!$N$34="Override",'Monthly Cash Flow'!Z$5&gt;'Inputs and Assumptions'!$P$6),Taxes!$O$14,IF('Sponsor Pro Forma'!$N$34="Override",INDEX('Sponsor Pro Forma'!$O$34:$Z$34,,MATCH('Monthly Cash Flow'!Z$4,'Sponsor Pro Forma'!$O$22:$Z$22,0))/12,IF('Monthly Cash Flow'!Z$5&gt;'Inputs and Assumptions'!$P$6,Taxes!$O$14,IF('Sponsor Pro Forma'!$L$42="Annual",'Monthly Cash Flow'!Y90*(1+'Sponsor Pro Forma'!$M32)^(IF(MOD(Z$5,12)=1,1,0)),'Monthly Cash Flow'!Y90*(1+'Sponsor Pro Forma'!$M$34/12)))))</f>
        <v>41096.340799999998</v>
      </c>
      <c r="AA90" s="1295" cm="1">
        <f t="array" ref="AA90">IF(AND('Sponsor Pro Forma'!$N$34="Override",'Monthly Cash Flow'!AA$5&gt;'Inputs and Assumptions'!$P$6),Taxes!$O$14,IF('Sponsor Pro Forma'!$N$34="Override",INDEX('Sponsor Pro Forma'!$O$34:$Z$34,,MATCH('Monthly Cash Flow'!AA$4,'Sponsor Pro Forma'!$O$22:$Z$22,0))/12,IF('Monthly Cash Flow'!AA$5&gt;'Inputs and Assumptions'!$P$6,Taxes!$O$14,IF('Sponsor Pro Forma'!$L$42="Annual",'Monthly Cash Flow'!Z90*(1+'Sponsor Pro Forma'!$M32)^(IF(MOD(AA$5,12)=1,1,0)),'Monthly Cash Flow'!Z90*(1+'Sponsor Pro Forma'!$M$34/12)))))</f>
        <v>41096.340799999998</v>
      </c>
      <c r="AB90" s="1295" cm="1">
        <f t="array" ref="AB90">IF(AND('Sponsor Pro Forma'!$N$34="Override",'Monthly Cash Flow'!AB$5&gt;'Inputs and Assumptions'!$P$6),Taxes!$O$14,IF('Sponsor Pro Forma'!$N$34="Override",INDEX('Sponsor Pro Forma'!$O$34:$Z$34,,MATCH('Monthly Cash Flow'!AB$4,'Sponsor Pro Forma'!$O$22:$Z$22,0))/12,IF('Monthly Cash Flow'!AB$5&gt;'Inputs and Assumptions'!$P$6,Taxes!$O$14,IF('Sponsor Pro Forma'!$L$42="Annual",'Monthly Cash Flow'!AA90*(1+'Sponsor Pro Forma'!$M32)^(IF(MOD(AB$5,12)=1,1,0)),'Monthly Cash Flow'!AA90*(1+'Sponsor Pro Forma'!$M$34/12)))))</f>
        <v>41096.340799999998</v>
      </c>
      <c r="AC90" s="1295" cm="1">
        <f t="array" ref="AC90">IF(AND('Sponsor Pro Forma'!$N$34="Override",'Monthly Cash Flow'!AC$5&gt;'Inputs and Assumptions'!$P$6),Taxes!$O$14,IF('Sponsor Pro Forma'!$N$34="Override",INDEX('Sponsor Pro Forma'!$O$34:$Z$34,,MATCH('Monthly Cash Flow'!AC$4,'Sponsor Pro Forma'!$O$22:$Z$22,0))/12,IF('Monthly Cash Flow'!AC$5&gt;'Inputs and Assumptions'!$P$6,Taxes!$O$14,IF('Sponsor Pro Forma'!$L$42="Annual",'Monthly Cash Flow'!AB90*(1+'Sponsor Pro Forma'!$M32)^(IF(MOD(AC$5,12)=1,1,0)),'Monthly Cash Flow'!AB90*(1+'Sponsor Pro Forma'!$M$34/12)))))</f>
        <v>42329.231024000001</v>
      </c>
      <c r="AD90" s="1295" cm="1">
        <f t="array" ref="AD90">IF(AND('Sponsor Pro Forma'!$N$34="Override",'Monthly Cash Flow'!AD$5&gt;'Inputs and Assumptions'!$P$6),Taxes!$O$14,IF('Sponsor Pro Forma'!$N$34="Override",INDEX('Sponsor Pro Forma'!$O$34:$Z$34,,MATCH('Monthly Cash Flow'!AD$4,'Sponsor Pro Forma'!$O$22:$Z$22,0))/12,IF('Monthly Cash Flow'!AD$5&gt;'Inputs and Assumptions'!$P$6,Taxes!$O$14,IF('Sponsor Pro Forma'!$L$42="Annual",'Monthly Cash Flow'!AC90*(1+'Sponsor Pro Forma'!$M32)^(IF(MOD(AD$5,12)=1,1,0)),'Monthly Cash Flow'!AC90*(1+'Sponsor Pro Forma'!$M$34/12)))))</f>
        <v>42329.231024000001</v>
      </c>
      <c r="AE90" s="1295" cm="1">
        <f t="array" ref="AE90">IF(AND('Sponsor Pro Forma'!$N$34="Override",'Monthly Cash Flow'!AE$5&gt;'Inputs and Assumptions'!$P$6),Taxes!$O$14,IF('Sponsor Pro Forma'!$N$34="Override",INDEX('Sponsor Pro Forma'!$O$34:$Z$34,,MATCH('Monthly Cash Flow'!AE$4,'Sponsor Pro Forma'!$O$22:$Z$22,0))/12,IF('Monthly Cash Flow'!AE$5&gt;'Inputs and Assumptions'!$P$6,Taxes!$O$14,IF('Sponsor Pro Forma'!$L$42="Annual",'Monthly Cash Flow'!AD90*(1+'Sponsor Pro Forma'!$M32)^(IF(MOD(AE$5,12)=1,1,0)),'Monthly Cash Flow'!AD90*(1+'Sponsor Pro Forma'!$M$34/12)))))</f>
        <v>42329.231024000001</v>
      </c>
      <c r="AF90" s="1295" cm="1">
        <f t="array" ref="AF90">IF(AND('Sponsor Pro Forma'!$N$34="Override",'Monthly Cash Flow'!AF$5&gt;'Inputs and Assumptions'!$P$6),Taxes!$O$14,IF('Sponsor Pro Forma'!$N$34="Override",INDEX('Sponsor Pro Forma'!$O$34:$Z$34,,MATCH('Monthly Cash Flow'!AF$4,'Sponsor Pro Forma'!$O$22:$Z$22,0))/12,IF('Monthly Cash Flow'!AF$5&gt;'Inputs and Assumptions'!$P$6,Taxes!$O$14,IF('Sponsor Pro Forma'!$L$42="Annual",'Monthly Cash Flow'!AE90*(1+'Sponsor Pro Forma'!$M32)^(IF(MOD(AF$5,12)=1,1,0)),'Monthly Cash Flow'!AE90*(1+'Sponsor Pro Forma'!$M$34/12)))))</f>
        <v>42329.231024000001</v>
      </c>
      <c r="AG90" s="1295" cm="1">
        <f t="array" ref="AG90">IF(AND('Sponsor Pro Forma'!$N$34="Override",'Monthly Cash Flow'!AG$5&gt;'Inputs and Assumptions'!$P$6),Taxes!$O$14,IF('Sponsor Pro Forma'!$N$34="Override",INDEX('Sponsor Pro Forma'!$O$34:$Z$34,,MATCH('Monthly Cash Flow'!AG$4,'Sponsor Pro Forma'!$O$22:$Z$22,0))/12,IF('Monthly Cash Flow'!AG$5&gt;'Inputs and Assumptions'!$P$6,Taxes!$O$14,IF('Sponsor Pro Forma'!$L$42="Annual",'Monthly Cash Flow'!AF90*(1+'Sponsor Pro Forma'!$M32)^(IF(MOD(AG$5,12)=1,1,0)),'Monthly Cash Flow'!AF90*(1+'Sponsor Pro Forma'!$M$34/12)))))</f>
        <v>42329.231024000001</v>
      </c>
      <c r="AH90" s="1295" cm="1">
        <f t="array" ref="AH90">IF(AND('Sponsor Pro Forma'!$N$34="Override",'Monthly Cash Flow'!AH$5&gt;'Inputs and Assumptions'!$P$6),Taxes!$O$14,IF('Sponsor Pro Forma'!$N$34="Override",INDEX('Sponsor Pro Forma'!$O$34:$Z$34,,MATCH('Monthly Cash Flow'!AH$4,'Sponsor Pro Forma'!$O$22:$Z$22,0))/12,IF('Monthly Cash Flow'!AH$5&gt;'Inputs and Assumptions'!$P$6,Taxes!$O$14,IF('Sponsor Pro Forma'!$L$42="Annual",'Monthly Cash Flow'!AG90*(1+'Sponsor Pro Forma'!$M32)^(IF(MOD(AH$5,12)=1,1,0)),'Monthly Cash Flow'!AG90*(1+'Sponsor Pro Forma'!$M$34/12)))))</f>
        <v>42329.231024000001</v>
      </c>
      <c r="AI90" s="1295" cm="1">
        <f t="array" ref="AI90">IF(AND('Sponsor Pro Forma'!$N$34="Override",'Monthly Cash Flow'!AI$5&gt;'Inputs and Assumptions'!$P$6),Taxes!$O$14,IF('Sponsor Pro Forma'!$N$34="Override",INDEX('Sponsor Pro Forma'!$O$34:$Z$34,,MATCH('Monthly Cash Flow'!AI$4,'Sponsor Pro Forma'!$O$22:$Z$22,0))/12,IF('Monthly Cash Flow'!AI$5&gt;'Inputs and Assumptions'!$P$6,Taxes!$O$14,IF('Sponsor Pro Forma'!$L$42="Annual",'Monthly Cash Flow'!AH90*(1+'Sponsor Pro Forma'!$M32)^(IF(MOD(AI$5,12)=1,1,0)),'Monthly Cash Flow'!AH90*(1+'Sponsor Pro Forma'!$M$34/12)))))</f>
        <v>42329.231024000001</v>
      </c>
      <c r="AJ90" s="1295" cm="1">
        <f t="array" ref="AJ90">IF(AND('Sponsor Pro Forma'!$N$34="Override",'Monthly Cash Flow'!AJ$5&gt;'Inputs and Assumptions'!$P$6),Taxes!$O$14,IF('Sponsor Pro Forma'!$N$34="Override",INDEX('Sponsor Pro Forma'!$O$34:$Z$34,,MATCH('Monthly Cash Flow'!AJ$4,'Sponsor Pro Forma'!$O$22:$Z$22,0))/12,IF('Monthly Cash Flow'!AJ$5&gt;'Inputs and Assumptions'!$P$6,Taxes!$O$14,IF('Sponsor Pro Forma'!$L$42="Annual",'Monthly Cash Flow'!AI90*(1+'Sponsor Pro Forma'!$M32)^(IF(MOD(AJ$5,12)=1,1,0)),'Monthly Cash Flow'!AI90*(1+'Sponsor Pro Forma'!$M$34/12)))))</f>
        <v>42329.231024000001</v>
      </c>
      <c r="AK90" s="1295" cm="1">
        <f t="array" ref="AK90">IF(AND('Sponsor Pro Forma'!$N$34="Override",'Monthly Cash Flow'!AK$5&gt;'Inputs and Assumptions'!$P$6),Taxes!$O$14,IF('Sponsor Pro Forma'!$N$34="Override",INDEX('Sponsor Pro Forma'!$O$34:$Z$34,,MATCH('Monthly Cash Flow'!AK$4,'Sponsor Pro Forma'!$O$22:$Z$22,0))/12,IF('Monthly Cash Flow'!AK$5&gt;'Inputs and Assumptions'!$P$6,Taxes!$O$14,IF('Sponsor Pro Forma'!$L$42="Annual",'Monthly Cash Flow'!AJ90*(1+'Sponsor Pro Forma'!$M32)^(IF(MOD(AK$5,12)=1,1,0)),'Monthly Cash Flow'!AJ90*(1+'Sponsor Pro Forma'!$M$34/12)))))</f>
        <v>42329.231024000001</v>
      </c>
      <c r="AL90" s="1295" cm="1">
        <f t="array" ref="AL90">IF(AND('Sponsor Pro Forma'!$N$34="Override",'Monthly Cash Flow'!AL$5&gt;'Inputs and Assumptions'!$P$6),Taxes!$O$14,IF('Sponsor Pro Forma'!$N$34="Override",INDEX('Sponsor Pro Forma'!$O$34:$Z$34,,MATCH('Monthly Cash Flow'!AL$4,'Sponsor Pro Forma'!$O$22:$Z$22,0))/12,IF('Monthly Cash Flow'!AL$5&gt;'Inputs and Assumptions'!$P$6,Taxes!$O$14,IF('Sponsor Pro Forma'!$L$42="Annual",'Monthly Cash Flow'!AK90*(1+'Sponsor Pro Forma'!$M32)^(IF(MOD(AL$5,12)=1,1,0)),'Monthly Cash Flow'!AK90*(1+'Sponsor Pro Forma'!$M$34/12)))))</f>
        <v>42329.231024000001</v>
      </c>
      <c r="AM90" s="1295" cm="1">
        <f t="array" ref="AM90">IF(AND('Sponsor Pro Forma'!$N$34="Override",'Monthly Cash Flow'!AM$5&gt;'Inputs and Assumptions'!$P$6),Taxes!$O$14,IF('Sponsor Pro Forma'!$N$34="Override",INDEX('Sponsor Pro Forma'!$O$34:$Z$34,,MATCH('Monthly Cash Flow'!AM$4,'Sponsor Pro Forma'!$O$22:$Z$22,0))/12,IF('Monthly Cash Flow'!AM$5&gt;'Inputs and Assumptions'!$P$6,Taxes!$O$14,IF('Sponsor Pro Forma'!$L$42="Annual",'Monthly Cash Flow'!AL90*(1+'Sponsor Pro Forma'!$M32)^(IF(MOD(AM$5,12)=1,1,0)),'Monthly Cash Flow'!AL90*(1+'Sponsor Pro Forma'!$M$34/12)))))</f>
        <v>42329.231024000001</v>
      </c>
      <c r="AN90" s="1295" cm="1">
        <f t="array" ref="AN90">IF(AND('Sponsor Pro Forma'!$N$34="Override",'Monthly Cash Flow'!AN$5&gt;'Inputs and Assumptions'!$P$6),Taxes!$O$14,IF('Sponsor Pro Forma'!$N$34="Override",INDEX('Sponsor Pro Forma'!$O$34:$Z$34,,MATCH('Monthly Cash Flow'!AN$4,'Sponsor Pro Forma'!$O$22:$Z$22,0))/12,IF('Monthly Cash Flow'!AN$5&gt;'Inputs and Assumptions'!$P$6,Taxes!$O$14,IF('Sponsor Pro Forma'!$L$42="Annual",'Monthly Cash Flow'!AM90*(1+'Sponsor Pro Forma'!$M32)^(IF(MOD(AN$5,12)=1,1,0)),'Monthly Cash Flow'!AM90*(1+'Sponsor Pro Forma'!$M$34/12)))))</f>
        <v>42329.231024000001</v>
      </c>
      <c r="AO90" s="1295" cm="1">
        <f t="array" ref="AO90">IF(AND('Sponsor Pro Forma'!$N$34="Override",'Monthly Cash Flow'!AO$5&gt;'Inputs and Assumptions'!$P$6),Taxes!$O$14,IF('Sponsor Pro Forma'!$N$34="Override",INDEX('Sponsor Pro Forma'!$O$34:$Z$34,,MATCH('Monthly Cash Flow'!AO$4,'Sponsor Pro Forma'!$O$22:$Z$22,0))/12,IF('Monthly Cash Flow'!AO$5&gt;'Inputs and Assumptions'!$P$6,Taxes!$O$14,IF('Sponsor Pro Forma'!$L$42="Annual",'Monthly Cash Flow'!AN90*(1+'Sponsor Pro Forma'!$M32)^(IF(MOD(AO$5,12)=1,1,0)),'Monthly Cash Flow'!AN90*(1+'Sponsor Pro Forma'!$M$34/12)))))</f>
        <v>43599.107954719999</v>
      </c>
      <c r="AP90" s="1295" cm="1">
        <f t="array" ref="AP90">IF(AND('Sponsor Pro Forma'!$N$34="Override",'Monthly Cash Flow'!AP$5&gt;'Inputs and Assumptions'!$P$6),Taxes!$O$14,IF('Sponsor Pro Forma'!$N$34="Override",INDEX('Sponsor Pro Forma'!$O$34:$Z$34,,MATCH('Monthly Cash Flow'!AP$4,'Sponsor Pro Forma'!$O$22:$Z$22,0))/12,IF('Monthly Cash Flow'!AP$5&gt;'Inputs and Assumptions'!$P$6,Taxes!$O$14,IF('Sponsor Pro Forma'!$L$42="Annual",'Monthly Cash Flow'!AO90*(1+'Sponsor Pro Forma'!$M32)^(IF(MOD(AP$5,12)=1,1,0)),'Monthly Cash Flow'!AO90*(1+'Sponsor Pro Forma'!$M$34/12)))))</f>
        <v>43599.107954719999</v>
      </c>
      <c r="AQ90" s="1295" cm="1">
        <f t="array" ref="AQ90">IF(AND('Sponsor Pro Forma'!$N$34="Override",'Monthly Cash Flow'!AQ$5&gt;'Inputs and Assumptions'!$P$6),Taxes!$O$14,IF('Sponsor Pro Forma'!$N$34="Override",INDEX('Sponsor Pro Forma'!$O$34:$Z$34,,MATCH('Monthly Cash Flow'!AQ$4,'Sponsor Pro Forma'!$O$22:$Z$22,0))/12,IF('Monthly Cash Flow'!AQ$5&gt;'Inputs and Assumptions'!$P$6,Taxes!$O$14,IF('Sponsor Pro Forma'!$L$42="Annual",'Monthly Cash Flow'!AP90*(1+'Sponsor Pro Forma'!$M32)^(IF(MOD(AQ$5,12)=1,1,0)),'Monthly Cash Flow'!AP90*(1+'Sponsor Pro Forma'!$M$34/12)))))</f>
        <v>43599.107954719999</v>
      </c>
      <c r="AR90" s="1295" cm="1">
        <f t="array" ref="AR90">IF(AND('Sponsor Pro Forma'!$N$34="Override",'Monthly Cash Flow'!AR$5&gt;'Inputs and Assumptions'!$P$6),Taxes!$O$14,IF('Sponsor Pro Forma'!$N$34="Override",INDEX('Sponsor Pro Forma'!$O$34:$Z$34,,MATCH('Monthly Cash Flow'!AR$4,'Sponsor Pro Forma'!$O$22:$Z$22,0))/12,IF('Monthly Cash Flow'!AR$5&gt;'Inputs and Assumptions'!$P$6,Taxes!$O$14,IF('Sponsor Pro Forma'!$L$42="Annual",'Monthly Cash Flow'!AQ90*(1+'Sponsor Pro Forma'!$M32)^(IF(MOD(AR$5,12)=1,1,0)),'Monthly Cash Flow'!AQ90*(1+'Sponsor Pro Forma'!$M$34/12)))))</f>
        <v>43599.107954719999</v>
      </c>
      <c r="AS90" s="1295" cm="1">
        <f t="array" ref="AS90">IF(AND('Sponsor Pro Forma'!$N$34="Override",'Monthly Cash Flow'!AS$5&gt;'Inputs and Assumptions'!$P$6),Taxes!$O$14,IF('Sponsor Pro Forma'!$N$34="Override",INDEX('Sponsor Pro Forma'!$O$34:$Z$34,,MATCH('Monthly Cash Flow'!AS$4,'Sponsor Pro Forma'!$O$22:$Z$22,0))/12,IF('Monthly Cash Flow'!AS$5&gt;'Inputs and Assumptions'!$P$6,Taxes!$O$14,IF('Sponsor Pro Forma'!$L$42="Annual",'Monthly Cash Flow'!AR90*(1+'Sponsor Pro Forma'!$M32)^(IF(MOD(AS$5,12)=1,1,0)),'Monthly Cash Flow'!AR90*(1+'Sponsor Pro Forma'!$M$34/12)))))</f>
        <v>43599.107954719999</v>
      </c>
      <c r="AT90" s="1295" cm="1">
        <f t="array" ref="AT90">IF(AND('Sponsor Pro Forma'!$N$34="Override",'Monthly Cash Flow'!AT$5&gt;'Inputs and Assumptions'!$P$6),Taxes!$O$14,IF('Sponsor Pro Forma'!$N$34="Override",INDEX('Sponsor Pro Forma'!$O$34:$Z$34,,MATCH('Monthly Cash Flow'!AT$4,'Sponsor Pro Forma'!$O$22:$Z$22,0))/12,IF('Monthly Cash Flow'!AT$5&gt;'Inputs and Assumptions'!$P$6,Taxes!$O$14,IF('Sponsor Pro Forma'!$L$42="Annual",'Monthly Cash Flow'!AS90*(1+'Sponsor Pro Forma'!$M32)^(IF(MOD(AT$5,12)=1,1,0)),'Monthly Cash Flow'!AS90*(1+'Sponsor Pro Forma'!$M$34/12)))))</f>
        <v>43599.107954719999</v>
      </c>
      <c r="AU90" s="1295" cm="1">
        <f t="array" ref="AU90">IF(AND('Sponsor Pro Forma'!$N$34="Override",'Monthly Cash Flow'!AU$5&gt;'Inputs and Assumptions'!$P$6),Taxes!$O$14,IF('Sponsor Pro Forma'!$N$34="Override",INDEX('Sponsor Pro Forma'!$O$34:$Z$34,,MATCH('Monthly Cash Flow'!AU$4,'Sponsor Pro Forma'!$O$22:$Z$22,0))/12,IF('Monthly Cash Flow'!AU$5&gt;'Inputs and Assumptions'!$P$6,Taxes!$O$14,IF('Sponsor Pro Forma'!$L$42="Annual",'Monthly Cash Flow'!AT90*(1+'Sponsor Pro Forma'!$M32)^(IF(MOD(AU$5,12)=1,1,0)),'Monthly Cash Flow'!AT90*(1+'Sponsor Pro Forma'!$M$34/12)))))</f>
        <v>43599.107954719999</v>
      </c>
      <c r="AV90" s="1295" cm="1">
        <f t="array" ref="AV90">IF(AND('Sponsor Pro Forma'!$N$34="Override",'Monthly Cash Flow'!AV$5&gt;'Inputs and Assumptions'!$P$6),Taxes!$O$14,IF('Sponsor Pro Forma'!$N$34="Override",INDEX('Sponsor Pro Forma'!$O$34:$Z$34,,MATCH('Monthly Cash Flow'!AV$4,'Sponsor Pro Forma'!$O$22:$Z$22,0))/12,IF('Monthly Cash Flow'!AV$5&gt;'Inputs and Assumptions'!$P$6,Taxes!$O$14,IF('Sponsor Pro Forma'!$L$42="Annual",'Monthly Cash Flow'!AU90*(1+'Sponsor Pro Forma'!$M32)^(IF(MOD(AV$5,12)=1,1,0)),'Monthly Cash Flow'!AU90*(1+'Sponsor Pro Forma'!$M$34/12)))))</f>
        <v>43599.107954719999</v>
      </c>
      <c r="AW90" s="1295" cm="1">
        <f t="array" ref="AW90">IF(AND('Sponsor Pro Forma'!$N$34="Override",'Monthly Cash Flow'!AW$5&gt;'Inputs and Assumptions'!$P$6),Taxes!$O$14,IF('Sponsor Pro Forma'!$N$34="Override",INDEX('Sponsor Pro Forma'!$O$34:$Z$34,,MATCH('Monthly Cash Flow'!AW$4,'Sponsor Pro Forma'!$O$22:$Z$22,0))/12,IF('Monthly Cash Flow'!AW$5&gt;'Inputs and Assumptions'!$P$6,Taxes!$O$14,IF('Sponsor Pro Forma'!$L$42="Annual",'Monthly Cash Flow'!AV90*(1+'Sponsor Pro Forma'!$M32)^(IF(MOD(AW$5,12)=1,1,0)),'Monthly Cash Flow'!AV90*(1+'Sponsor Pro Forma'!$M$34/12)))))</f>
        <v>43599.107954719999</v>
      </c>
      <c r="AX90" s="1295" cm="1">
        <f t="array" ref="AX90">IF(AND('Sponsor Pro Forma'!$N$34="Override",'Monthly Cash Flow'!AX$5&gt;'Inputs and Assumptions'!$P$6),Taxes!$O$14,IF('Sponsor Pro Forma'!$N$34="Override",INDEX('Sponsor Pro Forma'!$O$34:$Z$34,,MATCH('Monthly Cash Flow'!AX$4,'Sponsor Pro Forma'!$O$22:$Z$22,0))/12,IF('Monthly Cash Flow'!AX$5&gt;'Inputs and Assumptions'!$P$6,Taxes!$O$14,IF('Sponsor Pro Forma'!$L$42="Annual",'Monthly Cash Flow'!AW90*(1+'Sponsor Pro Forma'!$M32)^(IF(MOD(AX$5,12)=1,1,0)),'Monthly Cash Flow'!AW90*(1+'Sponsor Pro Forma'!$M$34/12)))))</f>
        <v>43599.107954719999</v>
      </c>
      <c r="AY90" s="1295" cm="1">
        <f t="array" ref="AY90">IF(AND('Sponsor Pro Forma'!$N$34="Override",'Monthly Cash Flow'!AY$5&gt;'Inputs and Assumptions'!$P$6),Taxes!$O$14,IF('Sponsor Pro Forma'!$N$34="Override",INDEX('Sponsor Pro Forma'!$O$34:$Z$34,,MATCH('Monthly Cash Flow'!AY$4,'Sponsor Pro Forma'!$O$22:$Z$22,0))/12,IF('Monthly Cash Flow'!AY$5&gt;'Inputs and Assumptions'!$P$6,Taxes!$O$14,IF('Sponsor Pro Forma'!$L$42="Annual",'Monthly Cash Flow'!AX90*(1+'Sponsor Pro Forma'!$M32)^(IF(MOD(AY$5,12)=1,1,0)),'Monthly Cash Flow'!AX90*(1+'Sponsor Pro Forma'!$M$34/12)))))</f>
        <v>43599.107954719999</v>
      </c>
      <c r="AZ90" s="1295" cm="1">
        <f t="array" ref="AZ90">IF(AND('Sponsor Pro Forma'!$N$34="Override",'Monthly Cash Flow'!AZ$5&gt;'Inputs and Assumptions'!$P$6),Taxes!$O$14,IF('Sponsor Pro Forma'!$N$34="Override",INDEX('Sponsor Pro Forma'!$O$34:$Z$34,,MATCH('Monthly Cash Flow'!AZ$4,'Sponsor Pro Forma'!$O$22:$Z$22,0))/12,IF('Monthly Cash Flow'!AZ$5&gt;'Inputs and Assumptions'!$P$6,Taxes!$O$14,IF('Sponsor Pro Forma'!$L$42="Annual",'Monthly Cash Flow'!AY90*(1+'Sponsor Pro Forma'!$M32)^(IF(MOD(AZ$5,12)=1,1,0)),'Monthly Cash Flow'!AY90*(1+'Sponsor Pro Forma'!$M$34/12)))))</f>
        <v>43599.107954719999</v>
      </c>
      <c r="BA90" s="1295" cm="1">
        <f t="array" ref="BA90">IF(AND('Sponsor Pro Forma'!$N$34="Override",'Monthly Cash Flow'!BA$5&gt;'Inputs and Assumptions'!$P$6),Taxes!$O$14,IF('Sponsor Pro Forma'!$N$34="Override",INDEX('Sponsor Pro Forma'!$O$34:$Z$34,,MATCH('Monthly Cash Flow'!BA$4,'Sponsor Pro Forma'!$O$22:$Z$22,0))/12,IF('Monthly Cash Flow'!BA$5&gt;'Inputs and Assumptions'!$P$6,Taxes!$O$14,IF('Sponsor Pro Forma'!$L$42="Annual",'Monthly Cash Flow'!AZ90*(1+'Sponsor Pro Forma'!$M32)^(IF(MOD(BA$5,12)=1,1,0)),'Monthly Cash Flow'!AZ90*(1+'Sponsor Pro Forma'!$M$34/12)))))</f>
        <v>44687.283200000005</v>
      </c>
      <c r="BB90" s="1295" cm="1">
        <f t="array" ref="BB90">IF(AND('Sponsor Pro Forma'!$N$34="Override",'Monthly Cash Flow'!BB$5&gt;'Inputs and Assumptions'!$P$6),Taxes!$O$14,IF('Sponsor Pro Forma'!$N$34="Override",INDEX('Sponsor Pro Forma'!$O$34:$Z$34,,MATCH('Monthly Cash Flow'!BB$4,'Sponsor Pro Forma'!$O$22:$Z$22,0))/12,IF('Monthly Cash Flow'!BB$5&gt;'Inputs and Assumptions'!$P$6,Taxes!$O$14,IF('Sponsor Pro Forma'!$L$42="Annual",'Monthly Cash Flow'!BA90*(1+'Sponsor Pro Forma'!$M32)^(IF(MOD(BB$5,12)=1,1,0)),'Monthly Cash Flow'!BA90*(1+'Sponsor Pro Forma'!$M$34/12)))))</f>
        <v>44687.283200000005</v>
      </c>
      <c r="BC90" s="1295" cm="1">
        <f t="array" ref="BC90">IF(AND('Sponsor Pro Forma'!$N$34="Override",'Monthly Cash Flow'!BC$5&gt;'Inputs and Assumptions'!$P$6),Taxes!$O$14,IF('Sponsor Pro Forma'!$N$34="Override",INDEX('Sponsor Pro Forma'!$O$34:$Z$34,,MATCH('Monthly Cash Flow'!BC$4,'Sponsor Pro Forma'!$O$22:$Z$22,0))/12,IF('Monthly Cash Flow'!BC$5&gt;'Inputs and Assumptions'!$P$6,Taxes!$O$14,IF('Sponsor Pro Forma'!$L$42="Annual",'Monthly Cash Flow'!BB90*(1+'Sponsor Pro Forma'!$M32)^(IF(MOD(BC$5,12)=1,1,0)),'Monthly Cash Flow'!BB90*(1+'Sponsor Pro Forma'!$M$34/12)))))</f>
        <v>44687.283200000005</v>
      </c>
      <c r="BD90" s="1295" cm="1">
        <f t="array" ref="BD90">IF(AND('Sponsor Pro Forma'!$N$34="Override",'Monthly Cash Flow'!BD$5&gt;'Inputs and Assumptions'!$P$6),Taxes!$O$14,IF('Sponsor Pro Forma'!$N$34="Override",INDEX('Sponsor Pro Forma'!$O$34:$Z$34,,MATCH('Monthly Cash Flow'!BD$4,'Sponsor Pro Forma'!$O$22:$Z$22,0))/12,IF('Monthly Cash Flow'!BD$5&gt;'Inputs and Assumptions'!$P$6,Taxes!$O$14,IF('Sponsor Pro Forma'!$L$42="Annual",'Monthly Cash Flow'!BC90*(1+'Sponsor Pro Forma'!$M32)^(IF(MOD(BD$5,12)=1,1,0)),'Monthly Cash Flow'!BC90*(1+'Sponsor Pro Forma'!$M$34/12)))))</f>
        <v>44687.283200000005</v>
      </c>
      <c r="BE90" s="1295" cm="1">
        <f t="array" ref="BE90">IF(AND('Sponsor Pro Forma'!$N$34="Override",'Monthly Cash Flow'!BE$5&gt;'Inputs and Assumptions'!$P$6),Taxes!$O$14,IF('Sponsor Pro Forma'!$N$34="Override",INDEX('Sponsor Pro Forma'!$O$34:$Z$34,,MATCH('Monthly Cash Flow'!BE$4,'Sponsor Pro Forma'!$O$22:$Z$22,0))/12,IF('Monthly Cash Flow'!BE$5&gt;'Inputs and Assumptions'!$P$6,Taxes!$O$14,IF('Sponsor Pro Forma'!$L$42="Annual",'Monthly Cash Flow'!BD90*(1+'Sponsor Pro Forma'!$M32)^(IF(MOD(BE$5,12)=1,1,0)),'Monthly Cash Flow'!BD90*(1+'Sponsor Pro Forma'!$M$34/12)))))</f>
        <v>44687.283200000005</v>
      </c>
      <c r="BF90" s="1295" cm="1">
        <f t="array" ref="BF90">IF(AND('Sponsor Pro Forma'!$N$34="Override",'Monthly Cash Flow'!BF$5&gt;'Inputs and Assumptions'!$P$6),Taxes!$O$14,IF('Sponsor Pro Forma'!$N$34="Override",INDEX('Sponsor Pro Forma'!$O$34:$Z$34,,MATCH('Monthly Cash Flow'!BF$4,'Sponsor Pro Forma'!$O$22:$Z$22,0))/12,IF('Monthly Cash Flow'!BF$5&gt;'Inputs and Assumptions'!$P$6,Taxes!$O$14,IF('Sponsor Pro Forma'!$L$42="Annual",'Monthly Cash Flow'!BE90*(1+'Sponsor Pro Forma'!$M32)^(IF(MOD(BF$5,12)=1,1,0)),'Monthly Cash Flow'!BE90*(1+'Sponsor Pro Forma'!$M$34/12)))))</f>
        <v>44687.283200000005</v>
      </c>
      <c r="BG90" s="1295" cm="1">
        <f t="array" ref="BG90">IF(AND('Sponsor Pro Forma'!$N$34="Override",'Monthly Cash Flow'!BG$5&gt;'Inputs and Assumptions'!$P$6),Taxes!$O$14,IF('Sponsor Pro Forma'!$N$34="Override",INDEX('Sponsor Pro Forma'!$O$34:$Z$34,,MATCH('Monthly Cash Flow'!BG$4,'Sponsor Pro Forma'!$O$22:$Z$22,0))/12,IF('Monthly Cash Flow'!BG$5&gt;'Inputs and Assumptions'!$P$6,Taxes!$O$14,IF('Sponsor Pro Forma'!$L$42="Annual",'Monthly Cash Flow'!BF90*(1+'Sponsor Pro Forma'!$M32)^(IF(MOD(BG$5,12)=1,1,0)),'Monthly Cash Flow'!BF90*(1+'Sponsor Pro Forma'!$M$34/12)))))</f>
        <v>44687.283200000005</v>
      </c>
      <c r="BH90" s="1295" cm="1">
        <f t="array" ref="BH90">IF(AND('Sponsor Pro Forma'!$N$34="Override",'Monthly Cash Flow'!BH$5&gt;'Inputs and Assumptions'!$P$6),Taxes!$O$14,IF('Sponsor Pro Forma'!$N$34="Override",INDEX('Sponsor Pro Forma'!$O$34:$Z$34,,MATCH('Monthly Cash Flow'!BH$4,'Sponsor Pro Forma'!$O$22:$Z$22,0))/12,IF('Monthly Cash Flow'!BH$5&gt;'Inputs and Assumptions'!$P$6,Taxes!$O$14,IF('Sponsor Pro Forma'!$L$42="Annual",'Monthly Cash Flow'!BG90*(1+'Sponsor Pro Forma'!$M32)^(IF(MOD(BH$5,12)=1,1,0)),'Monthly Cash Flow'!BG90*(1+'Sponsor Pro Forma'!$M$34/12)))))</f>
        <v>44687.283200000005</v>
      </c>
      <c r="BI90" s="1295" cm="1">
        <f t="array" ref="BI90">IF(AND('Sponsor Pro Forma'!$N$34="Override",'Monthly Cash Flow'!BI$5&gt;'Inputs and Assumptions'!$P$6),Taxes!$O$14,IF('Sponsor Pro Forma'!$N$34="Override",INDEX('Sponsor Pro Forma'!$O$34:$Z$34,,MATCH('Monthly Cash Flow'!BI$4,'Sponsor Pro Forma'!$O$22:$Z$22,0))/12,IF('Monthly Cash Flow'!BI$5&gt;'Inputs and Assumptions'!$P$6,Taxes!$O$14,IF('Sponsor Pro Forma'!$L$42="Annual",'Monthly Cash Flow'!BH90*(1+'Sponsor Pro Forma'!$M32)^(IF(MOD(BI$5,12)=1,1,0)),'Monthly Cash Flow'!BH90*(1+'Sponsor Pro Forma'!$M$34/12)))))</f>
        <v>44687.283200000005</v>
      </c>
      <c r="BJ90" s="1295" cm="1">
        <f t="array" ref="BJ90">IF(AND('Sponsor Pro Forma'!$N$34="Override",'Monthly Cash Flow'!BJ$5&gt;'Inputs and Assumptions'!$P$6),Taxes!$O$14,IF('Sponsor Pro Forma'!$N$34="Override",INDEX('Sponsor Pro Forma'!$O$34:$Z$34,,MATCH('Monthly Cash Flow'!BJ$4,'Sponsor Pro Forma'!$O$22:$Z$22,0))/12,IF('Monthly Cash Flow'!BJ$5&gt;'Inputs and Assumptions'!$P$6,Taxes!$O$14,IF('Sponsor Pro Forma'!$L$42="Annual",'Monthly Cash Flow'!BI90*(1+'Sponsor Pro Forma'!$M32)^(IF(MOD(BJ$5,12)=1,1,0)),'Monthly Cash Flow'!BI90*(1+'Sponsor Pro Forma'!$M$34/12)))))</f>
        <v>44687.283200000005</v>
      </c>
      <c r="BK90" s="1295" cm="1">
        <f t="array" ref="BK90">IF(AND('Sponsor Pro Forma'!$N$34="Override",'Monthly Cash Flow'!BK$5&gt;'Inputs and Assumptions'!$P$6),Taxes!$O$14,IF('Sponsor Pro Forma'!$N$34="Override",INDEX('Sponsor Pro Forma'!$O$34:$Z$34,,MATCH('Monthly Cash Flow'!BK$4,'Sponsor Pro Forma'!$O$22:$Z$22,0))/12,IF('Monthly Cash Flow'!BK$5&gt;'Inputs and Assumptions'!$P$6,Taxes!$O$14,IF('Sponsor Pro Forma'!$L$42="Annual",'Monthly Cash Flow'!BJ90*(1+'Sponsor Pro Forma'!$M32)^(IF(MOD(BK$5,12)=1,1,0)),'Monthly Cash Flow'!BJ90*(1+'Sponsor Pro Forma'!$M$34/12)))))</f>
        <v>44687.283200000005</v>
      </c>
      <c r="BL90" s="1295" cm="1">
        <f t="array" ref="BL90">IF(AND('Sponsor Pro Forma'!$N$34="Override",'Monthly Cash Flow'!BL$5&gt;'Inputs and Assumptions'!$P$6),Taxes!$O$14,IF('Sponsor Pro Forma'!$N$34="Override",INDEX('Sponsor Pro Forma'!$O$34:$Z$34,,MATCH('Monthly Cash Flow'!BL$4,'Sponsor Pro Forma'!$O$22:$Z$22,0))/12,IF('Monthly Cash Flow'!BL$5&gt;'Inputs and Assumptions'!$P$6,Taxes!$O$14,IF('Sponsor Pro Forma'!$L$42="Annual",'Monthly Cash Flow'!BK90*(1+'Sponsor Pro Forma'!$M32)^(IF(MOD(BL$5,12)=1,1,0)),'Monthly Cash Flow'!BK90*(1+'Sponsor Pro Forma'!$M$34/12)))))</f>
        <v>44687.283200000005</v>
      </c>
      <c r="BM90" s="1295" cm="1">
        <f t="array" ref="BM90">IF(AND('Sponsor Pro Forma'!$N$34="Override",'Monthly Cash Flow'!BM$5&gt;'Inputs and Assumptions'!$P$6),Taxes!$O$14,IF('Sponsor Pro Forma'!$N$34="Override",INDEX('Sponsor Pro Forma'!$O$34:$Z$34,,MATCH('Monthly Cash Flow'!BM$4,'Sponsor Pro Forma'!$O$22:$Z$22,0))/12,IF('Monthly Cash Flow'!BM$5&gt;'Inputs and Assumptions'!$P$6,Taxes!$O$14,IF('Sponsor Pro Forma'!$L$42="Annual",'Monthly Cash Flow'!BL90*(1+'Sponsor Pro Forma'!$M32)^(IF(MOD(BM$5,12)=1,1,0)),'Monthly Cash Flow'!BL90*(1+'Sponsor Pro Forma'!$M$34/12)))))</f>
        <v>44687.283200000005</v>
      </c>
      <c r="BN90" s="1295" cm="1">
        <f t="array" ref="BN90">IF(AND('Sponsor Pro Forma'!$N$34="Override",'Monthly Cash Flow'!BN$5&gt;'Inputs and Assumptions'!$P$6),Taxes!$O$14,IF('Sponsor Pro Forma'!$N$34="Override",INDEX('Sponsor Pro Forma'!$O$34:$Z$34,,MATCH('Monthly Cash Flow'!BN$4,'Sponsor Pro Forma'!$O$22:$Z$22,0))/12,IF('Monthly Cash Flow'!BN$5&gt;'Inputs and Assumptions'!$P$6,Taxes!$O$14,IF('Sponsor Pro Forma'!$L$42="Annual",'Monthly Cash Flow'!BM90*(1+'Sponsor Pro Forma'!$M32)^(IF(MOD(BN$5,12)=1,1,0)),'Monthly Cash Flow'!BM90*(1+'Sponsor Pro Forma'!$M$34/12)))))</f>
        <v>44687.283200000005</v>
      </c>
      <c r="BO90" s="1295" cm="1">
        <f t="array" ref="BO90">IF(AND('Sponsor Pro Forma'!$N$34="Override",'Monthly Cash Flow'!BO$5&gt;'Inputs and Assumptions'!$P$6),Taxes!$O$14,IF('Sponsor Pro Forma'!$N$34="Override",INDEX('Sponsor Pro Forma'!$O$34:$Z$34,,MATCH('Monthly Cash Flow'!BO$4,'Sponsor Pro Forma'!$O$22:$Z$22,0))/12,IF('Monthly Cash Flow'!BO$5&gt;'Inputs and Assumptions'!$P$6,Taxes!$O$14,IF('Sponsor Pro Forma'!$L$42="Annual",'Monthly Cash Flow'!BN90*(1+'Sponsor Pro Forma'!$M32)^(IF(MOD(BO$5,12)=1,1,0)),'Monthly Cash Flow'!BN90*(1+'Sponsor Pro Forma'!$M$34/12)))))</f>
        <v>44687.283200000005</v>
      </c>
      <c r="BP90" s="1295" cm="1">
        <f t="array" ref="BP90">IF(AND('Sponsor Pro Forma'!$N$34="Override",'Monthly Cash Flow'!BP$5&gt;'Inputs and Assumptions'!$P$6),Taxes!$O$14,IF('Sponsor Pro Forma'!$N$34="Override",INDEX('Sponsor Pro Forma'!$O$34:$Z$34,,MATCH('Monthly Cash Flow'!BP$4,'Sponsor Pro Forma'!$O$22:$Z$22,0))/12,IF('Monthly Cash Flow'!BP$5&gt;'Inputs and Assumptions'!$P$6,Taxes!$O$14,IF('Sponsor Pro Forma'!$L$42="Annual",'Monthly Cash Flow'!BO90*(1+'Sponsor Pro Forma'!$M32)^(IF(MOD(BP$5,12)=1,1,0)),'Monthly Cash Flow'!BO90*(1+'Sponsor Pro Forma'!$M$34/12)))))</f>
        <v>44687.283200000005</v>
      </c>
      <c r="BQ90" s="1295" cm="1">
        <f t="array" ref="BQ90">IF(AND('Sponsor Pro Forma'!$N$34="Override",'Monthly Cash Flow'!BQ$5&gt;'Inputs and Assumptions'!$P$6),Taxes!$O$14,IF('Sponsor Pro Forma'!$N$34="Override",INDEX('Sponsor Pro Forma'!$O$34:$Z$34,,MATCH('Monthly Cash Flow'!BQ$4,'Sponsor Pro Forma'!$O$22:$Z$22,0))/12,IF('Monthly Cash Flow'!BQ$5&gt;'Inputs and Assumptions'!$P$6,Taxes!$O$14,IF('Sponsor Pro Forma'!$L$42="Annual",'Monthly Cash Flow'!BP90*(1+'Sponsor Pro Forma'!$M32)^(IF(MOD(BQ$5,12)=1,1,0)),'Monthly Cash Flow'!BP90*(1+'Sponsor Pro Forma'!$M$34/12)))))</f>
        <v>44687.283200000005</v>
      </c>
      <c r="BR90" s="1295" cm="1">
        <f t="array" ref="BR90">IF(AND('Sponsor Pro Forma'!$N$34="Override",'Monthly Cash Flow'!BR$5&gt;'Inputs and Assumptions'!$P$6),Taxes!$O$14,IF('Sponsor Pro Forma'!$N$34="Override",INDEX('Sponsor Pro Forma'!$O$34:$Z$34,,MATCH('Monthly Cash Flow'!BR$4,'Sponsor Pro Forma'!$O$22:$Z$22,0))/12,IF('Monthly Cash Flow'!BR$5&gt;'Inputs and Assumptions'!$P$6,Taxes!$O$14,IF('Sponsor Pro Forma'!$L$42="Annual",'Monthly Cash Flow'!BQ90*(1+'Sponsor Pro Forma'!$M32)^(IF(MOD(BR$5,12)=1,1,0)),'Monthly Cash Flow'!BQ90*(1+'Sponsor Pro Forma'!$M$34/12)))))</f>
        <v>44687.283200000005</v>
      </c>
      <c r="BS90" s="1295" cm="1">
        <f t="array" ref="BS90">IF(AND('Sponsor Pro Forma'!$N$34="Override",'Monthly Cash Flow'!BS$5&gt;'Inputs and Assumptions'!$P$6),Taxes!$O$14,IF('Sponsor Pro Forma'!$N$34="Override",INDEX('Sponsor Pro Forma'!$O$34:$Z$34,,MATCH('Monthly Cash Flow'!BS$4,'Sponsor Pro Forma'!$O$22:$Z$22,0))/12,IF('Monthly Cash Flow'!BS$5&gt;'Inputs and Assumptions'!$P$6,Taxes!$O$14,IF('Sponsor Pro Forma'!$L$42="Annual",'Monthly Cash Flow'!BR90*(1+'Sponsor Pro Forma'!$M32)^(IF(MOD(BS$5,12)=1,1,0)),'Monthly Cash Flow'!BR90*(1+'Sponsor Pro Forma'!$M$34/12)))))</f>
        <v>44687.283200000005</v>
      </c>
      <c r="BT90" s="1295" cm="1">
        <f t="array" ref="BT90">IF(AND('Sponsor Pro Forma'!$N$34="Override",'Monthly Cash Flow'!BT$5&gt;'Inputs and Assumptions'!$P$6),Taxes!$O$14,IF('Sponsor Pro Forma'!$N$34="Override",INDEX('Sponsor Pro Forma'!$O$34:$Z$34,,MATCH('Monthly Cash Flow'!BT$4,'Sponsor Pro Forma'!$O$22:$Z$22,0))/12,IF('Monthly Cash Flow'!BT$5&gt;'Inputs and Assumptions'!$P$6,Taxes!$O$14,IF('Sponsor Pro Forma'!$L$42="Annual",'Monthly Cash Flow'!BS90*(1+'Sponsor Pro Forma'!$M32)^(IF(MOD(BT$5,12)=1,1,0)),'Monthly Cash Flow'!BS90*(1+'Sponsor Pro Forma'!$M$34/12)))))</f>
        <v>44687.283200000005</v>
      </c>
      <c r="BU90" s="1295" cm="1">
        <f t="array" ref="BU90">IF(AND('Sponsor Pro Forma'!$N$34="Override",'Monthly Cash Flow'!BU$5&gt;'Inputs and Assumptions'!$P$6),Taxes!$O$14,IF('Sponsor Pro Forma'!$N$34="Override",INDEX('Sponsor Pro Forma'!$O$34:$Z$34,,MATCH('Monthly Cash Flow'!BU$4,'Sponsor Pro Forma'!$O$22:$Z$22,0))/12,IF('Monthly Cash Flow'!BU$5&gt;'Inputs and Assumptions'!$P$6,Taxes!$O$14,IF('Sponsor Pro Forma'!$L$42="Annual",'Monthly Cash Flow'!BT90*(1+'Sponsor Pro Forma'!$M32)^(IF(MOD(BU$5,12)=1,1,0)),'Monthly Cash Flow'!BT90*(1+'Sponsor Pro Forma'!$M$34/12)))))</f>
        <v>44687.283200000005</v>
      </c>
      <c r="BV90" s="1295" cm="1">
        <f t="array" ref="BV90">IF(AND('Sponsor Pro Forma'!$N$34="Override",'Monthly Cash Flow'!BV$5&gt;'Inputs and Assumptions'!$P$6),Taxes!$O$14,IF('Sponsor Pro Forma'!$N$34="Override",INDEX('Sponsor Pro Forma'!$O$34:$Z$34,,MATCH('Monthly Cash Flow'!BV$4,'Sponsor Pro Forma'!$O$22:$Z$22,0))/12,IF('Monthly Cash Flow'!BV$5&gt;'Inputs and Assumptions'!$P$6,Taxes!$O$14,IF('Sponsor Pro Forma'!$L$42="Annual",'Monthly Cash Flow'!BU90*(1+'Sponsor Pro Forma'!$M32)^(IF(MOD(BV$5,12)=1,1,0)),'Monthly Cash Flow'!BU90*(1+'Sponsor Pro Forma'!$M$34/12)))))</f>
        <v>44687.283200000005</v>
      </c>
      <c r="BW90" s="1295" cm="1">
        <f t="array" ref="BW90">IF(AND('Sponsor Pro Forma'!$N$34="Override",'Monthly Cash Flow'!BW$5&gt;'Inputs and Assumptions'!$P$6),Taxes!$O$14,IF('Sponsor Pro Forma'!$N$34="Override",INDEX('Sponsor Pro Forma'!$O$34:$Z$34,,MATCH('Monthly Cash Flow'!BW$4,'Sponsor Pro Forma'!$O$22:$Z$22,0))/12,IF('Monthly Cash Flow'!BW$5&gt;'Inputs and Assumptions'!$P$6,Taxes!$O$14,IF('Sponsor Pro Forma'!$L$42="Annual",'Monthly Cash Flow'!BV90*(1+'Sponsor Pro Forma'!$M32)^(IF(MOD(BW$5,12)=1,1,0)),'Monthly Cash Flow'!BV90*(1+'Sponsor Pro Forma'!$M$34/12)))))</f>
        <v>44687.283200000005</v>
      </c>
      <c r="BX90" s="1295" cm="1">
        <f t="array" ref="BX90">IF(AND('Sponsor Pro Forma'!$N$34="Override",'Monthly Cash Flow'!BX$5&gt;'Inputs and Assumptions'!$P$6),Taxes!$O$14,IF('Sponsor Pro Forma'!$N$34="Override",INDEX('Sponsor Pro Forma'!$O$34:$Z$34,,MATCH('Monthly Cash Flow'!BX$4,'Sponsor Pro Forma'!$O$22:$Z$22,0))/12,IF('Monthly Cash Flow'!BX$5&gt;'Inputs and Assumptions'!$P$6,Taxes!$O$14,IF('Sponsor Pro Forma'!$L$42="Annual",'Monthly Cash Flow'!BW90*(1+'Sponsor Pro Forma'!$M32)^(IF(MOD(BX$5,12)=1,1,0)),'Monthly Cash Flow'!BW90*(1+'Sponsor Pro Forma'!$M$34/12)))))</f>
        <v>44687.283200000005</v>
      </c>
      <c r="BY90" s="1295" cm="1">
        <f t="array" ref="BY90">IF(AND('Sponsor Pro Forma'!$N$34="Override",'Monthly Cash Flow'!BY$5&gt;'Inputs and Assumptions'!$P$6),Taxes!$O$14,IF('Sponsor Pro Forma'!$N$34="Override",INDEX('Sponsor Pro Forma'!$O$34:$Z$34,,MATCH('Monthly Cash Flow'!BY$4,'Sponsor Pro Forma'!$O$22:$Z$22,0))/12,IF('Monthly Cash Flow'!BY$5&gt;'Inputs and Assumptions'!$P$6,Taxes!$O$14,IF('Sponsor Pro Forma'!$L$42="Annual",'Monthly Cash Flow'!BX90*(1+'Sponsor Pro Forma'!$M32)^(IF(MOD(BY$5,12)=1,1,0)),'Monthly Cash Flow'!BX90*(1+'Sponsor Pro Forma'!$M$34/12)))))</f>
        <v>44687.283200000005</v>
      </c>
      <c r="BZ90" s="1295" cm="1">
        <f t="array" ref="BZ90">IF(AND('Sponsor Pro Forma'!$N$34="Override",'Monthly Cash Flow'!BZ$5&gt;'Inputs and Assumptions'!$P$6),Taxes!$O$14,IF('Sponsor Pro Forma'!$N$34="Override",INDEX('Sponsor Pro Forma'!$O$34:$Z$34,,MATCH('Monthly Cash Flow'!BZ$4,'Sponsor Pro Forma'!$O$22:$Z$22,0))/12,IF('Monthly Cash Flow'!BZ$5&gt;'Inputs and Assumptions'!$P$6,Taxes!$O$14,IF('Sponsor Pro Forma'!$L$42="Annual",'Monthly Cash Flow'!BY90*(1+'Sponsor Pro Forma'!$M32)^(IF(MOD(BZ$5,12)=1,1,0)),'Monthly Cash Flow'!BY90*(1+'Sponsor Pro Forma'!$M$34/12)))))</f>
        <v>44687.283200000005</v>
      </c>
      <c r="CA90" s="1295" cm="1">
        <f t="array" ref="CA90">IF(AND('Sponsor Pro Forma'!$N$34="Override",'Monthly Cash Flow'!CA$5&gt;'Inputs and Assumptions'!$P$6),Taxes!$O$14,IF('Sponsor Pro Forma'!$N$34="Override",INDEX('Sponsor Pro Forma'!$O$34:$Z$34,,MATCH('Monthly Cash Flow'!CA$4,'Sponsor Pro Forma'!$O$22:$Z$22,0))/12,IF('Monthly Cash Flow'!CA$5&gt;'Inputs and Assumptions'!$P$6,Taxes!$O$14,IF('Sponsor Pro Forma'!$L$42="Annual",'Monthly Cash Flow'!BZ90*(1+'Sponsor Pro Forma'!$M32)^(IF(MOD(CA$5,12)=1,1,0)),'Monthly Cash Flow'!BZ90*(1+'Sponsor Pro Forma'!$M$34/12)))))</f>
        <v>44687.283200000005</v>
      </c>
      <c r="CB90" s="1295" cm="1">
        <f t="array" ref="CB90">IF(AND('Sponsor Pro Forma'!$N$34="Override",'Monthly Cash Flow'!CB$5&gt;'Inputs and Assumptions'!$P$6),Taxes!$O$14,IF('Sponsor Pro Forma'!$N$34="Override",INDEX('Sponsor Pro Forma'!$O$34:$Z$34,,MATCH('Monthly Cash Flow'!CB$4,'Sponsor Pro Forma'!$O$22:$Z$22,0))/12,IF('Monthly Cash Flow'!CB$5&gt;'Inputs and Assumptions'!$P$6,Taxes!$O$14,IF('Sponsor Pro Forma'!$L$42="Annual",'Monthly Cash Flow'!CA90*(1+'Sponsor Pro Forma'!$M32)^(IF(MOD(CB$5,12)=1,1,0)),'Monthly Cash Flow'!CA90*(1+'Sponsor Pro Forma'!$M$34/12)))))</f>
        <v>44687.283200000005</v>
      </c>
      <c r="CC90" s="1295" cm="1">
        <f t="array" ref="CC90">IF(AND('Sponsor Pro Forma'!$N$34="Override",'Monthly Cash Flow'!CC$5&gt;'Inputs and Assumptions'!$P$6),Taxes!$O$14,IF('Sponsor Pro Forma'!$N$34="Override",INDEX('Sponsor Pro Forma'!$O$34:$Z$34,,MATCH('Monthly Cash Flow'!CC$4,'Sponsor Pro Forma'!$O$22:$Z$22,0))/12,IF('Monthly Cash Flow'!CC$5&gt;'Inputs and Assumptions'!$P$6,Taxes!$O$14,IF('Sponsor Pro Forma'!$L$42="Annual",'Monthly Cash Flow'!CB90*(1+'Sponsor Pro Forma'!$M32)^(IF(MOD(CC$5,12)=1,1,0)),'Monthly Cash Flow'!CB90*(1+'Sponsor Pro Forma'!$M$34/12)))))</f>
        <v>44687.283200000005</v>
      </c>
      <c r="CD90" s="1295" cm="1">
        <f t="array" ref="CD90">IF(AND('Sponsor Pro Forma'!$N$34="Override",'Monthly Cash Flow'!CD$5&gt;'Inputs and Assumptions'!$P$6),Taxes!$O$14,IF('Sponsor Pro Forma'!$N$34="Override",INDEX('Sponsor Pro Forma'!$O$34:$Z$34,,MATCH('Monthly Cash Flow'!CD$4,'Sponsor Pro Forma'!$O$22:$Z$22,0))/12,IF('Monthly Cash Flow'!CD$5&gt;'Inputs and Assumptions'!$P$6,Taxes!$O$14,IF('Sponsor Pro Forma'!$L$42="Annual",'Monthly Cash Flow'!CC90*(1+'Sponsor Pro Forma'!$M32)^(IF(MOD(CD$5,12)=1,1,0)),'Monthly Cash Flow'!CC90*(1+'Sponsor Pro Forma'!$M$34/12)))))</f>
        <v>44687.283200000005</v>
      </c>
      <c r="CE90" s="1295" cm="1">
        <f t="array" ref="CE90">IF(AND('Sponsor Pro Forma'!$N$34="Override",'Monthly Cash Flow'!CE$5&gt;'Inputs and Assumptions'!$P$6),Taxes!$O$14,IF('Sponsor Pro Forma'!$N$34="Override",INDEX('Sponsor Pro Forma'!$O$34:$Z$34,,MATCH('Monthly Cash Flow'!CE$4,'Sponsor Pro Forma'!$O$22:$Z$22,0))/12,IF('Monthly Cash Flow'!CE$5&gt;'Inputs and Assumptions'!$P$6,Taxes!$O$14,IF('Sponsor Pro Forma'!$L$42="Annual",'Monthly Cash Flow'!CD90*(1+'Sponsor Pro Forma'!$M32)^(IF(MOD(CE$5,12)=1,1,0)),'Monthly Cash Flow'!CD90*(1+'Sponsor Pro Forma'!$M$34/12)))))</f>
        <v>44687.283200000005</v>
      </c>
      <c r="CF90" s="1295" cm="1">
        <f t="array" ref="CF90">IF(AND('Sponsor Pro Forma'!$N$34="Override",'Monthly Cash Flow'!CF$5&gt;'Inputs and Assumptions'!$P$6),Taxes!$O$14,IF('Sponsor Pro Forma'!$N$34="Override",INDEX('Sponsor Pro Forma'!$O$34:$Z$34,,MATCH('Monthly Cash Flow'!CF$4,'Sponsor Pro Forma'!$O$22:$Z$22,0))/12,IF('Monthly Cash Flow'!CF$5&gt;'Inputs and Assumptions'!$P$6,Taxes!$O$14,IF('Sponsor Pro Forma'!$L$42="Annual",'Monthly Cash Flow'!CE90*(1+'Sponsor Pro Forma'!$M32)^(IF(MOD(CF$5,12)=1,1,0)),'Monthly Cash Flow'!CE90*(1+'Sponsor Pro Forma'!$M$34/12)))))</f>
        <v>44687.283200000005</v>
      </c>
      <c r="CG90" s="1295" cm="1">
        <f t="array" ref="CG90">IF(AND('Sponsor Pro Forma'!$N$34="Override",'Monthly Cash Flow'!CG$5&gt;'Inputs and Assumptions'!$P$6),Taxes!$O$14,IF('Sponsor Pro Forma'!$N$34="Override",INDEX('Sponsor Pro Forma'!$O$34:$Z$34,,MATCH('Monthly Cash Flow'!CG$4,'Sponsor Pro Forma'!$O$22:$Z$22,0))/12,IF('Monthly Cash Flow'!CG$5&gt;'Inputs and Assumptions'!$P$6,Taxes!$O$14,IF('Sponsor Pro Forma'!$L$42="Annual",'Monthly Cash Flow'!CF90*(1+'Sponsor Pro Forma'!$M32)^(IF(MOD(CG$5,12)=1,1,0)),'Monthly Cash Flow'!CF90*(1+'Sponsor Pro Forma'!$M$34/12)))))</f>
        <v>44687.283200000005</v>
      </c>
      <c r="CH90" s="1295" cm="1">
        <f t="array" ref="CH90">IF(AND('Sponsor Pro Forma'!$N$34="Override",'Monthly Cash Flow'!CH$5&gt;'Inputs and Assumptions'!$P$6),Taxes!$O$14,IF('Sponsor Pro Forma'!$N$34="Override",INDEX('Sponsor Pro Forma'!$O$34:$Z$34,,MATCH('Monthly Cash Flow'!CH$4,'Sponsor Pro Forma'!$O$22:$Z$22,0))/12,IF('Monthly Cash Flow'!CH$5&gt;'Inputs and Assumptions'!$P$6,Taxes!$O$14,IF('Sponsor Pro Forma'!$L$42="Annual",'Monthly Cash Flow'!CG90*(1+'Sponsor Pro Forma'!$M32)^(IF(MOD(CH$5,12)=1,1,0)),'Monthly Cash Flow'!CG90*(1+'Sponsor Pro Forma'!$M$34/12)))))</f>
        <v>44687.283200000005</v>
      </c>
      <c r="CI90" s="1295" cm="1">
        <f t="array" ref="CI90">IF(AND('Sponsor Pro Forma'!$N$34="Override",'Monthly Cash Flow'!CI$5&gt;'Inputs and Assumptions'!$P$6),Taxes!$O$14,IF('Sponsor Pro Forma'!$N$34="Override",INDEX('Sponsor Pro Forma'!$O$34:$Z$34,,MATCH('Monthly Cash Flow'!CI$4,'Sponsor Pro Forma'!$O$22:$Z$22,0))/12,IF('Monthly Cash Flow'!CI$5&gt;'Inputs and Assumptions'!$P$6,Taxes!$O$14,IF('Sponsor Pro Forma'!$L$42="Annual",'Monthly Cash Flow'!CH90*(1+'Sponsor Pro Forma'!$M32)^(IF(MOD(CI$5,12)=1,1,0)),'Monthly Cash Flow'!CH90*(1+'Sponsor Pro Forma'!$M$34/12)))))</f>
        <v>44687.283200000005</v>
      </c>
      <c r="CJ90" s="1295" cm="1">
        <f t="array" ref="CJ90">IF(AND('Sponsor Pro Forma'!$N$34="Override",'Monthly Cash Flow'!CJ$5&gt;'Inputs and Assumptions'!$P$6),Taxes!$O$14,IF('Sponsor Pro Forma'!$N$34="Override",INDEX('Sponsor Pro Forma'!$O$34:$Z$34,,MATCH('Monthly Cash Flow'!CJ$4,'Sponsor Pro Forma'!$O$22:$Z$22,0))/12,IF('Monthly Cash Flow'!CJ$5&gt;'Inputs and Assumptions'!$P$6,Taxes!$O$14,IF('Sponsor Pro Forma'!$L$42="Annual",'Monthly Cash Flow'!CI90*(1+'Sponsor Pro Forma'!$M32)^(IF(MOD(CJ$5,12)=1,1,0)),'Monthly Cash Flow'!CI90*(1+'Sponsor Pro Forma'!$M$34/12)))))</f>
        <v>44687.283200000005</v>
      </c>
      <c r="CK90" s="1295" cm="1">
        <f t="array" ref="CK90">IF(AND('Sponsor Pro Forma'!$N$34="Override",'Monthly Cash Flow'!CK$5&gt;'Inputs and Assumptions'!$P$6),Taxes!$O$14,IF('Sponsor Pro Forma'!$N$34="Override",INDEX('Sponsor Pro Forma'!$O$34:$Z$34,,MATCH('Monthly Cash Flow'!CK$4,'Sponsor Pro Forma'!$O$22:$Z$22,0))/12,IF('Monthly Cash Flow'!CK$5&gt;'Inputs and Assumptions'!$P$6,Taxes!$O$14,IF('Sponsor Pro Forma'!$L$42="Annual",'Monthly Cash Flow'!CJ90*(1+'Sponsor Pro Forma'!$M32)^(IF(MOD(CK$5,12)=1,1,0)),'Monthly Cash Flow'!CJ90*(1+'Sponsor Pro Forma'!$M$34/12)))))</f>
        <v>44687.283200000005</v>
      </c>
      <c r="CL90" s="1295" cm="1">
        <f t="array" ref="CL90">IF(AND('Sponsor Pro Forma'!$N$34="Override",'Monthly Cash Flow'!CL$5&gt;'Inputs and Assumptions'!$P$6),Taxes!$O$14,IF('Sponsor Pro Forma'!$N$34="Override",INDEX('Sponsor Pro Forma'!$O$34:$Z$34,,MATCH('Monthly Cash Flow'!CL$4,'Sponsor Pro Forma'!$O$22:$Z$22,0))/12,IF('Monthly Cash Flow'!CL$5&gt;'Inputs and Assumptions'!$P$6,Taxes!$O$14,IF('Sponsor Pro Forma'!$L$42="Annual",'Monthly Cash Flow'!CK90*(1+'Sponsor Pro Forma'!$M32)^(IF(MOD(CL$5,12)=1,1,0)),'Monthly Cash Flow'!CK90*(1+'Sponsor Pro Forma'!$M$34/12)))))</f>
        <v>44687.283200000005</v>
      </c>
      <c r="CM90" s="1295" cm="1">
        <f t="array" ref="CM90">IF(AND('Sponsor Pro Forma'!$N$34="Override",'Monthly Cash Flow'!CM$5&gt;'Inputs and Assumptions'!$P$6),Taxes!$O$14,IF('Sponsor Pro Forma'!$N$34="Override",INDEX('Sponsor Pro Forma'!$O$34:$Z$34,,MATCH('Monthly Cash Flow'!CM$4,'Sponsor Pro Forma'!$O$22:$Z$22,0))/12,IF('Monthly Cash Flow'!CM$5&gt;'Inputs and Assumptions'!$P$6,Taxes!$O$14,IF('Sponsor Pro Forma'!$L$42="Annual",'Monthly Cash Flow'!CL90*(1+'Sponsor Pro Forma'!$M32)^(IF(MOD(CM$5,12)=1,1,0)),'Monthly Cash Flow'!CL90*(1+'Sponsor Pro Forma'!$M$34/12)))))</f>
        <v>44687.283200000005</v>
      </c>
      <c r="CN90" s="1295" cm="1">
        <f t="array" ref="CN90">IF(AND('Sponsor Pro Forma'!$N$34="Override",'Monthly Cash Flow'!CN$5&gt;'Inputs and Assumptions'!$P$6),Taxes!$O$14,IF('Sponsor Pro Forma'!$N$34="Override",INDEX('Sponsor Pro Forma'!$O$34:$Z$34,,MATCH('Monthly Cash Flow'!CN$4,'Sponsor Pro Forma'!$O$22:$Z$22,0))/12,IF('Monthly Cash Flow'!CN$5&gt;'Inputs and Assumptions'!$P$6,Taxes!$O$14,IF('Sponsor Pro Forma'!$L$42="Annual",'Monthly Cash Flow'!CM90*(1+'Sponsor Pro Forma'!$M32)^(IF(MOD(CN$5,12)=1,1,0)),'Monthly Cash Flow'!CM90*(1+'Sponsor Pro Forma'!$M$34/12)))))</f>
        <v>44687.283200000005</v>
      </c>
      <c r="CO90" s="1295" cm="1">
        <f t="array" ref="CO90">IF(AND('Sponsor Pro Forma'!$N$34="Override",'Monthly Cash Flow'!CO$5&gt;'Inputs and Assumptions'!$P$6),Taxes!$O$14,IF('Sponsor Pro Forma'!$N$34="Override",INDEX('Sponsor Pro Forma'!$O$34:$Z$34,,MATCH('Monthly Cash Flow'!CO$4,'Sponsor Pro Forma'!$O$22:$Z$22,0))/12,IF('Monthly Cash Flow'!CO$5&gt;'Inputs and Assumptions'!$P$6,Taxes!$O$14,IF('Sponsor Pro Forma'!$L$42="Annual",'Monthly Cash Flow'!CN90*(1+'Sponsor Pro Forma'!$M32)^(IF(MOD(CO$5,12)=1,1,0)),'Monthly Cash Flow'!CN90*(1+'Sponsor Pro Forma'!$M$34/12)))))</f>
        <v>44687.283200000005</v>
      </c>
      <c r="CP90" s="1295" cm="1">
        <f t="array" ref="CP90">IF(AND('Sponsor Pro Forma'!$N$34="Override",'Monthly Cash Flow'!CP$5&gt;'Inputs and Assumptions'!$P$6),Taxes!$O$14,IF('Sponsor Pro Forma'!$N$34="Override",INDEX('Sponsor Pro Forma'!$O$34:$Z$34,,MATCH('Monthly Cash Flow'!CP$4,'Sponsor Pro Forma'!$O$22:$Z$22,0))/12,IF('Monthly Cash Flow'!CP$5&gt;'Inputs and Assumptions'!$P$6,Taxes!$O$14,IF('Sponsor Pro Forma'!$L$42="Annual",'Monthly Cash Flow'!CO90*(1+'Sponsor Pro Forma'!$M32)^(IF(MOD(CP$5,12)=1,1,0)),'Monthly Cash Flow'!CO90*(1+'Sponsor Pro Forma'!$M$34/12)))))</f>
        <v>44687.283200000005</v>
      </c>
      <c r="CQ90" s="1295" cm="1">
        <f t="array" ref="CQ90">IF(AND('Sponsor Pro Forma'!$N$34="Override",'Monthly Cash Flow'!CQ$5&gt;'Inputs and Assumptions'!$P$6),Taxes!$O$14,IF('Sponsor Pro Forma'!$N$34="Override",INDEX('Sponsor Pro Forma'!$O$34:$Z$34,,MATCH('Monthly Cash Flow'!CQ$4,'Sponsor Pro Forma'!$O$22:$Z$22,0))/12,IF('Monthly Cash Flow'!CQ$5&gt;'Inputs and Assumptions'!$P$6,Taxes!$O$14,IF('Sponsor Pro Forma'!$L$42="Annual",'Monthly Cash Flow'!CP90*(1+'Sponsor Pro Forma'!$M32)^(IF(MOD(CQ$5,12)=1,1,0)),'Monthly Cash Flow'!CP90*(1+'Sponsor Pro Forma'!$M$34/12)))))</f>
        <v>44687.283200000005</v>
      </c>
      <c r="CR90" s="1295" cm="1">
        <f t="array" ref="CR90">IF(AND('Sponsor Pro Forma'!$N$34="Override",'Monthly Cash Flow'!CR$5&gt;'Inputs and Assumptions'!$P$6),Taxes!$O$14,IF('Sponsor Pro Forma'!$N$34="Override",INDEX('Sponsor Pro Forma'!$O$34:$Z$34,,MATCH('Monthly Cash Flow'!CR$4,'Sponsor Pro Forma'!$O$22:$Z$22,0))/12,IF('Monthly Cash Flow'!CR$5&gt;'Inputs and Assumptions'!$P$6,Taxes!$O$14,IF('Sponsor Pro Forma'!$L$42="Annual",'Monthly Cash Flow'!CQ90*(1+'Sponsor Pro Forma'!$M32)^(IF(MOD(CR$5,12)=1,1,0)),'Monthly Cash Flow'!CQ90*(1+'Sponsor Pro Forma'!$M$34/12)))))</f>
        <v>44687.283200000005</v>
      </c>
      <c r="CS90" s="1295" cm="1">
        <f t="array" ref="CS90">IF(AND('Sponsor Pro Forma'!$N$34="Override",'Monthly Cash Flow'!CS$5&gt;'Inputs and Assumptions'!$P$6),Taxes!$O$14,IF('Sponsor Pro Forma'!$N$34="Override",INDEX('Sponsor Pro Forma'!$O$34:$Z$34,,MATCH('Monthly Cash Flow'!CS$4,'Sponsor Pro Forma'!$O$22:$Z$22,0))/12,IF('Monthly Cash Flow'!CS$5&gt;'Inputs and Assumptions'!$P$6,Taxes!$O$14,IF('Sponsor Pro Forma'!$L$42="Annual",'Monthly Cash Flow'!CR90*(1+'Sponsor Pro Forma'!$M32)^(IF(MOD(CS$5,12)=1,1,0)),'Monthly Cash Flow'!CR90*(1+'Sponsor Pro Forma'!$M$34/12)))))</f>
        <v>44687.283200000005</v>
      </c>
      <c r="CT90" s="1295" cm="1">
        <f t="array" ref="CT90">IF(AND('Sponsor Pro Forma'!$N$34="Override",'Monthly Cash Flow'!CT$5&gt;'Inputs and Assumptions'!$P$6),Taxes!$O$14,IF('Sponsor Pro Forma'!$N$34="Override",INDEX('Sponsor Pro Forma'!$O$34:$Z$34,,MATCH('Monthly Cash Flow'!CT$4,'Sponsor Pro Forma'!$O$22:$Z$22,0))/12,IF('Monthly Cash Flow'!CT$5&gt;'Inputs and Assumptions'!$P$6,Taxes!$O$14,IF('Sponsor Pro Forma'!$L$42="Annual",'Monthly Cash Flow'!CS90*(1+'Sponsor Pro Forma'!$M32)^(IF(MOD(CT$5,12)=1,1,0)),'Monthly Cash Flow'!CS90*(1+'Sponsor Pro Forma'!$M$34/12)))))</f>
        <v>44687.283200000005</v>
      </c>
      <c r="CU90" s="1295" cm="1">
        <f t="array" ref="CU90">IF(AND('Sponsor Pro Forma'!$N$34="Override",'Monthly Cash Flow'!CU$5&gt;'Inputs and Assumptions'!$P$6),Taxes!$O$14,IF('Sponsor Pro Forma'!$N$34="Override",INDEX('Sponsor Pro Forma'!$O$34:$Z$34,,MATCH('Monthly Cash Flow'!CU$4,'Sponsor Pro Forma'!$O$22:$Z$22,0))/12,IF('Monthly Cash Flow'!CU$5&gt;'Inputs and Assumptions'!$P$6,Taxes!$O$14,IF('Sponsor Pro Forma'!$L$42="Annual",'Monthly Cash Flow'!CT90*(1+'Sponsor Pro Forma'!$M32)^(IF(MOD(CU$5,12)=1,1,0)),'Monthly Cash Flow'!CT90*(1+'Sponsor Pro Forma'!$M$34/12)))))</f>
        <v>44687.283200000005</v>
      </c>
      <c r="CV90" s="1295" cm="1">
        <f t="array" ref="CV90">IF(AND('Sponsor Pro Forma'!$N$34="Override",'Monthly Cash Flow'!CV$5&gt;'Inputs and Assumptions'!$P$6),Taxes!$O$14,IF('Sponsor Pro Forma'!$N$34="Override",INDEX('Sponsor Pro Forma'!$O$34:$Z$34,,MATCH('Monthly Cash Flow'!CV$4,'Sponsor Pro Forma'!$O$22:$Z$22,0))/12,IF('Monthly Cash Flow'!CV$5&gt;'Inputs and Assumptions'!$P$6,Taxes!$O$14,IF('Sponsor Pro Forma'!$L$42="Annual",'Monthly Cash Flow'!CU90*(1+'Sponsor Pro Forma'!$M32)^(IF(MOD(CV$5,12)=1,1,0)),'Monthly Cash Flow'!CU90*(1+'Sponsor Pro Forma'!$M$34/12)))))</f>
        <v>44687.283200000005</v>
      </c>
      <c r="CW90" s="1295" cm="1">
        <f t="array" ref="CW90">IF(AND('Sponsor Pro Forma'!$N$34="Override",'Monthly Cash Flow'!CW$5&gt;'Inputs and Assumptions'!$P$6),Taxes!$O$14,IF('Sponsor Pro Forma'!$N$34="Override",INDEX('Sponsor Pro Forma'!$O$34:$Z$34,,MATCH('Monthly Cash Flow'!CW$4,'Sponsor Pro Forma'!$O$22:$Z$22,0))/12,IF('Monthly Cash Flow'!CW$5&gt;'Inputs and Assumptions'!$P$6,Taxes!$O$14,IF('Sponsor Pro Forma'!$L$42="Annual",'Monthly Cash Flow'!CV90*(1+'Sponsor Pro Forma'!$M32)^(IF(MOD(CW$5,12)=1,1,0)),'Monthly Cash Flow'!CV90*(1+'Sponsor Pro Forma'!$M$34/12)))))</f>
        <v>44687.283200000005</v>
      </c>
      <c r="CX90" s="1295" cm="1">
        <f t="array" ref="CX90">IF(AND('Sponsor Pro Forma'!$N$34="Override",'Monthly Cash Flow'!CX$5&gt;'Inputs and Assumptions'!$P$6),Taxes!$O$14,IF('Sponsor Pro Forma'!$N$34="Override",INDEX('Sponsor Pro Forma'!$O$34:$Z$34,,MATCH('Monthly Cash Flow'!CX$4,'Sponsor Pro Forma'!$O$22:$Z$22,0))/12,IF('Monthly Cash Flow'!CX$5&gt;'Inputs and Assumptions'!$P$6,Taxes!$O$14,IF('Sponsor Pro Forma'!$L$42="Annual",'Monthly Cash Flow'!CW90*(1+'Sponsor Pro Forma'!$M32)^(IF(MOD(CX$5,12)=1,1,0)),'Monthly Cash Flow'!CW90*(1+'Sponsor Pro Forma'!$M$34/12)))))</f>
        <v>44687.283200000005</v>
      </c>
      <c r="CY90" s="1295" cm="1">
        <f t="array" ref="CY90">IF(AND('Sponsor Pro Forma'!$N$34="Override",'Monthly Cash Flow'!CY$5&gt;'Inputs and Assumptions'!$P$6),Taxes!$O$14,IF('Sponsor Pro Forma'!$N$34="Override",INDEX('Sponsor Pro Forma'!$O$34:$Z$34,,MATCH('Monthly Cash Flow'!CY$4,'Sponsor Pro Forma'!$O$22:$Z$22,0))/12,IF('Monthly Cash Flow'!CY$5&gt;'Inputs and Assumptions'!$P$6,Taxes!$O$14,IF('Sponsor Pro Forma'!$L$42="Annual",'Monthly Cash Flow'!CX90*(1+'Sponsor Pro Forma'!$M32)^(IF(MOD(CY$5,12)=1,1,0)),'Monthly Cash Flow'!CX90*(1+'Sponsor Pro Forma'!$M$34/12)))))</f>
        <v>44687.283200000005</v>
      </c>
      <c r="CZ90" s="1295" cm="1">
        <f t="array" ref="CZ90">IF(AND('Sponsor Pro Forma'!$N$34="Override",'Monthly Cash Flow'!CZ$5&gt;'Inputs and Assumptions'!$P$6),Taxes!$O$14,IF('Sponsor Pro Forma'!$N$34="Override",INDEX('Sponsor Pro Forma'!$O$34:$Z$34,,MATCH('Monthly Cash Flow'!CZ$4,'Sponsor Pro Forma'!$O$22:$Z$22,0))/12,IF('Monthly Cash Flow'!CZ$5&gt;'Inputs and Assumptions'!$P$6,Taxes!$O$14,IF('Sponsor Pro Forma'!$L$42="Annual",'Monthly Cash Flow'!CY90*(1+'Sponsor Pro Forma'!$M32)^(IF(MOD(CZ$5,12)=1,1,0)),'Monthly Cash Flow'!CY90*(1+'Sponsor Pro Forma'!$M$34/12)))))</f>
        <v>44687.283200000005</v>
      </c>
      <c r="DA90" s="1295" cm="1">
        <f t="array" ref="DA90">IF(AND('Sponsor Pro Forma'!$N$34="Override",'Monthly Cash Flow'!DA$5&gt;'Inputs and Assumptions'!$P$6),Taxes!$O$14,IF('Sponsor Pro Forma'!$N$34="Override",INDEX('Sponsor Pro Forma'!$O$34:$Z$34,,MATCH('Monthly Cash Flow'!DA$4,'Sponsor Pro Forma'!$O$22:$Z$22,0))/12,IF('Monthly Cash Flow'!DA$5&gt;'Inputs and Assumptions'!$P$6,Taxes!$O$14,IF('Sponsor Pro Forma'!$L$42="Annual",'Monthly Cash Flow'!CZ90*(1+'Sponsor Pro Forma'!$M32)^(IF(MOD(DA$5,12)=1,1,0)),'Monthly Cash Flow'!CZ90*(1+'Sponsor Pro Forma'!$M$34/12)))))</f>
        <v>44687.283200000005</v>
      </c>
      <c r="DB90" s="1295" cm="1">
        <f t="array" ref="DB90">IF(AND('Sponsor Pro Forma'!$N$34="Override",'Monthly Cash Flow'!DB$5&gt;'Inputs and Assumptions'!$P$6),Taxes!$O$14,IF('Sponsor Pro Forma'!$N$34="Override",INDEX('Sponsor Pro Forma'!$O$34:$Z$34,,MATCH('Monthly Cash Flow'!DB$4,'Sponsor Pro Forma'!$O$22:$Z$22,0))/12,IF('Monthly Cash Flow'!DB$5&gt;'Inputs and Assumptions'!$P$6,Taxes!$O$14,IF('Sponsor Pro Forma'!$L$42="Annual",'Monthly Cash Flow'!DA90*(1+'Sponsor Pro Forma'!$M32)^(IF(MOD(DB$5,12)=1,1,0)),'Monthly Cash Flow'!DA90*(1+'Sponsor Pro Forma'!$M$34/12)))))</f>
        <v>44687.283200000005</v>
      </c>
      <c r="DC90" s="1295" cm="1">
        <f t="array" ref="DC90">IF(AND('Sponsor Pro Forma'!$N$34="Override",'Monthly Cash Flow'!DC$5&gt;'Inputs and Assumptions'!$P$6),Taxes!$O$14,IF('Sponsor Pro Forma'!$N$34="Override",INDEX('Sponsor Pro Forma'!$O$34:$Z$34,,MATCH('Monthly Cash Flow'!DC$4,'Sponsor Pro Forma'!$O$22:$Z$22,0))/12,IF('Monthly Cash Flow'!DC$5&gt;'Inputs and Assumptions'!$P$6,Taxes!$O$14,IF('Sponsor Pro Forma'!$L$42="Annual",'Monthly Cash Flow'!DB90*(1+'Sponsor Pro Forma'!$M32)^(IF(MOD(DC$5,12)=1,1,0)),'Monthly Cash Flow'!DB90*(1+'Sponsor Pro Forma'!$M$34/12)))))</f>
        <v>44687.283200000005</v>
      </c>
      <c r="DD90" s="1295" cm="1">
        <f t="array" ref="DD90">IF(AND('Sponsor Pro Forma'!$N$34="Override",'Monthly Cash Flow'!DD$5&gt;'Inputs and Assumptions'!$P$6),Taxes!$O$14,IF('Sponsor Pro Forma'!$N$34="Override",INDEX('Sponsor Pro Forma'!$O$34:$Z$34,,MATCH('Monthly Cash Flow'!DD$4,'Sponsor Pro Forma'!$O$22:$Z$22,0))/12,IF('Monthly Cash Flow'!DD$5&gt;'Inputs and Assumptions'!$P$6,Taxes!$O$14,IF('Sponsor Pro Forma'!$L$42="Annual",'Monthly Cash Flow'!DC90*(1+'Sponsor Pro Forma'!$M32)^(IF(MOD(DD$5,12)=1,1,0)),'Monthly Cash Flow'!DC90*(1+'Sponsor Pro Forma'!$M$34/12)))))</f>
        <v>44687.283200000005</v>
      </c>
      <c r="DE90" s="1295" cm="1">
        <f t="array" ref="DE90">IF(AND('Sponsor Pro Forma'!$N$34="Override",'Monthly Cash Flow'!DE$5&gt;'Inputs and Assumptions'!$P$6),Taxes!$O$14,IF('Sponsor Pro Forma'!$N$34="Override",INDEX('Sponsor Pro Forma'!$O$34:$Z$34,,MATCH('Monthly Cash Flow'!DE$4,'Sponsor Pro Forma'!$O$22:$Z$22,0))/12,IF('Monthly Cash Flow'!DE$5&gt;'Inputs and Assumptions'!$P$6,Taxes!$O$14,IF('Sponsor Pro Forma'!$L$42="Annual",'Monthly Cash Flow'!DD90*(1+'Sponsor Pro Forma'!$M32)^(IF(MOD(DE$5,12)=1,1,0)),'Monthly Cash Flow'!DD90*(1+'Sponsor Pro Forma'!$M$34/12)))))</f>
        <v>44687.283200000005</v>
      </c>
      <c r="DF90" s="1295" cm="1">
        <f t="array" ref="DF90">IF(AND('Sponsor Pro Forma'!$N$34="Override",'Monthly Cash Flow'!DF$5&gt;'Inputs and Assumptions'!$P$6),Taxes!$O$14,IF('Sponsor Pro Forma'!$N$34="Override",INDEX('Sponsor Pro Forma'!$O$34:$Z$34,,MATCH('Monthly Cash Flow'!DF$4,'Sponsor Pro Forma'!$O$22:$Z$22,0))/12,IF('Monthly Cash Flow'!DF$5&gt;'Inputs and Assumptions'!$P$6,Taxes!$O$14,IF('Sponsor Pro Forma'!$L$42="Annual",'Monthly Cash Flow'!DE90*(1+'Sponsor Pro Forma'!$M32)^(IF(MOD(DF$5,12)=1,1,0)),'Monthly Cash Flow'!DE90*(1+'Sponsor Pro Forma'!$M$34/12)))))</f>
        <v>44687.283200000005</v>
      </c>
      <c r="DG90" s="1295" cm="1">
        <f t="array" ref="DG90">IF(AND('Sponsor Pro Forma'!$N$34="Override",'Monthly Cash Flow'!DG$5&gt;'Inputs and Assumptions'!$P$6),Taxes!$O$14,IF('Sponsor Pro Forma'!$N$34="Override",INDEX('Sponsor Pro Forma'!$O$34:$Z$34,,MATCH('Monthly Cash Flow'!DG$4,'Sponsor Pro Forma'!$O$22:$Z$22,0))/12,IF('Monthly Cash Flow'!DG$5&gt;'Inputs and Assumptions'!$P$6,Taxes!$O$14,IF('Sponsor Pro Forma'!$L$42="Annual",'Monthly Cash Flow'!DF90*(1+'Sponsor Pro Forma'!$M32)^(IF(MOD(DG$5,12)=1,1,0)),'Monthly Cash Flow'!DF90*(1+'Sponsor Pro Forma'!$M$34/12)))))</f>
        <v>44687.283200000005</v>
      </c>
      <c r="DH90" s="1295" cm="1">
        <f t="array" ref="DH90">IF(AND('Sponsor Pro Forma'!$N$34="Override",'Monthly Cash Flow'!DH$5&gt;'Inputs and Assumptions'!$P$6),Taxes!$O$14,IF('Sponsor Pro Forma'!$N$34="Override",INDEX('Sponsor Pro Forma'!$O$34:$Z$34,,MATCH('Monthly Cash Flow'!DH$4,'Sponsor Pro Forma'!$O$22:$Z$22,0))/12,IF('Monthly Cash Flow'!DH$5&gt;'Inputs and Assumptions'!$P$6,Taxes!$O$14,IF('Sponsor Pro Forma'!$L$42="Annual",'Monthly Cash Flow'!DG90*(1+'Sponsor Pro Forma'!$M32)^(IF(MOD(DH$5,12)=1,1,0)),'Monthly Cash Flow'!DG90*(1+'Sponsor Pro Forma'!$M$34/12)))))</f>
        <v>44687.283200000005</v>
      </c>
      <c r="DI90" s="1295" cm="1">
        <f t="array" ref="DI90">IF(AND('Sponsor Pro Forma'!$N$34="Override",'Monthly Cash Flow'!DI$5&gt;'Inputs and Assumptions'!$P$6),Taxes!$O$14,IF('Sponsor Pro Forma'!$N$34="Override",INDEX('Sponsor Pro Forma'!$O$34:$Z$34,,MATCH('Monthly Cash Flow'!DI$4,'Sponsor Pro Forma'!$O$22:$Z$22,0))/12,IF('Monthly Cash Flow'!DI$5&gt;'Inputs and Assumptions'!$P$6,Taxes!$O$14,IF('Sponsor Pro Forma'!$L$42="Annual",'Monthly Cash Flow'!DH90*(1+'Sponsor Pro Forma'!$M32)^(IF(MOD(DI$5,12)=1,1,0)),'Monthly Cash Flow'!DH90*(1+'Sponsor Pro Forma'!$M$34/12)))))</f>
        <v>44687.283200000005</v>
      </c>
      <c r="DJ90" s="1295" cm="1">
        <f t="array" ref="DJ90">IF(AND('Sponsor Pro Forma'!$N$34="Override",'Monthly Cash Flow'!DJ$5&gt;'Inputs and Assumptions'!$P$6),Taxes!$O$14,IF('Sponsor Pro Forma'!$N$34="Override",INDEX('Sponsor Pro Forma'!$O$34:$Z$34,,MATCH('Monthly Cash Flow'!DJ$4,'Sponsor Pro Forma'!$O$22:$Z$22,0))/12,IF('Monthly Cash Flow'!DJ$5&gt;'Inputs and Assumptions'!$P$6,Taxes!$O$14,IF('Sponsor Pro Forma'!$L$42="Annual",'Monthly Cash Flow'!DI90*(1+'Sponsor Pro Forma'!$M32)^(IF(MOD(DJ$5,12)=1,1,0)),'Monthly Cash Flow'!DI90*(1+'Sponsor Pro Forma'!$M$34/12)))))</f>
        <v>44687.283200000005</v>
      </c>
      <c r="DK90" s="1295" cm="1">
        <f t="array" ref="DK90">IF(AND('Sponsor Pro Forma'!$N$34="Override",'Monthly Cash Flow'!DK$5&gt;'Inputs and Assumptions'!$P$6),Taxes!$O$14,IF('Sponsor Pro Forma'!$N$34="Override",INDEX('Sponsor Pro Forma'!$O$34:$Z$34,,MATCH('Monthly Cash Flow'!DK$4,'Sponsor Pro Forma'!$O$22:$Z$22,0))/12,IF('Monthly Cash Flow'!DK$5&gt;'Inputs and Assumptions'!$P$6,Taxes!$O$14,IF('Sponsor Pro Forma'!$L$42="Annual",'Monthly Cash Flow'!DJ90*(1+'Sponsor Pro Forma'!$M32)^(IF(MOD(DK$5,12)=1,1,0)),'Monthly Cash Flow'!DJ90*(1+'Sponsor Pro Forma'!$M$34/12)))))</f>
        <v>44687.283200000005</v>
      </c>
      <c r="DL90" s="1295" cm="1">
        <f t="array" ref="DL90">IF(AND('Sponsor Pro Forma'!$N$34="Override",'Monthly Cash Flow'!DL$5&gt;'Inputs and Assumptions'!$P$6),Taxes!$O$14,IF('Sponsor Pro Forma'!$N$34="Override",INDEX('Sponsor Pro Forma'!$O$34:$Z$34,,MATCH('Monthly Cash Flow'!DL$4,'Sponsor Pro Forma'!$O$22:$Z$22,0))/12,IF('Monthly Cash Flow'!DL$5&gt;'Inputs and Assumptions'!$P$6,Taxes!$O$14,IF('Sponsor Pro Forma'!$L$42="Annual",'Monthly Cash Flow'!DK90*(1+'Sponsor Pro Forma'!$M32)^(IF(MOD(DL$5,12)=1,1,0)),'Monthly Cash Flow'!DK90*(1+'Sponsor Pro Forma'!$M$34/12)))))</f>
        <v>44687.283200000005</v>
      </c>
      <c r="DM90" s="1295" cm="1">
        <f t="array" ref="DM90">IF(AND('Sponsor Pro Forma'!$N$34="Override",'Monthly Cash Flow'!DM$5&gt;'Inputs and Assumptions'!$P$6),Taxes!$O$14,IF('Sponsor Pro Forma'!$N$34="Override",INDEX('Sponsor Pro Forma'!$O$34:$Z$34,,MATCH('Monthly Cash Flow'!DM$4,'Sponsor Pro Forma'!$O$22:$Z$22,0))/12,IF('Monthly Cash Flow'!DM$5&gt;'Inputs and Assumptions'!$P$6,Taxes!$O$14,IF('Sponsor Pro Forma'!$L$42="Annual",'Monthly Cash Flow'!DL90*(1+'Sponsor Pro Forma'!$M32)^(IF(MOD(DM$5,12)=1,1,0)),'Monthly Cash Flow'!DL90*(1+'Sponsor Pro Forma'!$M$34/12)))))</f>
        <v>44687.283200000005</v>
      </c>
      <c r="DN90" s="1295" cm="1">
        <f t="array" ref="DN90">IF(AND('Sponsor Pro Forma'!$N$34="Override",'Monthly Cash Flow'!DN$5&gt;'Inputs and Assumptions'!$P$6),Taxes!$O$14,IF('Sponsor Pro Forma'!$N$34="Override",INDEX('Sponsor Pro Forma'!$O$34:$Z$34,,MATCH('Monthly Cash Flow'!DN$4,'Sponsor Pro Forma'!$O$22:$Z$22,0))/12,IF('Monthly Cash Flow'!DN$5&gt;'Inputs and Assumptions'!$P$6,Taxes!$O$14,IF('Sponsor Pro Forma'!$L$42="Annual",'Monthly Cash Flow'!DM90*(1+'Sponsor Pro Forma'!$M32)^(IF(MOD(DN$5,12)=1,1,0)),'Monthly Cash Flow'!DM90*(1+'Sponsor Pro Forma'!$M$34/12)))))</f>
        <v>44687.283200000005</v>
      </c>
      <c r="DO90" s="1295" cm="1">
        <f t="array" ref="DO90">IF(AND('Sponsor Pro Forma'!$N$34="Override",'Monthly Cash Flow'!DO$5&gt;'Inputs and Assumptions'!$P$6),Taxes!$O$14,IF('Sponsor Pro Forma'!$N$34="Override",INDEX('Sponsor Pro Forma'!$O$34:$Z$34,,MATCH('Monthly Cash Flow'!DO$4,'Sponsor Pro Forma'!$O$22:$Z$22,0))/12,IF('Monthly Cash Flow'!DO$5&gt;'Inputs and Assumptions'!$P$6,Taxes!$O$14,IF('Sponsor Pro Forma'!$L$42="Annual",'Monthly Cash Flow'!DN90*(1+'Sponsor Pro Forma'!$M32)^(IF(MOD(DO$5,12)=1,1,0)),'Monthly Cash Flow'!DN90*(1+'Sponsor Pro Forma'!$M$34/12)))))</f>
        <v>44687.283200000005</v>
      </c>
      <c r="DP90" s="1295" cm="1">
        <f t="array" ref="DP90">IF(AND('Sponsor Pro Forma'!$N$34="Override",'Monthly Cash Flow'!DP$5&gt;'Inputs and Assumptions'!$P$6),Taxes!$O$14,IF('Sponsor Pro Forma'!$N$34="Override",INDEX('Sponsor Pro Forma'!$O$34:$Z$34,,MATCH('Monthly Cash Flow'!DP$4,'Sponsor Pro Forma'!$O$22:$Z$22,0))/12,IF('Monthly Cash Flow'!DP$5&gt;'Inputs and Assumptions'!$P$6,Taxes!$O$14,IF('Sponsor Pro Forma'!$L$42="Annual",'Monthly Cash Flow'!DO90*(1+'Sponsor Pro Forma'!$M32)^(IF(MOD(DP$5,12)=1,1,0)),'Monthly Cash Flow'!DO90*(1+'Sponsor Pro Forma'!$M$34/12)))))</f>
        <v>44687.283200000005</v>
      </c>
      <c r="DQ90" s="1295" cm="1">
        <f t="array" ref="DQ90">IF(AND('Sponsor Pro Forma'!$N$34="Override",'Monthly Cash Flow'!DQ$5&gt;'Inputs and Assumptions'!$P$6),Taxes!$O$14,IF('Sponsor Pro Forma'!$N$34="Override",INDEX('Sponsor Pro Forma'!$O$34:$Z$34,,MATCH('Monthly Cash Flow'!DQ$4,'Sponsor Pro Forma'!$O$22:$Z$22,0))/12,IF('Monthly Cash Flow'!DQ$5&gt;'Inputs and Assumptions'!$P$6,Taxes!$O$14,IF('Sponsor Pro Forma'!$L$42="Annual",'Monthly Cash Flow'!DP90*(1+'Sponsor Pro Forma'!$M32)^(IF(MOD(DQ$5,12)=1,1,0)),'Monthly Cash Flow'!DP90*(1+'Sponsor Pro Forma'!$M$34/12)))))</f>
        <v>44687.283200000005</v>
      </c>
      <c r="DR90" s="1295" cm="1">
        <f t="array" ref="DR90">IF(AND('Sponsor Pro Forma'!$N$34="Override",'Monthly Cash Flow'!DR$5&gt;'Inputs and Assumptions'!$P$6),Taxes!$O$14,IF('Sponsor Pro Forma'!$N$34="Override",INDEX('Sponsor Pro Forma'!$O$34:$Z$34,,MATCH('Monthly Cash Flow'!DR$4,'Sponsor Pro Forma'!$O$22:$Z$22,0))/12,IF('Monthly Cash Flow'!DR$5&gt;'Inputs and Assumptions'!$P$6,Taxes!$O$14,IF('Sponsor Pro Forma'!$L$42="Annual",'Monthly Cash Flow'!DQ90*(1+'Sponsor Pro Forma'!$M32)^(IF(MOD(DR$5,12)=1,1,0)),'Monthly Cash Flow'!DQ90*(1+'Sponsor Pro Forma'!$M$34/12)))))</f>
        <v>44687.283200000005</v>
      </c>
      <c r="DS90" s="1295" cm="1">
        <f t="array" ref="DS90">IF(AND('Sponsor Pro Forma'!$N$34="Override",'Monthly Cash Flow'!DS$5&gt;'Inputs and Assumptions'!$P$6),Taxes!$O$14,IF('Sponsor Pro Forma'!$N$34="Override",INDEX('Sponsor Pro Forma'!$O$34:$Z$34,,MATCH('Monthly Cash Flow'!DS$4,'Sponsor Pro Forma'!$O$22:$Z$22,0))/12,IF('Monthly Cash Flow'!DS$5&gt;'Inputs and Assumptions'!$P$6,Taxes!$O$14,IF('Sponsor Pro Forma'!$L$42="Annual",'Monthly Cash Flow'!DR90*(1+'Sponsor Pro Forma'!$M32)^(IF(MOD(DS$5,12)=1,1,0)),'Monthly Cash Flow'!DR90*(1+'Sponsor Pro Forma'!$M$34/12)))))</f>
        <v>44687.283200000005</v>
      </c>
      <c r="DT90" s="1295" cm="1">
        <f t="array" ref="DT90">IF(AND('Sponsor Pro Forma'!$N$34="Override",'Monthly Cash Flow'!DT$5&gt;'Inputs and Assumptions'!$P$6),Taxes!$O$14,IF('Sponsor Pro Forma'!$N$34="Override",INDEX('Sponsor Pro Forma'!$O$34:$Z$34,,MATCH('Monthly Cash Flow'!DT$4,'Sponsor Pro Forma'!$O$22:$Z$22,0))/12,IF('Monthly Cash Flow'!DT$5&gt;'Inputs and Assumptions'!$P$6,Taxes!$O$14,IF('Sponsor Pro Forma'!$L$42="Annual",'Monthly Cash Flow'!DS90*(1+'Sponsor Pro Forma'!$M32)^(IF(MOD(DT$5,12)=1,1,0)),'Monthly Cash Flow'!DS90*(1+'Sponsor Pro Forma'!$M$34/12)))))</f>
        <v>44687.283200000005</v>
      </c>
      <c r="DU90" s="401" t="s">
        <v>557</v>
      </c>
      <c r="DV90" s="196"/>
    </row>
    <row r="91" spans="1:126" s="5" customFormat="1" ht="19" outlineLevel="1">
      <c r="A91" s="399">
        <v>9</v>
      </c>
      <c r="B91" s="203" t="str">
        <f>'Debt Sizing'!A36</f>
        <v>Franchise Taxes</v>
      </c>
      <c r="C91" s="397"/>
      <c r="D91" s="427">
        <f>'Sponsor Pro Forma'!L35</f>
        <v>0</v>
      </c>
      <c r="E91" s="400">
        <f>$D$91*E76</f>
        <v>0</v>
      </c>
      <c r="F91" s="400">
        <f t="shared" ref="F91:BQ91" si="148">$D$91*F76</f>
        <v>0</v>
      </c>
      <c r="G91" s="400">
        <f t="shared" si="148"/>
        <v>0</v>
      </c>
      <c r="H91" s="400">
        <f t="shared" si="148"/>
        <v>0</v>
      </c>
      <c r="I91" s="400">
        <f t="shared" si="148"/>
        <v>0</v>
      </c>
      <c r="J91" s="400">
        <f t="shared" si="148"/>
        <v>0</v>
      </c>
      <c r="K91" s="400">
        <f t="shared" si="148"/>
        <v>0</v>
      </c>
      <c r="L91" s="400">
        <f t="shared" si="148"/>
        <v>0</v>
      </c>
      <c r="M91" s="400">
        <f t="shared" si="148"/>
        <v>0</v>
      </c>
      <c r="N91" s="400">
        <f t="shared" si="148"/>
        <v>0</v>
      </c>
      <c r="O91" s="400">
        <f t="shared" si="148"/>
        <v>0</v>
      </c>
      <c r="P91" s="400">
        <f t="shared" si="148"/>
        <v>0</v>
      </c>
      <c r="Q91" s="400">
        <f t="shared" si="148"/>
        <v>0</v>
      </c>
      <c r="R91" s="400">
        <f t="shared" si="148"/>
        <v>0</v>
      </c>
      <c r="S91" s="400">
        <f t="shared" si="148"/>
        <v>0</v>
      </c>
      <c r="T91" s="400">
        <f t="shared" si="148"/>
        <v>0</v>
      </c>
      <c r="U91" s="400">
        <f t="shared" si="148"/>
        <v>0</v>
      </c>
      <c r="V91" s="400">
        <f t="shared" si="148"/>
        <v>0</v>
      </c>
      <c r="W91" s="400">
        <f t="shared" si="148"/>
        <v>0</v>
      </c>
      <c r="X91" s="400">
        <f t="shared" si="148"/>
        <v>0</v>
      </c>
      <c r="Y91" s="400">
        <f t="shared" si="148"/>
        <v>0</v>
      </c>
      <c r="Z91" s="400">
        <f t="shared" si="148"/>
        <v>0</v>
      </c>
      <c r="AA91" s="400">
        <f t="shared" si="148"/>
        <v>0</v>
      </c>
      <c r="AB91" s="400">
        <f t="shared" si="148"/>
        <v>0</v>
      </c>
      <c r="AC91" s="400">
        <f t="shared" si="148"/>
        <v>0</v>
      </c>
      <c r="AD91" s="400">
        <f t="shared" si="148"/>
        <v>0</v>
      </c>
      <c r="AE91" s="400">
        <f t="shared" si="148"/>
        <v>0</v>
      </c>
      <c r="AF91" s="400">
        <f t="shared" si="148"/>
        <v>0</v>
      </c>
      <c r="AG91" s="400">
        <f t="shared" si="148"/>
        <v>0</v>
      </c>
      <c r="AH91" s="400">
        <f t="shared" si="148"/>
        <v>0</v>
      </c>
      <c r="AI91" s="400">
        <f t="shared" si="148"/>
        <v>0</v>
      </c>
      <c r="AJ91" s="400">
        <f t="shared" si="148"/>
        <v>0</v>
      </c>
      <c r="AK91" s="400">
        <f t="shared" si="148"/>
        <v>0</v>
      </c>
      <c r="AL91" s="400">
        <f t="shared" si="148"/>
        <v>0</v>
      </c>
      <c r="AM91" s="400">
        <f t="shared" si="148"/>
        <v>0</v>
      </c>
      <c r="AN91" s="400">
        <f t="shared" si="148"/>
        <v>0</v>
      </c>
      <c r="AO91" s="400">
        <f t="shared" si="148"/>
        <v>0</v>
      </c>
      <c r="AP91" s="400">
        <f t="shared" si="148"/>
        <v>0</v>
      </c>
      <c r="AQ91" s="400">
        <f t="shared" si="148"/>
        <v>0</v>
      </c>
      <c r="AR91" s="400">
        <f t="shared" si="148"/>
        <v>0</v>
      </c>
      <c r="AS91" s="400">
        <f t="shared" si="148"/>
        <v>0</v>
      </c>
      <c r="AT91" s="400">
        <f t="shared" si="148"/>
        <v>0</v>
      </c>
      <c r="AU91" s="400">
        <f t="shared" si="148"/>
        <v>0</v>
      </c>
      <c r="AV91" s="400">
        <f t="shared" si="148"/>
        <v>0</v>
      </c>
      <c r="AW91" s="400">
        <f t="shared" si="148"/>
        <v>0</v>
      </c>
      <c r="AX91" s="400">
        <f t="shared" si="148"/>
        <v>0</v>
      </c>
      <c r="AY91" s="400">
        <f t="shared" si="148"/>
        <v>0</v>
      </c>
      <c r="AZ91" s="400">
        <f t="shared" si="148"/>
        <v>0</v>
      </c>
      <c r="BA91" s="400">
        <f t="shared" si="148"/>
        <v>0</v>
      </c>
      <c r="BB91" s="400">
        <f t="shared" si="148"/>
        <v>0</v>
      </c>
      <c r="BC91" s="400">
        <f t="shared" si="148"/>
        <v>0</v>
      </c>
      <c r="BD91" s="400">
        <f t="shared" si="148"/>
        <v>0</v>
      </c>
      <c r="BE91" s="400">
        <f t="shared" si="148"/>
        <v>0</v>
      </c>
      <c r="BF91" s="400">
        <f t="shared" si="148"/>
        <v>0</v>
      </c>
      <c r="BG91" s="400">
        <f t="shared" si="148"/>
        <v>0</v>
      </c>
      <c r="BH91" s="400">
        <f t="shared" si="148"/>
        <v>0</v>
      </c>
      <c r="BI91" s="400">
        <f t="shared" si="148"/>
        <v>0</v>
      </c>
      <c r="BJ91" s="400">
        <f t="shared" si="148"/>
        <v>0</v>
      </c>
      <c r="BK91" s="400">
        <f t="shared" si="148"/>
        <v>0</v>
      </c>
      <c r="BL91" s="400">
        <f t="shared" si="148"/>
        <v>0</v>
      </c>
      <c r="BM91" s="400">
        <f t="shared" si="148"/>
        <v>0</v>
      </c>
      <c r="BN91" s="400">
        <f t="shared" si="148"/>
        <v>0</v>
      </c>
      <c r="BO91" s="400">
        <f t="shared" si="148"/>
        <v>0</v>
      </c>
      <c r="BP91" s="400">
        <f t="shared" si="148"/>
        <v>0</v>
      </c>
      <c r="BQ91" s="400">
        <f t="shared" si="148"/>
        <v>0</v>
      </c>
      <c r="BR91" s="400">
        <f t="shared" ref="BR91:DT91" si="149">$D$91*BR76</f>
        <v>0</v>
      </c>
      <c r="BS91" s="400">
        <f t="shared" si="149"/>
        <v>0</v>
      </c>
      <c r="BT91" s="400">
        <f t="shared" si="149"/>
        <v>0</v>
      </c>
      <c r="BU91" s="400">
        <f t="shared" si="149"/>
        <v>0</v>
      </c>
      <c r="BV91" s="400">
        <f t="shared" si="149"/>
        <v>0</v>
      </c>
      <c r="BW91" s="400">
        <f t="shared" si="149"/>
        <v>0</v>
      </c>
      <c r="BX91" s="400">
        <f t="shared" si="149"/>
        <v>0</v>
      </c>
      <c r="BY91" s="400">
        <f t="shared" si="149"/>
        <v>0</v>
      </c>
      <c r="BZ91" s="400">
        <f t="shared" si="149"/>
        <v>0</v>
      </c>
      <c r="CA91" s="400">
        <f t="shared" si="149"/>
        <v>0</v>
      </c>
      <c r="CB91" s="400">
        <f t="shared" si="149"/>
        <v>0</v>
      </c>
      <c r="CC91" s="400">
        <f t="shared" si="149"/>
        <v>0</v>
      </c>
      <c r="CD91" s="400">
        <f t="shared" si="149"/>
        <v>0</v>
      </c>
      <c r="CE91" s="400">
        <f t="shared" si="149"/>
        <v>0</v>
      </c>
      <c r="CF91" s="400">
        <f t="shared" si="149"/>
        <v>0</v>
      </c>
      <c r="CG91" s="400">
        <f t="shared" si="149"/>
        <v>0</v>
      </c>
      <c r="CH91" s="400">
        <f t="shared" si="149"/>
        <v>0</v>
      </c>
      <c r="CI91" s="400">
        <f t="shared" si="149"/>
        <v>0</v>
      </c>
      <c r="CJ91" s="400">
        <f t="shared" si="149"/>
        <v>0</v>
      </c>
      <c r="CK91" s="400">
        <f t="shared" si="149"/>
        <v>0</v>
      </c>
      <c r="CL91" s="400">
        <f t="shared" si="149"/>
        <v>0</v>
      </c>
      <c r="CM91" s="400">
        <f t="shared" si="149"/>
        <v>0</v>
      </c>
      <c r="CN91" s="400">
        <f t="shared" si="149"/>
        <v>0</v>
      </c>
      <c r="CO91" s="400">
        <f t="shared" si="149"/>
        <v>0</v>
      </c>
      <c r="CP91" s="400">
        <f t="shared" si="149"/>
        <v>0</v>
      </c>
      <c r="CQ91" s="400">
        <f t="shared" si="149"/>
        <v>0</v>
      </c>
      <c r="CR91" s="400">
        <f t="shared" si="149"/>
        <v>0</v>
      </c>
      <c r="CS91" s="400">
        <f t="shared" si="149"/>
        <v>0</v>
      </c>
      <c r="CT91" s="400">
        <f t="shared" si="149"/>
        <v>0</v>
      </c>
      <c r="CU91" s="400">
        <f t="shared" si="149"/>
        <v>0</v>
      </c>
      <c r="CV91" s="400">
        <f t="shared" si="149"/>
        <v>0</v>
      </c>
      <c r="CW91" s="400">
        <f t="shared" si="149"/>
        <v>0</v>
      </c>
      <c r="CX91" s="400">
        <f t="shared" si="149"/>
        <v>0</v>
      </c>
      <c r="CY91" s="400">
        <f t="shared" si="149"/>
        <v>0</v>
      </c>
      <c r="CZ91" s="400">
        <f t="shared" si="149"/>
        <v>0</v>
      </c>
      <c r="DA91" s="400">
        <f t="shared" si="149"/>
        <v>0</v>
      </c>
      <c r="DB91" s="400">
        <f t="shared" si="149"/>
        <v>0</v>
      </c>
      <c r="DC91" s="400">
        <f t="shared" si="149"/>
        <v>0</v>
      </c>
      <c r="DD91" s="400">
        <f t="shared" si="149"/>
        <v>0</v>
      </c>
      <c r="DE91" s="400">
        <f t="shared" si="149"/>
        <v>0</v>
      </c>
      <c r="DF91" s="400">
        <f t="shared" si="149"/>
        <v>0</v>
      </c>
      <c r="DG91" s="400">
        <f t="shared" si="149"/>
        <v>0</v>
      </c>
      <c r="DH91" s="400">
        <f t="shared" si="149"/>
        <v>0</v>
      </c>
      <c r="DI91" s="400">
        <f t="shared" si="149"/>
        <v>0</v>
      </c>
      <c r="DJ91" s="400">
        <f t="shared" si="149"/>
        <v>0</v>
      </c>
      <c r="DK91" s="400">
        <f t="shared" si="149"/>
        <v>0</v>
      </c>
      <c r="DL91" s="400">
        <f t="shared" si="149"/>
        <v>0</v>
      </c>
      <c r="DM91" s="400">
        <f t="shared" si="149"/>
        <v>0</v>
      </c>
      <c r="DN91" s="400">
        <f t="shared" si="149"/>
        <v>0</v>
      </c>
      <c r="DO91" s="400">
        <f t="shared" si="149"/>
        <v>0</v>
      </c>
      <c r="DP91" s="400">
        <f t="shared" si="149"/>
        <v>0</v>
      </c>
      <c r="DQ91" s="400">
        <f t="shared" si="149"/>
        <v>0</v>
      </c>
      <c r="DR91" s="400">
        <f t="shared" si="149"/>
        <v>0</v>
      </c>
      <c r="DS91" s="400">
        <f t="shared" si="149"/>
        <v>0</v>
      </c>
      <c r="DT91" s="400">
        <f t="shared" si="149"/>
        <v>0</v>
      </c>
      <c r="DU91" s="401" t="s">
        <v>557</v>
      </c>
      <c r="DV91" s="196"/>
    </row>
    <row r="92" spans="1:126" s="5" customFormat="1" ht="15" customHeight="1">
      <c r="A92" s="399">
        <v>9</v>
      </c>
      <c r="B92" s="203" t="str">
        <f>'Debt Sizing'!A37</f>
        <v>Replacement Reserves</v>
      </c>
      <c r="C92" s="397"/>
      <c r="D92" s="413">
        <f>'Sponsor Pro Forma'!K36/12</f>
        <v>5500</v>
      </c>
      <c r="E92" s="400">
        <f t="shared" si="147"/>
        <v>5500</v>
      </c>
      <c r="F92" s="1295">
        <f>E92</f>
        <v>5500</v>
      </c>
      <c r="G92" s="1295">
        <f t="shared" ref="G92:BR92" si="150">F92</f>
        <v>5500</v>
      </c>
      <c r="H92" s="1295">
        <f t="shared" si="150"/>
        <v>5500</v>
      </c>
      <c r="I92" s="1295">
        <f t="shared" si="150"/>
        <v>5500</v>
      </c>
      <c r="J92" s="1295">
        <f t="shared" si="150"/>
        <v>5500</v>
      </c>
      <c r="K92" s="1295">
        <f t="shared" si="150"/>
        <v>5500</v>
      </c>
      <c r="L92" s="1295">
        <f t="shared" si="150"/>
        <v>5500</v>
      </c>
      <c r="M92" s="1295">
        <f t="shared" si="150"/>
        <v>5500</v>
      </c>
      <c r="N92" s="1295">
        <f t="shared" si="150"/>
        <v>5500</v>
      </c>
      <c r="O92" s="1295">
        <f t="shared" si="150"/>
        <v>5500</v>
      </c>
      <c r="P92" s="1295">
        <f t="shared" si="150"/>
        <v>5500</v>
      </c>
      <c r="Q92" s="1295">
        <f t="shared" si="150"/>
        <v>5500</v>
      </c>
      <c r="R92" s="1295">
        <f t="shared" si="150"/>
        <v>5500</v>
      </c>
      <c r="S92" s="1295">
        <f t="shared" si="150"/>
        <v>5500</v>
      </c>
      <c r="T92" s="1295">
        <f t="shared" si="150"/>
        <v>5500</v>
      </c>
      <c r="U92" s="1295">
        <f t="shared" si="150"/>
        <v>5500</v>
      </c>
      <c r="V92" s="1295">
        <f t="shared" si="150"/>
        <v>5500</v>
      </c>
      <c r="W92" s="1295">
        <f t="shared" si="150"/>
        <v>5500</v>
      </c>
      <c r="X92" s="1295">
        <f t="shared" si="150"/>
        <v>5500</v>
      </c>
      <c r="Y92" s="1295">
        <f t="shared" si="150"/>
        <v>5500</v>
      </c>
      <c r="Z92" s="1295">
        <f t="shared" si="150"/>
        <v>5500</v>
      </c>
      <c r="AA92" s="1295">
        <f t="shared" si="150"/>
        <v>5500</v>
      </c>
      <c r="AB92" s="1295">
        <f t="shared" si="150"/>
        <v>5500</v>
      </c>
      <c r="AC92" s="1295">
        <f t="shared" si="150"/>
        <v>5500</v>
      </c>
      <c r="AD92" s="1295">
        <f t="shared" si="150"/>
        <v>5500</v>
      </c>
      <c r="AE92" s="1295">
        <f t="shared" si="150"/>
        <v>5500</v>
      </c>
      <c r="AF92" s="1295">
        <f t="shared" si="150"/>
        <v>5500</v>
      </c>
      <c r="AG92" s="1295">
        <f t="shared" si="150"/>
        <v>5500</v>
      </c>
      <c r="AH92" s="1295">
        <f t="shared" si="150"/>
        <v>5500</v>
      </c>
      <c r="AI92" s="1295">
        <f t="shared" si="150"/>
        <v>5500</v>
      </c>
      <c r="AJ92" s="1295">
        <f t="shared" si="150"/>
        <v>5500</v>
      </c>
      <c r="AK92" s="1295">
        <f t="shared" si="150"/>
        <v>5500</v>
      </c>
      <c r="AL92" s="1295">
        <f t="shared" si="150"/>
        <v>5500</v>
      </c>
      <c r="AM92" s="1295">
        <f t="shared" si="150"/>
        <v>5500</v>
      </c>
      <c r="AN92" s="1295">
        <f t="shared" si="150"/>
        <v>5500</v>
      </c>
      <c r="AO92" s="1295">
        <f t="shared" si="150"/>
        <v>5500</v>
      </c>
      <c r="AP92" s="1295">
        <f t="shared" si="150"/>
        <v>5500</v>
      </c>
      <c r="AQ92" s="1295">
        <f t="shared" si="150"/>
        <v>5500</v>
      </c>
      <c r="AR92" s="1295">
        <f t="shared" si="150"/>
        <v>5500</v>
      </c>
      <c r="AS92" s="1295">
        <f t="shared" si="150"/>
        <v>5500</v>
      </c>
      <c r="AT92" s="1295">
        <f t="shared" si="150"/>
        <v>5500</v>
      </c>
      <c r="AU92" s="1295">
        <f t="shared" si="150"/>
        <v>5500</v>
      </c>
      <c r="AV92" s="1295">
        <f t="shared" si="150"/>
        <v>5500</v>
      </c>
      <c r="AW92" s="1295">
        <f t="shared" si="150"/>
        <v>5500</v>
      </c>
      <c r="AX92" s="1295">
        <f t="shared" si="150"/>
        <v>5500</v>
      </c>
      <c r="AY92" s="1295">
        <f t="shared" si="150"/>
        <v>5500</v>
      </c>
      <c r="AZ92" s="1295">
        <f t="shared" si="150"/>
        <v>5500</v>
      </c>
      <c r="BA92" s="1295">
        <f t="shared" si="150"/>
        <v>5500</v>
      </c>
      <c r="BB92" s="1295">
        <f t="shared" si="150"/>
        <v>5500</v>
      </c>
      <c r="BC92" s="1295">
        <f t="shared" si="150"/>
        <v>5500</v>
      </c>
      <c r="BD92" s="1295">
        <f t="shared" si="150"/>
        <v>5500</v>
      </c>
      <c r="BE92" s="1295">
        <f t="shared" si="150"/>
        <v>5500</v>
      </c>
      <c r="BF92" s="1295">
        <f t="shared" si="150"/>
        <v>5500</v>
      </c>
      <c r="BG92" s="1295">
        <f t="shared" si="150"/>
        <v>5500</v>
      </c>
      <c r="BH92" s="1295">
        <f t="shared" si="150"/>
        <v>5500</v>
      </c>
      <c r="BI92" s="1295">
        <f t="shared" si="150"/>
        <v>5500</v>
      </c>
      <c r="BJ92" s="1295">
        <f t="shared" si="150"/>
        <v>5500</v>
      </c>
      <c r="BK92" s="1295">
        <f t="shared" si="150"/>
        <v>5500</v>
      </c>
      <c r="BL92" s="1295">
        <f t="shared" si="150"/>
        <v>5500</v>
      </c>
      <c r="BM92" s="1295">
        <f t="shared" si="150"/>
        <v>5500</v>
      </c>
      <c r="BN92" s="1295">
        <f t="shared" si="150"/>
        <v>5500</v>
      </c>
      <c r="BO92" s="1295">
        <f t="shared" si="150"/>
        <v>5500</v>
      </c>
      <c r="BP92" s="1295">
        <f t="shared" si="150"/>
        <v>5500</v>
      </c>
      <c r="BQ92" s="1295">
        <f t="shared" si="150"/>
        <v>5500</v>
      </c>
      <c r="BR92" s="1295">
        <f t="shared" si="150"/>
        <v>5500</v>
      </c>
      <c r="BS92" s="1295">
        <f t="shared" ref="BS92:DT92" si="151">BR92</f>
        <v>5500</v>
      </c>
      <c r="BT92" s="1295">
        <f t="shared" si="151"/>
        <v>5500</v>
      </c>
      <c r="BU92" s="1295">
        <f t="shared" si="151"/>
        <v>5500</v>
      </c>
      <c r="BV92" s="1295">
        <f t="shared" si="151"/>
        <v>5500</v>
      </c>
      <c r="BW92" s="1295">
        <f t="shared" si="151"/>
        <v>5500</v>
      </c>
      <c r="BX92" s="1295">
        <f t="shared" si="151"/>
        <v>5500</v>
      </c>
      <c r="BY92" s="1295">
        <f t="shared" si="151"/>
        <v>5500</v>
      </c>
      <c r="BZ92" s="1295">
        <f t="shared" si="151"/>
        <v>5500</v>
      </c>
      <c r="CA92" s="1295">
        <f t="shared" si="151"/>
        <v>5500</v>
      </c>
      <c r="CB92" s="1295">
        <f t="shared" si="151"/>
        <v>5500</v>
      </c>
      <c r="CC92" s="1295">
        <f t="shared" si="151"/>
        <v>5500</v>
      </c>
      <c r="CD92" s="1295">
        <f t="shared" si="151"/>
        <v>5500</v>
      </c>
      <c r="CE92" s="1295">
        <f t="shared" si="151"/>
        <v>5500</v>
      </c>
      <c r="CF92" s="1295">
        <f t="shared" si="151"/>
        <v>5500</v>
      </c>
      <c r="CG92" s="1295">
        <f t="shared" si="151"/>
        <v>5500</v>
      </c>
      <c r="CH92" s="1295">
        <f t="shared" si="151"/>
        <v>5500</v>
      </c>
      <c r="CI92" s="1295">
        <f t="shared" si="151"/>
        <v>5500</v>
      </c>
      <c r="CJ92" s="1295">
        <f t="shared" si="151"/>
        <v>5500</v>
      </c>
      <c r="CK92" s="1295">
        <f t="shared" si="151"/>
        <v>5500</v>
      </c>
      <c r="CL92" s="1295">
        <f t="shared" si="151"/>
        <v>5500</v>
      </c>
      <c r="CM92" s="1295">
        <f t="shared" si="151"/>
        <v>5500</v>
      </c>
      <c r="CN92" s="1295">
        <f t="shared" si="151"/>
        <v>5500</v>
      </c>
      <c r="CO92" s="1295">
        <f t="shared" si="151"/>
        <v>5500</v>
      </c>
      <c r="CP92" s="1295">
        <f t="shared" si="151"/>
        <v>5500</v>
      </c>
      <c r="CQ92" s="1295">
        <f t="shared" si="151"/>
        <v>5500</v>
      </c>
      <c r="CR92" s="1295">
        <f t="shared" si="151"/>
        <v>5500</v>
      </c>
      <c r="CS92" s="1295">
        <f t="shared" si="151"/>
        <v>5500</v>
      </c>
      <c r="CT92" s="1295">
        <f t="shared" si="151"/>
        <v>5500</v>
      </c>
      <c r="CU92" s="1295">
        <f t="shared" si="151"/>
        <v>5500</v>
      </c>
      <c r="CV92" s="1295">
        <f t="shared" si="151"/>
        <v>5500</v>
      </c>
      <c r="CW92" s="1295">
        <f t="shared" si="151"/>
        <v>5500</v>
      </c>
      <c r="CX92" s="1295">
        <f t="shared" si="151"/>
        <v>5500</v>
      </c>
      <c r="CY92" s="1295">
        <f t="shared" si="151"/>
        <v>5500</v>
      </c>
      <c r="CZ92" s="1295">
        <f t="shared" si="151"/>
        <v>5500</v>
      </c>
      <c r="DA92" s="1295">
        <f t="shared" si="151"/>
        <v>5500</v>
      </c>
      <c r="DB92" s="1295">
        <f t="shared" si="151"/>
        <v>5500</v>
      </c>
      <c r="DC92" s="1295">
        <f t="shared" si="151"/>
        <v>5500</v>
      </c>
      <c r="DD92" s="1295">
        <f t="shared" si="151"/>
        <v>5500</v>
      </c>
      <c r="DE92" s="1295">
        <f t="shared" si="151"/>
        <v>5500</v>
      </c>
      <c r="DF92" s="1295">
        <f t="shared" si="151"/>
        <v>5500</v>
      </c>
      <c r="DG92" s="1295">
        <f t="shared" si="151"/>
        <v>5500</v>
      </c>
      <c r="DH92" s="1295">
        <f t="shared" si="151"/>
        <v>5500</v>
      </c>
      <c r="DI92" s="1295">
        <f t="shared" si="151"/>
        <v>5500</v>
      </c>
      <c r="DJ92" s="1295">
        <f t="shared" si="151"/>
        <v>5500</v>
      </c>
      <c r="DK92" s="1295">
        <f t="shared" si="151"/>
        <v>5500</v>
      </c>
      <c r="DL92" s="1295">
        <f t="shared" si="151"/>
        <v>5500</v>
      </c>
      <c r="DM92" s="1295">
        <f t="shared" si="151"/>
        <v>5500</v>
      </c>
      <c r="DN92" s="1295">
        <f t="shared" si="151"/>
        <v>5500</v>
      </c>
      <c r="DO92" s="1295">
        <f t="shared" si="151"/>
        <v>5500</v>
      </c>
      <c r="DP92" s="1295">
        <f t="shared" si="151"/>
        <v>5500</v>
      </c>
      <c r="DQ92" s="1295">
        <f t="shared" si="151"/>
        <v>5500</v>
      </c>
      <c r="DR92" s="1295">
        <f t="shared" si="151"/>
        <v>5500</v>
      </c>
      <c r="DS92" s="1295">
        <f t="shared" si="151"/>
        <v>5500</v>
      </c>
      <c r="DT92" s="1295">
        <f t="shared" si="151"/>
        <v>5500</v>
      </c>
      <c r="DU92" s="401" t="s">
        <v>557</v>
      </c>
      <c r="DV92" s="196"/>
    </row>
    <row r="93" spans="1:126" s="5" customFormat="1" ht="15" customHeight="1">
      <c r="A93" s="196"/>
      <c r="B93" s="414" t="s">
        <v>612</v>
      </c>
      <c r="C93" s="403"/>
      <c r="D93" s="415">
        <f t="shared" ref="D93" si="152">SUM(D88:D92)</f>
        <v>55189.39</v>
      </c>
      <c r="E93" s="405">
        <f t="shared" ref="E93:BP93" si="153">SUM(E88:E92)</f>
        <v>66895.502481874253</v>
      </c>
      <c r="F93" s="405">
        <f t="shared" si="153"/>
        <v>66961.551648420078</v>
      </c>
      <c r="G93" s="405">
        <f t="shared" si="153"/>
        <v>67028.041142742877</v>
      </c>
      <c r="H93" s="405">
        <f t="shared" si="153"/>
        <v>67094.973900361161</v>
      </c>
      <c r="I93" s="405">
        <f t="shared" si="153"/>
        <v>67162.35287636357</v>
      </c>
      <c r="J93" s="405">
        <f t="shared" si="153"/>
        <v>67230.181045539328</v>
      </c>
      <c r="K93" s="405">
        <f t="shared" si="153"/>
        <v>67298.461402509594</v>
      </c>
      <c r="L93" s="405">
        <f t="shared" si="153"/>
        <v>67367.196961859649</v>
      </c>
      <c r="M93" s="405">
        <f t="shared" si="153"/>
        <v>67436.390758272042</v>
      </c>
      <c r="N93" s="405">
        <f t="shared" si="153"/>
        <v>67506.045846660534</v>
      </c>
      <c r="O93" s="405">
        <f t="shared" si="153"/>
        <v>67576.165302304929</v>
      </c>
      <c r="P93" s="405">
        <f t="shared" si="153"/>
        <v>67646.752220986964</v>
      </c>
      <c r="Q93" s="405">
        <f t="shared" si="153"/>
        <v>69258.012450493115</v>
      </c>
      <c r="R93" s="405">
        <f t="shared" si="153"/>
        <v>69325.045207527466</v>
      </c>
      <c r="S93" s="405">
        <f t="shared" si="153"/>
        <v>69392.496919293248</v>
      </c>
      <c r="T93" s="405">
        <f t="shared" si="153"/>
        <v>69460.37020425759</v>
      </c>
      <c r="U93" s="405">
        <f t="shared" si="153"/>
        <v>69528.667697252953</v>
      </c>
      <c r="V93" s="405">
        <f t="shared" si="153"/>
        <v>69597.392049579532</v>
      </c>
      <c r="W93" s="405">
        <f t="shared" si="153"/>
        <v>69666.545929108164</v>
      </c>
      <c r="X93" s="405">
        <f t="shared" si="153"/>
        <v>69736.13202038384</v>
      </c>
      <c r="Y93" s="405">
        <f t="shared" si="153"/>
        <v>69806.153024729982</v>
      </c>
      <c r="Z93" s="405">
        <f t="shared" si="153"/>
        <v>69876.611660353286</v>
      </c>
      <c r="AA93" s="405">
        <f t="shared" si="153"/>
        <v>69947.510662449262</v>
      </c>
      <c r="AB93" s="405">
        <f t="shared" si="153"/>
        <v>70018.852783308306</v>
      </c>
      <c r="AC93" s="405">
        <f t="shared" si="153"/>
        <v>71648.122861252676</v>
      </c>
      <c r="AD93" s="405">
        <f t="shared" si="153"/>
        <v>71686.537422574358</v>
      </c>
      <c r="AE93" s="405">
        <f t="shared" si="153"/>
        <v>71725.080032433762</v>
      </c>
      <c r="AF93" s="405">
        <f t="shared" si="153"/>
        <v>71763.751117659383</v>
      </c>
      <c r="AG93" s="405">
        <f t="shared" si="153"/>
        <v>71802.551106502418</v>
      </c>
      <c r="AH93" s="405">
        <f t="shared" si="153"/>
        <v>71841.480428641589</v>
      </c>
      <c r="AI93" s="405">
        <f t="shared" si="153"/>
        <v>71880.539515187906</v>
      </c>
      <c r="AJ93" s="405">
        <f t="shared" si="153"/>
        <v>71919.728798689364</v>
      </c>
      <c r="AK93" s="405">
        <f t="shared" si="153"/>
        <v>71959.048713135824</v>
      </c>
      <c r="AL93" s="405">
        <f t="shared" si="153"/>
        <v>71998.499693963779</v>
      </c>
      <c r="AM93" s="405">
        <f t="shared" si="153"/>
        <v>72038.082178061159</v>
      </c>
      <c r="AN93" s="405">
        <f t="shared" si="153"/>
        <v>72077.796603772207</v>
      </c>
      <c r="AO93" s="405">
        <f t="shared" si="153"/>
        <v>73756.356044844768</v>
      </c>
      <c r="AP93" s="405">
        <f t="shared" si="153"/>
        <v>73796.335674665286</v>
      </c>
      <c r="AQ93" s="405">
        <f t="shared" si="153"/>
        <v>73836.448569918517</v>
      </c>
      <c r="AR93" s="405">
        <f t="shared" si="153"/>
        <v>73876.695174822613</v>
      </c>
      <c r="AS93" s="405">
        <f t="shared" si="153"/>
        <v>73917.075935076369</v>
      </c>
      <c r="AT93" s="405">
        <f t="shared" si="153"/>
        <v>73957.591297864332</v>
      </c>
      <c r="AU93" s="405">
        <f t="shared" si="153"/>
        <v>73998.24171186157</v>
      </c>
      <c r="AV93" s="405">
        <f t="shared" si="153"/>
        <v>74039.0276272388</v>
      </c>
      <c r="AW93" s="405">
        <f t="shared" si="153"/>
        <v>74079.949495667286</v>
      </c>
      <c r="AX93" s="405">
        <f t="shared" si="153"/>
        <v>74121.007770323864</v>
      </c>
      <c r="AY93" s="405">
        <f t="shared" si="153"/>
        <v>74162.202905895974</v>
      </c>
      <c r="AZ93" s="405">
        <f t="shared" si="153"/>
        <v>74203.535358586654</v>
      </c>
      <c r="BA93" s="405">
        <f t="shared" si="153"/>
        <v>75706.418652285865</v>
      </c>
      <c r="BB93" s="405">
        <f t="shared" si="153"/>
        <v>75748.004904065849</v>
      </c>
      <c r="BC93" s="405">
        <f t="shared" si="153"/>
        <v>75789.729776685097</v>
      </c>
      <c r="BD93" s="405">
        <f t="shared" si="153"/>
        <v>75831.593732213078</v>
      </c>
      <c r="BE93" s="405">
        <f t="shared" si="153"/>
        <v>75873.597234259476</v>
      </c>
      <c r="BF93" s="405">
        <f t="shared" si="153"/>
        <v>75915.740747979376</v>
      </c>
      <c r="BG93" s="405">
        <f t="shared" si="153"/>
        <v>75958.024740078341</v>
      </c>
      <c r="BH93" s="405">
        <f t="shared" si="153"/>
        <v>76000.449678817618</v>
      </c>
      <c r="BI93" s="405">
        <f t="shared" si="153"/>
        <v>76043.016034019383</v>
      </c>
      <c r="BJ93" s="405">
        <f t="shared" si="153"/>
        <v>76085.7242770718</v>
      </c>
      <c r="BK93" s="405">
        <f t="shared" si="153"/>
        <v>76128.574880934408</v>
      </c>
      <c r="BL93" s="405">
        <f t="shared" si="153"/>
        <v>76171.568320143211</v>
      </c>
      <c r="BM93" s="405">
        <f t="shared" si="153"/>
        <v>76606.002868364812</v>
      </c>
      <c r="BN93" s="405">
        <f t="shared" si="153"/>
        <v>76649.283408206567</v>
      </c>
      <c r="BO93" s="405">
        <f t="shared" si="153"/>
        <v>76692.708216514438</v>
      </c>
      <c r="BP93" s="405">
        <f t="shared" si="153"/>
        <v>76736.277774183371</v>
      </c>
      <c r="BQ93" s="405">
        <f t="shared" ref="BQ93:DT93" si="154">SUM(BQ88:BQ92)</f>
        <v>76779.992563711174</v>
      </c>
      <c r="BR93" s="405">
        <f t="shared" si="154"/>
        <v>76823.85306920408</v>
      </c>
      <c r="BS93" s="405">
        <f t="shared" si="154"/>
        <v>76867.859776381956</v>
      </c>
      <c r="BT93" s="405">
        <f t="shared" si="154"/>
        <v>76912.013172583771</v>
      </c>
      <c r="BU93" s="405">
        <f t="shared" si="154"/>
        <v>76956.31374677291</v>
      </c>
      <c r="BV93" s="405">
        <f t="shared" si="154"/>
        <v>77000.761989542676</v>
      </c>
      <c r="BW93" s="405">
        <f t="shared" si="154"/>
        <v>77045.358393121685</v>
      </c>
      <c r="BX93" s="405">
        <f t="shared" si="154"/>
        <v>77090.103451379298</v>
      </c>
      <c r="BY93" s="405">
        <f t="shared" si="154"/>
        <v>77538.034391306312</v>
      </c>
      <c r="BZ93" s="405">
        <f t="shared" si="154"/>
        <v>77583.078247119614</v>
      </c>
      <c r="CA93" s="405">
        <f t="shared" si="154"/>
        <v>77628.272249118949</v>
      </c>
      <c r="CB93" s="405">
        <f t="shared" si="154"/>
        <v>77673.616897791639</v>
      </c>
      <c r="CC93" s="405">
        <f t="shared" si="154"/>
        <v>77719.112695293225</v>
      </c>
      <c r="CD93" s="405">
        <f t="shared" si="154"/>
        <v>77764.760145453154</v>
      </c>
      <c r="CE93" s="405">
        <f t="shared" si="154"/>
        <v>77810.559753780282</v>
      </c>
      <c r="CF93" s="405">
        <f t="shared" si="154"/>
        <v>77856.512027468503</v>
      </c>
      <c r="CG93" s="405">
        <f t="shared" si="154"/>
        <v>77902.617475402338</v>
      </c>
      <c r="CH93" s="405">
        <f t="shared" si="154"/>
        <v>77948.876608162624</v>
      </c>
      <c r="CI93" s="405">
        <f t="shared" si="154"/>
        <v>77995.289938032118</v>
      </c>
      <c r="CJ93" s="405">
        <f t="shared" si="154"/>
        <v>78041.857979001172</v>
      </c>
      <c r="CK93" s="405">
        <f t="shared" si="154"/>
        <v>78503.70908019293</v>
      </c>
      <c r="CL93" s="405">
        <f t="shared" si="154"/>
        <v>78550.588092191116</v>
      </c>
      <c r="CM93" s="405">
        <f t="shared" si="154"/>
        <v>78597.623367562643</v>
      </c>
      <c r="CN93" s="405">
        <f t="shared" si="154"/>
        <v>78644.8154271854</v>
      </c>
      <c r="CO93" s="405">
        <f t="shared" si="154"/>
        <v>78692.164793673568</v>
      </c>
      <c r="CP93" s="405">
        <f t="shared" si="154"/>
        <v>78739.671991383366</v>
      </c>
      <c r="CQ93" s="405">
        <f t="shared" si="154"/>
        <v>78787.337546418858</v>
      </c>
      <c r="CR93" s="405">
        <f t="shared" si="154"/>
        <v>78835.161986637802</v>
      </c>
      <c r="CS93" s="405">
        <f t="shared" si="154"/>
        <v>78883.145841657475</v>
      </c>
      <c r="CT93" s="405">
        <f t="shared" si="154"/>
        <v>78931.28964286056</v>
      </c>
      <c r="CU93" s="405">
        <f t="shared" si="154"/>
        <v>78979.593923400971</v>
      </c>
      <c r="CV93" s="405">
        <f t="shared" si="154"/>
        <v>79028.059218209863</v>
      </c>
      <c r="CW93" s="405">
        <f t="shared" si="154"/>
        <v>79504.267732423497</v>
      </c>
      <c r="CX93" s="405">
        <f t="shared" si="154"/>
        <v>79553.05666770105</v>
      </c>
      <c r="CY93" s="405">
        <f t="shared" si="154"/>
        <v>79602.008232762877</v>
      </c>
      <c r="CZ93" s="405">
        <f t="shared" si="154"/>
        <v>79651.122969708231</v>
      </c>
      <c r="DA93" s="405">
        <f t="shared" si="154"/>
        <v>79700.401422443392</v>
      </c>
      <c r="DB93" s="405">
        <f t="shared" si="154"/>
        <v>79749.844136687694</v>
      </c>
      <c r="DC93" s="405">
        <f t="shared" si="154"/>
        <v>79799.451659979459</v>
      </c>
      <c r="DD93" s="405">
        <f t="shared" si="154"/>
        <v>79849.224541682197</v>
      </c>
      <c r="DE93" s="405">
        <f t="shared" si="154"/>
        <v>79899.163332990618</v>
      </c>
      <c r="DF93" s="405">
        <f t="shared" si="154"/>
        <v>79949.268586936727</v>
      </c>
      <c r="DG93" s="405">
        <f t="shared" si="154"/>
        <v>79999.540858395994</v>
      </c>
      <c r="DH93" s="405">
        <f t="shared" si="154"/>
        <v>80049.980704093468</v>
      </c>
      <c r="DI93" s="405">
        <f t="shared" si="154"/>
        <v>80540.997801084624</v>
      </c>
      <c r="DJ93" s="405">
        <f t="shared" si="154"/>
        <v>80591.774472862802</v>
      </c>
      <c r="DK93" s="405">
        <f t="shared" si="154"/>
        <v>80642.720400213584</v>
      </c>
      <c r="DL93" s="405">
        <f t="shared" si="154"/>
        <v>80693.836147322188</v>
      </c>
      <c r="DM93" s="405">
        <f t="shared" si="154"/>
        <v>80745.122280254494</v>
      </c>
      <c r="DN93" s="405">
        <f t="shared" si="154"/>
        <v>80796.579366963226</v>
      </c>
      <c r="DO93" s="405">
        <f t="shared" si="154"/>
        <v>80848.20797729434</v>
      </c>
      <c r="DP93" s="405">
        <f t="shared" si="154"/>
        <v>80900.008682993212</v>
      </c>
      <c r="DQ93" s="405">
        <f t="shared" si="154"/>
        <v>80951.98205771108</v>
      </c>
      <c r="DR93" s="405">
        <f t="shared" si="154"/>
        <v>81004.128677011351</v>
      </c>
      <c r="DS93" s="405">
        <f t="shared" si="154"/>
        <v>81056.449118375953</v>
      </c>
      <c r="DT93" s="405">
        <f t="shared" si="154"/>
        <v>81108.943961211757</v>
      </c>
      <c r="DU93" s="405" t="s">
        <v>557</v>
      </c>
      <c r="DV93" s="196"/>
    </row>
    <row r="94" spans="1:126" s="6" customFormat="1" ht="15" customHeight="1">
      <c r="A94" s="202"/>
      <c r="B94" s="221" t="s">
        <v>40</v>
      </c>
      <c r="C94" s="428"/>
      <c r="D94" s="429">
        <f t="shared" ref="D94" si="155">D86+D93</f>
        <v>176079.39</v>
      </c>
      <c r="E94" s="430">
        <f t="shared" ref="E94:BP94" si="156">E86+E93</f>
        <v>187785.50248187425</v>
      </c>
      <c r="F94" s="430">
        <f t="shared" si="156"/>
        <v>187851.55164842008</v>
      </c>
      <c r="G94" s="430">
        <f t="shared" si="156"/>
        <v>187918.04114274288</v>
      </c>
      <c r="H94" s="430">
        <f t="shared" si="156"/>
        <v>187984.97390036116</v>
      </c>
      <c r="I94" s="430">
        <f t="shared" si="156"/>
        <v>188052.35287636355</v>
      </c>
      <c r="J94" s="430">
        <f t="shared" si="156"/>
        <v>188120.18104553933</v>
      </c>
      <c r="K94" s="430">
        <f t="shared" si="156"/>
        <v>188188.46140250959</v>
      </c>
      <c r="L94" s="430">
        <f t="shared" si="156"/>
        <v>188257.19696185965</v>
      </c>
      <c r="M94" s="430">
        <f t="shared" si="156"/>
        <v>188326.39075827203</v>
      </c>
      <c r="N94" s="430">
        <f t="shared" si="156"/>
        <v>188396.04584666053</v>
      </c>
      <c r="O94" s="430">
        <f t="shared" si="156"/>
        <v>188466.16530230493</v>
      </c>
      <c r="P94" s="430">
        <f t="shared" si="156"/>
        <v>188536.75222098696</v>
      </c>
      <c r="Q94" s="430">
        <f t="shared" si="156"/>
        <v>192565.8124504931</v>
      </c>
      <c r="R94" s="430">
        <f t="shared" si="156"/>
        <v>192632.84520752745</v>
      </c>
      <c r="S94" s="430">
        <f t="shared" si="156"/>
        <v>192700.29691929324</v>
      </c>
      <c r="T94" s="430">
        <f t="shared" si="156"/>
        <v>192768.17020425759</v>
      </c>
      <c r="U94" s="430">
        <f t="shared" si="156"/>
        <v>192836.46769725296</v>
      </c>
      <c r="V94" s="430">
        <f t="shared" si="156"/>
        <v>192905.19204957952</v>
      </c>
      <c r="W94" s="430">
        <f t="shared" si="156"/>
        <v>192974.34592910815</v>
      </c>
      <c r="X94" s="430">
        <f t="shared" si="156"/>
        <v>193043.93202038383</v>
      </c>
      <c r="Y94" s="430">
        <f t="shared" si="156"/>
        <v>193113.95302472997</v>
      </c>
      <c r="Z94" s="430">
        <f t="shared" si="156"/>
        <v>193184.4116603533</v>
      </c>
      <c r="AA94" s="430">
        <f t="shared" si="156"/>
        <v>193255.31066244928</v>
      </c>
      <c r="AB94" s="430">
        <f t="shared" si="156"/>
        <v>193326.65278330829</v>
      </c>
      <c r="AC94" s="430">
        <f t="shared" si="156"/>
        <v>197422.0788612527</v>
      </c>
      <c r="AD94" s="430">
        <f t="shared" si="156"/>
        <v>197460.49342257436</v>
      </c>
      <c r="AE94" s="430">
        <f t="shared" si="156"/>
        <v>197499.03603243377</v>
      </c>
      <c r="AF94" s="430">
        <f t="shared" si="156"/>
        <v>197537.70711765939</v>
      </c>
      <c r="AG94" s="430">
        <f t="shared" si="156"/>
        <v>197576.50710650242</v>
      </c>
      <c r="AH94" s="430">
        <f t="shared" si="156"/>
        <v>197615.43642864161</v>
      </c>
      <c r="AI94" s="430">
        <f t="shared" si="156"/>
        <v>197654.49551518791</v>
      </c>
      <c r="AJ94" s="430">
        <f t="shared" si="156"/>
        <v>197693.68479868938</v>
      </c>
      <c r="AK94" s="430">
        <f t="shared" si="156"/>
        <v>197733.00471313583</v>
      </c>
      <c r="AL94" s="430">
        <f t="shared" si="156"/>
        <v>197772.4556939638</v>
      </c>
      <c r="AM94" s="430">
        <f t="shared" si="156"/>
        <v>197812.03817806116</v>
      </c>
      <c r="AN94" s="430">
        <f t="shared" si="156"/>
        <v>197851.75260377221</v>
      </c>
      <c r="AO94" s="430">
        <f t="shared" si="156"/>
        <v>202045.79116484476</v>
      </c>
      <c r="AP94" s="430">
        <f t="shared" si="156"/>
        <v>202085.7707946653</v>
      </c>
      <c r="AQ94" s="430">
        <f t="shared" si="156"/>
        <v>202125.88368991853</v>
      </c>
      <c r="AR94" s="430">
        <f t="shared" si="156"/>
        <v>202166.13029482262</v>
      </c>
      <c r="AS94" s="430">
        <f t="shared" si="156"/>
        <v>202206.51105507638</v>
      </c>
      <c r="AT94" s="430">
        <f t="shared" si="156"/>
        <v>202247.02641786434</v>
      </c>
      <c r="AU94" s="430">
        <f t="shared" si="156"/>
        <v>202287.67683186158</v>
      </c>
      <c r="AV94" s="430">
        <f t="shared" si="156"/>
        <v>202328.46274723881</v>
      </c>
      <c r="AW94" s="430">
        <f t="shared" si="156"/>
        <v>202369.38461566728</v>
      </c>
      <c r="AX94" s="430">
        <f t="shared" si="156"/>
        <v>202410.44289032387</v>
      </c>
      <c r="AY94" s="430">
        <f t="shared" si="156"/>
        <v>202451.63802589598</v>
      </c>
      <c r="AZ94" s="430">
        <f t="shared" si="156"/>
        <v>202492.97047858668</v>
      </c>
      <c r="BA94" s="430">
        <f t="shared" si="156"/>
        <v>206561.64247468585</v>
      </c>
      <c r="BB94" s="430">
        <f t="shared" si="156"/>
        <v>206603.22872646584</v>
      </c>
      <c r="BC94" s="430">
        <f t="shared" si="156"/>
        <v>206644.9535990851</v>
      </c>
      <c r="BD94" s="430">
        <f t="shared" si="156"/>
        <v>206686.81755461308</v>
      </c>
      <c r="BE94" s="430">
        <f t="shared" si="156"/>
        <v>206728.82105665948</v>
      </c>
      <c r="BF94" s="430">
        <f t="shared" si="156"/>
        <v>206770.96457037938</v>
      </c>
      <c r="BG94" s="430">
        <f t="shared" si="156"/>
        <v>206813.24856247834</v>
      </c>
      <c r="BH94" s="430">
        <f t="shared" si="156"/>
        <v>206855.67350121762</v>
      </c>
      <c r="BI94" s="430">
        <f t="shared" si="156"/>
        <v>206898.23985641939</v>
      </c>
      <c r="BJ94" s="430">
        <f t="shared" si="156"/>
        <v>206940.9480994718</v>
      </c>
      <c r="BK94" s="430">
        <f t="shared" si="156"/>
        <v>206983.79870333441</v>
      </c>
      <c r="BL94" s="430">
        <f t="shared" si="156"/>
        <v>207026.79214254321</v>
      </c>
      <c r="BM94" s="430">
        <f t="shared" si="156"/>
        <v>210078.33116721286</v>
      </c>
      <c r="BN94" s="430">
        <f t="shared" si="156"/>
        <v>210121.6117070546</v>
      </c>
      <c r="BO94" s="430">
        <f t="shared" si="156"/>
        <v>210165.03651536247</v>
      </c>
      <c r="BP94" s="430">
        <f t="shared" si="156"/>
        <v>210208.60607303141</v>
      </c>
      <c r="BQ94" s="430">
        <f t="shared" ref="BQ94:DT94" si="157">BQ86+BQ93</f>
        <v>210252.32086255919</v>
      </c>
      <c r="BR94" s="430">
        <f t="shared" si="157"/>
        <v>210296.18136805212</v>
      </c>
      <c r="BS94" s="430">
        <f t="shared" si="157"/>
        <v>210340.18807522999</v>
      </c>
      <c r="BT94" s="430">
        <f t="shared" si="157"/>
        <v>210384.34147143181</v>
      </c>
      <c r="BU94" s="430">
        <f t="shared" si="157"/>
        <v>210428.64204562095</v>
      </c>
      <c r="BV94" s="430">
        <f t="shared" si="157"/>
        <v>210473.0902883907</v>
      </c>
      <c r="BW94" s="430">
        <f t="shared" si="157"/>
        <v>210517.68669196972</v>
      </c>
      <c r="BX94" s="430">
        <f t="shared" si="157"/>
        <v>210562.43175022735</v>
      </c>
      <c r="BY94" s="430">
        <f t="shared" si="157"/>
        <v>213679.8092561313</v>
      </c>
      <c r="BZ94" s="430">
        <f t="shared" si="157"/>
        <v>213724.8531119446</v>
      </c>
      <c r="CA94" s="430">
        <f t="shared" si="157"/>
        <v>213770.04711394393</v>
      </c>
      <c r="CB94" s="430">
        <f t="shared" si="157"/>
        <v>213815.39176261664</v>
      </c>
      <c r="CC94" s="430">
        <f t="shared" si="157"/>
        <v>213860.88756011822</v>
      </c>
      <c r="CD94" s="430">
        <f t="shared" si="157"/>
        <v>213906.53501027814</v>
      </c>
      <c r="CE94" s="430">
        <f t="shared" si="157"/>
        <v>213952.33461860527</v>
      </c>
      <c r="CF94" s="430">
        <f t="shared" si="157"/>
        <v>213998.28689229349</v>
      </c>
      <c r="CG94" s="430">
        <f t="shared" si="157"/>
        <v>214044.39234022732</v>
      </c>
      <c r="CH94" s="430">
        <f t="shared" si="157"/>
        <v>214090.65147298761</v>
      </c>
      <c r="CI94" s="430">
        <f t="shared" si="157"/>
        <v>214137.06480285712</v>
      </c>
      <c r="CJ94" s="430">
        <f t="shared" si="157"/>
        <v>214183.63284382614</v>
      </c>
      <c r="CK94" s="430">
        <f t="shared" si="157"/>
        <v>217368.31944231442</v>
      </c>
      <c r="CL94" s="430">
        <f t="shared" si="157"/>
        <v>217415.1984543126</v>
      </c>
      <c r="CM94" s="430">
        <f t="shared" si="157"/>
        <v>217462.23372968414</v>
      </c>
      <c r="CN94" s="430">
        <f t="shared" si="157"/>
        <v>217509.42578930687</v>
      </c>
      <c r="CO94" s="430">
        <f t="shared" si="157"/>
        <v>217556.77515579504</v>
      </c>
      <c r="CP94" s="430">
        <f t="shared" si="157"/>
        <v>217604.28235350485</v>
      </c>
      <c r="CQ94" s="430">
        <f t="shared" si="157"/>
        <v>217651.94790854034</v>
      </c>
      <c r="CR94" s="430">
        <f t="shared" si="157"/>
        <v>217699.77234875929</v>
      </c>
      <c r="CS94" s="430">
        <f t="shared" si="157"/>
        <v>217747.75620377896</v>
      </c>
      <c r="CT94" s="430">
        <f t="shared" si="157"/>
        <v>217795.90000498205</v>
      </c>
      <c r="CU94" s="430">
        <f t="shared" si="157"/>
        <v>217844.20428552246</v>
      </c>
      <c r="CV94" s="430">
        <f t="shared" si="157"/>
        <v>217892.66958033136</v>
      </c>
      <c r="CW94" s="430">
        <f t="shared" si="157"/>
        <v>221146.17030178741</v>
      </c>
      <c r="CX94" s="430">
        <f t="shared" si="157"/>
        <v>221194.95923706496</v>
      </c>
      <c r="CY94" s="430">
        <f t="shared" si="157"/>
        <v>221243.9108021268</v>
      </c>
      <c r="CZ94" s="430">
        <f t="shared" si="157"/>
        <v>221293.02553907214</v>
      </c>
      <c r="DA94" s="430">
        <f t="shared" si="157"/>
        <v>221342.3039918073</v>
      </c>
      <c r="DB94" s="430">
        <f t="shared" si="157"/>
        <v>221391.74670605161</v>
      </c>
      <c r="DC94" s="430">
        <f t="shared" si="157"/>
        <v>221441.35422934336</v>
      </c>
      <c r="DD94" s="430">
        <f t="shared" si="157"/>
        <v>221491.12711104611</v>
      </c>
      <c r="DE94" s="430">
        <f t="shared" si="157"/>
        <v>221541.06590235454</v>
      </c>
      <c r="DF94" s="430">
        <f t="shared" si="157"/>
        <v>221591.17115630064</v>
      </c>
      <c r="DG94" s="430">
        <f t="shared" si="157"/>
        <v>221641.44342775992</v>
      </c>
      <c r="DH94" s="430">
        <f t="shared" si="157"/>
        <v>221691.88327345738</v>
      </c>
      <c r="DI94" s="430">
        <f t="shared" si="157"/>
        <v>225015.73842183582</v>
      </c>
      <c r="DJ94" s="430">
        <f t="shared" si="157"/>
        <v>225066.515093614</v>
      </c>
      <c r="DK94" s="430">
        <f t="shared" si="157"/>
        <v>225117.46102096478</v>
      </c>
      <c r="DL94" s="430">
        <f t="shared" si="157"/>
        <v>225168.57676807337</v>
      </c>
      <c r="DM94" s="430">
        <f t="shared" si="157"/>
        <v>225219.86290100569</v>
      </c>
      <c r="DN94" s="430">
        <f t="shared" si="157"/>
        <v>225271.31998771441</v>
      </c>
      <c r="DO94" s="430">
        <f t="shared" si="157"/>
        <v>225322.94859804554</v>
      </c>
      <c r="DP94" s="430">
        <f t="shared" si="157"/>
        <v>225374.74930374441</v>
      </c>
      <c r="DQ94" s="430">
        <f t="shared" si="157"/>
        <v>225426.72267846228</v>
      </c>
      <c r="DR94" s="430">
        <f t="shared" si="157"/>
        <v>225478.86929776255</v>
      </c>
      <c r="DS94" s="430">
        <f t="shared" si="157"/>
        <v>225531.18973912715</v>
      </c>
      <c r="DT94" s="430">
        <f t="shared" si="157"/>
        <v>225583.68458196294</v>
      </c>
      <c r="DU94" s="430" t="s">
        <v>557</v>
      </c>
      <c r="DV94" s="202"/>
    </row>
    <row r="95" spans="1:126" s="5" customFormat="1" ht="15" customHeight="1">
      <c r="A95" s="196"/>
      <c r="B95" s="214" t="s">
        <v>42</v>
      </c>
      <c r="C95" s="431"/>
      <c r="D95" s="432"/>
      <c r="E95" s="433">
        <f t="shared" ref="E95" si="158">E94/E76</f>
        <v>0.48124863362796255</v>
      </c>
      <c r="F95" s="433">
        <f t="shared" ref="F95" si="159">F94/F76</f>
        <v>0.47871685390111202</v>
      </c>
      <c r="G95" s="433">
        <f t="shared" ref="G95" si="160">G94/G76</f>
        <v>0.47619672886773429</v>
      </c>
      <c r="H95" s="433">
        <f t="shared" ref="H95" si="161">H94/H76</f>
        <v>0.47368823348452094</v>
      </c>
      <c r="I95" s="433">
        <f t="shared" ref="I95" si="162">I94/I76</f>
        <v>0.47119134242768901</v>
      </c>
      <c r="J95" s="433">
        <f t="shared" ref="J95" si="163">J94/J76</f>
        <v>0.46870603009725209</v>
      </c>
      <c r="K95" s="433">
        <f t="shared" ref="K95" si="164">K94/K76</f>
        <v>0.4662322706212732</v>
      </c>
      <c r="L95" s="433">
        <f t="shared" ref="L95" si="165">L94/L76</f>
        <v>0.46377003786010129</v>
      </c>
      <c r="M95" s="433">
        <f t="shared" ref="M95" si="166">M94/M76</f>
        <v>0.46131930541058763</v>
      </c>
      <c r="N95" s="433">
        <f t="shared" ref="N95" si="167">N94/N76</f>
        <v>0.45888004661028475</v>
      </c>
      <c r="O95" s="433">
        <f t="shared" ref="O95" si="168">O94/O76</f>
        <v>0.4564522345416262</v>
      </c>
      <c r="P95" s="433">
        <f t="shared" ref="P95" si="169">P94/P76</f>
        <v>0.45403584203608666</v>
      </c>
      <c r="Q95" s="433">
        <f t="shared" ref="Q95" si="170">Q94/Q76</f>
        <v>0.4592930031996299</v>
      </c>
      <c r="R95" s="433">
        <f t="shared" ref="R95" si="171">R94/R76</f>
        <v>0.45701726705493628</v>
      </c>
      <c r="S95" s="433">
        <f t="shared" ref="S95" si="172">S94/S76</f>
        <v>0.45475153293195314</v>
      </c>
      <c r="T95" s="433">
        <f t="shared" ref="T95" si="173">T94/T76</f>
        <v>0.45249577872391816</v>
      </c>
      <c r="U95" s="433">
        <f t="shared" ref="U95" si="174">U94/U76</f>
        <v>0.45024998213267814</v>
      </c>
      <c r="V95" s="433">
        <f t="shared" ref="V95" si="175">V94/V76</f>
        <v>0.44801412067166319</v>
      </c>
      <c r="W95" s="433">
        <f t="shared" ref="W95" si="176">W94/W76</f>
        <v>0.4457881716688481</v>
      </c>
      <c r="X95" s="433">
        <f t="shared" ref="X95" si="177">X94/X76</f>
        <v>0.44357211226969795</v>
      </c>
      <c r="Y95" s="433">
        <f t="shared" ref="Y95" si="178">Y94/Y76</f>
        <v>0.44136591944010095</v>
      </c>
      <c r="Z95" s="433">
        <f t="shared" ref="Z95" si="179">Z94/Z76</f>
        <v>0.43916956996928835</v>
      </c>
      <c r="AA95" s="433">
        <f t="shared" ref="AA95" si="180">AA94/AA76</f>
        <v>0.43698304047273673</v>
      </c>
      <c r="AB95" s="433">
        <f t="shared" ref="AB95" si="181">AB94/AB76</f>
        <v>0.43480630739505877</v>
      </c>
      <c r="AC95" s="433">
        <f t="shared" ref="AC95" si="182">AC94/AC76</f>
        <v>0.44091439658212822</v>
      </c>
      <c r="AD95" s="433">
        <f t="shared" ref="AD95" si="183">AD94/AD76</f>
        <v>0.43974262132418335</v>
      </c>
      <c r="AE95" s="433">
        <f t="shared" ref="AE95" si="184">AE94/AE76</f>
        <v>0.43857363737460503</v>
      </c>
      <c r="AF95" s="433">
        <f t="shared" ref="AF95" si="185">AF94/AF76</f>
        <v>0.43740744122107572</v>
      </c>
      <c r="AG95" s="433">
        <f t="shared" ref="AG95" si="186">AG94/AG76</f>
        <v>0.43624402933721135</v>
      </c>
      <c r="AH95" s="433">
        <f t="shared" ref="AH95" si="187">AH94/AH76</f>
        <v>0.43508339818268593</v>
      </c>
      <c r="AI95" s="433">
        <f t="shared" ref="AI95" si="188">AI94/AI76</f>
        <v>0.43392554420335705</v>
      </c>
      <c r="AJ95" s="433">
        <f t="shared" ref="AJ95" si="189">AJ94/AJ76</f>
        <v>0.43277046383138884</v>
      </c>
      <c r="AK95" s="433">
        <f t="shared" ref="AK95" si="190">AK94/AK76</f>
        <v>0.43161815348537674</v>
      </c>
      <c r="AL95" s="433">
        <f t="shared" ref="AL95" si="191">AL94/AL76</f>
        <v>0.43046860957047034</v>
      </c>
      <c r="AM95" s="433">
        <f t="shared" ref="AM95" si="192">AM94/AM76</f>
        <v>0.42932182847849748</v>
      </c>
      <c r="AN95" s="433">
        <f t="shared" ref="AN95" si="193">AN94/AN76</f>
        <v>0.42817780658808591</v>
      </c>
      <c r="AO95" s="433">
        <f t="shared" ref="AO95" si="194">AO94/AO76</f>
        <v>0.43421290988465555</v>
      </c>
      <c r="AP95" s="433">
        <f t="shared" ref="AP95" si="195">AP94/AP76</f>
        <v>0.43305855702488016</v>
      </c>
      <c r="AQ95" s="433">
        <f t="shared" ref="AQ95" si="196">AQ94/AQ76</f>
        <v>0.43190696360403813</v>
      </c>
      <c r="AR95" s="433">
        <f t="shared" ref="AR95" si="197">AR94/AR76</f>
        <v>0.43075812609306474</v>
      </c>
      <c r="AS95" s="433">
        <f t="shared" ref="AS95" si="198">AS94/AS76</f>
        <v>0.42961204094932004</v>
      </c>
      <c r="AT95" s="433">
        <f t="shared" ref="AT95" si="199">AT94/AT76</f>
        <v>0.42846870461671127</v>
      </c>
      <c r="AU95" s="433">
        <f t="shared" ref="AU95" si="200">AU94/AU76</f>
        <v>0.42732811352581529</v>
      </c>
      <c r="AV95" s="433">
        <f t="shared" ref="AV95" si="201">AV94/AV76</f>
        <v>0.42619026409400146</v>
      </c>
      <c r="AW95" s="433">
        <f t="shared" ref="AW95" si="202">AW94/AW76</f>
        <v>0.42505515272555261</v>
      </c>
      <c r="AX95" s="433">
        <f t="shared" ref="AX95" si="203">AX94/AX76</f>
        <v>0.4239227758117875</v>
      </c>
      <c r="AY95" s="433">
        <f t="shared" ref="AY95" si="204">AY94/AY76</f>
        <v>0.42279312973118094</v>
      </c>
      <c r="AZ95" s="433">
        <f t="shared" ref="AZ95" si="205">AZ94/AZ76</f>
        <v>0.42166621084948586</v>
      </c>
      <c r="BA95" s="433">
        <f t="shared" ref="BA95" si="206">BA94/BA76</f>
        <v>0.42735700244969449</v>
      </c>
      <c r="BB95" s="433">
        <f t="shared" ref="BB95" si="207">BB94/BB76</f>
        <v>0.42622066637503586</v>
      </c>
      <c r="BC95" s="433">
        <f t="shared" ref="BC95" si="208">BC94/BC76</f>
        <v>0.42508705560006077</v>
      </c>
      <c r="BD95" s="433">
        <f t="shared" ref="BD95" si="209">BD94/BD76</f>
        <v>0.42395616658663743</v>
      </c>
      <c r="BE95" s="433">
        <f t="shared" ref="BE95" si="210">BE94/BE76</f>
        <v>0.42282799578353397</v>
      </c>
      <c r="BF95" s="433">
        <f t="shared" ref="BF95" si="211">BF94/BF76</f>
        <v>0.42170253962654064</v>
      </c>
      <c r="BG95" s="433">
        <f t="shared" ref="BG95" si="212">BG94/BG76</f>
        <v>0.42057979453858885</v>
      </c>
      <c r="BH95" s="433">
        <f t="shared" ref="BH95" si="213">BH94/BH76</f>
        <v>0.41945975692987264</v>
      </c>
      <c r="BI95" s="433">
        <f t="shared" ref="BI95" si="214">BI94/BI76</f>
        <v>0.41834242319796744</v>
      </c>
      <c r="BJ95" s="433">
        <f t="shared" ref="BJ95" si="215">BJ94/BJ76</f>
        <v>0.41722778972795055</v>
      </c>
      <c r="BK95" s="433">
        <f t="shared" ref="BK95" si="216">BK94/BK76</f>
        <v>0.41611585289251873</v>
      </c>
      <c r="BL95" s="433">
        <f t="shared" ref="BL95" si="217">BL94/BL76</f>
        <v>0.41500660905210868</v>
      </c>
      <c r="BM95" s="433">
        <f t="shared" ref="BM95" si="218">BM94/BM76</f>
        <v>0.41822095505599038</v>
      </c>
      <c r="BN95" s="433">
        <f t="shared" ref="BN95" si="219">BN94/BN76</f>
        <v>0.41710914811832084</v>
      </c>
      <c r="BO95" s="433">
        <f t="shared" ref="BO95" si="220">BO94/BO76</f>
        <v>0.41600001679505189</v>
      </c>
      <c r="BP95" s="433">
        <f t="shared" ref="BP95" si="221">BP94/BP76</f>
        <v>0.41489355755851881</v>
      </c>
      <c r="BQ95" s="433">
        <f t="shared" ref="BQ95" si="222">BQ94/BQ76</f>
        <v>0.41378976686851421</v>
      </c>
      <c r="BR95" s="433">
        <f t="shared" ref="BR95" si="223">BR94/BR76</f>
        <v>0.41268864117240583</v>
      </c>
      <c r="BS95" s="433">
        <f t="shared" ref="BS95" si="224">BS94/BS76</f>
        <v>0.41159017690525423</v>
      </c>
      <c r="BT95" s="433">
        <f t="shared" ref="BT95" si="225">BT94/BT76</f>
        <v>0.4104943704899302</v>
      </c>
      <c r="BU95" s="433">
        <f t="shared" ref="BU95" si="226">BU94/BU76</f>
        <v>0.4094012183372322</v>
      </c>
      <c r="BV95" s="433">
        <f t="shared" ref="BV95" si="227">BV94/BV76</f>
        <v>0.4083107168460019</v>
      </c>
      <c r="BW95" s="433">
        <f t="shared" ref="BW95" si="228">BW94/BW76</f>
        <v>0.40722286240324151</v>
      </c>
      <c r="BX95" s="433">
        <f t="shared" ref="BX95" si="229">BX94/BX76</f>
        <v>0.40613765138422975</v>
      </c>
      <c r="BY95" s="433">
        <f t="shared" ref="BY95" si="230">BY94/BY76</f>
        <v>0.409322698946674</v>
      </c>
      <c r="BZ95" s="433">
        <f t="shared" ref="BZ95" si="231">BZ94/BZ76</f>
        <v>0.40823482604031608</v>
      </c>
      <c r="CA95" s="433">
        <f t="shared" ref="CA95" si="232">CA94/CA76</f>
        <v>0.40714958002963925</v>
      </c>
      <c r="CB95" s="433">
        <f t="shared" ref="CB95" si="233">CB94/CB76</f>
        <v>0.4060669573986968</v>
      </c>
      <c r="CC95" s="433">
        <f t="shared" ref="CC95" si="234">CC94/CC76</f>
        <v>0.40498695461953815</v>
      </c>
      <c r="CD95" s="433">
        <f t="shared" ref="CD95" si="235">CD94/CD76</f>
        <v>0.40390956815232398</v>
      </c>
      <c r="CE95" s="433">
        <f t="shared" ref="CE95" si="236">CE94/CE76</f>
        <v>0.40283479444544168</v>
      </c>
      <c r="CF95" s="433">
        <f t="shared" ref="CF95" si="237">CF94/CF76</f>
        <v>0.40176262993561995</v>
      </c>
      <c r="CG95" s="433">
        <f t="shared" ref="CG95" si="238">CG94/CG76</f>
        <v>0.40069307104804247</v>
      </c>
      <c r="CH95" s="433">
        <f t="shared" ref="CH95" si="239">CH94/CH76</f>
        <v>0.39962611419646227</v>
      </c>
      <c r="CI95" s="433">
        <f t="shared" ref="CI95" si="240">CI94/CI76</f>
        <v>0.39856175578331515</v>
      </c>
      <c r="CJ95" s="433">
        <f t="shared" ref="CJ95" si="241">CJ94/CJ76</f>
        <v>0.3974999921998329</v>
      </c>
      <c r="CK95" s="433">
        <f t="shared" ref="CK95" si="242">CK94/CK76</f>
        <v>0.400655278564992</v>
      </c>
      <c r="CL95" s="433">
        <f t="shared" ref="CL95" si="243">CL94/CL76</f>
        <v>0.39959076077779865</v>
      </c>
      <c r="CM95" s="433">
        <f t="shared" ref="CM95" si="244">CM94/CM76</f>
        <v>0.39852882211416518</v>
      </c>
      <c r="CN95" s="433">
        <f t="shared" ref="CN95" si="245">CN94/CN76</f>
        <v>0.39746945907104569</v>
      </c>
      <c r="CO95" s="433">
        <f t="shared" ref="CO95" si="246">CO94/CO76</f>
        <v>0.39641266813391324</v>
      </c>
      <c r="CP95" s="433">
        <f t="shared" ref="CP95" si="247">CP94/CP76</f>
        <v>0.3953584457768714</v>
      </c>
      <c r="CQ95" s="433">
        <f t="shared" ref="CQ95" si="248">CQ94/CQ76</f>
        <v>0.39430678846276668</v>
      </c>
      <c r="CR95" s="433">
        <f t="shared" ref="CR95" si="249">CR94/CR76</f>
        <v>0.39325769264330096</v>
      </c>
      <c r="CS95" s="433">
        <f t="shared" ref="CS95" si="250">CS94/CS76</f>
        <v>0.39221115475914237</v>
      </c>
      <c r="CT95" s="433">
        <f t="shared" ref="CT95" si="251">CT94/CT76</f>
        <v>0.39116717124003714</v>
      </c>
      <c r="CU95" s="433">
        <f t="shared" ref="CU95" si="252">CU94/CU76</f>
        <v>0.39012573850491994</v>
      </c>
      <c r="CV95" s="433">
        <f t="shared" ref="CV95" si="253">CV94/CV76</f>
        <v>0.38908685296202489</v>
      </c>
      <c r="CW95" s="433">
        <f t="shared" ref="CW95" si="254">CW94/CW76</f>
        <v>0.39221196059964042</v>
      </c>
      <c r="CX95" s="433">
        <f t="shared" ref="CX95" si="255">CX94/CX76</f>
        <v>0.3911702347334633</v>
      </c>
      <c r="CY95" s="433">
        <f t="shared" ref="CY95" si="256">CY94/CY76</f>
        <v>0.39013104114576147</v>
      </c>
      <c r="CZ95" s="433">
        <f t="shared" ref="CZ95" si="257">CZ94/CZ76</f>
        <v>0.38909437634750993</v>
      </c>
      <c r="DA95" s="433">
        <f t="shared" ref="DA95" si="258">DA94/DA76</f>
        <v>0.38806023683870783</v>
      </c>
      <c r="DB95" s="433">
        <f t="shared" ref="DB95" si="259">DB94/DB76</f>
        <v>0.38702861910848757</v>
      </c>
      <c r="DC95" s="433">
        <f t="shared" ref="DC95" si="260">DC94/DC76</f>
        <v>0.38599951963522505</v>
      </c>
      <c r="DD95" s="433">
        <f t="shared" ref="DD95" si="261">DD94/DD76</f>
        <v>0.38497293488664897</v>
      </c>
      <c r="DE95" s="433">
        <f t="shared" ref="DE95" si="262">DE94/DE76</f>
        <v>0.38394886131994893</v>
      </c>
      <c r="DF95" s="433">
        <f t="shared" ref="DF95" si="263">DF94/DF76</f>
        <v>0.38292729538188514</v>
      </c>
      <c r="DG95" s="433">
        <f t="shared" ref="DG95" si="264">DG94/DG76</f>
        <v>0.38190823350889597</v>
      </c>
      <c r="DH95" s="433">
        <f t="shared" ref="DH95" si="265">DH94/DH76</f>
        <v>0.38089167212720548</v>
      </c>
      <c r="DI95" s="433">
        <f t="shared" ref="DI95" si="266">DI94/DI76</f>
        <v>0.38398622650705894</v>
      </c>
      <c r="DJ95" s="433">
        <f t="shared" ref="DJ95" si="267">DJ94/DJ76</f>
        <v>0.38296674461296926</v>
      </c>
      <c r="DK95" s="433">
        <f t="shared" ref="DK95" si="268">DK94/DK76</f>
        <v>0.38194974906014456</v>
      </c>
      <c r="DL95" s="433">
        <f t="shared" ref="DL95" si="269">DL94/DL76</f>
        <v>0.38093523637463861</v>
      </c>
      <c r="DM95" s="433">
        <f t="shared" ref="DM95" si="270">DM94/DM76</f>
        <v>0.3799232030720186</v>
      </c>
      <c r="DN95" s="433">
        <f t="shared" ref="DN95" si="271">DN94/DN76</f>
        <v>0.37891364565747176</v>
      </c>
      <c r="DO95" s="433">
        <f t="shared" ref="DO95" si="272">DO94/DO76</f>
        <v>0.37790656062591321</v>
      </c>
      <c r="DP95" s="433">
        <f t="shared" ref="DP95" si="273">DP94/DP76</f>
        <v>0.37690194446209196</v>
      </c>
      <c r="DQ95" s="433">
        <f t="shared" ref="DQ95" si="274">DQ94/DQ76</f>
        <v>0.3758997936406977</v>
      </c>
      <c r="DR95" s="433">
        <f t="shared" ref="DR95" si="275">DR94/DR76</f>
        <v>0.37490010462646634</v>
      </c>
      <c r="DS95" s="433">
        <f t="shared" ref="DS95" si="276">DS94/DS76</f>
        <v>0.37390287387428622</v>
      </c>
      <c r="DT95" s="433">
        <f t="shared" ref="DT95" si="277">DT94/DT76</f>
        <v>0.37290809782930262</v>
      </c>
      <c r="DU95" s="433" t="s">
        <v>557</v>
      </c>
      <c r="DV95" s="196"/>
    </row>
    <row r="96" spans="1:126" s="6" customFormat="1" ht="15" customHeight="1">
      <c r="A96" s="202"/>
      <c r="B96" s="221" t="s">
        <v>613</v>
      </c>
      <c r="C96" s="428"/>
      <c r="D96" s="434"/>
      <c r="E96" s="435">
        <f t="shared" ref="E96:BP96" si="278">+E76-E94</f>
        <v>202419.24691393395</v>
      </c>
      <c r="F96" s="435">
        <f t="shared" si="278"/>
        <v>204554.83663224897</v>
      </c>
      <c r="G96" s="435">
        <f t="shared" si="278"/>
        <v>206704.66361535285</v>
      </c>
      <c r="H96" s="435">
        <f t="shared" si="278"/>
        <v>208868.82277834415</v>
      </c>
      <c r="I96" s="435">
        <f t="shared" si="278"/>
        <v>211047.40966908867</v>
      </c>
      <c r="J96" s="435">
        <f t="shared" si="278"/>
        <v>213240.52047243807</v>
      </c>
      <c r="K96" s="435">
        <f t="shared" si="278"/>
        <v>215448.25201447657</v>
      </c>
      <c r="L96" s="435">
        <f t="shared" si="278"/>
        <v>217670.70176679525</v>
      </c>
      <c r="M96" s="435">
        <f t="shared" si="278"/>
        <v>219907.96785079606</v>
      </c>
      <c r="N96" s="435">
        <f t="shared" si="278"/>
        <v>222160.14904202361</v>
      </c>
      <c r="O96" s="435">
        <f t="shared" si="278"/>
        <v>224427.34477452599</v>
      </c>
      <c r="P96" s="435">
        <f t="shared" si="278"/>
        <v>226709.65514524493</v>
      </c>
      <c r="Q96" s="435">
        <f t="shared" si="278"/>
        <v>226699.90923261107</v>
      </c>
      <c r="R96" s="435">
        <f t="shared" si="278"/>
        <v>228867.30171005457</v>
      </c>
      <c r="S96" s="435">
        <f t="shared" si="278"/>
        <v>231048.24039048201</v>
      </c>
      <c r="T96" s="435">
        <f t="shared" si="278"/>
        <v>233242.8099376621</v>
      </c>
      <c r="U96" s="435">
        <f t="shared" si="278"/>
        <v>235451.09554451206</v>
      </c>
      <c r="V96" s="435">
        <f t="shared" si="278"/>
        <v>237673.18293640501</v>
      </c>
      <c r="W96" s="435">
        <f t="shared" si="278"/>
        <v>239909.15837449714</v>
      </c>
      <c r="X96" s="435">
        <f t="shared" si="278"/>
        <v>242159.10865907726</v>
      </c>
      <c r="Y96" s="435">
        <f t="shared" si="278"/>
        <v>244423.12113293621</v>
      </c>
      <c r="Z96" s="435">
        <f t="shared" si="278"/>
        <v>246701.28368475661</v>
      </c>
      <c r="AA96" s="435">
        <f t="shared" si="278"/>
        <v>248993.68475252594</v>
      </c>
      <c r="AB96" s="435">
        <f t="shared" si="278"/>
        <v>251300.4133269689</v>
      </c>
      <c r="AC96" s="435">
        <f t="shared" si="278"/>
        <v>250333.94904716988</v>
      </c>
      <c r="AD96" s="435">
        <f t="shared" si="278"/>
        <v>251576.01986323745</v>
      </c>
      <c r="AE96" s="435">
        <f t="shared" si="278"/>
        <v>252822.23091535855</v>
      </c>
      <c r="AF96" s="435">
        <f t="shared" si="278"/>
        <v>254072.59600432002</v>
      </c>
      <c r="AG96" s="435">
        <f t="shared" si="278"/>
        <v>255327.12897691131</v>
      </c>
      <c r="AH96" s="435">
        <f t="shared" si="278"/>
        <v>256585.84372607811</v>
      </c>
      <c r="AI96" s="435">
        <f t="shared" si="278"/>
        <v>257848.75419107534</v>
      </c>
      <c r="AJ96" s="435">
        <f t="shared" si="278"/>
        <v>259115.87435762258</v>
      </c>
      <c r="AK96" s="435">
        <f t="shared" si="278"/>
        <v>260387.21825805819</v>
      </c>
      <c r="AL96" s="435">
        <f t="shared" si="278"/>
        <v>261662.79997149546</v>
      </c>
      <c r="AM96" s="435">
        <f t="shared" si="278"/>
        <v>262942.63362397731</v>
      </c>
      <c r="AN96" s="435">
        <f t="shared" si="278"/>
        <v>264226.73338863434</v>
      </c>
      <c r="AO96" s="435">
        <f t="shared" si="278"/>
        <v>263269.23417264753</v>
      </c>
      <c r="AP96" s="435">
        <f t="shared" si="278"/>
        <v>264561.90887017746</v>
      </c>
      <c r="AQ96" s="435">
        <f t="shared" si="278"/>
        <v>265858.89248336549</v>
      </c>
      <c r="AR96" s="435">
        <f t="shared" si="278"/>
        <v>267160.1993752644</v>
      </c>
      <c r="AS96" s="435">
        <f t="shared" si="278"/>
        <v>268465.84395680291</v>
      </c>
      <c r="AT96" s="435">
        <f t="shared" si="278"/>
        <v>269775.84068694641</v>
      </c>
      <c r="AU96" s="435">
        <f t="shared" si="278"/>
        <v>271090.20407285728</v>
      </c>
      <c r="AV96" s="435">
        <f t="shared" si="278"/>
        <v>272408.94867005438</v>
      </c>
      <c r="AW96" s="435">
        <f t="shared" si="278"/>
        <v>273732.08908257558</v>
      </c>
      <c r="AX96" s="435">
        <f t="shared" si="278"/>
        <v>275059.63996313838</v>
      </c>
      <c r="AY96" s="435">
        <f t="shared" si="278"/>
        <v>276391.61601330322</v>
      </c>
      <c r="AZ96" s="435">
        <f t="shared" si="278"/>
        <v>277728.0319836351</v>
      </c>
      <c r="BA96" s="435">
        <f t="shared" si="278"/>
        <v>276785.16427150957</v>
      </c>
      <c r="BB96" s="435">
        <f t="shared" si="278"/>
        <v>278129.78641239554</v>
      </c>
      <c r="BC96" s="435">
        <f t="shared" si="278"/>
        <v>279478.89062708465</v>
      </c>
      <c r="BD96" s="435">
        <f t="shared" si="278"/>
        <v>280832.4918558225</v>
      </c>
      <c r="BE96" s="435">
        <f t="shared" si="278"/>
        <v>282190.60508865642</v>
      </c>
      <c r="BF96" s="435">
        <f t="shared" si="278"/>
        <v>283553.24536559952</v>
      </c>
      <c r="BG96" s="435">
        <f t="shared" si="278"/>
        <v>284920.4277767993</v>
      </c>
      <c r="BH96" s="435">
        <f t="shared" si="278"/>
        <v>286292.16746270296</v>
      </c>
      <c r="BI96" s="435">
        <f t="shared" si="278"/>
        <v>287668.4796142265</v>
      </c>
      <c r="BJ96" s="435">
        <f t="shared" si="278"/>
        <v>289049.37947292143</v>
      </c>
      <c r="BK96" s="435">
        <f t="shared" si="278"/>
        <v>290434.88233114569</v>
      </c>
      <c r="BL96" s="435">
        <f t="shared" si="278"/>
        <v>291825.0035322305</v>
      </c>
      <c r="BM96" s="435">
        <f t="shared" si="278"/>
        <v>292235.88486504718</v>
      </c>
      <c r="BN96" s="435">
        <f t="shared" si="278"/>
        <v>293635.28898659709</v>
      </c>
      <c r="BO96" s="435">
        <f t="shared" si="278"/>
        <v>295039.35778855206</v>
      </c>
      <c r="BP96" s="435">
        <f t="shared" si="278"/>
        <v>296448.10681984702</v>
      </c>
      <c r="BQ96" s="435">
        <f t="shared" ref="BQ96:DT96" si="279">+BQ76-BQ94</f>
        <v>297861.55168124626</v>
      </c>
      <c r="BR96" s="435">
        <f t="shared" si="279"/>
        <v>299279.70802551683</v>
      </c>
      <c r="BS96" s="435">
        <f t="shared" si="279"/>
        <v>300702.59155760152</v>
      </c>
      <c r="BT96" s="435">
        <f t="shared" si="279"/>
        <v>302130.21803479339</v>
      </c>
      <c r="BU96" s="435">
        <f t="shared" si="279"/>
        <v>303562.60326690896</v>
      </c>
      <c r="BV96" s="435">
        <f t="shared" si="279"/>
        <v>304999.76311646507</v>
      </c>
      <c r="BW96" s="435">
        <f t="shared" si="279"/>
        <v>306441.71349885315</v>
      </c>
      <c r="BX96" s="435">
        <f t="shared" si="279"/>
        <v>307888.47038251557</v>
      </c>
      <c r="BY96" s="435">
        <f t="shared" si="279"/>
        <v>308352.83102011494</v>
      </c>
      <c r="BZ96" s="435">
        <f t="shared" si="279"/>
        <v>309809.24902474508</v>
      </c>
      <c r="CA96" s="435">
        <f t="shared" si="279"/>
        <v>311270.52175605739</v>
      </c>
      <c r="CB96" s="435">
        <f t="shared" si="279"/>
        <v>312736.66539647401</v>
      </c>
      <c r="CC96" s="435">
        <f t="shared" si="279"/>
        <v>314207.69618235854</v>
      </c>
      <c r="CD96" s="435">
        <f t="shared" si="279"/>
        <v>315683.63040419621</v>
      </c>
      <c r="CE96" s="435">
        <f t="shared" si="279"/>
        <v>317164.48440677341</v>
      </c>
      <c r="CF96" s="435">
        <f t="shared" si="279"/>
        <v>318650.27458935906</v>
      </c>
      <c r="CG96" s="435">
        <f t="shared" si="279"/>
        <v>320141.01740588661</v>
      </c>
      <c r="CH96" s="435">
        <f t="shared" si="279"/>
        <v>321636.72936513601</v>
      </c>
      <c r="CI96" s="435">
        <f t="shared" si="279"/>
        <v>323137.42703091621</v>
      </c>
      <c r="CJ96" s="435">
        <f t="shared" si="279"/>
        <v>324643.1270222491</v>
      </c>
      <c r="CK96" s="435">
        <f t="shared" si="279"/>
        <v>325163.70514713367</v>
      </c>
      <c r="CL96" s="435">
        <f t="shared" si="279"/>
        <v>326679.45986840862</v>
      </c>
      <c r="CM96" s="435">
        <f t="shared" si="279"/>
        <v>328200.26710542105</v>
      </c>
      <c r="CN96" s="435">
        <f t="shared" si="279"/>
        <v>329726.14369989035</v>
      </c>
      <c r="CO96" s="435">
        <f t="shared" si="279"/>
        <v>331257.10654967453</v>
      </c>
      <c r="CP96" s="435">
        <f t="shared" si="279"/>
        <v>332793.17260895792</v>
      </c>
      <c r="CQ96" s="435">
        <f t="shared" si="279"/>
        <v>334334.3588884389</v>
      </c>
      <c r="CR96" s="435">
        <f t="shared" si="279"/>
        <v>335880.68245551811</v>
      </c>
      <c r="CS96" s="435">
        <f t="shared" si="279"/>
        <v>337432.16043448768</v>
      </c>
      <c r="CT96" s="435">
        <f t="shared" si="279"/>
        <v>338988.81000672048</v>
      </c>
      <c r="CU96" s="435">
        <f t="shared" si="279"/>
        <v>340550.64841086068</v>
      </c>
      <c r="CV96" s="435">
        <f t="shared" si="279"/>
        <v>342117.69294301461</v>
      </c>
      <c r="CW96" s="435">
        <f t="shared" si="279"/>
        <v>342697.34421950369</v>
      </c>
      <c r="CX96" s="435">
        <f t="shared" si="279"/>
        <v>344274.85312681145</v>
      </c>
      <c r="CY96" s="435">
        <f t="shared" si="279"/>
        <v>345857.62039714336</v>
      </c>
      <c r="CZ96" s="435">
        <f t="shared" si="279"/>
        <v>347445.6635583766</v>
      </c>
      <c r="DA96" s="435">
        <f t="shared" si="279"/>
        <v>349039.00019681372</v>
      </c>
      <c r="DB96" s="435">
        <f t="shared" si="279"/>
        <v>350637.647957379</v>
      </c>
      <c r="DC96" s="435">
        <f t="shared" si="279"/>
        <v>352241.62454381294</v>
      </c>
      <c r="DD96" s="435">
        <f t="shared" si="279"/>
        <v>353850.94771886815</v>
      </c>
      <c r="DE96" s="435">
        <f t="shared" si="279"/>
        <v>355465.6353045071</v>
      </c>
      <c r="DF96" s="435">
        <f t="shared" si="279"/>
        <v>357085.70518209814</v>
      </c>
      <c r="DG96" s="435">
        <f t="shared" si="279"/>
        <v>358711.17529261427</v>
      </c>
      <c r="DH96" s="435">
        <f t="shared" si="279"/>
        <v>360342.06363683229</v>
      </c>
      <c r="DI96" s="435">
        <f t="shared" si="279"/>
        <v>360983.76595804142</v>
      </c>
      <c r="DJ96" s="435">
        <f t="shared" si="279"/>
        <v>362625.54501220246</v>
      </c>
      <c r="DK96" s="435">
        <f t="shared" si="279"/>
        <v>364272.79666321073</v>
      </c>
      <c r="DL96" s="435">
        <f t="shared" si="279"/>
        <v>365925.53915305575</v>
      </c>
      <c r="DM96" s="435">
        <f t="shared" si="279"/>
        <v>367583.79078453348</v>
      </c>
      <c r="DN96" s="435">
        <f t="shared" si="279"/>
        <v>369247.56992144953</v>
      </c>
      <c r="DO96" s="435">
        <f t="shared" si="279"/>
        <v>370916.89498882194</v>
      </c>
      <c r="DP96" s="435">
        <f t="shared" si="279"/>
        <v>372591.78447308554</v>
      </c>
      <c r="DQ96" s="435">
        <f t="shared" si="279"/>
        <v>374272.25692229671</v>
      </c>
      <c r="DR96" s="435">
        <f t="shared" si="279"/>
        <v>375958.33094633871</v>
      </c>
      <c r="DS96" s="435">
        <f t="shared" si="279"/>
        <v>377650.02521712729</v>
      </c>
      <c r="DT96" s="435">
        <f t="shared" si="279"/>
        <v>379347.35846881865</v>
      </c>
      <c r="DU96" s="430" t="s">
        <v>557</v>
      </c>
      <c r="DV96" s="202"/>
    </row>
    <row r="97" spans="1:125" ht="19">
      <c r="A97" s="436"/>
      <c r="D97" s="437"/>
      <c r="E97" s="438"/>
      <c r="F97" s="438"/>
      <c r="G97" s="438"/>
      <c r="H97" s="438"/>
      <c r="I97" s="438"/>
      <c r="J97" s="438"/>
      <c r="K97" s="438"/>
      <c r="L97" s="438"/>
      <c r="M97" s="438"/>
      <c r="N97" s="438"/>
      <c r="O97" s="438"/>
      <c r="P97" s="438"/>
      <c r="Q97" s="438"/>
      <c r="R97" s="438"/>
      <c r="S97" s="438"/>
      <c r="T97" s="438"/>
      <c r="U97" s="438"/>
      <c r="V97" s="438"/>
      <c r="W97" s="438"/>
      <c r="X97" s="438"/>
      <c r="Y97" s="438"/>
      <c r="Z97" s="438"/>
      <c r="AA97" s="438"/>
      <c r="AB97" s="438"/>
      <c r="AC97" s="438"/>
      <c r="AD97" s="438"/>
      <c r="AE97" s="438"/>
      <c r="AF97" s="438"/>
      <c r="AG97" s="438"/>
      <c r="AH97" s="438"/>
      <c r="AI97" s="438"/>
      <c r="AJ97" s="438"/>
      <c r="AK97" s="438"/>
      <c r="AL97" s="438"/>
      <c r="AM97" s="438"/>
      <c r="AN97" s="438"/>
      <c r="AO97" s="438"/>
      <c r="AP97" s="438"/>
      <c r="AQ97" s="438"/>
      <c r="AR97" s="438"/>
      <c r="AS97" s="438"/>
      <c r="AT97" s="438"/>
      <c r="AU97" s="438"/>
      <c r="AV97" s="438"/>
      <c r="AW97" s="438"/>
      <c r="AX97" s="438"/>
      <c r="AY97" s="438"/>
      <c r="AZ97" s="438"/>
      <c r="BA97" s="438"/>
      <c r="BB97" s="438"/>
      <c r="BC97" s="438"/>
      <c r="BD97" s="438"/>
      <c r="BE97" s="438"/>
      <c r="BF97" s="438"/>
      <c r="BG97" s="438"/>
      <c r="BH97" s="438"/>
      <c r="BI97" s="438"/>
      <c r="BJ97" s="438"/>
      <c r="BK97" s="438"/>
      <c r="BL97" s="438"/>
      <c r="BM97" s="438"/>
      <c r="BN97" s="438"/>
      <c r="BO97" s="438"/>
      <c r="BP97" s="438"/>
      <c r="BQ97" s="438"/>
      <c r="BR97" s="438"/>
      <c r="BS97" s="438"/>
      <c r="BT97" s="438"/>
      <c r="BU97" s="438"/>
      <c r="BV97" s="438"/>
      <c r="BW97" s="438"/>
      <c r="BX97" s="438"/>
      <c r="BY97" s="438"/>
      <c r="BZ97" s="438"/>
      <c r="CA97" s="438"/>
      <c r="CB97" s="438"/>
      <c r="CC97" s="438"/>
      <c r="CD97" s="438"/>
      <c r="CE97" s="438"/>
      <c r="CF97" s="438"/>
      <c r="CG97" s="438"/>
      <c r="CH97" s="438"/>
      <c r="CI97" s="438"/>
      <c r="CJ97" s="438"/>
      <c r="CK97" s="438"/>
      <c r="CL97" s="438"/>
      <c r="CM97" s="438"/>
      <c r="CN97" s="438"/>
      <c r="CO97" s="438"/>
      <c r="CP97" s="438"/>
      <c r="CQ97" s="438"/>
      <c r="CR97" s="438"/>
      <c r="CS97" s="438"/>
      <c r="CT97" s="438"/>
      <c r="CU97" s="438"/>
      <c r="CV97" s="438"/>
      <c r="CW97" s="438"/>
      <c r="CX97" s="438"/>
      <c r="CY97" s="438"/>
      <c r="CZ97" s="438"/>
      <c r="DA97" s="438"/>
      <c r="DB97" s="438"/>
      <c r="DC97" s="438"/>
      <c r="DD97" s="438"/>
      <c r="DE97" s="438"/>
      <c r="DF97" s="438"/>
      <c r="DG97" s="438"/>
      <c r="DH97" s="438"/>
      <c r="DI97" s="438"/>
      <c r="DJ97" s="438"/>
      <c r="DK97" s="438"/>
      <c r="DL97" s="438"/>
      <c r="DM97" s="438"/>
      <c r="DN97" s="438"/>
      <c r="DO97" s="438"/>
      <c r="DP97" s="438"/>
      <c r="DQ97" s="438"/>
      <c r="DR97" s="438"/>
      <c r="DS97" s="438"/>
      <c r="DT97" s="438"/>
      <c r="DU97" s="439" t="s">
        <v>557</v>
      </c>
    </row>
    <row r="98" spans="1:125" ht="19">
      <c r="B98" s="203" t="s">
        <v>122</v>
      </c>
      <c r="C98" s="440" t="str">
        <f>'Inputs and Assumptions'!C13</f>
        <v>% of EGI</v>
      </c>
      <c r="D98" s="1318">
        <f>+'Inputs and Assumptions'!D13</f>
        <v>0.01</v>
      </c>
      <c r="E98" s="441">
        <f>IF($C$98="% of NOI", E96*$D$98, E76*$D$98)</f>
        <v>3902.0474939580822</v>
      </c>
      <c r="F98" s="441">
        <f t="shared" ref="F98:BQ98" si="280">IF($C$98="% of NOI", F96*$D$98, F76*$D$98)</f>
        <v>3924.0638828066908</v>
      </c>
      <c r="G98" s="441">
        <f t="shared" si="280"/>
        <v>3946.2270475809573</v>
      </c>
      <c r="H98" s="441">
        <f t="shared" si="280"/>
        <v>3968.5379667870534</v>
      </c>
      <c r="I98" s="441">
        <f t="shared" si="280"/>
        <v>3990.9976254545222</v>
      </c>
      <c r="J98" s="441">
        <f t="shared" si="280"/>
        <v>4013.607015179774</v>
      </c>
      <c r="K98" s="441">
        <f t="shared" si="280"/>
        <v>4036.3671341698619</v>
      </c>
      <c r="L98" s="441">
        <f t="shared" si="280"/>
        <v>4059.2789872865492</v>
      </c>
      <c r="M98" s="441">
        <f t="shared" si="280"/>
        <v>4082.3435860906811</v>
      </c>
      <c r="N98" s="441">
        <f t="shared" si="280"/>
        <v>4105.5619488868415</v>
      </c>
      <c r="O98" s="441">
        <f t="shared" si="280"/>
        <v>4128.935100768309</v>
      </c>
      <c r="P98" s="441">
        <f t="shared" si="280"/>
        <v>4152.4640736623187</v>
      </c>
      <c r="Q98" s="441">
        <f t="shared" si="280"/>
        <v>4192.6572168310422</v>
      </c>
      <c r="R98" s="441">
        <f t="shared" si="280"/>
        <v>4215.0014691758206</v>
      </c>
      <c r="S98" s="441">
        <f t="shared" si="280"/>
        <v>4237.4853730977529</v>
      </c>
      <c r="T98" s="441">
        <f t="shared" si="280"/>
        <v>4260.1098014191966</v>
      </c>
      <c r="U98" s="441">
        <f t="shared" si="280"/>
        <v>4282.8756324176502</v>
      </c>
      <c r="V98" s="441">
        <f t="shared" si="280"/>
        <v>4305.7837498598456</v>
      </c>
      <c r="W98" s="441">
        <f t="shared" si="280"/>
        <v>4328.8350430360533</v>
      </c>
      <c r="X98" s="441">
        <f t="shared" si="280"/>
        <v>4352.0304067946108</v>
      </c>
      <c r="Y98" s="441">
        <f t="shared" si="280"/>
        <v>4375.3707415766621</v>
      </c>
      <c r="Z98" s="441">
        <f t="shared" si="280"/>
        <v>4398.8569534510989</v>
      </c>
      <c r="AA98" s="441">
        <f t="shared" si="280"/>
        <v>4422.4899541497525</v>
      </c>
      <c r="AB98" s="441">
        <f t="shared" si="280"/>
        <v>4446.2706611027725</v>
      </c>
      <c r="AC98" s="441">
        <f t="shared" si="280"/>
        <v>4477.5602790842258</v>
      </c>
      <c r="AD98" s="441">
        <f t="shared" si="280"/>
        <v>4490.3651328581182</v>
      </c>
      <c r="AE98" s="441">
        <f t="shared" si="280"/>
        <v>4503.2126694779236</v>
      </c>
      <c r="AF98" s="441">
        <f t="shared" si="280"/>
        <v>4516.1030312197945</v>
      </c>
      <c r="AG98" s="441">
        <f t="shared" si="280"/>
        <v>4529.0363608341377</v>
      </c>
      <c r="AH98" s="441">
        <f t="shared" si="280"/>
        <v>4542.0128015471973</v>
      </c>
      <c r="AI98" s="441">
        <f t="shared" si="280"/>
        <v>4555.0324970626325</v>
      </c>
      <c r="AJ98" s="441">
        <f t="shared" si="280"/>
        <v>4568.0955915631193</v>
      </c>
      <c r="AK98" s="441">
        <f t="shared" si="280"/>
        <v>4581.2022297119402</v>
      </c>
      <c r="AL98" s="441">
        <f t="shared" si="280"/>
        <v>4594.3525566545932</v>
      </c>
      <c r="AM98" s="441">
        <f t="shared" si="280"/>
        <v>4607.546718020385</v>
      </c>
      <c r="AN98" s="441">
        <f t="shared" si="280"/>
        <v>4620.784859924066</v>
      </c>
      <c r="AO98" s="441">
        <f t="shared" si="280"/>
        <v>4653.1502533749226</v>
      </c>
      <c r="AP98" s="441">
        <f t="shared" si="280"/>
        <v>4666.4767966484278</v>
      </c>
      <c r="AQ98" s="441">
        <f t="shared" si="280"/>
        <v>4679.8477617328408</v>
      </c>
      <c r="AR98" s="441">
        <f t="shared" si="280"/>
        <v>4693.2632967008703</v>
      </c>
      <c r="AS98" s="441">
        <f t="shared" si="280"/>
        <v>4706.7235501187934</v>
      </c>
      <c r="AT98" s="441">
        <f t="shared" si="280"/>
        <v>4720.2286710481076</v>
      </c>
      <c r="AU98" s="441">
        <f t="shared" si="280"/>
        <v>4733.7788090471886</v>
      </c>
      <c r="AV98" s="441">
        <f t="shared" si="280"/>
        <v>4747.3741141729324</v>
      </c>
      <c r="AW98" s="441">
        <f t="shared" si="280"/>
        <v>4761.014736982429</v>
      </c>
      <c r="AX98" s="441">
        <f t="shared" si="280"/>
        <v>4774.7008285346228</v>
      </c>
      <c r="AY98" s="441">
        <f t="shared" si="280"/>
        <v>4788.432540391992</v>
      </c>
      <c r="AZ98" s="441">
        <f t="shared" si="280"/>
        <v>4802.210024622218</v>
      </c>
      <c r="BA98" s="441">
        <f t="shared" si="280"/>
        <v>4833.468067461954</v>
      </c>
      <c r="BB98" s="441">
        <f t="shared" si="280"/>
        <v>4847.3301513886136</v>
      </c>
      <c r="BC98" s="441">
        <f t="shared" si="280"/>
        <v>4861.2384422616979</v>
      </c>
      <c r="BD98" s="441">
        <f t="shared" si="280"/>
        <v>4875.1930941043565</v>
      </c>
      <c r="BE98" s="441">
        <f t="shared" si="280"/>
        <v>4889.194261453159</v>
      </c>
      <c r="BF98" s="441">
        <f t="shared" si="280"/>
        <v>4903.2420993597898</v>
      </c>
      <c r="BG98" s="441">
        <f t="shared" si="280"/>
        <v>4917.3367633927764</v>
      </c>
      <c r="BH98" s="441">
        <f t="shared" si="280"/>
        <v>4931.4784096392059</v>
      </c>
      <c r="BI98" s="441">
        <f t="shared" si="280"/>
        <v>4945.6671947064588</v>
      </c>
      <c r="BJ98" s="441">
        <f t="shared" si="280"/>
        <v>4959.903275723932</v>
      </c>
      <c r="BK98" s="441">
        <f t="shared" si="280"/>
        <v>4974.1868103448014</v>
      </c>
      <c r="BL98" s="441">
        <f t="shared" si="280"/>
        <v>4988.5179567477371</v>
      </c>
      <c r="BM98" s="441">
        <f t="shared" si="280"/>
        <v>5023.1421603226008</v>
      </c>
      <c r="BN98" s="441">
        <f t="shared" si="280"/>
        <v>5037.5690069365173</v>
      </c>
      <c r="BO98" s="441">
        <f t="shared" si="280"/>
        <v>5052.0439430391461</v>
      </c>
      <c r="BP98" s="441">
        <f t="shared" si="280"/>
        <v>5066.5671289287848</v>
      </c>
      <c r="BQ98" s="441">
        <f t="shared" si="280"/>
        <v>5081.1387254380543</v>
      </c>
      <c r="BR98" s="441">
        <f t="shared" ref="BR98:DT98" si="281">IF($C$98="% of NOI", BR96*$D$98, BR76*$D$98)</f>
        <v>5095.7588939356892</v>
      </c>
      <c r="BS98" s="441">
        <f t="shared" si="281"/>
        <v>5110.4277963283157</v>
      </c>
      <c r="BT98" s="441">
        <f t="shared" si="281"/>
        <v>5125.1455950622521</v>
      </c>
      <c r="BU98" s="441">
        <f t="shared" si="281"/>
        <v>5139.9124531252992</v>
      </c>
      <c r="BV98" s="441">
        <f t="shared" si="281"/>
        <v>5154.7285340485578</v>
      </c>
      <c r="BW98" s="441">
        <f t="shared" si="281"/>
        <v>5169.5940019082282</v>
      </c>
      <c r="BX98" s="441">
        <f t="shared" si="281"/>
        <v>5184.5090213274298</v>
      </c>
      <c r="BY98" s="441">
        <f t="shared" si="281"/>
        <v>5220.3264027624627</v>
      </c>
      <c r="BZ98" s="441">
        <f t="shared" si="281"/>
        <v>5235.3410213668967</v>
      </c>
      <c r="CA98" s="441">
        <f t="shared" si="281"/>
        <v>5250.4056887000133</v>
      </c>
      <c r="CB98" s="441">
        <f t="shared" si="281"/>
        <v>5265.5205715909069</v>
      </c>
      <c r="CC98" s="441">
        <f t="shared" si="281"/>
        <v>5280.6858374247677</v>
      </c>
      <c r="CD98" s="441">
        <f t="shared" si="281"/>
        <v>5295.9016541447436</v>
      </c>
      <c r="CE98" s="441">
        <f t="shared" si="281"/>
        <v>5311.1681902537866</v>
      </c>
      <c r="CF98" s="441">
        <f t="shared" si="281"/>
        <v>5326.4856148165254</v>
      </c>
      <c r="CG98" s="441">
        <f t="shared" si="281"/>
        <v>5341.8540974611396</v>
      </c>
      <c r="CH98" s="441">
        <f t="shared" si="281"/>
        <v>5357.2738083812364</v>
      </c>
      <c r="CI98" s="441">
        <f t="shared" si="281"/>
        <v>5372.744918337733</v>
      </c>
      <c r="CJ98" s="441">
        <f t="shared" si="281"/>
        <v>5388.2675986607528</v>
      </c>
      <c r="CK98" s="441">
        <f t="shared" si="281"/>
        <v>5425.3202458944816</v>
      </c>
      <c r="CL98" s="441">
        <f t="shared" si="281"/>
        <v>5440.9465832272126</v>
      </c>
      <c r="CM98" s="441">
        <f t="shared" si="281"/>
        <v>5456.6250083510522</v>
      </c>
      <c r="CN98" s="441">
        <f t="shared" si="281"/>
        <v>5472.3556948919722</v>
      </c>
      <c r="CO98" s="441">
        <f t="shared" si="281"/>
        <v>5488.1388170546961</v>
      </c>
      <c r="CP98" s="441">
        <f t="shared" si="281"/>
        <v>5503.9745496246278</v>
      </c>
      <c r="CQ98" s="441">
        <f t="shared" si="281"/>
        <v>5519.8630679697926</v>
      </c>
      <c r="CR98" s="441">
        <f t="shared" si="281"/>
        <v>5535.8045480427745</v>
      </c>
      <c r="CS98" s="441">
        <f t="shared" si="281"/>
        <v>5551.799166382667</v>
      </c>
      <c r="CT98" s="441">
        <f t="shared" si="281"/>
        <v>5567.8471001170246</v>
      </c>
      <c r="CU98" s="441">
        <f t="shared" si="281"/>
        <v>5583.9485269638317</v>
      </c>
      <c r="CV98" s="441">
        <f t="shared" si="281"/>
        <v>5600.1036252334598</v>
      </c>
      <c r="CW98" s="441">
        <f t="shared" si="281"/>
        <v>5638.4351452129113</v>
      </c>
      <c r="CX98" s="441">
        <f t="shared" si="281"/>
        <v>5654.6981236387637</v>
      </c>
      <c r="CY98" s="441">
        <f t="shared" si="281"/>
        <v>5671.0153119927018</v>
      </c>
      <c r="CZ98" s="441">
        <f t="shared" si="281"/>
        <v>5687.386890974487</v>
      </c>
      <c r="DA98" s="441">
        <f t="shared" si="281"/>
        <v>5703.8130418862102</v>
      </c>
      <c r="DB98" s="441">
        <f t="shared" si="281"/>
        <v>5720.2939466343068</v>
      </c>
      <c r="DC98" s="441">
        <f t="shared" si="281"/>
        <v>5736.8297877315626</v>
      </c>
      <c r="DD98" s="441">
        <f t="shared" si="281"/>
        <v>5753.4207482991424</v>
      </c>
      <c r="DE98" s="441">
        <f t="shared" si="281"/>
        <v>5770.0670120686164</v>
      </c>
      <c r="DF98" s="441">
        <f t="shared" si="281"/>
        <v>5786.7687633839878</v>
      </c>
      <c r="DG98" s="441">
        <f t="shared" si="281"/>
        <v>5803.5261872037418</v>
      </c>
      <c r="DH98" s="441">
        <f t="shared" si="281"/>
        <v>5820.3394691028971</v>
      </c>
      <c r="DI98" s="441">
        <f t="shared" si="281"/>
        <v>5859.9950437987727</v>
      </c>
      <c r="DJ98" s="441">
        <f t="shared" si="281"/>
        <v>5876.9206010581647</v>
      </c>
      <c r="DK98" s="441">
        <f t="shared" si="281"/>
        <v>5893.902576841755</v>
      </c>
      <c r="DL98" s="441">
        <f t="shared" si="281"/>
        <v>5910.9411592112911</v>
      </c>
      <c r="DM98" s="441">
        <f t="shared" si="281"/>
        <v>5928.0365368553912</v>
      </c>
      <c r="DN98" s="441">
        <f t="shared" si="281"/>
        <v>5945.1888990916395</v>
      </c>
      <c r="DO98" s="441">
        <f t="shared" si="281"/>
        <v>5962.3984358686748</v>
      </c>
      <c r="DP98" s="441">
        <f t="shared" si="281"/>
        <v>5979.6653377682997</v>
      </c>
      <c r="DQ98" s="441">
        <f t="shared" si="281"/>
        <v>5996.9897960075896</v>
      </c>
      <c r="DR98" s="441">
        <f t="shared" si="281"/>
        <v>6014.3720024410122</v>
      </c>
      <c r="DS98" s="441">
        <f t="shared" si="281"/>
        <v>6031.8121495625446</v>
      </c>
      <c r="DT98" s="441">
        <f t="shared" si="281"/>
        <v>6049.3104305078159</v>
      </c>
      <c r="DU98" s="442" t="s">
        <v>557</v>
      </c>
    </row>
    <row r="99" spans="1:125" ht="19">
      <c r="D99" s="437"/>
      <c r="E99" s="438"/>
      <c r="F99" s="438"/>
      <c r="G99" s="438"/>
      <c r="H99" s="438"/>
      <c r="I99" s="438"/>
      <c r="J99" s="438"/>
      <c r="K99" s="438"/>
      <c r="L99" s="438"/>
      <c r="M99" s="438"/>
      <c r="N99" s="438"/>
      <c r="O99" s="438"/>
      <c r="P99" s="438"/>
      <c r="Q99" s="438"/>
      <c r="R99" s="438"/>
      <c r="S99" s="438"/>
      <c r="T99" s="438"/>
      <c r="U99" s="438"/>
      <c r="V99" s="438"/>
      <c r="W99" s="438"/>
      <c r="X99" s="438"/>
      <c r="Y99" s="438"/>
      <c r="Z99" s="438"/>
      <c r="AA99" s="438"/>
      <c r="AB99" s="438"/>
      <c r="AC99" s="438"/>
      <c r="AD99" s="438"/>
      <c r="AE99" s="438"/>
      <c r="AF99" s="438"/>
      <c r="AG99" s="438"/>
      <c r="AH99" s="438"/>
      <c r="AI99" s="438"/>
      <c r="AJ99" s="438"/>
      <c r="AK99" s="438"/>
      <c r="AL99" s="438"/>
      <c r="AM99" s="438"/>
      <c r="AN99" s="438"/>
      <c r="AO99" s="438"/>
      <c r="AP99" s="438"/>
      <c r="AQ99" s="438"/>
      <c r="AR99" s="438"/>
      <c r="AS99" s="438"/>
      <c r="AT99" s="438"/>
      <c r="AU99" s="438"/>
      <c r="AV99" s="438"/>
      <c r="AW99" s="438"/>
      <c r="AX99" s="438"/>
      <c r="AY99" s="438"/>
      <c r="AZ99" s="438"/>
      <c r="BA99" s="438"/>
      <c r="BB99" s="438"/>
      <c r="BC99" s="438"/>
      <c r="BD99" s="438"/>
      <c r="BE99" s="438"/>
      <c r="BF99" s="438"/>
      <c r="BG99" s="438"/>
      <c r="BH99" s="438"/>
      <c r="BI99" s="438"/>
      <c r="BJ99" s="438"/>
      <c r="BK99" s="438"/>
      <c r="BL99" s="438"/>
      <c r="BM99" s="438"/>
      <c r="BN99" s="438"/>
      <c r="BO99" s="438"/>
      <c r="BP99" s="438"/>
      <c r="BQ99" s="438"/>
      <c r="BR99" s="438"/>
      <c r="BS99" s="438"/>
      <c r="BT99" s="438"/>
      <c r="BU99" s="438"/>
      <c r="BV99" s="438"/>
      <c r="BW99" s="438"/>
      <c r="BX99" s="438"/>
      <c r="BY99" s="438"/>
      <c r="BZ99" s="438"/>
      <c r="CA99" s="438"/>
      <c r="CB99" s="438"/>
      <c r="CC99" s="438"/>
      <c r="CD99" s="438"/>
      <c r="CE99" s="438"/>
      <c r="CF99" s="438"/>
      <c r="CG99" s="438"/>
      <c r="CH99" s="438"/>
      <c r="CI99" s="438"/>
      <c r="CJ99" s="438"/>
      <c r="CK99" s="438"/>
      <c r="CL99" s="438"/>
      <c r="CM99" s="438"/>
      <c r="CN99" s="438"/>
      <c r="CO99" s="438"/>
      <c r="CP99" s="438"/>
      <c r="CQ99" s="438"/>
      <c r="CR99" s="438"/>
      <c r="CS99" s="438"/>
      <c r="CT99" s="438"/>
      <c r="CU99" s="438"/>
      <c r="CV99" s="438"/>
      <c r="CW99" s="438"/>
      <c r="CX99" s="438"/>
      <c r="CY99" s="438"/>
      <c r="CZ99" s="438"/>
      <c r="DA99" s="438"/>
      <c r="DB99" s="438"/>
      <c r="DC99" s="438"/>
      <c r="DD99" s="438"/>
      <c r="DE99" s="438"/>
      <c r="DF99" s="438"/>
      <c r="DG99" s="438"/>
      <c r="DH99" s="438"/>
      <c r="DI99" s="438"/>
      <c r="DJ99" s="438"/>
      <c r="DK99" s="438"/>
      <c r="DL99" s="438"/>
      <c r="DM99" s="438"/>
      <c r="DN99" s="438"/>
      <c r="DO99" s="438"/>
      <c r="DP99" s="438"/>
      <c r="DQ99" s="438"/>
      <c r="DR99" s="438"/>
      <c r="DS99" s="438"/>
      <c r="DT99" s="438"/>
      <c r="DU99" s="439" t="s">
        <v>557</v>
      </c>
    </row>
    <row r="100" spans="1:125" ht="19">
      <c r="B100" s="221" t="s">
        <v>1087</v>
      </c>
      <c r="C100" s="443"/>
      <c r="D100" s="444"/>
      <c r="E100" s="435">
        <f>E96-E98</f>
        <v>198517.19941997586</v>
      </c>
      <c r="F100" s="435">
        <f t="shared" ref="F100:BQ100" si="282">F96-F98</f>
        <v>200630.77274944229</v>
      </c>
      <c r="G100" s="435">
        <f t="shared" si="282"/>
        <v>202758.43656777189</v>
      </c>
      <c r="H100" s="435">
        <f t="shared" si="282"/>
        <v>204900.2848115571</v>
      </c>
      <c r="I100" s="435">
        <f t="shared" si="282"/>
        <v>207056.41204363413</v>
      </c>
      <c r="J100" s="435">
        <f t="shared" si="282"/>
        <v>209226.91345725831</v>
      </c>
      <c r="K100" s="435">
        <f t="shared" si="282"/>
        <v>211411.88488030672</v>
      </c>
      <c r="L100" s="435">
        <f t="shared" si="282"/>
        <v>213611.42277950869</v>
      </c>
      <c r="M100" s="435">
        <f t="shared" si="282"/>
        <v>215825.62426470537</v>
      </c>
      <c r="N100" s="435">
        <f t="shared" si="282"/>
        <v>218054.58709313677</v>
      </c>
      <c r="O100" s="435">
        <f t="shared" si="282"/>
        <v>220298.40967375768</v>
      </c>
      <c r="P100" s="435">
        <f t="shared" si="282"/>
        <v>222557.19107158261</v>
      </c>
      <c r="Q100" s="435">
        <f t="shared" si="282"/>
        <v>222507.25201578002</v>
      </c>
      <c r="R100" s="435">
        <f t="shared" si="282"/>
        <v>224652.30024087874</v>
      </c>
      <c r="S100" s="435">
        <f t="shared" si="282"/>
        <v>226810.75501738425</v>
      </c>
      <c r="T100" s="435">
        <f t="shared" si="282"/>
        <v>228982.7001362429</v>
      </c>
      <c r="U100" s="435">
        <f t="shared" si="282"/>
        <v>231168.21991209441</v>
      </c>
      <c r="V100" s="435">
        <f t="shared" si="282"/>
        <v>233367.39918654517</v>
      </c>
      <c r="W100" s="435">
        <f t="shared" si="282"/>
        <v>235580.32333146108</v>
      </c>
      <c r="X100" s="435">
        <f t="shared" si="282"/>
        <v>237807.07825228266</v>
      </c>
      <c r="Y100" s="435">
        <f t="shared" si="282"/>
        <v>240047.75039135956</v>
      </c>
      <c r="Z100" s="435">
        <f t="shared" si="282"/>
        <v>242302.42673130552</v>
      </c>
      <c r="AA100" s="435">
        <f t="shared" si="282"/>
        <v>244571.19479837618</v>
      </c>
      <c r="AB100" s="435">
        <f t="shared" si="282"/>
        <v>246854.14266586612</v>
      </c>
      <c r="AC100" s="435">
        <f t="shared" si="282"/>
        <v>245856.38876808566</v>
      </c>
      <c r="AD100" s="435">
        <f t="shared" si="282"/>
        <v>247085.65473037935</v>
      </c>
      <c r="AE100" s="435">
        <f t="shared" si="282"/>
        <v>248319.01824588064</v>
      </c>
      <c r="AF100" s="435">
        <f t="shared" si="282"/>
        <v>249556.49297310022</v>
      </c>
      <c r="AG100" s="435">
        <f t="shared" si="282"/>
        <v>250798.09261607716</v>
      </c>
      <c r="AH100" s="435">
        <f t="shared" si="282"/>
        <v>252043.83092453092</v>
      </c>
      <c r="AI100" s="435">
        <f t="shared" si="282"/>
        <v>253293.7216940127</v>
      </c>
      <c r="AJ100" s="435">
        <f t="shared" si="282"/>
        <v>254547.77876605946</v>
      </c>
      <c r="AK100" s="435">
        <f t="shared" si="282"/>
        <v>255806.01602834626</v>
      </c>
      <c r="AL100" s="435">
        <f t="shared" si="282"/>
        <v>257068.44741484086</v>
      </c>
      <c r="AM100" s="435">
        <f t="shared" si="282"/>
        <v>258335.08690595691</v>
      </c>
      <c r="AN100" s="435">
        <f t="shared" si="282"/>
        <v>259605.94852871029</v>
      </c>
      <c r="AO100" s="435">
        <f t="shared" si="282"/>
        <v>258616.08391927261</v>
      </c>
      <c r="AP100" s="435">
        <f t="shared" si="282"/>
        <v>259895.43207352902</v>
      </c>
      <c r="AQ100" s="435">
        <f t="shared" si="282"/>
        <v>261179.04472163264</v>
      </c>
      <c r="AR100" s="435">
        <f t="shared" si="282"/>
        <v>262466.93607856351</v>
      </c>
      <c r="AS100" s="435">
        <f t="shared" si="282"/>
        <v>263759.12040668412</v>
      </c>
      <c r="AT100" s="435">
        <f t="shared" si="282"/>
        <v>265055.61201589828</v>
      </c>
      <c r="AU100" s="435">
        <f t="shared" si="282"/>
        <v>266356.42526381009</v>
      </c>
      <c r="AV100" s="435">
        <f t="shared" si="282"/>
        <v>267661.57455588144</v>
      </c>
      <c r="AW100" s="435">
        <f t="shared" si="282"/>
        <v>268971.07434559317</v>
      </c>
      <c r="AX100" s="435">
        <f t="shared" si="282"/>
        <v>270284.93913460377</v>
      </c>
      <c r="AY100" s="435">
        <f t="shared" si="282"/>
        <v>271603.18347291125</v>
      </c>
      <c r="AZ100" s="435">
        <f t="shared" si="282"/>
        <v>272925.82195901289</v>
      </c>
      <c r="BA100" s="435">
        <f t="shared" si="282"/>
        <v>271951.69620404759</v>
      </c>
      <c r="BB100" s="435">
        <f t="shared" si="282"/>
        <v>273282.45626100694</v>
      </c>
      <c r="BC100" s="435">
        <f t="shared" si="282"/>
        <v>274617.65218482295</v>
      </c>
      <c r="BD100" s="435">
        <f t="shared" si="282"/>
        <v>275957.29876171815</v>
      </c>
      <c r="BE100" s="435">
        <f t="shared" si="282"/>
        <v>277301.41082720325</v>
      </c>
      <c r="BF100" s="435">
        <f t="shared" si="282"/>
        <v>278650.00326623971</v>
      </c>
      <c r="BG100" s="435">
        <f t="shared" si="282"/>
        <v>280003.09101340652</v>
      </c>
      <c r="BH100" s="435">
        <f t="shared" si="282"/>
        <v>281360.68905306375</v>
      </c>
      <c r="BI100" s="435">
        <f t="shared" si="282"/>
        <v>282722.81241952005</v>
      </c>
      <c r="BJ100" s="435">
        <f t="shared" si="282"/>
        <v>284089.47619719751</v>
      </c>
      <c r="BK100" s="435">
        <f t="shared" si="282"/>
        <v>285460.69552080089</v>
      </c>
      <c r="BL100" s="435">
        <f t="shared" si="282"/>
        <v>286836.48557548277</v>
      </c>
      <c r="BM100" s="435">
        <f t="shared" si="282"/>
        <v>287212.7427047246</v>
      </c>
      <c r="BN100" s="435">
        <f t="shared" si="282"/>
        <v>288597.71997966059</v>
      </c>
      <c r="BO100" s="435">
        <f t="shared" si="282"/>
        <v>289987.31384551292</v>
      </c>
      <c r="BP100" s="435">
        <f t="shared" si="282"/>
        <v>291381.53969091823</v>
      </c>
      <c r="BQ100" s="435">
        <f t="shared" si="282"/>
        <v>292780.41295580822</v>
      </c>
      <c r="BR100" s="435">
        <f t="shared" ref="BR100:DT100" si="283">BR96-BR98</f>
        <v>294183.94913158112</v>
      </c>
      <c r="BS100" s="435">
        <f t="shared" si="283"/>
        <v>295592.1637612732</v>
      </c>
      <c r="BT100" s="435">
        <f t="shared" si="283"/>
        <v>297005.07243973116</v>
      </c>
      <c r="BU100" s="435">
        <f t="shared" si="283"/>
        <v>298422.69081378367</v>
      </c>
      <c r="BV100" s="435">
        <f t="shared" si="283"/>
        <v>299845.03458241653</v>
      </c>
      <c r="BW100" s="435">
        <f t="shared" si="283"/>
        <v>301272.11949694494</v>
      </c>
      <c r="BX100" s="435">
        <f t="shared" si="283"/>
        <v>302703.96136118815</v>
      </c>
      <c r="BY100" s="435">
        <f t="shared" si="283"/>
        <v>303132.5046173525</v>
      </c>
      <c r="BZ100" s="435">
        <f t="shared" si="283"/>
        <v>304573.90800337819</v>
      </c>
      <c r="CA100" s="435">
        <f t="shared" si="283"/>
        <v>306020.11606735736</v>
      </c>
      <c r="CB100" s="435">
        <f t="shared" si="283"/>
        <v>307471.14482488309</v>
      </c>
      <c r="CC100" s="435">
        <f t="shared" si="283"/>
        <v>308927.01034493378</v>
      </c>
      <c r="CD100" s="435">
        <f t="shared" si="283"/>
        <v>310387.72875005146</v>
      </c>
      <c r="CE100" s="435">
        <f t="shared" si="283"/>
        <v>311853.31621651963</v>
      </c>
      <c r="CF100" s="435">
        <f t="shared" si="283"/>
        <v>313323.78897454252</v>
      </c>
      <c r="CG100" s="435">
        <f t="shared" si="283"/>
        <v>314799.16330842546</v>
      </c>
      <c r="CH100" s="435">
        <f t="shared" si="283"/>
        <v>316279.45555675478</v>
      </c>
      <c r="CI100" s="435">
        <f t="shared" si="283"/>
        <v>317764.68211257848</v>
      </c>
      <c r="CJ100" s="435">
        <f t="shared" si="283"/>
        <v>319254.85942358832</v>
      </c>
      <c r="CK100" s="435">
        <f t="shared" si="283"/>
        <v>319738.38490123919</v>
      </c>
      <c r="CL100" s="435">
        <f t="shared" si="283"/>
        <v>321238.51328518143</v>
      </c>
      <c r="CM100" s="435">
        <f t="shared" si="283"/>
        <v>322743.64209707</v>
      </c>
      <c r="CN100" s="435">
        <f t="shared" si="283"/>
        <v>324253.78800499835</v>
      </c>
      <c r="CO100" s="435">
        <f t="shared" si="283"/>
        <v>325768.96773261984</v>
      </c>
      <c r="CP100" s="435">
        <f t="shared" si="283"/>
        <v>327289.19805933331</v>
      </c>
      <c r="CQ100" s="435">
        <f t="shared" si="283"/>
        <v>328814.49582046911</v>
      </c>
      <c r="CR100" s="435">
        <f t="shared" si="283"/>
        <v>330344.87790747534</v>
      </c>
      <c r="CS100" s="435">
        <f t="shared" si="283"/>
        <v>331880.36126810504</v>
      </c>
      <c r="CT100" s="435">
        <f t="shared" si="283"/>
        <v>333420.96290660347</v>
      </c>
      <c r="CU100" s="435">
        <f t="shared" si="283"/>
        <v>334966.69988389686</v>
      </c>
      <c r="CV100" s="435">
        <f t="shared" si="283"/>
        <v>336517.58931778115</v>
      </c>
      <c r="CW100" s="435">
        <f t="shared" si="283"/>
        <v>337058.90907429077</v>
      </c>
      <c r="CX100" s="435">
        <f t="shared" si="283"/>
        <v>338620.15500317269</v>
      </c>
      <c r="CY100" s="435">
        <f t="shared" si="283"/>
        <v>340186.60508515063</v>
      </c>
      <c r="CZ100" s="435">
        <f t="shared" si="283"/>
        <v>341758.27666740213</v>
      </c>
      <c r="DA100" s="435">
        <f t="shared" si="283"/>
        <v>343335.18715492752</v>
      </c>
      <c r="DB100" s="435">
        <f t="shared" si="283"/>
        <v>344917.35401074472</v>
      </c>
      <c r="DC100" s="435">
        <f t="shared" si="283"/>
        <v>346504.79475608136</v>
      </c>
      <c r="DD100" s="435">
        <f t="shared" si="283"/>
        <v>348097.52697056899</v>
      </c>
      <c r="DE100" s="435">
        <f t="shared" si="283"/>
        <v>349695.56829243846</v>
      </c>
      <c r="DF100" s="435">
        <f t="shared" si="283"/>
        <v>351298.93641871418</v>
      </c>
      <c r="DG100" s="435">
        <f t="shared" si="283"/>
        <v>352907.6491054105</v>
      </c>
      <c r="DH100" s="435">
        <f t="shared" si="283"/>
        <v>354521.72416772938</v>
      </c>
      <c r="DI100" s="435">
        <f t="shared" si="283"/>
        <v>355123.77091424266</v>
      </c>
      <c r="DJ100" s="435">
        <f t="shared" si="283"/>
        <v>356748.62441114429</v>
      </c>
      <c r="DK100" s="435">
        <f t="shared" si="283"/>
        <v>358378.89408636896</v>
      </c>
      <c r="DL100" s="435">
        <f t="shared" si="283"/>
        <v>360014.59799384448</v>
      </c>
      <c r="DM100" s="435">
        <f t="shared" si="283"/>
        <v>361655.75424767809</v>
      </c>
      <c r="DN100" s="435">
        <f t="shared" si="283"/>
        <v>363302.38102235791</v>
      </c>
      <c r="DO100" s="435">
        <f t="shared" si="283"/>
        <v>364954.49655295326</v>
      </c>
      <c r="DP100" s="435">
        <f t="shared" si="283"/>
        <v>366612.11913531722</v>
      </c>
      <c r="DQ100" s="435">
        <f t="shared" si="283"/>
        <v>368275.26712628914</v>
      </c>
      <c r="DR100" s="435">
        <f t="shared" si="283"/>
        <v>369943.95894389768</v>
      </c>
      <c r="DS100" s="435">
        <f t="shared" si="283"/>
        <v>371618.21306756476</v>
      </c>
      <c r="DT100" s="435">
        <f t="shared" si="283"/>
        <v>373298.04803831084</v>
      </c>
      <c r="DU100" s="430" t="s">
        <v>557</v>
      </c>
    </row>
    <row r="101" spans="1:125" ht="19" outlineLevel="1">
      <c r="B101" s="455" t="s">
        <v>1088</v>
      </c>
      <c r="C101" s="1196"/>
      <c r="D101" s="1198" t="e">
        <f>SUM(E101:DT101)</f>
        <v>#DIV/0!</v>
      </c>
      <c r="E101" s="1197">
        <f t="shared" ref="E101:AJ101" si="284">E100/E106</f>
        <v>1.6090553144476258</v>
      </c>
      <c r="F101" s="1197">
        <f t="shared" si="284"/>
        <v>1.626186607898215</v>
      </c>
      <c r="G101" s="1197">
        <f t="shared" si="284"/>
        <v>1.6434321099718083</v>
      </c>
      <c r="H101" s="1197">
        <f t="shared" si="284"/>
        <v>1.6607925820592264</v>
      </c>
      <c r="I101" s="1197">
        <f t="shared" si="284"/>
        <v>1.6782687906272269</v>
      </c>
      <c r="J101" s="1197">
        <f t="shared" si="284"/>
        <v>1.6958615072523469</v>
      </c>
      <c r="K101" s="1197">
        <f t="shared" si="284"/>
        <v>1.7135715086549681</v>
      </c>
      <c r="L101" s="1197">
        <f t="shared" si="284"/>
        <v>1.7313995767336061</v>
      </c>
      <c r="M101" s="1197">
        <f t="shared" si="284"/>
        <v>1.7493464985994354</v>
      </c>
      <c r="N101" s="1197">
        <f t="shared" si="284"/>
        <v>1.7674130666110375</v>
      </c>
      <c r="O101" s="1197">
        <f t="shared" si="284"/>
        <v>1.7856000784093833</v>
      </c>
      <c r="P101" s="1197">
        <f t="shared" si="284"/>
        <v>1.8039083369530504</v>
      </c>
      <c r="Q101" s="1197">
        <f t="shared" si="284"/>
        <v>1.803503562437933</v>
      </c>
      <c r="R101" s="1197">
        <f t="shared" si="284"/>
        <v>1.8208899715572744</v>
      </c>
      <c r="S101" s="1197">
        <f t="shared" si="284"/>
        <v>1.8383850457336106</v>
      </c>
      <c r="T101" s="1197">
        <f t="shared" si="284"/>
        <v>1.855989464123549</v>
      </c>
      <c r="U101" s="1197">
        <f t="shared" si="284"/>
        <v>1.8737039101284245</v>
      </c>
      <c r="V101" s="1197">
        <f t="shared" si="284"/>
        <v>1.8915290714208319</v>
      </c>
      <c r="W101" s="1197">
        <f t="shared" si="284"/>
        <v>1.9094656399713155</v>
      </c>
      <c r="X101" s="1197">
        <f t="shared" si="284"/>
        <v>1.9275143120752392</v>
      </c>
      <c r="Y101" s="1197">
        <f t="shared" si="284"/>
        <v>1.9456757883798139</v>
      </c>
      <c r="Z101" s="1197">
        <f t="shared" si="284"/>
        <v>1.9639507739112907</v>
      </c>
      <c r="AA101" s="1197">
        <f t="shared" si="284"/>
        <v>1.9823399781023396</v>
      </c>
      <c r="AB101" s="1197">
        <f t="shared" si="284"/>
        <v>2.0008441148195835</v>
      </c>
      <c r="AC101" s="1197">
        <f t="shared" si="284"/>
        <v>1.9927569505012006</v>
      </c>
      <c r="AD101" s="1197">
        <f t="shared" si="284"/>
        <v>2.0027206057173603</v>
      </c>
      <c r="AE101" s="1197">
        <f t="shared" si="284"/>
        <v>2.0127174731175734</v>
      </c>
      <c r="AF101" s="1197">
        <f t="shared" si="284"/>
        <v>2.0227476634091199</v>
      </c>
      <c r="AG101" s="1197">
        <f t="shared" si="284"/>
        <v>2.0328112876683049</v>
      </c>
      <c r="AH101" s="1197">
        <f t="shared" si="284"/>
        <v>2.0429084573416891</v>
      </c>
      <c r="AI101" s="1197">
        <f t="shared" si="284"/>
        <v>2.0530392842473164</v>
      </c>
      <c r="AJ101" s="1197">
        <f t="shared" si="284"/>
        <v>2.0632038805759629</v>
      </c>
      <c r="AK101" s="1197">
        <f t="shared" ref="AK101:BP101" si="285">AK100/AK106</f>
        <v>2.0734023588923707</v>
      </c>
      <c r="AL101" s="1197">
        <f t="shared" si="285"/>
        <v>2.083634832136501</v>
      </c>
      <c r="AM101" s="1197">
        <f t="shared" si="285"/>
        <v>2.0939014136247773</v>
      </c>
      <c r="AN101" s="1197">
        <f t="shared" si="285"/>
        <v>2.1042022170513497</v>
      </c>
      <c r="AO101" s="1197">
        <f t="shared" si="285"/>
        <v>2.096178998332503</v>
      </c>
      <c r="AP101" s="1197">
        <f t="shared" si="285"/>
        <v>2.1065485882352908</v>
      </c>
      <c r="AQ101" s="1197">
        <f t="shared" si="285"/>
        <v>2.1169527434377517</v>
      </c>
      <c r="AR101" s="1197">
        <f t="shared" si="285"/>
        <v>2.1273915791575559</v>
      </c>
      <c r="AS101" s="1197">
        <f t="shared" si="285"/>
        <v>2.1378652109964262</v>
      </c>
      <c r="AT101" s="1197">
        <f t="shared" si="285"/>
        <v>2.1483737549414244</v>
      </c>
      <c r="AU101" s="1197">
        <f t="shared" si="285"/>
        <v>2.1589173273662414</v>
      </c>
      <c r="AV101" s="1197">
        <f t="shared" si="285"/>
        <v>2.1694960450324734</v>
      </c>
      <c r="AW101" s="1197">
        <f t="shared" si="285"/>
        <v>2.1801100250909271</v>
      </c>
      <c r="AX101" s="1197">
        <f t="shared" si="285"/>
        <v>2.1907593850829077</v>
      </c>
      <c r="AY101" s="1197">
        <f t="shared" si="285"/>
        <v>2.2014442429415295</v>
      </c>
      <c r="AZ101" s="1197">
        <f t="shared" si="285"/>
        <v>2.2121647169930121</v>
      </c>
      <c r="BA101" s="1197" t="e">
        <f t="shared" si="285"/>
        <v>#DIV/0!</v>
      </c>
      <c r="BB101" s="1197" t="e">
        <f t="shared" si="285"/>
        <v>#DIV/0!</v>
      </c>
      <c r="BC101" s="1197" t="e">
        <f t="shared" si="285"/>
        <v>#DIV/0!</v>
      </c>
      <c r="BD101" s="1197" t="e">
        <f t="shared" si="285"/>
        <v>#DIV/0!</v>
      </c>
      <c r="BE101" s="1197" t="e">
        <f t="shared" si="285"/>
        <v>#DIV/0!</v>
      </c>
      <c r="BF101" s="1197" t="e">
        <f t="shared" si="285"/>
        <v>#DIV/0!</v>
      </c>
      <c r="BG101" s="1197" t="e">
        <f t="shared" si="285"/>
        <v>#DIV/0!</v>
      </c>
      <c r="BH101" s="1197" t="e">
        <f t="shared" si="285"/>
        <v>#DIV/0!</v>
      </c>
      <c r="BI101" s="1197" t="e">
        <f t="shared" si="285"/>
        <v>#DIV/0!</v>
      </c>
      <c r="BJ101" s="1197" t="e">
        <f t="shared" si="285"/>
        <v>#DIV/0!</v>
      </c>
      <c r="BK101" s="1197" t="e">
        <f t="shared" si="285"/>
        <v>#DIV/0!</v>
      </c>
      <c r="BL101" s="1197" t="e">
        <f t="shared" si="285"/>
        <v>#DIV/0!</v>
      </c>
      <c r="BM101" s="1197" t="e">
        <f t="shared" si="285"/>
        <v>#DIV/0!</v>
      </c>
      <c r="BN101" s="1197" t="e">
        <f t="shared" si="285"/>
        <v>#DIV/0!</v>
      </c>
      <c r="BO101" s="1197" t="e">
        <f t="shared" si="285"/>
        <v>#DIV/0!</v>
      </c>
      <c r="BP101" s="1197" t="e">
        <f t="shared" si="285"/>
        <v>#DIV/0!</v>
      </c>
      <c r="BQ101" s="1197" t="e">
        <f t="shared" ref="BQ101:CV101" si="286">BQ100/BQ106</f>
        <v>#DIV/0!</v>
      </c>
      <c r="BR101" s="1197" t="e">
        <f t="shared" si="286"/>
        <v>#DIV/0!</v>
      </c>
      <c r="BS101" s="1197" t="e">
        <f t="shared" si="286"/>
        <v>#DIV/0!</v>
      </c>
      <c r="BT101" s="1197" t="e">
        <f t="shared" si="286"/>
        <v>#DIV/0!</v>
      </c>
      <c r="BU101" s="1197" t="e">
        <f t="shared" si="286"/>
        <v>#DIV/0!</v>
      </c>
      <c r="BV101" s="1197" t="e">
        <f t="shared" si="286"/>
        <v>#DIV/0!</v>
      </c>
      <c r="BW101" s="1197" t="e">
        <f t="shared" si="286"/>
        <v>#DIV/0!</v>
      </c>
      <c r="BX101" s="1197" t="e">
        <f t="shared" si="286"/>
        <v>#DIV/0!</v>
      </c>
      <c r="BY101" s="1197" t="e">
        <f t="shared" si="286"/>
        <v>#DIV/0!</v>
      </c>
      <c r="BZ101" s="1197" t="e">
        <f t="shared" si="286"/>
        <v>#DIV/0!</v>
      </c>
      <c r="CA101" s="1197" t="e">
        <f t="shared" si="286"/>
        <v>#DIV/0!</v>
      </c>
      <c r="CB101" s="1197" t="e">
        <f t="shared" si="286"/>
        <v>#DIV/0!</v>
      </c>
      <c r="CC101" s="1197" t="e">
        <f t="shared" si="286"/>
        <v>#DIV/0!</v>
      </c>
      <c r="CD101" s="1197" t="e">
        <f t="shared" si="286"/>
        <v>#DIV/0!</v>
      </c>
      <c r="CE101" s="1197" t="e">
        <f t="shared" si="286"/>
        <v>#DIV/0!</v>
      </c>
      <c r="CF101" s="1197" t="e">
        <f t="shared" si="286"/>
        <v>#DIV/0!</v>
      </c>
      <c r="CG101" s="1197" t="e">
        <f t="shared" si="286"/>
        <v>#DIV/0!</v>
      </c>
      <c r="CH101" s="1197" t="e">
        <f t="shared" si="286"/>
        <v>#DIV/0!</v>
      </c>
      <c r="CI101" s="1197" t="e">
        <f t="shared" si="286"/>
        <v>#DIV/0!</v>
      </c>
      <c r="CJ101" s="1197" t="e">
        <f t="shared" si="286"/>
        <v>#DIV/0!</v>
      </c>
      <c r="CK101" s="1197" t="e">
        <f t="shared" si="286"/>
        <v>#DIV/0!</v>
      </c>
      <c r="CL101" s="1197" t="e">
        <f t="shared" si="286"/>
        <v>#DIV/0!</v>
      </c>
      <c r="CM101" s="1197" t="e">
        <f t="shared" si="286"/>
        <v>#DIV/0!</v>
      </c>
      <c r="CN101" s="1197" t="e">
        <f t="shared" si="286"/>
        <v>#DIV/0!</v>
      </c>
      <c r="CO101" s="1197" t="e">
        <f t="shared" si="286"/>
        <v>#DIV/0!</v>
      </c>
      <c r="CP101" s="1197" t="e">
        <f t="shared" si="286"/>
        <v>#DIV/0!</v>
      </c>
      <c r="CQ101" s="1197" t="e">
        <f t="shared" si="286"/>
        <v>#DIV/0!</v>
      </c>
      <c r="CR101" s="1197" t="e">
        <f t="shared" si="286"/>
        <v>#DIV/0!</v>
      </c>
      <c r="CS101" s="1197" t="e">
        <f t="shared" si="286"/>
        <v>#DIV/0!</v>
      </c>
      <c r="CT101" s="1197" t="e">
        <f t="shared" si="286"/>
        <v>#DIV/0!</v>
      </c>
      <c r="CU101" s="1197" t="e">
        <f t="shared" si="286"/>
        <v>#DIV/0!</v>
      </c>
      <c r="CV101" s="1197" t="e">
        <f t="shared" si="286"/>
        <v>#DIV/0!</v>
      </c>
      <c r="CW101" s="1197" t="e">
        <f t="shared" ref="CW101:DT101" si="287">CW100/CW106</f>
        <v>#DIV/0!</v>
      </c>
      <c r="CX101" s="1197" t="e">
        <f t="shared" si="287"/>
        <v>#DIV/0!</v>
      </c>
      <c r="CY101" s="1197" t="e">
        <f t="shared" si="287"/>
        <v>#DIV/0!</v>
      </c>
      <c r="CZ101" s="1197" t="e">
        <f t="shared" si="287"/>
        <v>#DIV/0!</v>
      </c>
      <c r="DA101" s="1197" t="e">
        <f t="shared" si="287"/>
        <v>#DIV/0!</v>
      </c>
      <c r="DB101" s="1197" t="e">
        <f t="shared" si="287"/>
        <v>#DIV/0!</v>
      </c>
      <c r="DC101" s="1197" t="e">
        <f t="shared" si="287"/>
        <v>#DIV/0!</v>
      </c>
      <c r="DD101" s="1197" t="e">
        <f t="shared" si="287"/>
        <v>#DIV/0!</v>
      </c>
      <c r="DE101" s="1197" t="e">
        <f t="shared" si="287"/>
        <v>#DIV/0!</v>
      </c>
      <c r="DF101" s="1197" t="e">
        <f t="shared" si="287"/>
        <v>#DIV/0!</v>
      </c>
      <c r="DG101" s="1197" t="e">
        <f t="shared" si="287"/>
        <v>#DIV/0!</v>
      </c>
      <c r="DH101" s="1197" t="e">
        <f t="shared" si="287"/>
        <v>#DIV/0!</v>
      </c>
      <c r="DI101" s="1197" t="e">
        <f t="shared" si="287"/>
        <v>#DIV/0!</v>
      </c>
      <c r="DJ101" s="1197" t="e">
        <f t="shared" si="287"/>
        <v>#DIV/0!</v>
      </c>
      <c r="DK101" s="1197" t="e">
        <f t="shared" si="287"/>
        <v>#DIV/0!</v>
      </c>
      <c r="DL101" s="1197" t="e">
        <f t="shared" si="287"/>
        <v>#DIV/0!</v>
      </c>
      <c r="DM101" s="1197" t="e">
        <f t="shared" si="287"/>
        <v>#DIV/0!</v>
      </c>
      <c r="DN101" s="1197" t="e">
        <f t="shared" si="287"/>
        <v>#DIV/0!</v>
      </c>
      <c r="DO101" s="1197" t="e">
        <f t="shared" si="287"/>
        <v>#DIV/0!</v>
      </c>
      <c r="DP101" s="1197" t="e">
        <f t="shared" si="287"/>
        <v>#DIV/0!</v>
      </c>
      <c r="DQ101" s="1197" t="e">
        <f t="shared" si="287"/>
        <v>#DIV/0!</v>
      </c>
      <c r="DR101" s="1197" t="e">
        <f t="shared" si="287"/>
        <v>#DIV/0!</v>
      </c>
      <c r="DS101" s="1197" t="e">
        <f t="shared" si="287"/>
        <v>#DIV/0!</v>
      </c>
      <c r="DT101" s="1197" t="e">
        <f t="shared" si="287"/>
        <v>#DIV/0!</v>
      </c>
      <c r="DU101" s="430" t="s">
        <v>557</v>
      </c>
    </row>
    <row r="102" spans="1:125" ht="19">
      <c r="B102" s="448"/>
      <c r="D102" s="437"/>
      <c r="E102" s="449"/>
      <c r="F102" s="449"/>
      <c r="G102" s="449"/>
      <c r="H102" s="449"/>
      <c r="I102" s="449"/>
      <c r="J102" s="449"/>
      <c r="K102" s="449"/>
      <c r="L102" s="449"/>
      <c r="M102" s="449"/>
      <c r="N102" s="449"/>
      <c r="O102" s="449"/>
      <c r="P102" s="449"/>
      <c r="Q102" s="449"/>
      <c r="R102" s="449"/>
      <c r="S102" s="449"/>
      <c r="T102" s="449"/>
      <c r="U102" s="449"/>
      <c r="V102" s="449"/>
      <c r="W102" s="449"/>
      <c r="X102" s="449"/>
      <c r="Y102" s="449"/>
      <c r="Z102" s="449"/>
      <c r="AA102" s="449"/>
      <c r="AB102" s="449"/>
      <c r="AC102" s="449"/>
      <c r="AD102" s="449"/>
      <c r="AE102" s="449"/>
      <c r="AF102" s="449"/>
      <c r="AG102" s="449"/>
      <c r="AH102" s="449"/>
      <c r="AI102" s="449"/>
      <c r="AJ102" s="449"/>
      <c r="AK102" s="449"/>
      <c r="AL102" s="449"/>
      <c r="AM102" s="449"/>
      <c r="AN102" s="449"/>
      <c r="AO102" s="449"/>
      <c r="AP102" s="449"/>
      <c r="AQ102" s="449"/>
      <c r="AR102" s="449"/>
      <c r="AS102" s="449"/>
      <c r="AT102" s="449"/>
      <c r="AU102" s="449"/>
      <c r="AV102" s="449"/>
      <c r="AW102" s="449"/>
      <c r="AX102" s="449"/>
      <c r="AY102" s="449"/>
      <c r="AZ102" s="449"/>
      <c r="BA102" s="449"/>
      <c r="BB102" s="449"/>
      <c r="BC102" s="449"/>
      <c r="BD102" s="449"/>
      <c r="BE102" s="449"/>
      <c r="BF102" s="449"/>
      <c r="BG102" s="449"/>
      <c r="BH102" s="449"/>
      <c r="BI102" s="449"/>
      <c r="BJ102" s="449"/>
      <c r="BK102" s="449"/>
      <c r="BL102" s="449"/>
      <c r="BM102" s="449"/>
      <c r="BN102" s="449"/>
      <c r="BO102" s="449"/>
      <c r="BP102" s="449"/>
      <c r="BQ102" s="449"/>
      <c r="BR102" s="449"/>
      <c r="BS102" s="449"/>
      <c r="BT102" s="449"/>
      <c r="BU102" s="449"/>
      <c r="BV102" s="449"/>
      <c r="BW102" s="449"/>
      <c r="BX102" s="449"/>
      <c r="BY102" s="449"/>
      <c r="BZ102" s="449"/>
      <c r="CA102" s="449"/>
      <c r="CB102" s="449"/>
      <c r="CC102" s="449"/>
      <c r="CD102" s="449"/>
      <c r="CE102" s="449"/>
      <c r="CF102" s="449"/>
      <c r="CG102" s="449"/>
      <c r="CH102" s="449"/>
      <c r="CI102" s="449"/>
      <c r="CJ102" s="449"/>
      <c r="CK102" s="449"/>
      <c r="CL102" s="449"/>
      <c r="CM102" s="449"/>
      <c r="CN102" s="449"/>
      <c r="CO102" s="449"/>
      <c r="CP102" s="449"/>
      <c r="CQ102" s="449"/>
      <c r="CR102" s="449"/>
      <c r="CS102" s="449"/>
      <c r="CT102" s="449"/>
      <c r="CU102" s="449"/>
      <c r="CV102" s="449"/>
      <c r="CW102" s="449"/>
      <c r="CX102" s="449"/>
      <c r="CY102" s="449"/>
      <c r="CZ102" s="449"/>
      <c r="DA102" s="449"/>
      <c r="DB102" s="449"/>
      <c r="DC102" s="449"/>
      <c r="DD102" s="449"/>
      <c r="DE102" s="449"/>
      <c r="DF102" s="449"/>
      <c r="DG102" s="449"/>
      <c r="DH102" s="449"/>
      <c r="DI102" s="449"/>
      <c r="DJ102" s="449"/>
      <c r="DK102" s="449"/>
      <c r="DL102" s="449"/>
      <c r="DM102" s="449"/>
      <c r="DN102" s="449"/>
      <c r="DO102" s="449"/>
      <c r="DP102" s="449"/>
      <c r="DQ102" s="449"/>
      <c r="DR102" s="449"/>
      <c r="DS102" s="449"/>
      <c r="DT102" s="449"/>
      <c r="DU102" s="446"/>
    </row>
    <row r="103" spans="1:125" ht="19">
      <c r="B103" s="203" t="s">
        <v>1089</v>
      </c>
      <c r="D103" s="437"/>
      <c r="E103" s="445">
        <f>IF(E5='Inputs and Assumptions'!$C$35,'Inputs and Assumptions'!$D$35,0)</f>
        <v>0</v>
      </c>
      <c r="F103" s="445">
        <f>IF(F5='Inputs and Assumptions'!$C$35,'Inputs and Assumptions'!$D$35,0)</f>
        <v>0</v>
      </c>
      <c r="G103" s="445">
        <f>IF(G5='Inputs and Assumptions'!$C$35,'Inputs and Assumptions'!$D$35,0)</f>
        <v>0</v>
      </c>
      <c r="H103" s="445">
        <f>IF(H5='Inputs and Assumptions'!$C$35,'Inputs and Assumptions'!$D$35,0)</f>
        <v>0</v>
      </c>
      <c r="I103" s="445">
        <f>IF(I5='Inputs and Assumptions'!$C$35,'Inputs and Assumptions'!$D$35,0)</f>
        <v>0</v>
      </c>
      <c r="J103" s="445">
        <f>IF(J5='Inputs and Assumptions'!$C$35,'Inputs and Assumptions'!$D$35,0)</f>
        <v>0</v>
      </c>
      <c r="K103" s="445">
        <f>IF(K5='Inputs and Assumptions'!$C$35,'Inputs and Assumptions'!$D$35,0)</f>
        <v>0</v>
      </c>
      <c r="L103" s="445">
        <f>IF(L5='Inputs and Assumptions'!$C$35,'Inputs and Assumptions'!$D$35,0)</f>
        <v>0</v>
      </c>
      <c r="M103" s="445">
        <f>IF(M5='Inputs and Assumptions'!$C$35,'Inputs and Assumptions'!$D$35,0)</f>
        <v>0</v>
      </c>
      <c r="N103" s="445">
        <f>IF(N5='Inputs and Assumptions'!$C$35,'Inputs and Assumptions'!$D$35,0)</f>
        <v>0</v>
      </c>
      <c r="O103" s="445">
        <f>IF(O5='Inputs and Assumptions'!$C$35,'Inputs and Assumptions'!$D$35,0)</f>
        <v>0</v>
      </c>
      <c r="P103" s="445">
        <f>IF(P5='Inputs and Assumptions'!$C$35,'Inputs and Assumptions'!$D$35,0)</f>
        <v>0</v>
      </c>
      <c r="Q103" s="445">
        <f>IF(Q5='Inputs and Assumptions'!$C$35,'Inputs and Assumptions'!$D$35,0)</f>
        <v>0</v>
      </c>
      <c r="R103" s="445">
        <f>IF(R5='Inputs and Assumptions'!$C$35,'Inputs and Assumptions'!$D$35,0)</f>
        <v>0</v>
      </c>
      <c r="S103" s="445">
        <f>IF(S5='Inputs and Assumptions'!$C$35,'Inputs and Assumptions'!$D$35,0)</f>
        <v>0</v>
      </c>
      <c r="T103" s="445">
        <f>IF(T5='Inputs and Assumptions'!$C$35,'Inputs and Assumptions'!$D$35,0)</f>
        <v>0</v>
      </c>
      <c r="U103" s="445">
        <f>IF(U5='Inputs and Assumptions'!$C$35,'Inputs and Assumptions'!$D$35,0)</f>
        <v>0</v>
      </c>
      <c r="V103" s="445">
        <f>IF(V5='Inputs and Assumptions'!$C$35,'Inputs and Assumptions'!$D$35,0)</f>
        <v>0</v>
      </c>
      <c r="W103" s="445">
        <f>IF(W5='Inputs and Assumptions'!$C$35,'Inputs and Assumptions'!$D$35,0)</f>
        <v>0</v>
      </c>
      <c r="X103" s="445">
        <f>IF(X5='Inputs and Assumptions'!$C$35,'Inputs and Assumptions'!$D$35,0)</f>
        <v>0</v>
      </c>
      <c r="Y103" s="445">
        <f>IF(Y5='Inputs and Assumptions'!$C$35,'Inputs and Assumptions'!$D$35,0)</f>
        <v>0</v>
      </c>
      <c r="Z103" s="445">
        <f>IF(Z5='Inputs and Assumptions'!$C$35,'Inputs and Assumptions'!$D$35,0)</f>
        <v>0</v>
      </c>
      <c r="AA103" s="445">
        <f>IF(AA5='Inputs and Assumptions'!$C$35,'Inputs and Assumptions'!$D$35,0)</f>
        <v>0</v>
      </c>
      <c r="AB103" s="445">
        <f>IF(AB5='Inputs and Assumptions'!$C$35,'Inputs and Assumptions'!$D$35,0)</f>
        <v>0</v>
      </c>
      <c r="AC103" s="445">
        <f>IF(AC5='Inputs and Assumptions'!$C$35,'Inputs and Assumptions'!$D$35,0)</f>
        <v>0</v>
      </c>
      <c r="AD103" s="445">
        <f>IF(AD5='Inputs and Assumptions'!$C$35,'Inputs and Assumptions'!$D$35,0)</f>
        <v>0</v>
      </c>
      <c r="AE103" s="445">
        <f>IF(AE5='Inputs and Assumptions'!$C$35,'Inputs and Assumptions'!$D$35,0)</f>
        <v>0</v>
      </c>
      <c r="AF103" s="445">
        <f>IF(AF5='Inputs and Assumptions'!$C$35,'Inputs and Assumptions'!$D$35,0)</f>
        <v>0</v>
      </c>
      <c r="AG103" s="445">
        <f>IF(AG5='Inputs and Assumptions'!$C$35,'Inputs and Assumptions'!$D$35,0)</f>
        <v>0</v>
      </c>
      <c r="AH103" s="445">
        <f>IF(AH5='Inputs and Assumptions'!$C$35,'Inputs and Assumptions'!$D$35,0)</f>
        <v>0</v>
      </c>
      <c r="AI103" s="445">
        <f>IF(AI5='Inputs and Assumptions'!$C$35,'Inputs and Assumptions'!$D$35,0)</f>
        <v>0</v>
      </c>
      <c r="AJ103" s="445">
        <f>IF(AJ5='Inputs and Assumptions'!$C$35,'Inputs and Assumptions'!$D$35,0)</f>
        <v>0</v>
      </c>
      <c r="AK103" s="445">
        <f>IF(AK5='Inputs and Assumptions'!$C$35,'Inputs and Assumptions'!$D$35,0)</f>
        <v>0</v>
      </c>
      <c r="AL103" s="445">
        <f>IF(AL5='Inputs and Assumptions'!$C$35,'Inputs and Assumptions'!$D$35,0)</f>
        <v>0</v>
      </c>
      <c r="AM103" s="445">
        <f>IF(AM5='Inputs and Assumptions'!$C$35,'Inputs and Assumptions'!$D$35,0)</f>
        <v>0</v>
      </c>
      <c r="AN103" s="445">
        <f>IF(AN5='Inputs and Assumptions'!$C$35,'Inputs and Assumptions'!$D$35,0)</f>
        <v>0</v>
      </c>
      <c r="AO103" s="445">
        <f>IF(AO5='Inputs and Assumptions'!$C$35,'Inputs and Assumptions'!$D$35,0)</f>
        <v>0</v>
      </c>
      <c r="AP103" s="445">
        <f>IF(AP5='Inputs and Assumptions'!$C$35,'Inputs and Assumptions'!$D$35,0)</f>
        <v>0</v>
      </c>
      <c r="AQ103" s="445">
        <f>IF(AQ5='Inputs and Assumptions'!$C$35,'Inputs and Assumptions'!$D$35,0)</f>
        <v>0</v>
      </c>
      <c r="AR103" s="445">
        <f>IF(AR5='Inputs and Assumptions'!$C$35,'Inputs and Assumptions'!$D$35,0)</f>
        <v>0</v>
      </c>
      <c r="AS103" s="445">
        <f>IF(AS5='Inputs and Assumptions'!$C$35,'Inputs and Assumptions'!$D$35,0)</f>
        <v>0</v>
      </c>
      <c r="AT103" s="445">
        <f>IF(AT5='Inputs and Assumptions'!$C$35,'Inputs and Assumptions'!$D$35,0)</f>
        <v>0</v>
      </c>
      <c r="AU103" s="445">
        <f>IF(AU5='Inputs and Assumptions'!$C$35,'Inputs and Assumptions'!$D$35,0)</f>
        <v>0</v>
      </c>
      <c r="AV103" s="445">
        <f>IF(AV5='Inputs and Assumptions'!$C$35,'Inputs and Assumptions'!$D$35,0)</f>
        <v>0</v>
      </c>
      <c r="AW103" s="445">
        <f>IF(AW5='Inputs and Assumptions'!$C$35,'Inputs and Assumptions'!$D$35,0)</f>
        <v>0</v>
      </c>
      <c r="AX103" s="445">
        <f>IF(AX5='Inputs and Assumptions'!$C$35,'Inputs and Assumptions'!$D$35,0)</f>
        <v>0</v>
      </c>
      <c r="AY103" s="445">
        <f>IF(AY5='Inputs and Assumptions'!$C$35,'Inputs and Assumptions'!$D$35,0)</f>
        <v>0</v>
      </c>
      <c r="AZ103" s="445">
        <f>IF(AZ5='Inputs and Assumptions'!$C$35,'Inputs and Assumptions'!$D$35,0)</f>
        <v>0</v>
      </c>
      <c r="BA103" s="445">
        <f>IF(BA5='Inputs and Assumptions'!$C$35,'Inputs and Assumptions'!$D$35,0)</f>
        <v>0</v>
      </c>
      <c r="BB103" s="445">
        <f>IF(BB5='Inputs and Assumptions'!$C$35,'Inputs and Assumptions'!$D$35,0)</f>
        <v>0</v>
      </c>
      <c r="BC103" s="445">
        <f>IF(BC5='Inputs and Assumptions'!$C$35,'Inputs and Assumptions'!$D$35,0)</f>
        <v>0</v>
      </c>
      <c r="BD103" s="445">
        <f>IF(BD5='Inputs and Assumptions'!$C$35,'Inputs and Assumptions'!$D$35,0)</f>
        <v>0</v>
      </c>
      <c r="BE103" s="445">
        <f>IF(BE5='Inputs and Assumptions'!$C$35,'Inputs and Assumptions'!$D$35,0)</f>
        <v>0</v>
      </c>
      <c r="BF103" s="445">
        <f>IF(BF5='Inputs and Assumptions'!$C$35,'Inputs and Assumptions'!$D$35,0)</f>
        <v>0</v>
      </c>
      <c r="BG103" s="445">
        <f>IF(BG5='Inputs and Assumptions'!$C$35,'Inputs and Assumptions'!$D$35,0)</f>
        <v>0</v>
      </c>
      <c r="BH103" s="445">
        <f>IF(BH5='Inputs and Assumptions'!$C$35,'Inputs and Assumptions'!$D$35,0)</f>
        <v>0</v>
      </c>
      <c r="BI103" s="445">
        <f>IF(BI5='Inputs and Assumptions'!$C$35,'Inputs and Assumptions'!$D$35,0)</f>
        <v>0</v>
      </c>
      <c r="BJ103" s="445">
        <f>IF(BJ5='Inputs and Assumptions'!$C$35,'Inputs and Assumptions'!$D$35,0)</f>
        <v>0</v>
      </c>
      <c r="BK103" s="445">
        <f>IF(BK5='Inputs and Assumptions'!$C$35,'Inputs and Assumptions'!$D$35,0)</f>
        <v>0</v>
      </c>
      <c r="BL103" s="445">
        <f>IF(BL5='Inputs and Assumptions'!$C$35,'Inputs and Assumptions'!$D$35,0)</f>
        <v>0</v>
      </c>
      <c r="BM103" s="445">
        <f>IF(BM5='Inputs and Assumptions'!$C$35,'Inputs and Assumptions'!$D$35,0)</f>
        <v>0</v>
      </c>
      <c r="BN103" s="445">
        <f>IF(BN5='Inputs and Assumptions'!$C$35,'Inputs and Assumptions'!$D$35,0)</f>
        <v>0</v>
      </c>
      <c r="BO103" s="445">
        <f>IF(BO5='Inputs and Assumptions'!$C$35,'Inputs and Assumptions'!$D$35,0)</f>
        <v>0</v>
      </c>
      <c r="BP103" s="445">
        <f>IF(BP5='Inputs and Assumptions'!$C$35,'Inputs and Assumptions'!$D$35,0)</f>
        <v>0</v>
      </c>
      <c r="BQ103" s="445">
        <f>IF(BQ5='Inputs and Assumptions'!$C$35,'Inputs and Assumptions'!$D$35,0)</f>
        <v>0</v>
      </c>
      <c r="BR103" s="445">
        <f>IF(BR5='Inputs and Assumptions'!$C$35,'Inputs and Assumptions'!$D$35,0)</f>
        <v>0</v>
      </c>
      <c r="BS103" s="445">
        <f>IF(BS5='Inputs and Assumptions'!$C$35,'Inputs and Assumptions'!$D$35,0)</f>
        <v>0</v>
      </c>
      <c r="BT103" s="445">
        <f>IF(BT5='Inputs and Assumptions'!$C$35,'Inputs and Assumptions'!$D$35,0)</f>
        <v>0</v>
      </c>
      <c r="BU103" s="445">
        <f>IF(BU5='Inputs and Assumptions'!$C$35,'Inputs and Assumptions'!$D$35,0)</f>
        <v>0</v>
      </c>
      <c r="BV103" s="445">
        <f>IF(BV5='Inputs and Assumptions'!$C$35,'Inputs and Assumptions'!$D$35,0)</f>
        <v>0</v>
      </c>
      <c r="BW103" s="445">
        <f>IF(BW5='Inputs and Assumptions'!$C$35,'Inputs and Assumptions'!$D$35,0)</f>
        <v>0</v>
      </c>
      <c r="BX103" s="445">
        <f>IF(BX5='Inputs and Assumptions'!$C$35,'Inputs and Assumptions'!$D$35,0)</f>
        <v>0</v>
      </c>
      <c r="BY103" s="445">
        <f>IF(BY5='Inputs and Assumptions'!$C$35,'Inputs and Assumptions'!$D$35,0)</f>
        <v>0</v>
      </c>
      <c r="BZ103" s="445">
        <f>IF(BZ5='Inputs and Assumptions'!$C$35,'Inputs and Assumptions'!$D$35,0)</f>
        <v>0</v>
      </c>
      <c r="CA103" s="445">
        <f>IF(CA5='Inputs and Assumptions'!$C$35,'Inputs and Assumptions'!$D$35,0)</f>
        <v>0</v>
      </c>
      <c r="CB103" s="445">
        <f>IF(CB5='Inputs and Assumptions'!$C$35,'Inputs and Assumptions'!$D$35,0)</f>
        <v>0</v>
      </c>
      <c r="CC103" s="445">
        <f>IF(CC5='Inputs and Assumptions'!$C$35,'Inputs and Assumptions'!$D$35,0)</f>
        <v>0</v>
      </c>
      <c r="CD103" s="445">
        <f>IF(CD5='Inputs and Assumptions'!$C$35,'Inputs and Assumptions'!$D$35,0)</f>
        <v>0</v>
      </c>
      <c r="CE103" s="445">
        <f>IF(CE5='Inputs and Assumptions'!$C$35,'Inputs and Assumptions'!$D$35,0)</f>
        <v>0</v>
      </c>
      <c r="CF103" s="445">
        <f>IF(CF5='Inputs and Assumptions'!$C$35,'Inputs and Assumptions'!$D$35,0)</f>
        <v>0</v>
      </c>
      <c r="CG103" s="445">
        <f>IF(CG5='Inputs and Assumptions'!$C$35,'Inputs and Assumptions'!$D$35,0)</f>
        <v>0</v>
      </c>
      <c r="CH103" s="445">
        <f>IF(CH5='Inputs and Assumptions'!$C$35,'Inputs and Assumptions'!$D$35,0)</f>
        <v>0</v>
      </c>
      <c r="CI103" s="445">
        <f>IF(CI5='Inputs and Assumptions'!$C$35,'Inputs and Assumptions'!$D$35,0)</f>
        <v>0</v>
      </c>
      <c r="CJ103" s="445">
        <f>IF(CJ5='Inputs and Assumptions'!$C$35,'Inputs and Assumptions'!$D$35,0)</f>
        <v>0</v>
      </c>
      <c r="CK103" s="445">
        <f>IF(CK5='Inputs and Assumptions'!$C$35,'Inputs and Assumptions'!$D$35,0)</f>
        <v>0</v>
      </c>
      <c r="CL103" s="445">
        <f>IF(CL5='Inputs and Assumptions'!$C$35,'Inputs and Assumptions'!$D$35,0)</f>
        <v>0</v>
      </c>
      <c r="CM103" s="445">
        <f>IF(CM5='Inputs and Assumptions'!$C$35,'Inputs and Assumptions'!$D$35,0)</f>
        <v>0</v>
      </c>
      <c r="CN103" s="445">
        <f>IF(CN5='Inputs and Assumptions'!$C$35,'Inputs and Assumptions'!$D$35,0)</f>
        <v>0</v>
      </c>
      <c r="CO103" s="445">
        <f>IF(CO5='Inputs and Assumptions'!$C$35,'Inputs and Assumptions'!$D$35,0)</f>
        <v>0</v>
      </c>
      <c r="CP103" s="445">
        <f>IF(CP5='Inputs and Assumptions'!$C$35,'Inputs and Assumptions'!$D$35,0)</f>
        <v>0</v>
      </c>
      <c r="CQ103" s="445">
        <f>IF(CQ5='Inputs and Assumptions'!$C$35,'Inputs and Assumptions'!$D$35,0)</f>
        <v>0</v>
      </c>
      <c r="CR103" s="445">
        <f>IF(CR5='Inputs and Assumptions'!$C$35,'Inputs and Assumptions'!$D$35,0)</f>
        <v>0</v>
      </c>
      <c r="CS103" s="445">
        <f>IF(CS5='Inputs and Assumptions'!$C$35,'Inputs and Assumptions'!$D$35,0)</f>
        <v>0</v>
      </c>
      <c r="CT103" s="445">
        <f>IF(CT5='Inputs and Assumptions'!$C$35,'Inputs and Assumptions'!$D$35,0)</f>
        <v>0</v>
      </c>
      <c r="CU103" s="445">
        <f>IF(CU5='Inputs and Assumptions'!$C$35,'Inputs and Assumptions'!$D$35,0)</f>
        <v>0</v>
      </c>
      <c r="CV103" s="445">
        <f>IF(CV5='Inputs and Assumptions'!$C$35,'Inputs and Assumptions'!$D$35,0)</f>
        <v>0</v>
      </c>
      <c r="CW103" s="445">
        <f>IF(CW5='Inputs and Assumptions'!$C$35,'Inputs and Assumptions'!$D$35,0)</f>
        <v>0</v>
      </c>
      <c r="CX103" s="445">
        <f>IF(CX5='Inputs and Assumptions'!$C$35,'Inputs and Assumptions'!$D$35,0)</f>
        <v>0</v>
      </c>
      <c r="CY103" s="445">
        <f>IF(CY5='Inputs and Assumptions'!$C$35,'Inputs and Assumptions'!$D$35,0)</f>
        <v>0</v>
      </c>
      <c r="CZ103" s="445">
        <f>IF(CZ5='Inputs and Assumptions'!$C$35,'Inputs and Assumptions'!$D$35,0)</f>
        <v>0</v>
      </c>
      <c r="DA103" s="445">
        <f>IF(DA5='Inputs and Assumptions'!$C$35,'Inputs and Assumptions'!$D$35,0)</f>
        <v>0</v>
      </c>
      <c r="DB103" s="445">
        <f>IF(DB5='Inputs and Assumptions'!$C$35,'Inputs and Assumptions'!$D$35,0)</f>
        <v>0</v>
      </c>
      <c r="DC103" s="445">
        <f>IF(DC5='Inputs and Assumptions'!$C$35,'Inputs and Assumptions'!$D$35,0)</f>
        <v>0</v>
      </c>
      <c r="DD103" s="445">
        <f>IF(DD5='Inputs and Assumptions'!$C$35,'Inputs and Assumptions'!$D$35,0)</f>
        <v>0</v>
      </c>
      <c r="DE103" s="445">
        <f>IF(DE5='Inputs and Assumptions'!$C$35,'Inputs and Assumptions'!$D$35,0)</f>
        <v>0</v>
      </c>
      <c r="DF103" s="445">
        <f>IF(DF5='Inputs and Assumptions'!$C$35,'Inputs and Assumptions'!$D$35,0)</f>
        <v>0</v>
      </c>
      <c r="DG103" s="445">
        <f>IF(DG5='Inputs and Assumptions'!$C$35,'Inputs and Assumptions'!$D$35,0)</f>
        <v>0</v>
      </c>
      <c r="DH103" s="445">
        <f>IF(DH5='Inputs and Assumptions'!$C$35,'Inputs and Assumptions'!$D$35,0)</f>
        <v>0</v>
      </c>
      <c r="DI103" s="445">
        <f>IF(DI5='Inputs and Assumptions'!$C$35,'Inputs and Assumptions'!$D$35,0)</f>
        <v>0</v>
      </c>
      <c r="DJ103" s="445">
        <f>IF(DJ5='Inputs and Assumptions'!$C$35,'Inputs and Assumptions'!$D$35,0)</f>
        <v>0</v>
      </c>
      <c r="DK103" s="445">
        <f>IF(DK5='Inputs and Assumptions'!$C$35,'Inputs and Assumptions'!$D$35,0)</f>
        <v>0</v>
      </c>
      <c r="DL103" s="445">
        <f>IF(DL5='Inputs and Assumptions'!$C$35,'Inputs and Assumptions'!$D$35,0)</f>
        <v>0</v>
      </c>
      <c r="DM103" s="445">
        <f>IF(DM5='Inputs and Assumptions'!$C$35,'Inputs and Assumptions'!$D$35,0)</f>
        <v>0</v>
      </c>
      <c r="DN103" s="445">
        <f>IF(DN5='Inputs and Assumptions'!$C$35,'Inputs and Assumptions'!$D$35,0)</f>
        <v>0</v>
      </c>
      <c r="DO103" s="445">
        <f>IF(DO5='Inputs and Assumptions'!$C$35,'Inputs and Assumptions'!$D$35,0)</f>
        <v>0</v>
      </c>
      <c r="DP103" s="445">
        <f>IF(DP5='Inputs and Assumptions'!$C$35,'Inputs and Assumptions'!$D$35,0)</f>
        <v>0</v>
      </c>
      <c r="DQ103" s="445">
        <f>IF(DQ5='Inputs and Assumptions'!$C$35,'Inputs and Assumptions'!$D$35,0)</f>
        <v>0</v>
      </c>
      <c r="DR103" s="445">
        <f>IF(DR5='Inputs and Assumptions'!$C$35,'Inputs and Assumptions'!$D$35,0)</f>
        <v>0</v>
      </c>
      <c r="DS103" s="445">
        <f>IF(DS5='Inputs and Assumptions'!$C$35,'Inputs and Assumptions'!$D$35,0)</f>
        <v>0</v>
      </c>
      <c r="DT103" s="445">
        <f>IF(DT5='Inputs and Assumptions'!$C$35,'Inputs and Assumptions'!$D$35,0)</f>
        <v>0</v>
      </c>
      <c r="DU103" s="446" t="s">
        <v>557</v>
      </c>
    </row>
    <row r="104" spans="1:125" ht="19">
      <c r="B104" s="203" t="s">
        <v>1090</v>
      </c>
      <c r="D104" s="437"/>
      <c r="E104" s="445">
        <f>IF('Inputs and Assumptions'!$L$5="NO",0,IF(AND('Monthly Cash Flow'!E5='Inputs and Assumptions'!$L$6,'Inputs and Assumptions'!$L$6&lt;='Inputs and Assumptions'!$P$6),'Inputs and Assumptions'!$L$21,0))</f>
        <v>0</v>
      </c>
      <c r="F104" s="445">
        <f>IF('Inputs and Assumptions'!$L$5="NO",0,IF(AND('Monthly Cash Flow'!F5='Inputs and Assumptions'!$L$6,'Inputs and Assumptions'!$L$6&lt;='Inputs and Assumptions'!$P$6),'Inputs and Assumptions'!$L$21,0))</f>
        <v>0</v>
      </c>
      <c r="G104" s="445">
        <f>IF('Inputs and Assumptions'!$L$5="NO",0,IF(AND('Monthly Cash Flow'!G5='Inputs and Assumptions'!$L$6,'Inputs and Assumptions'!$L$6&lt;='Inputs and Assumptions'!$P$6),'Inputs and Assumptions'!$L$21,0))</f>
        <v>0</v>
      </c>
      <c r="H104" s="445">
        <f>IF('Inputs and Assumptions'!$L$5="NO",0,IF(AND('Monthly Cash Flow'!H5='Inputs and Assumptions'!$L$6,'Inputs and Assumptions'!$L$6&lt;='Inputs and Assumptions'!$P$6),'Inputs and Assumptions'!$L$21,0))</f>
        <v>0</v>
      </c>
      <c r="I104" s="445">
        <f>IF('Inputs and Assumptions'!$L$5="NO",0,IF(AND('Monthly Cash Flow'!I5='Inputs and Assumptions'!$L$6,'Inputs and Assumptions'!$L$6&lt;='Inputs and Assumptions'!$P$6),'Inputs and Assumptions'!$L$21,0))</f>
        <v>0</v>
      </c>
      <c r="J104" s="445">
        <f>IF('Inputs and Assumptions'!$L$5="NO",0,IF(AND('Monthly Cash Flow'!J5='Inputs and Assumptions'!$L$6,'Inputs and Assumptions'!$L$6&lt;='Inputs and Assumptions'!$P$6),'Inputs and Assumptions'!$L$21,0))</f>
        <v>0</v>
      </c>
      <c r="K104" s="445">
        <f>IF('Inputs and Assumptions'!$L$5="NO",0,IF(AND('Monthly Cash Flow'!K5='Inputs and Assumptions'!$L$6,'Inputs and Assumptions'!$L$6&lt;='Inputs and Assumptions'!$P$6),'Inputs and Assumptions'!$L$21,0))</f>
        <v>0</v>
      </c>
      <c r="L104" s="445">
        <f>IF('Inputs and Assumptions'!$L$5="NO",0,IF(AND('Monthly Cash Flow'!L5='Inputs and Assumptions'!$L$6,'Inputs and Assumptions'!$L$6&lt;='Inputs and Assumptions'!$P$6),'Inputs and Assumptions'!$L$21,0))</f>
        <v>0</v>
      </c>
      <c r="M104" s="445">
        <f>IF('Inputs and Assumptions'!$L$5="NO",0,IF(AND('Monthly Cash Flow'!M5='Inputs and Assumptions'!$L$6,'Inputs and Assumptions'!$L$6&lt;='Inputs and Assumptions'!$P$6),'Inputs and Assumptions'!$L$21,0))</f>
        <v>0</v>
      </c>
      <c r="N104" s="445">
        <f>IF('Inputs and Assumptions'!$L$5="NO",0,IF(AND('Monthly Cash Flow'!N5='Inputs and Assumptions'!$L$6,'Inputs and Assumptions'!$L$6&lt;='Inputs and Assumptions'!$P$6),'Inputs and Assumptions'!$L$21,0))</f>
        <v>0</v>
      </c>
      <c r="O104" s="445">
        <f>IF('Inputs and Assumptions'!$L$5="NO",0,IF(AND('Monthly Cash Flow'!O5='Inputs and Assumptions'!$L$6,'Inputs and Assumptions'!$L$6&lt;='Inputs and Assumptions'!$P$6),'Inputs and Assumptions'!$L$21,0))</f>
        <v>0</v>
      </c>
      <c r="P104" s="445">
        <f>IF('Inputs and Assumptions'!$L$5="NO",0,IF(AND('Monthly Cash Flow'!P5='Inputs and Assumptions'!$L$6,'Inputs and Assumptions'!$L$6&lt;='Inputs and Assumptions'!$P$6),'Inputs and Assumptions'!$L$21,0))</f>
        <v>0</v>
      </c>
      <c r="Q104" s="445">
        <f>IF('Inputs and Assumptions'!$L$5="NO",0,IF(AND('Monthly Cash Flow'!Q5='Inputs and Assumptions'!$L$6,'Inputs and Assumptions'!$L$6&lt;='Inputs and Assumptions'!$P$6),'Inputs and Assumptions'!$L$21,0))</f>
        <v>0</v>
      </c>
      <c r="R104" s="445">
        <f>IF('Inputs and Assumptions'!$L$5="NO",0,IF(AND('Monthly Cash Flow'!R5='Inputs and Assumptions'!$L$6,'Inputs and Assumptions'!$L$6&lt;='Inputs and Assumptions'!$P$6),'Inputs and Assumptions'!$L$21,0))</f>
        <v>0</v>
      </c>
      <c r="S104" s="445">
        <f>IF('Inputs and Assumptions'!$L$5="NO",0,IF(AND('Monthly Cash Flow'!S5='Inputs and Assumptions'!$L$6,'Inputs and Assumptions'!$L$6&lt;='Inputs and Assumptions'!$P$6),'Inputs and Assumptions'!$L$21,0))</f>
        <v>0</v>
      </c>
      <c r="T104" s="445">
        <f>IF('Inputs and Assumptions'!$L$5="NO",0,IF(AND('Monthly Cash Flow'!T5='Inputs and Assumptions'!$L$6,'Inputs and Assumptions'!$L$6&lt;='Inputs and Assumptions'!$P$6),'Inputs and Assumptions'!$L$21,0))</f>
        <v>0</v>
      </c>
      <c r="U104" s="445">
        <f>IF('Inputs and Assumptions'!$L$5="NO",0,IF(AND('Monthly Cash Flow'!U5='Inputs and Assumptions'!$L$6,'Inputs and Assumptions'!$L$6&lt;='Inputs and Assumptions'!$P$6),'Inputs and Assumptions'!$L$21,0))</f>
        <v>0</v>
      </c>
      <c r="V104" s="445">
        <f>IF('Inputs and Assumptions'!$L$5="NO",0,IF(AND('Monthly Cash Flow'!V5='Inputs and Assumptions'!$L$6,'Inputs and Assumptions'!$L$6&lt;='Inputs and Assumptions'!$P$6),'Inputs and Assumptions'!$L$21,0))</f>
        <v>0</v>
      </c>
      <c r="W104" s="445">
        <f>IF('Inputs and Assumptions'!$L$5="NO",0,IF(AND('Monthly Cash Flow'!W5='Inputs and Assumptions'!$L$6,'Inputs and Assumptions'!$L$6&lt;='Inputs and Assumptions'!$P$6),'Inputs and Assumptions'!$L$21,0))</f>
        <v>0</v>
      </c>
      <c r="X104" s="445">
        <f>IF('Inputs and Assumptions'!$L$5="NO",0,IF(AND('Monthly Cash Flow'!X5='Inputs and Assumptions'!$L$6,'Inputs and Assumptions'!$L$6&lt;='Inputs and Assumptions'!$P$6),'Inputs and Assumptions'!$L$21,0))</f>
        <v>0</v>
      </c>
      <c r="Y104" s="445">
        <f>IF('Inputs and Assumptions'!$L$5="NO",0,IF(AND('Monthly Cash Flow'!Y5='Inputs and Assumptions'!$L$6,'Inputs and Assumptions'!$L$6&lt;='Inputs and Assumptions'!$P$6),'Inputs and Assumptions'!$L$21,0))</f>
        <v>0</v>
      </c>
      <c r="Z104" s="445">
        <f>IF('Inputs and Assumptions'!$L$5="NO",0,IF(AND('Monthly Cash Flow'!Z5='Inputs and Assumptions'!$L$6,'Inputs and Assumptions'!$L$6&lt;='Inputs and Assumptions'!$P$6),'Inputs and Assumptions'!$L$21,0))</f>
        <v>0</v>
      </c>
      <c r="AA104" s="445">
        <f>IF('Inputs and Assumptions'!$L$5="NO",0,IF(AND('Monthly Cash Flow'!AA5='Inputs and Assumptions'!$L$6,'Inputs and Assumptions'!$L$6&lt;='Inputs and Assumptions'!$P$6),'Inputs and Assumptions'!$L$21,0))</f>
        <v>0</v>
      </c>
      <c r="AB104" s="445">
        <f>IF('Inputs and Assumptions'!$L$5="NO",0,IF(AND('Monthly Cash Flow'!AB5='Inputs and Assumptions'!$L$6,'Inputs and Assumptions'!$L$6&lt;='Inputs and Assumptions'!$P$6),'Inputs and Assumptions'!$L$21,0))</f>
        <v>0</v>
      </c>
      <c r="AC104" s="445">
        <f>IF('Inputs and Assumptions'!$L$5="NO",0,IF(AND('Monthly Cash Flow'!AC5='Inputs and Assumptions'!$L$6,'Inputs and Assumptions'!$L$6&lt;='Inputs and Assumptions'!$P$6),'Inputs and Assumptions'!$L$21,0))</f>
        <v>0</v>
      </c>
      <c r="AD104" s="445">
        <f>IF('Inputs and Assumptions'!$L$5="NO",0,IF(AND('Monthly Cash Flow'!AD5='Inputs and Assumptions'!$L$6,'Inputs and Assumptions'!$L$6&lt;='Inputs and Assumptions'!$P$6),'Inputs and Assumptions'!$L$21,0))</f>
        <v>0</v>
      </c>
      <c r="AE104" s="445">
        <f>IF('Inputs and Assumptions'!$L$5="NO",0,IF(AND('Monthly Cash Flow'!AE5='Inputs and Assumptions'!$L$6,'Inputs and Assumptions'!$L$6&lt;='Inputs and Assumptions'!$P$6),'Inputs and Assumptions'!$L$21,0))</f>
        <v>0</v>
      </c>
      <c r="AF104" s="445">
        <f>IF('Inputs and Assumptions'!$L$5="NO",0,IF(AND('Monthly Cash Flow'!AF5='Inputs and Assumptions'!$L$6,'Inputs and Assumptions'!$L$6&lt;='Inputs and Assumptions'!$P$6),'Inputs and Assumptions'!$L$21,0))</f>
        <v>0</v>
      </c>
      <c r="AG104" s="445">
        <f>IF('Inputs and Assumptions'!$L$5="NO",0,IF(AND('Monthly Cash Flow'!AG5='Inputs and Assumptions'!$L$6,'Inputs and Assumptions'!$L$6&lt;='Inputs and Assumptions'!$P$6),'Inputs and Assumptions'!$L$21,0))</f>
        <v>0</v>
      </c>
      <c r="AH104" s="445">
        <f>IF('Inputs and Assumptions'!$L$5="NO",0,IF(AND('Monthly Cash Flow'!AH5='Inputs and Assumptions'!$L$6,'Inputs and Assumptions'!$L$6&lt;='Inputs and Assumptions'!$P$6),'Inputs and Assumptions'!$L$21,0))</f>
        <v>0</v>
      </c>
      <c r="AI104" s="445">
        <f>IF('Inputs and Assumptions'!$L$5="NO",0,IF(AND('Monthly Cash Flow'!AI5='Inputs and Assumptions'!$L$6,'Inputs and Assumptions'!$L$6&lt;='Inputs and Assumptions'!$P$6),'Inputs and Assumptions'!$L$21,0))</f>
        <v>0</v>
      </c>
      <c r="AJ104" s="445">
        <f>IF('Inputs and Assumptions'!$L$5="NO",0,IF(AND('Monthly Cash Flow'!AJ5='Inputs and Assumptions'!$L$6,'Inputs and Assumptions'!$L$6&lt;='Inputs and Assumptions'!$P$6),'Inputs and Assumptions'!$L$21,0))</f>
        <v>0</v>
      </c>
      <c r="AK104" s="445">
        <f>IF('Inputs and Assumptions'!$L$5="NO",0,IF(AND('Monthly Cash Flow'!AK5='Inputs and Assumptions'!$L$6,'Inputs and Assumptions'!$L$6&lt;='Inputs and Assumptions'!$P$6),'Inputs and Assumptions'!$L$21,0))</f>
        <v>0</v>
      </c>
      <c r="AL104" s="445">
        <f>IF('Inputs and Assumptions'!$L$5="NO",0,IF(AND('Monthly Cash Flow'!AL5='Inputs and Assumptions'!$L$6,'Inputs and Assumptions'!$L$6&lt;='Inputs and Assumptions'!$P$6),'Inputs and Assumptions'!$L$21,0))</f>
        <v>0</v>
      </c>
      <c r="AM104" s="445">
        <f>IF('Inputs and Assumptions'!$L$5="NO",0,IF(AND('Monthly Cash Flow'!AM5='Inputs and Assumptions'!$L$6,'Inputs and Assumptions'!$L$6&lt;='Inputs and Assumptions'!$P$6),'Inputs and Assumptions'!$L$21,0))</f>
        <v>0</v>
      </c>
      <c r="AN104" s="445">
        <f>IF('Inputs and Assumptions'!$L$5="NO",0,IF(AND('Monthly Cash Flow'!AN5='Inputs and Assumptions'!$L$6,'Inputs and Assumptions'!$L$6&lt;='Inputs and Assumptions'!$P$6),'Inputs and Assumptions'!$L$21,0))</f>
        <v>0</v>
      </c>
      <c r="AO104" s="445">
        <f>IF('Inputs and Assumptions'!$L$5="NO",0,IF(AND('Monthly Cash Flow'!AO5='Inputs and Assumptions'!$L$6,'Inputs and Assumptions'!$L$6&lt;='Inputs and Assumptions'!$P$6),'Inputs and Assumptions'!$L$21,0))</f>
        <v>0</v>
      </c>
      <c r="AP104" s="445">
        <f>IF('Inputs and Assumptions'!$L$5="NO",0,IF(AND('Monthly Cash Flow'!AP5='Inputs and Assumptions'!$L$6,'Inputs and Assumptions'!$L$6&lt;='Inputs and Assumptions'!$P$6),'Inputs and Assumptions'!$L$21,0))</f>
        <v>0</v>
      </c>
      <c r="AQ104" s="445">
        <f>IF('Inputs and Assumptions'!$L$5="NO",0,IF(AND('Monthly Cash Flow'!AQ5='Inputs and Assumptions'!$L$6,'Inputs and Assumptions'!$L$6&lt;='Inputs and Assumptions'!$P$6),'Inputs and Assumptions'!$L$21,0))</f>
        <v>0</v>
      </c>
      <c r="AR104" s="445">
        <f>IF('Inputs and Assumptions'!$L$5="NO",0,IF(AND('Monthly Cash Flow'!AR5='Inputs and Assumptions'!$L$6,'Inputs and Assumptions'!$L$6&lt;='Inputs and Assumptions'!$P$6),'Inputs and Assumptions'!$L$21,0))</f>
        <v>0</v>
      </c>
      <c r="AS104" s="445">
        <f>IF('Inputs and Assumptions'!$L$5="NO",0,IF(AND('Monthly Cash Flow'!AS5='Inputs and Assumptions'!$L$6,'Inputs and Assumptions'!$L$6&lt;='Inputs and Assumptions'!$P$6),'Inputs and Assumptions'!$L$21,0))</f>
        <v>0</v>
      </c>
      <c r="AT104" s="445">
        <f>IF('Inputs and Assumptions'!$L$5="NO",0,IF(AND('Monthly Cash Flow'!AT5='Inputs and Assumptions'!$L$6,'Inputs and Assumptions'!$L$6&lt;='Inputs and Assumptions'!$P$6),'Inputs and Assumptions'!$L$21,0))</f>
        <v>0</v>
      </c>
      <c r="AU104" s="445">
        <f>IF('Inputs and Assumptions'!$L$5="NO",0,IF(AND('Monthly Cash Flow'!AU5='Inputs and Assumptions'!$L$6,'Inputs and Assumptions'!$L$6&lt;='Inputs and Assumptions'!$P$6),'Inputs and Assumptions'!$L$21,0))</f>
        <v>0</v>
      </c>
      <c r="AV104" s="445">
        <f>IF('Inputs and Assumptions'!$L$5="NO",0,IF(AND('Monthly Cash Flow'!AV5='Inputs and Assumptions'!$L$6,'Inputs and Assumptions'!$L$6&lt;='Inputs and Assumptions'!$P$6),'Inputs and Assumptions'!$L$21,0))</f>
        <v>0</v>
      </c>
      <c r="AW104" s="445">
        <f>IF('Inputs and Assumptions'!$L$5="NO",0,IF(AND('Monthly Cash Flow'!AW5='Inputs and Assumptions'!$L$6,'Inputs and Assumptions'!$L$6&lt;='Inputs and Assumptions'!$P$6),'Inputs and Assumptions'!$L$21,0))</f>
        <v>0</v>
      </c>
      <c r="AX104" s="445">
        <f>IF('Inputs and Assumptions'!$L$5="NO",0,IF(AND('Monthly Cash Flow'!AX5='Inputs and Assumptions'!$L$6,'Inputs and Assumptions'!$L$6&lt;='Inputs and Assumptions'!$P$6),'Inputs and Assumptions'!$L$21,0))</f>
        <v>0</v>
      </c>
      <c r="AY104" s="445">
        <f>IF('Inputs and Assumptions'!$L$5="NO",0,IF(AND('Monthly Cash Flow'!AY5='Inputs and Assumptions'!$L$6,'Inputs and Assumptions'!$L$6&lt;='Inputs and Assumptions'!$P$6),'Inputs and Assumptions'!$L$21,0))</f>
        <v>0</v>
      </c>
      <c r="AZ104" s="445">
        <f>IF('Inputs and Assumptions'!$L$5="NO",0,IF(AND('Monthly Cash Flow'!AZ5='Inputs and Assumptions'!$L$6,'Inputs and Assumptions'!$L$6&lt;='Inputs and Assumptions'!$P$6),'Inputs and Assumptions'!$L$21,0))</f>
        <v>0</v>
      </c>
      <c r="BA104" s="445">
        <f>IF('Inputs and Assumptions'!$L$5="NO",0,IF(AND('Monthly Cash Flow'!BA5='Inputs and Assumptions'!$L$6,'Inputs and Assumptions'!$L$6&lt;='Inputs and Assumptions'!$P$6),'Inputs and Assumptions'!$L$21,0))</f>
        <v>0</v>
      </c>
      <c r="BB104" s="445">
        <f>IF('Inputs and Assumptions'!$L$5="NO",0,IF(AND('Monthly Cash Flow'!BB5='Inputs and Assumptions'!$L$6,'Inputs and Assumptions'!$L$6&lt;='Inputs and Assumptions'!$P$6),'Inputs and Assumptions'!$L$21,0))</f>
        <v>0</v>
      </c>
      <c r="BC104" s="445">
        <f>IF('Inputs and Assumptions'!$L$5="NO",0,IF(AND('Monthly Cash Flow'!BC5='Inputs and Assumptions'!$L$6,'Inputs and Assumptions'!$L$6&lt;='Inputs and Assumptions'!$P$6),'Inputs and Assumptions'!$L$21,0))</f>
        <v>0</v>
      </c>
      <c r="BD104" s="445">
        <f>IF('Inputs and Assumptions'!$L$5="NO",0,IF(AND('Monthly Cash Flow'!BD5='Inputs and Assumptions'!$L$6,'Inputs and Assumptions'!$L$6&lt;='Inputs and Assumptions'!$P$6),'Inputs and Assumptions'!$L$21,0))</f>
        <v>0</v>
      </c>
      <c r="BE104" s="445">
        <f>IF('Inputs and Assumptions'!$L$5="NO",0,IF(AND('Monthly Cash Flow'!BE5='Inputs and Assumptions'!$L$6,'Inputs and Assumptions'!$L$6&lt;='Inputs and Assumptions'!$P$6),'Inputs and Assumptions'!$L$21,0))</f>
        <v>0</v>
      </c>
      <c r="BF104" s="445">
        <f>IF('Inputs and Assumptions'!$L$5="NO",0,IF(AND('Monthly Cash Flow'!BF5='Inputs and Assumptions'!$L$6,'Inputs and Assumptions'!$L$6&lt;='Inputs and Assumptions'!$P$6),'Inputs and Assumptions'!$L$21,0))</f>
        <v>0</v>
      </c>
      <c r="BG104" s="445">
        <f>IF('Inputs and Assumptions'!$L$5="NO",0,IF(AND('Monthly Cash Flow'!BG5='Inputs and Assumptions'!$L$6,'Inputs and Assumptions'!$L$6&lt;='Inputs and Assumptions'!$P$6),'Inputs and Assumptions'!$L$21,0))</f>
        <v>0</v>
      </c>
      <c r="BH104" s="445">
        <f>IF('Inputs and Assumptions'!$L$5="NO",0,IF(AND('Monthly Cash Flow'!BH5='Inputs and Assumptions'!$L$6,'Inputs and Assumptions'!$L$6&lt;='Inputs and Assumptions'!$P$6),'Inputs and Assumptions'!$L$21,0))</f>
        <v>0</v>
      </c>
      <c r="BI104" s="445">
        <f>IF('Inputs and Assumptions'!$L$5="NO",0,IF(AND('Monthly Cash Flow'!BI5='Inputs and Assumptions'!$L$6,'Inputs and Assumptions'!$L$6&lt;='Inputs and Assumptions'!$P$6),'Inputs and Assumptions'!$L$21,0))</f>
        <v>0</v>
      </c>
      <c r="BJ104" s="445">
        <f>IF('Inputs and Assumptions'!$L$5="NO",0,IF(AND('Monthly Cash Flow'!BJ5='Inputs and Assumptions'!$L$6,'Inputs and Assumptions'!$L$6&lt;='Inputs and Assumptions'!$P$6),'Inputs and Assumptions'!$L$21,0))</f>
        <v>0</v>
      </c>
      <c r="BK104" s="445">
        <f>IF('Inputs and Assumptions'!$L$5="NO",0,IF(AND('Monthly Cash Flow'!BK5='Inputs and Assumptions'!$L$6,'Inputs and Assumptions'!$L$6&lt;='Inputs and Assumptions'!$P$6),'Inputs and Assumptions'!$L$21,0))</f>
        <v>0</v>
      </c>
      <c r="BL104" s="445">
        <f>IF('Inputs and Assumptions'!$L$5="NO",0,IF(AND('Monthly Cash Flow'!BL5='Inputs and Assumptions'!$L$6,'Inputs and Assumptions'!$L$6&lt;='Inputs and Assumptions'!$P$6),'Inputs and Assumptions'!$L$21,0))</f>
        <v>0</v>
      </c>
      <c r="BM104" s="445">
        <f>IF('Inputs and Assumptions'!$L$5="NO",0,IF(AND('Monthly Cash Flow'!BM5='Inputs and Assumptions'!$L$6,'Inputs and Assumptions'!$L$6&lt;='Inputs and Assumptions'!$P$6),'Inputs and Assumptions'!$L$21,0))</f>
        <v>0</v>
      </c>
      <c r="BN104" s="445">
        <f>IF('Inputs and Assumptions'!$L$5="NO",0,IF(AND('Monthly Cash Flow'!BN5='Inputs and Assumptions'!$L$6,'Inputs and Assumptions'!$L$6&lt;='Inputs and Assumptions'!$P$6),'Inputs and Assumptions'!$L$21,0))</f>
        <v>0</v>
      </c>
      <c r="BO104" s="445">
        <f>IF('Inputs and Assumptions'!$L$5="NO",0,IF(AND('Monthly Cash Flow'!BO5='Inputs and Assumptions'!$L$6,'Inputs and Assumptions'!$L$6&lt;='Inputs and Assumptions'!$P$6),'Inputs and Assumptions'!$L$21,0))</f>
        <v>0</v>
      </c>
      <c r="BP104" s="445">
        <f>IF('Inputs and Assumptions'!$L$5="NO",0,IF(AND('Monthly Cash Flow'!BP5='Inputs and Assumptions'!$L$6,'Inputs and Assumptions'!$L$6&lt;='Inputs and Assumptions'!$P$6),'Inputs and Assumptions'!$L$21,0))</f>
        <v>0</v>
      </c>
      <c r="BQ104" s="445">
        <f>IF('Inputs and Assumptions'!$L$5="NO",0,IF(AND('Monthly Cash Flow'!BQ5='Inputs and Assumptions'!$L$6,'Inputs and Assumptions'!$L$6&lt;='Inputs and Assumptions'!$P$6),'Inputs and Assumptions'!$L$21,0))</f>
        <v>0</v>
      </c>
      <c r="BR104" s="445">
        <f>IF('Inputs and Assumptions'!$L$5="NO",0,IF(AND('Monthly Cash Flow'!BR5='Inputs and Assumptions'!$L$6,'Inputs and Assumptions'!$L$6&lt;='Inputs and Assumptions'!$P$6),'Inputs and Assumptions'!$L$21,0))</f>
        <v>0</v>
      </c>
      <c r="BS104" s="445">
        <f>IF('Inputs and Assumptions'!$L$5="NO",0,IF(AND('Monthly Cash Flow'!BS5='Inputs and Assumptions'!$L$6,'Inputs and Assumptions'!$L$6&lt;='Inputs and Assumptions'!$P$6),'Inputs and Assumptions'!$L$21,0))</f>
        <v>0</v>
      </c>
      <c r="BT104" s="445">
        <f>IF('Inputs and Assumptions'!$L$5="NO",0,IF(AND('Monthly Cash Flow'!BT5='Inputs and Assumptions'!$L$6,'Inputs and Assumptions'!$L$6&lt;='Inputs and Assumptions'!$P$6),'Inputs and Assumptions'!$L$21,0))</f>
        <v>0</v>
      </c>
      <c r="BU104" s="445">
        <f>IF('Inputs and Assumptions'!$L$5="NO",0,IF(AND('Monthly Cash Flow'!BU5='Inputs and Assumptions'!$L$6,'Inputs and Assumptions'!$L$6&lt;='Inputs and Assumptions'!$P$6),'Inputs and Assumptions'!$L$21,0))</f>
        <v>0</v>
      </c>
      <c r="BV104" s="445">
        <f>IF('Inputs and Assumptions'!$L$5="NO",0,IF(AND('Monthly Cash Flow'!BV5='Inputs and Assumptions'!$L$6,'Inputs and Assumptions'!$L$6&lt;='Inputs and Assumptions'!$P$6),'Inputs and Assumptions'!$L$21,0))</f>
        <v>0</v>
      </c>
      <c r="BW104" s="445">
        <f>IF('Inputs and Assumptions'!$L$5="NO",0,IF(AND('Monthly Cash Flow'!BW5='Inputs and Assumptions'!$L$6,'Inputs and Assumptions'!$L$6&lt;='Inputs and Assumptions'!$P$6),'Inputs and Assumptions'!$L$21,0))</f>
        <v>0</v>
      </c>
      <c r="BX104" s="445">
        <f>IF('Inputs and Assumptions'!$L$5="NO",0,IF(AND('Monthly Cash Flow'!BX5='Inputs and Assumptions'!$L$6,'Inputs and Assumptions'!$L$6&lt;='Inputs and Assumptions'!$P$6),'Inputs and Assumptions'!$L$21,0))</f>
        <v>0</v>
      </c>
      <c r="BY104" s="445">
        <f>IF('Inputs and Assumptions'!$L$5="NO",0,IF(AND('Monthly Cash Flow'!BY5='Inputs and Assumptions'!$L$6,'Inputs and Assumptions'!$L$6&lt;='Inputs and Assumptions'!$P$6),'Inputs and Assumptions'!$L$21,0))</f>
        <v>0</v>
      </c>
      <c r="BZ104" s="445">
        <f>IF('Inputs and Assumptions'!$L$5="NO",0,IF(AND('Monthly Cash Flow'!BZ5='Inputs and Assumptions'!$L$6,'Inputs and Assumptions'!$L$6&lt;='Inputs and Assumptions'!$P$6),'Inputs and Assumptions'!$L$21,0))</f>
        <v>0</v>
      </c>
      <c r="CA104" s="445">
        <f>IF('Inputs and Assumptions'!$L$5="NO",0,IF(AND('Monthly Cash Flow'!CA5='Inputs and Assumptions'!$L$6,'Inputs and Assumptions'!$L$6&lt;='Inputs and Assumptions'!$P$6),'Inputs and Assumptions'!$L$21,0))</f>
        <v>0</v>
      </c>
      <c r="CB104" s="445">
        <f>IF('Inputs and Assumptions'!$L$5="NO",0,IF(AND('Monthly Cash Flow'!CB5='Inputs and Assumptions'!$L$6,'Inputs and Assumptions'!$L$6&lt;='Inputs and Assumptions'!$P$6),'Inputs and Assumptions'!$L$21,0))</f>
        <v>0</v>
      </c>
      <c r="CC104" s="445">
        <f>IF('Inputs and Assumptions'!$L$5="NO",0,IF(AND('Monthly Cash Flow'!CC5='Inputs and Assumptions'!$L$6,'Inputs and Assumptions'!$L$6&lt;='Inputs and Assumptions'!$P$6),'Inputs and Assumptions'!$L$21,0))</f>
        <v>0</v>
      </c>
      <c r="CD104" s="445">
        <f>IF('Inputs and Assumptions'!$L$5="NO",0,IF(AND('Monthly Cash Flow'!CD5='Inputs and Assumptions'!$L$6,'Inputs and Assumptions'!$L$6&lt;='Inputs and Assumptions'!$P$6),'Inputs and Assumptions'!$L$21,0))</f>
        <v>0</v>
      </c>
      <c r="CE104" s="445">
        <f>IF('Inputs and Assumptions'!$L$5="NO",0,IF(AND('Monthly Cash Flow'!CE5='Inputs and Assumptions'!$L$6,'Inputs and Assumptions'!$L$6&lt;='Inputs and Assumptions'!$P$6),'Inputs and Assumptions'!$L$21,0))</f>
        <v>0</v>
      </c>
      <c r="CF104" s="445">
        <f>IF('Inputs and Assumptions'!$L$5="NO",0,IF(AND('Monthly Cash Flow'!CF5='Inputs and Assumptions'!$L$6,'Inputs and Assumptions'!$L$6&lt;='Inputs and Assumptions'!$P$6),'Inputs and Assumptions'!$L$21,0))</f>
        <v>0</v>
      </c>
      <c r="CG104" s="445">
        <f>IF('Inputs and Assumptions'!$L$5="NO",0,IF(AND('Monthly Cash Flow'!CG5='Inputs and Assumptions'!$L$6,'Inputs and Assumptions'!$L$6&lt;='Inputs and Assumptions'!$P$6),'Inputs and Assumptions'!$L$21,0))</f>
        <v>0</v>
      </c>
      <c r="CH104" s="445">
        <f>IF('Inputs and Assumptions'!$L$5="NO",0,IF(AND('Monthly Cash Flow'!CH5='Inputs and Assumptions'!$L$6,'Inputs and Assumptions'!$L$6&lt;='Inputs and Assumptions'!$P$6),'Inputs and Assumptions'!$L$21,0))</f>
        <v>0</v>
      </c>
      <c r="CI104" s="445">
        <f>IF('Inputs and Assumptions'!$L$5="NO",0,IF(AND('Monthly Cash Flow'!CI5='Inputs and Assumptions'!$L$6,'Inputs and Assumptions'!$L$6&lt;='Inputs and Assumptions'!$P$6),'Inputs and Assumptions'!$L$21,0))</f>
        <v>0</v>
      </c>
      <c r="CJ104" s="445">
        <f>IF('Inputs and Assumptions'!$L$5="NO",0,IF(AND('Monthly Cash Flow'!CJ5='Inputs and Assumptions'!$L$6,'Inputs and Assumptions'!$L$6&lt;='Inputs and Assumptions'!$P$6),'Inputs and Assumptions'!$L$21,0))</f>
        <v>0</v>
      </c>
      <c r="CK104" s="445">
        <f>IF('Inputs and Assumptions'!$L$5="NO",0,IF(AND('Monthly Cash Flow'!CK5='Inputs and Assumptions'!$L$6,'Inputs and Assumptions'!$L$6&lt;='Inputs and Assumptions'!$P$6),'Inputs and Assumptions'!$L$21,0))</f>
        <v>0</v>
      </c>
      <c r="CL104" s="445">
        <f>IF('Inputs and Assumptions'!$L$5="NO",0,IF(AND('Monthly Cash Flow'!CL5='Inputs and Assumptions'!$L$6,'Inputs and Assumptions'!$L$6&lt;='Inputs and Assumptions'!$P$6),'Inputs and Assumptions'!$L$21,0))</f>
        <v>0</v>
      </c>
      <c r="CM104" s="445">
        <f>IF('Inputs and Assumptions'!$L$5="NO",0,IF(AND('Monthly Cash Flow'!CM5='Inputs and Assumptions'!$L$6,'Inputs and Assumptions'!$L$6&lt;='Inputs and Assumptions'!$P$6),'Inputs and Assumptions'!$L$21,0))</f>
        <v>0</v>
      </c>
      <c r="CN104" s="445">
        <f>IF('Inputs and Assumptions'!$L$5="NO",0,IF(AND('Monthly Cash Flow'!CN5='Inputs and Assumptions'!$L$6,'Inputs and Assumptions'!$L$6&lt;='Inputs and Assumptions'!$P$6),'Inputs and Assumptions'!$L$21,0))</f>
        <v>0</v>
      </c>
      <c r="CO104" s="445">
        <f>IF('Inputs and Assumptions'!$L$5="NO",0,IF(AND('Monthly Cash Flow'!CO5='Inputs and Assumptions'!$L$6,'Inputs and Assumptions'!$L$6&lt;='Inputs and Assumptions'!$P$6),'Inputs and Assumptions'!$L$21,0))</f>
        <v>0</v>
      </c>
      <c r="CP104" s="445">
        <f>IF('Inputs and Assumptions'!$L$5="NO",0,IF(AND('Monthly Cash Flow'!CP5='Inputs and Assumptions'!$L$6,'Inputs and Assumptions'!$L$6&lt;='Inputs and Assumptions'!$P$6),'Inputs and Assumptions'!$L$21,0))</f>
        <v>0</v>
      </c>
      <c r="CQ104" s="445">
        <f>IF('Inputs and Assumptions'!$L$5="NO",0,IF(AND('Monthly Cash Flow'!CQ5='Inputs and Assumptions'!$L$6,'Inputs and Assumptions'!$L$6&lt;='Inputs and Assumptions'!$P$6),'Inputs and Assumptions'!$L$21,0))</f>
        <v>0</v>
      </c>
      <c r="CR104" s="445">
        <f>IF('Inputs and Assumptions'!$L$5="NO",0,IF(AND('Monthly Cash Flow'!CR5='Inputs and Assumptions'!$L$6,'Inputs and Assumptions'!$L$6&lt;='Inputs and Assumptions'!$P$6),'Inputs and Assumptions'!$L$21,0))</f>
        <v>0</v>
      </c>
      <c r="CS104" s="445">
        <f>IF('Inputs and Assumptions'!$L$5="NO",0,IF(AND('Monthly Cash Flow'!CS5='Inputs and Assumptions'!$L$6,'Inputs and Assumptions'!$L$6&lt;='Inputs and Assumptions'!$P$6),'Inputs and Assumptions'!$L$21,0))</f>
        <v>0</v>
      </c>
      <c r="CT104" s="445">
        <f>IF('Inputs and Assumptions'!$L$5="NO",0,IF(AND('Monthly Cash Flow'!CT5='Inputs and Assumptions'!$L$6,'Inputs and Assumptions'!$L$6&lt;='Inputs and Assumptions'!$P$6),'Inputs and Assumptions'!$L$21,0))</f>
        <v>0</v>
      </c>
      <c r="CU104" s="445">
        <f>IF('Inputs and Assumptions'!$L$5="NO",0,IF(AND('Monthly Cash Flow'!CU5='Inputs and Assumptions'!$L$6,'Inputs and Assumptions'!$L$6&lt;='Inputs and Assumptions'!$P$6),'Inputs and Assumptions'!$L$21,0))</f>
        <v>0</v>
      </c>
      <c r="CV104" s="445">
        <f>IF('Inputs and Assumptions'!$L$5="NO",0,IF(AND('Monthly Cash Flow'!CV5='Inputs and Assumptions'!$L$6,'Inputs and Assumptions'!$L$6&lt;='Inputs and Assumptions'!$P$6),'Inputs and Assumptions'!$L$21,0))</f>
        <v>0</v>
      </c>
      <c r="CW104" s="445">
        <f>IF('Inputs and Assumptions'!$L$5="NO",0,IF(AND('Monthly Cash Flow'!CW5='Inputs and Assumptions'!$L$6,'Inputs and Assumptions'!$L$6&lt;='Inputs and Assumptions'!$P$6),'Inputs and Assumptions'!$L$21,0))</f>
        <v>0</v>
      </c>
      <c r="CX104" s="445">
        <f>IF('Inputs and Assumptions'!$L$5="NO",0,IF(AND('Monthly Cash Flow'!CX5='Inputs and Assumptions'!$L$6,'Inputs and Assumptions'!$L$6&lt;='Inputs and Assumptions'!$P$6),'Inputs and Assumptions'!$L$21,0))</f>
        <v>0</v>
      </c>
      <c r="CY104" s="445">
        <f>IF('Inputs and Assumptions'!$L$5="NO",0,IF(AND('Monthly Cash Flow'!CY5='Inputs and Assumptions'!$L$6,'Inputs and Assumptions'!$L$6&lt;='Inputs and Assumptions'!$P$6),'Inputs and Assumptions'!$L$21,0))</f>
        <v>0</v>
      </c>
      <c r="CZ104" s="445">
        <f>IF('Inputs and Assumptions'!$L$5="NO",0,IF(AND('Monthly Cash Flow'!CZ5='Inputs and Assumptions'!$L$6,'Inputs and Assumptions'!$L$6&lt;='Inputs and Assumptions'!$P$6),'Inputs and Assumptions'!$L$21,0))</f>
        <v>0</v>
      </c>
      <c r="DA104" s="445">
        <f>IF('Inputs and Assumptions'!$L$5="NO",0,IF(AND('Monthly Cash Flow'!DA5='Inputs and Assumptions'!$L$6,'Inputs and Assumptions'!$L$6&lt;='Inputs and Assumptions'!$P$6),'Inputs and Assumptions'!$L$21,0))</f>
        <v>0</v>
      </c>
      <c r="DB104" s="445">
        <f>IF('Inputs and Assumptions'!$L$5="NO",0,IF(AND('Monthly Cash Flow'!DB5='Inputs and Assumptions'!$L$6,'Inputs and Assumptions'!$L$6&lt;='Inputs and Assumptions'!$P$6),'Inputs and Assumptions'!$L$21,0))</f>
        <v>0</v>
      </c>
      <c r="DC104" s="445">
        <f>IF('Inputs and Assumptions'!$L$5="NO",0,IF(AND('Monthly Cash Flow'!DC5='Inputs and Assumptions'!$L$6,'Inputs and Assumptions'!$L$6&lt;='Inputs and Assumptions'!$P$6),'Inputs and Assumptions'!$L$21,0))</f>
        <v>0</v>
      </c>
      <c r="DD104" s="445">
        <f>IF('Inputs and Assumptions'!$L$5="NO",0,IF(AND('Monthly Cash Flow'!DD5='Inputs and Assumptions'!$L$6,'Inputs and Assumptions'!$L$6&lt;='Inputs and Assumptions'!$P$6),'Inputs and Assumptions'!$L$21,0))</f>
        <v>0</v>
      </c>
      <c r="DE104" s="445">
        <f>IF('Inputs and Assumptions'!$L$5="NO",0,IF(AND('Monthly Cash Flow'!DE5='Inputs and Assumptions'!$L$6,'Inputs and Assumptions'!$L$6&lt;='Inputs and Assumptions'!$P$6),'Inputs and Assumptions'!$L$21,0))</f>
        <v>0</v>
      </c>
      <c r="DF104" s="445">
        <f>IF('Inputs and Assumptions'!$L$5="NO",0,IF(AND('Monthly Cash Flow'!DF5='Inputs and Assumptions'!$L$6,'Inputs and Assumptions'!$L$6&lt;='Inputs and Assumptions'!$P$6),'Inputs and Assumptions'!$L$21,0))</f>
        <v>0</v>
      </c>
      <c r="DG104" s="445">
        <f>IF('Inputs and Assumptions'!$L$5="NO",0,IF(AND('Monthly Cash Flow'!DG5='Inputs and Assumptions'!$L$6,'Inputs and Assumptions'!$L$6&lt;='Inputs and Assumptions'!$P$6),'Inputs and Assumptions'!$L$21,0))</f>
        <v>0</v>
      </c>
      <c r="DH104" s="445">
        <f>IF('Inputs and Assumptions'!$L$5="NO",0,IF(AND('Monthly Cash Flow'!DH5='Inputs and Assumptions'!$L$6,'Inputs and Assumptions'!$L$6&lt;='Inputs and Assumptions'!$P$6),'Inputs and Assumptions'!$L$21,0))</f>
        <v>0</v>
      </c>
      <c r="DI104" s="445">
        <f>IF('Inputs and Assumptions'!$L$5="NO",0,IF(AND('Monthly Cash Flow'!DI5='Inputs and Assumptions'!$L$6,'Inputs and Assumptions'!$L$6&lt;='Inputs and Assumptions'!$P$6),'Inputs and Assumptions'!$L$21,0))</f>
        <v>0</v>
      </c>
      <c r="DJ104" s="445">
        <f>IF('Inputs and Assumptions'!$L$5="NO",0,IF(AND('Monthly Cash Flow'!DJ5='Inputs and Assumptions'!$L$6,'Inputs and Assumptions'!$L$6&lt;='Inputs and Assumptions'!$P$6),'Inputs and Assumptions'!$L$21,0))</f>
        <v>0</v>
      </c>
      <c r="DK104" s="445">
        <f>IF('Inputs and Assumptions'!$L$5="NO",0,IF(AND('Monthly Cash Flow'!DK5='Inputs and Assumptions'!$L$6,'Inputs and Assumptions'!$L$6&lt;='Inputs and Assumptions'!$P$6),'Inputs and Assumptions'!$L$21,0))</f>
        <v>0</v>
      </c>
      <c r="DL104" s="445">
        <f>IF('Inputs and Assumptions'!$L$5="NO",0,IF(AND('Monthly Cash Flow'!DL5='Inputs and Assumptions'!$L$6,'Inputs and Assumptions'!$L$6&lt;='Inputs and Assumptions'!$P$6),'Inputs and Assumptions'!$L$21,0))</f>
        <v>0</v>
      </c>
      <c r="DM104" s="445">
        <f>IF('Inputs and Assumptions'!$L$5="NO",0,IF(AND('Monthly Cash Flow'!DM5='Inputs and Assumptions'!$L$6,'Inputs and Assumptions'!$L$6&lt;='Inputs and Assumptions'!$P$6),'Inputs and Assumptions'!$L$21,0))</f>
        <v>0</v>
      </c>
      <c r="DN104" s="445">
        <f>IF('Inputs and Assumptions'!$L$5="NO",0,IF(AND('Monthly Cash Flow'!DN5='Inputs and Assumptions'!$L$6,'Inputs and Assumptions'!$L$6&lt;='Inputs and Assumptions'!$P$6),'Inputs and Assumptions'!$L$21,0))</f>
        <v>0</v>
      </c>
      <c r="DO104" s="445">
        <f>IF('Inputs and Assumptions'!$L$5="NO",0,IF(AND('Monthly Cash Flow'!DO5='Inputs and Assumptions'!$L$6,'Inputs and Assumptions'!$L$6&lt;='Inputs and Assumptions'!$P$6),'Inputs and Assumptions'!$L$21,0))</f>
        <v>0</v>
      </c>
      <c r="DP104" s="445">
        <f>IF('Inputs and Assumptions'!$L$5="NO",0,IF(AND('Monthly Cash Flow'!DP5='Inputs and Assumptions'!$L$6,'Inputs and Assumptions'!$L$6&lt;='Inputs and Assumptions'!$P$6),'Inputs and Assumptions'!$L$21,0))</f>
        <v>0</v>
      </c>
      <c r="DQ104" s="445">
        <f>IF('Inputs and Assumptions'!$L$5="NO",0,IF(AND('Monthly Cash Flow'!DQ5='Inputs and Assumptions'!$L$6,'Inputs and Assumptions'!$L$6&lt;='Inputs and Assumptions'!$P$6),'Inputs and Assumptions'!$L$21,0))</f>
        <v>0</v>
      </c>
      <c r="DR104" s="445">
        <f>IF('Inputs and Assumptions'!$L$5="NO",0,IF(AND('Monthly Cash Flow'!DR5='Inputs and Assumptions'!$L$6,'Inputs and Assumptions'!$L$6&lt;='Inputs and Assumptions'!$P$6),'Inputs and Assumptions'!$L$21,0))</f>
        <v>0</v>
      </c>
      <c r="DS104" s="445">
        <f>IF('Inputs and Assumptions'!$L$5="NO",0,IF(AND('Monthly Cash Flow'!DS5='Inputs and Assumptions'!$L$6,'Inputs and Assumptions'!$L$6&lt;='Inputs and Assumptions'!$P$6),'Inputs and Assumptions'!$L$21,0))</f>
        <v>0</v>
      </c>
      <c r="DT104" s="445">
        <f>IF('Inputs and Assumptions'!$L$5="NO",0,IF(AND('Monthly Cash Flow'!DT5='Inputs and Assumptions'!$L$6,'Inputs and Assumptions'!$L$6&lt;='Inputs and Assumptions'!$P$6),'Inputs and Assumptions'!$L$21,0))</f>
        <v>0</v>
      </c>
      <c r="DU104" s="447" t="s">
        <v>557</v>
      </c>
    </row>
    <row r="105" spans="1:125" ht="19">
      <c r="B105" s="203" t="s">
        <v>1091</v>
      </c>
      <c r="D105" s="437"/>
      <c r="E105" s="445">
        <f>IF('Inputs and Assumptions'!$H$37="NO",0,IF(AND('Monthly Cash Flow'!E5='Inputs and Assumptions'!$H$38,'Inputs and Assumptions'!$H$38&lt;='Inputs and Assumptions'!$P$6),'Inputs and Assumptions'!$H$39,0))</f>
        <v>0</v>
      </c>
      <c r="F105" s="445">
        <f>IF('Inputs and Assumptions'!$H$37="NO",0,IF(AND('Monthly Cash Flow'!F5='Inputs and Assumptions'!$H$38,'Inputs and Assumptions'!$H$38&lt;='Inputs and Assumptions'!$P$6),'Inputs and Assumptions'!$H$39,0))</f>
        <v>0</v>
      </c>
      <c r="G105" s="445">
        <f>IF('Inputs and Assumptions'!$H$37="NO",0,IF(AND('Monthly Cash Flow'!G5='Inputs and Assumptions'!$H$38,'Inputs and Assumptions'!$H$38&lt;='Inputs and Assumptions'!$P$6),'Inputs and Assumptions'!$H$39,0))</f>
        <v>0</v>
      </c>
      <c r="H105" s="445">
        <f>IF('Inputs and Assumptions'!$H$37="NO",0,IF(AND('Monthly Cash Flow'!H5='Inputs and Assumptions'!$H$38,'Inputs and Assumptions'!$H$38&lt;='Inputs and Assumptions'!$P$6),'Inputs and Assumptions'!$H$39,0))</f>
        <v>0</v>
      </c>
      <c r="I105" s="445">
        <f>IF('Inputs and Assumptions'!$H$37="NO",0,IF(AND('Monthly Cash Flow'!I5='Inputs and Assumptions'!$H$38,'Inputs and Assumptions'!$H$38&lt;='Inputs and Assumptions'!$P$6),'Inputs and Assumptions'!$H$39,0))</f>
        <v>0</v>
      </c>
      <c r="J105" s="445">
        <f>IF('Inputs and Assumptions'!$H$37="NO",0,IF(AND('Monthly Cash Flow'!J5='Inputs and Assumptions'!$H$38,'Inputs and Assumptions'!$H$38&lt;='Inputs and Assumptions'!$P$6),'Inputs and Assumptions'!$H$39,0))</f>
        <v>0</v>
      </c>
      <c r="K105" s="445">
        <f>IF('Inputs and Assumptions'!$H$37="NO",0,IF(AND('Monthly Cash Flow'!K5='Inputs and Assumptions'!$H$38,'Inputs and Assumptions'!$H$38&lt;='Inputs and Assumptions'!$P$6),'Inputs and Assumptions'!$H$39,0))</f>
        <v>0</v>
      </c>
      <c r="L105" s="445">
        <f>IF('Inputs and Assumptions'!$H$37="NO",0,IF(AND('Monthly Cash Flow'!L5='Inputs and Assumptions'!$H$38,'Inputs and Assumptions'!$H$38&lt;='Inputs and Assumptions'!$P$6),'Inputs and Assumptions'!$H$39,0))</f>
        <v>0</v>
      </c>
      <c r="M105" s="445">
        <f>IF('Inputs and Assumptions'!$H$37="NO",0,IF(AND('Monthly Cash Flow'!M5='Inputs and Assumptions'!$H$38,'Inputs and Assumptions'!$H$38&lt;='Inputs and Assumptions'!$P$6),'Inputs and Assumptions'!$H$39,0))</f>
        <v>0</v>
      </c>
      <c r="N105" s="445">
        <f>IF('Inputs and Assumptions'!$H$37="NO",0,IF(AND('Monthly Cash Flow'!N5='Inputs and Assumptions'!$H$38,'Inputs and Assumptions'!$H$38&lt;='Inputs and Assumptions'!$P$6),'Inputs and Assumptions'!$H$39,0))</f>
        <v>0</v>
      </c>
      <c r="O105" s="445">
        <f>IF('Inputs and Assumptions'!$H$37="NO",0,IF(AND('Monthly Cash Flow'!O5='Inputs and Assumptions'!$H$38,'Inputs and Assumptions'!$H$38&lt;='Inputs and Assumptions'!$P$6),'Inputs and Assumptions'!$H$39,0))</f>
        <v>0</v>
      </c>
      <c r="P105" s="445">
        <f>IF('Inputs and Assumptions'!$H$37="NO",0,IF(AND('Monthly Cash Flow'!P5='Inputs and Assumptions'!$H$38,'Inputs and Assumptions'!$H$38&lt;='Inputs and Assumptions'!$P$6),'Inputs and Assumptions'!$H$39,0))</f>
        <v>0</v>
      </c>
      <c r="Q105" s="445">
        <f>IF('Inputs and Assumptions'!$H$37="NO",0,IF(AND('Monthly Cash Flow'!Q5='Inputs and Assumptions'!$H$38,'Inputs and Assumptions'!$H$38&lt;='Inputs and Assumptions'!$P$6),'Inputs and Assumptions'!$H$39,0))</f>
        <v>0</v>
      </c>
      <c r="R105" s="445">
        <f>IF('Inputs and Assumptions'!$H$37="NO",0,IF(AND('Monthly Cash Flow'!R5='Inputs and Assumptions'!$H$38,'Inputs and Assumptions'!$H$38&lt;='Inputs and Assumptions'!$P$6),'Inputs and Assumptions'!$H$39,0))</f>
        <v>0</v>
      </c>
      <c r="S105" s="445">
        <f>IF('Inputs and Assumptions'!$H$37="NO",0,IF(AND('Monthly Cash Flow'!S5='Inputs and Assumptions'!$H$38,'Inputs and Assumptions'!$H$38&lt;='Inputs and Assumptions'!$P$6),'Inputs and Assumptions'!$H$39,0))</f>
        <v>0</v>
      </c>
      <c r="T105" s="445">
        <f>IF('Inputs and Assumptions'!$H$37="NO",0,IF(AND('Monthly Cash Flow'!T5='Inputs and Assumptions'!$H$38,'Inputs and Assumptions'!$H$38&lt;='Inputs and Assumptions'!$P$6),'Inputs and Assumptions'!$H$39,0))</f>
        <v>0</v>
      </c>
      <c r="U105" s="445">
        <f>IF('Inputs and Assumptions'!$H$37="NO",0,IF(AND('Monthly Cash Flow'!U5='Inputs and Assumptions'!$H$38,'Inputs and Assumptions'!$H$38&lt;='Inputs and Assumptions'!$P$6),'Inputs and Assumptions'!$H$39,0))</f>
        <v>0</v>
      </c>
      <c r="V105" s="445">
        <f>IF('Inputs and Assumptions'!$H$37="NO",0,IF(AND('Monthly Cash Flow'!V5='Inputs and Assumptions'!$H$38,'Inputs and Assumptions'!$H$38&lt;='Inputs and Assumptions'!$P$6),'Inputs and Assumptions'!$H$39,0))</f>
        <v>0</v>
      </c>
      <c r="W105" s="445">
        <f>IF('Inputs and Assumptions'!$H$37="NO",0,IF(AND('Monthly Cash Flow'!W5='Inputs and Assumptions'!$H$38,'Inputs and Assumptions'!$H$38&lt;='Inputs and Assumptions'!$P$6),'Inputs and Assumptions'!$H$39,0))</f>
        <v>0</v>
      </c>
      <c r="X105" s="445">
        <f>IF('Inputs and Assumptions'!$H$37="NO",0,IF(AND('Monthly Cash Flow'!X5='Inputs and Assumptions'!$H$38,'Inputs and Assumptions'!$H$38&lt;='Inputs and Assumptions'!$P$6),'Inputs and Assumptions'!$H$39,0))</f>
        <v>0</v>
      </c>
      <c r="Y105" s="445">
        <f>IF('Inputs and Assumptions'!$H$37="NO",0,IF(AND('Monthly Cash Flow'!Y5='Inputs and Assumptions'!$H$38,'Inputs and Assumptions'!$H$38&lt;='Inputs and Assumptions'!$P$6),'Inputs and Assumptions'!$H$39,0))</f>
        <v>0</v>
      </c>
      <c r="Z105" s="445">
        <f>IF('Inputs and Assumptions'!$H$37="NO",0,IF(AND('Monthly Cash Flow'!Z5='Inputs and Assumptions'!$H$38,'Inputs and Assumptions'!$H$38&lt;='Inputs and Assumptions'!$P$6),'Inputs and Assumptions'!$H$39,0))</f>
        <v>0</v>
      </c>
      <c r="AA105" s="445">
        <f>IF('Inputs and Assumptions'!$H$37="NO",0,IF(AND('Monthly Cash Flow'!AA5='Inputs and Assumptions'!$H$38,'Inputs and Assumptions'!$H$38&lt;='Inputs and Assumptions'!$P$6),'Inputs and Assumptions'!$H$39,0))</f>
        <v>0</v>
      </c>
      <c r="AB105" s="445">
        <f>IF('Inputs and Assumptions'!$H$37="NO",0,IF(AND('Monthly Cash Flow'!AB5='Inputs and Assumptions'!$H$38,'Inputs and Assumptions'!$H$38&lt;='Inputs and Assumptions'!$P$6),'Inputs and Assumptions'!$H$39,0))</f>
        <v>0</v>
      </c>
      <c r="AC105" s="445">
        <f>IF('Inputs and Assumptions'!$H$37="NO",0,IF(AND('Monthly Cash Flow'!AC5='Inputs and Assumptions'!$H$38,'Inputs and Assumptions'!$H$38&lt;='Inputs and Assumptions'!$P$6),'Inputs and Assumptions'!$H$39,0))</f>
        <v>0</v>
      </c>
      <c r="AD105" s="445">
        <f>IF('Inputs and Assumptions'!$H$37="NO",0,IF(AND('Monthly Cash Flow'!AD5='Inputs and Assumptions'!$H$38,'Inputs and Assumptions'!$H$38&lt;='Inputs and Assumptions'!$P$6),'Inputs and Assumptions'!$H$39,0))</f>
        <v>0</v>
      </c>
      <c r="AE105" s="445">
        <f>IF('Inputs and Assumptions'!$H$37="NO",0,IF(AND('Monthly Cash Flow'!AE5='Inputs and Assumptions'!$H$38,'Inputs and Assumptions'!$H$38&lt;='Inputs and Assumptions'!$P$6),'Inputs and Assumptions'!$H$39,0))</f>
        <v>0</v>
      </c>
      <c r="AF105" s="445">
        <f>IF('Inputs and Assumptions'!$H$37="NO",0,IF(AND('Monthly Cash Flow'!AF5='Inputs and Assumptions'!$H$38,'Inputs and Assumptions'!$H$38&lt;='Inputs and Assumptions'!$P$6),'Inputs and Assumptions'!$H$39,0))</f>
        <v>0</v>
      </c>
      <c r="AG105" s="445">
        <f>IF('Inputs and Assumptions'!$H$37="NO",0,IF(AND('Monthly Cash Flow'!AG5='Inputs and Assumptions'!$H$38,'Inputs and Assumptions'!$H$38&lt;='Inputs and Assumptions'!$P$6),'Inputs and Assumptions'!$H$39,0))</f>
        <v>0</v>
      </c>
      <c r="AH105" s="445">
        <f>IF('Inputs and Assumptions'!$H$37="NO",0,IF(AND('Monthly Cash Flow'!AH5='Inputs and Assumptions'!$H$38,'Inputs and Assumptions'!$H$38&lt;='Inputs and Assumptions'!$P$6),'Inputs and Assumptions'!$H$39,0))</f>
        <v>0</v>
      </c>
      <c r="AI105" s="445">
        <f>IF('Inputs and Assumptions'!$H$37="NO",0,IF(AND('Monthly Cash Flow'!AI5='Inputs and Assumptions'!$H$38,'Inputs and Assumptions'!$H$38&lt;='Inputs and Assumptions'!$P$6),'Inputs and Assumptions'!$H$39,0))</f>
        <v>0</v>
      </c>
      <c r="AJ105" s="445">
        <f>IF('Inputs and Assumptions'!$H$37="NO",0,IF(AND('Monthly Cash Flow'!AJ5='Inputs and Assumptions'!$H$38,'Inputs and Assumptions'!$H$38&lt;='Inputs and Assumptions'!$P$6),'Inputs and Assumptions'!$H$39,0))</f>
        <v>0</v>
      </c>
      <c r="AK105" s="445">
        <f>IF('Inputs and Assumptions'!$H$37="NO",0,IF(AND('Monthly Cash Flow'!AK5='Inputs and Assumptions'!$H$38,'Inputs and Assumptions'!$H$38&lt;='Inputs and Assumptions'!$P$6),'Inputs and Assumptions'!$H$39,0))</f>
        <v>0</v>
      </c>
      <c r="AL105" s="445">
        <f>IF('Inputs and Assumptions'!$H$37="NO",0,IF(AND('Monthly Cash Flow'!AL5='Inputs and Assumptions'!$H$38,'Inputs and Assumptions'!$H$38&lt;='Inputs and Assumptions'!$P$6),'Inputs and Assumptions'!$H$39,0))</f>
        <v>0</v>
      </c>
      <c r="AM105" s="445">
        <f>IF('Inputs and Assumptions'!$H$37="NO",0,IF(AND('Monthly Cash Flow'!AM5='Inputs and Assumptions'!$H$38,'Inputs and Assumptions'!$H$38&lt;='Inputs and Assumptions'!$P$6),'Inputs and Assumptions'!$H$39,0))</f>
        <v>0</v>
      </c>
      <c r="AN105" s="445">
        <f>IF('Inputs and Assumptions'!$H$37="NO",0,IF(AND('Monthly Cash Flow'!AN5='Inputs and Assumptions'!$H$38,'Inputs and Assumptions'!$H$38&lt;='Inputs and Assumptions'!$P$6),'Inputs and Assumptions'!$H$39,0))</f>
        <v>0</v>
      </c>
      <c r="AO105" s="445">
        <f>IF('Inputs and Assumptions'!$H$37="NO",0,IF(AND('Monthly Cash Flow'!AO5='Inputs and Assumptions'!$H$38,'Inputs and Assumptions'!$H$38&lt;='Inputs and Assumptions'!$P$6),'Inputs and Assumptions'!$H$39,0))</f>
        <v>0</v>
      </c>
      <c r="AP105" s="445">
        <f>IF('Inputs and Assumptions'!$H$37="NO",0,IF(AND('Monthly Cash Flow'!AP5='Inputs and Assumptions'!$H$38,'Inputs and Assumptions'!$H$38&lt;='Inputs and Assumptions'!$P$6),'Inputs and Assumptions'!$H$39,0))</f>
        <v>0</v>
      </c>
      <c r="AQ105" s="445">
        <f>IF('Inputs and Assumptions'!$H$37="NO",0,IF(AND('Monthly Cash Flow'!AQ5='Inputs and Assumptions'!$H$38,'Inputs and Assumptions'!$H$38&lt;='Inputs and Assumptions'!$P$6),'Inputs and Assumptions'!$H$39,0))</f>
        <v>0</v>
      </c>
      <c r="AR105" s="445">
        <f>IF('Inputs and Assumptions'!$H$37="NO",0,IF(AND('Monthly Cash Flow'!AR5='Inputs and Assumptions'!$H$38,'Inputs and Assumptions'!$H$38&lt;='Inputs and Assumptions'!$P$6),'Inputs and Assumptions'!$H$39,0))</f>
        <v>0</v>
      </c>
      <c r="AS105" s="445">
        <f>IF('Inputs and Assumptions'!$H$37="NO",0,IF(AND('Monthly Cash Flow'!AS5='Inputs and Assumptions'!$H$38,'Inputs and Assumptions'!$H$38&lt;='Inputs and Assumptions'!$P$6),'Inputs and Assumptions'!$H$39,0))</f>
        <v>0</v>
      </c>
      <c r="AT105" s="445">
        <f>IF('Inputs and Assumptions'!$H$37="NO",0,IF(AND('Monthly Cash Flow'!AT5='Inputs and Assumptions'!$H$38,'Inputs and Assumptions'!$H$38&lt;='Inputs and Assumptions'!$P$6),'Inputs and Assumptions'!$H$39,0))</f>
        <v>0</v>
      </c>
      <c r="AU105" s="445">
        <f>IF('Inputs and Assumptions'!$H$37="NO",0,IF(AND('Monthly Cash Flow'!AU5='Inputs and Assumptions'!$H$38,'Inputs and Assumptions'!$H$38&lt;='Inputs and Assumptions'!$P$6),'Inputs and Assumptions'!$H$39,0))</f>
        <v>0</v>
      </c>
      <c r="AV105" s="445">
        <f>IF('Inputs and Assumptions'!$H$37="NO",0,IF(AND('Monthly Cash Flow'!AV5='Inputs and Assumptions'!$H$38,'Inputs and Assumptions'!$H$38&lt;='Inputs and Assumptions'!$P$6),'Inputs and Assumptions'!$H$39,0))</f>
        <v>0</v>
      </c>
      <c r="AW105" s="445">
        <f>IF('Inputs and Assumptions'!$H$37="NO",0,IF(AND('Monthly Cash Flow'!AW5='Inputs and Assumptions'!$H$38,'Inputs and Assumptions'!$H$38&lt;='Inputs and Assumptions'!$P$6),'Inputs and Assumptions'!$H$39,0))</f>
        <v>0</v>
      </c>
      <c r="AX105" s="445">
        <f>IF('Inputs and Assumptions'!$H$37="NO",0,IF(AND('Monthly Cash Flow'!AX5='Inputs and Assumptions'!$H$38,'Inputs and Assumptions'!$H$38&lt;='Inputs and Assumptions'!$P$6),'Inputs and Assumptions'!$H$39,0))</f>
        <v>0</v>
      </c>
      <c r="AY105" s="445">
        <f>IF('Inputs and Assumptions'!$H$37="NO",0,IF(AND('Monthly Cash Flow'!AY5='Inputs and Assumptions'!$H$38,'Inputs and Assumptions'!$H$38&lt;='Inputs and Assumptions'!$P$6),'Inputs and Assumptions'!$H$39,0))</f>
        <v>0</v>
      </c>
      <c r="AZ105" s="445">
        <f>IF('Inputs and Assumptions'!$H$37="NO",0,IF(AND('Monthly Cash Flow'!AZ5='Inputs and Assumptions'!$H$38,'Inputs and Assumptions'!$H$38&lt;='Inputs and Assumptions'!$P$6),'Inputs and Assumptions'!$H$39,0))</f>
        <v>0</v>
      </c>
      <c r="BA105" s="445">
        <f>IF('Inputs and Assumptions'!$H$37="NO",0,IF(AND('Monthly Cash Flow'!BA5='Inputs and Assumptions'!$H$38,'Inputs and Assumptions'!$H$38&lt;='Inputs and Assumptions'!$P$6),'Inputs and Assumptions'!$H$39,0))</f>
        <v>0</v>
      </c>
      <c r="BB105" s="445">
        <f>IF('Inputs and Assumptions'!$H$37="NO",0,IF(AND('Monthly Cash Flow'!BB5='Inputs and Assumptions'!$H$38,'Inputs and Assumptions'!$H$38&lt;='Inputs and Assumptions'!$P$6),'Inputs and Assumptions'!$H$39,0))</f>
        <v>0</v>
      </c>
      <c r="BC105" s="445">
        <f>IF('Inputs and Assumptions'!$H$37="NO",0,IF(AND('Monthly Cash Flow'!BC5='Inputs and Assumptions'!$H$38,'Inputs and Assumptions'!$H$38&lt;='Inputs and Assumptions'!$P$6),'Inputs and Assumptions'!$H$39,0))</f>
        <v>0</v>
      </c>
      <c r="BD105" s="445">
        <f>IF('Inputs and Assumptions'!$H$37="NO",0,IF(AND('Monthly Cash Flow'!BD5='Inputs and Assumptions'!$H$38,'Inputs and Assumptions'!$H$38&lt;='Inputs and Assumptions'!$P$6),'Inputs and Assumptions'!$H$39,0))</f>
        <v>0</v>
      </c>
      <c r="BE105" s="445">
        <f>IF('Inputs and Assumptions'!$H$37="NO",0,IF(AND('Monthly Cash Flow'!BE5='Inputs and Assumptions'!$H$38,'Inputs and Assumptions'!$H$38&lt;='Inputs and Assumptions'!$P$6),'Inputs and Assumptions'!$H$39,0))</f>
        <v>0</v>
      </c>
      <c r="BF105" s="445">
        <f>IF('Inputs and Assumptions'!$H$37="NO",0,IF(AND('Monthly Cash Flow'!BF5='Inputs and Assumptions'!$H$38,'Inputs and Assumptions'!$H$38&lt;='Inputs and Assumptions'!$P$6),'Inputs and Assumptions'!$H$39,0))</f>
        <v>0</v>
      </c>
      <c r="BG105" s="445">
        <f>IF('Inputs and Assumptions'!$H$37="NO",0,IF(AND('Monthly Cash Flow'!BG5='Inputs and Assumptions'!$H$38,'Inputs and Assumptions'!$H$38&lt;='Inputs and Assumptions'!$P$6),'Inputs and Assumptions'!$H$39,0))</f>
        <v>0</v>
      </c>
      <c r="BH105" s="445">
        <f>IF('Inputs and Assumptions'!$H$37="NO",0,IF(AND('Monthly Cash Flow'!BH5='Inputs and Assumptions'!$H$38,'Inputs and Assumptions'!$H$38&lt;='Inputs and Assumptions'!$P$6),'Inputs and Assumptions'!$H$39,0))</f>
        <v>0</v>
      </c>
      <c r="BI105" s="445">
        <f>IF('Inputs and Assumptions'!$H$37="NO",0,IF(AND('Monthly Cash Flow'!BI5='Inputs and Assumptions'!$H$38,'Inputs and Assumptions'!$H$38&lt;='Inputs and Assumptions'!$P$6),'Inputs and Assumptions'!$H$39,0))</f>
        <v>0</v>
      </c>
      <c r="BJ105" s="445">
        <f>IF('Inputs and Assumptions'!$H$37="NO",0,IF(AND('Monthly Cash Flow'!BJ5='Inputs and Assumptions'!$H$38,'Inputs and Assumptions'!$H$38&lt;='Inputs and Assumptions'!$P$6),'Inputs and Assumptions'!$H$39,0))</f>
        <v>0</v>
      </c>
      <c r="BK105" s="445">
        <f>IF('Inputs and Assumptions'!$H$37="NO",0,IF(AND('Monthly Cash Flow'!BK5='Inputs and Assumptions'!$H$38,'Inputs and Assumptions'!$H$38&lt;='Inputs and Assumptions'!$P$6),'Inputs and Assumptions'!$H$39,0))</f>
        <v>0</v>
      </c>
      <c r="BL105" s="445">
        <f>IF('Inputs and Assumptions'!$H$37="NO",0,IF(AND('Monthly Cash Flow'!BL5='Inputs and Assumptions'!$H$38,'Inputs and Assumptions'!$H$38&lt;='Inputs and Assumptions'!$P$6),'Inputs and Assumptions'!$H$39,0))</f>
        <v>0</v>
      </c>
      <c r="BM105" s="445">
        <f>IF('Inputs and Assumptions'!$H$37="NO",0,IF(AND('Monthly Cash Flow'!BM5='Inputs and Assumptions'!$H$38,'Inputs and Assumptions'!$H$38&lt;='Inputs and Assumptions'!$P$6),'Inputs and Assumptions'!$H$39,0))</f>
        <v>0</v>
      </c>
      <c r="BN105" s="445">
        <f>IF('Inputs and Assumptions'!$H$37="NO",0,IF(AND('Monthly Cash Flow'!BN5='Inputs and Assumptions'!$H$38,'Inputs and Assumptions'!$H$38&lt;='Inputs and Assumptions'!$P$6),'Inputs and Assumptions'!$H$39,0))</f>
        <v>0</v>
      </c>
      <c r="BO105" s="445">
        <f>IF('Inputs and Assumptions'!$H$37="NO",0,IF(AND('Monthly Cash Flow'!BO5='Inputs and Assumptions'!$H$38,'Inputs and Assumptions'!$H$38&lt;='Inputs and Assumptions'!$P$6),'Inputs and Assumptions'!$H$39,0))</f>
        <v>0</v>
      </c>
      <c r="BP105" s="445">
        <f>IF('Inputs and Assumptions'!$H$37="NO",0,IF(AND('Monthly Cash Flow'!BP5='Inputs and Assumptions'!$H$38,'Inputs and Assumptions'!$H$38&lt;='Inputs and Assumptions'!$P$6),'Inputs and Assumptions'!$H$39,0))</f>
        <v>0</v>
      </c>
      <c r="BQ105" s="445">
        <f>IF('Inputs and Assumptions'!$H$37="NO",0,IF(AND('Monthly Cash Flow'!BQ5='Inputs and Assumptions'!$H$38,'Inputs and Assumptions'!$H$38&lt;='Inputs and Assumptions'!$P$6),'Inputs and Assumptions'!$H$39,0))</f>
        <v>0</v>
      </c>
      <c r="BR105" s="445">
        <f>IF('Inputs and Assumptions'!$H$37="NO",0,IF(AND('Monthly Cash Flow'!BR5='Inputs and Assumptions'!$H$38,'Inputs and Assumptions'!$H$38&lt;='Inputs and Assumptions'!$P$6),'Inputs and Assumptions'!$H$39,0))</f>
        <v>0</v>
      </c>
      <c r="BS105" s="445">
        <f>IF('Inputs and Assumptions'!$H$37="NO",0,IF(AND('Monthly Cash Flow'!BS5='Inputs and Assumptions'!$H$38,'Inputs and Assumptions'!$H$38&lt;='Inputs and Assumptions'!$P$6),'Inputs and Assumptions'!$H$39,0))</f>
        <v>0</v>
      </c>
      <c r="BT105" s="445">
        <f>IF('Inputs and Assumptions'!$H$37="NO",0,IF(AND('Monthly Cash Flow'!BT5='Inputs and Assumptions'!$H$38,'Inputs and Assumptions'!$H$38&lt;='Inputs and Assumptions'!$P$6),'Inputs and Assumptions'!$H$39,0))</f>
        <v>0</v>
      </c>
      <c r="BU105" s="445">
        <f>IF('Inputs and Assumptions'!$H$37="NO",0,IF(AND('Monthly Cash Flow'!BU5='Inputs and Assumptions'!$H$38,'Inputs and Assumptions'!$H$38&lt;='Inputs and Assumptions'!$P$6),'Inputs and Assumptions'!$H$39,0))</f>
        <v>0</v>
      </c>
      <c r="BV105" s="445">
        <f>IF('Inputs and Assumptions'!$H$37="NO",0,IF(AND('Monthly Cash Flow'!BV5='Inputs and Assumptions'!$H$38,'Inputs and Assumptions'!$H$38&lt;='Inputs and Assumptions'!$P$6),'Inputs and Assumptions'!$H$39,0))</f>
        <v>0</v>
      </c>
      <c r="BW105" s="445">
        <f>IF('Inputs and Assumptions'!$H$37="NO",0,IF(AND('Monthly Cash Flow'!BW5='Inputs and Assumptions'!$H$38,'Inputs and Assumptions'!$H$38&lt;='Inputs and Assumptions'!$P$6),'Inputs and Assumptions'!$H$39,0))</f>
        <v>0</v>
      </c>
      <c r="BX105" s="445">
        <f>IF('Inputs and Assumptions'!$H$37="NO",0,IF(AND('Monthly Cash Flow'!BX5='Inputs and Assumptions'!$H$38,'Inputs and Assumptions'!$H$38&lt;='Inputs and Assumptions'!$P$6),'Inputs and Assumptions'!$H$39,0))</f>
        <v>0</v>
      </c>
      <c r="BY105" s="445">
        <f>IF('Inputs and Assumptions'!$H$37="NO",0,IF(AND('Monthly Cash Flow'!BY5='Inputs and Assumptions'!$H$38,'Inputs and Assumptions'!$H$38&lt;='Inputs and Assumptions'!$P$6),'Inputs and Assumptions'!$H$39,0))</f>
        <v>0</v>
      </c>
      <c r="BZ105" s="445">
        <f>IF('Inputs and Assumptions'!$H$37="NO",0,IF(AND('Monthly Cash Flow'!BZ5='Inputs and Assumptions'!$H$38,'Inputs and Assumptions'!$H$38&lt;='Inputs and Assumptions'!$P$6),'Inputs and Assumptions'!$H$39,0))</f>
        <v>0</v>
      </c>
      <c r="CA105" s="445">
        <f>IF('Inputs and Assumptions'!$H$37="NO",0,IF(AND('Monthly Cash Flow'!CA5='Inputs and Assumptions'!$H$38,'Inputs and Assumptions'!$H$38&lt;='Inputs and Assumptions'!$P$6),'Inputs and Assumptions'!$H$39,0))</f>
        <v>0</v>
      </c>
      <c r="CB105" s="445">
        <f>IF('Inputs and Assumptions'!$H$37="NO",0,IF(AND('Monthly Cash Flow'!CB5='Inputs and Assumptions'!$H$38,'Inputs and Assumptions'!$H$38&lt;='Inputs and Assumptions'!$P$6),'Inputs and Assumptions'!$H$39,0))</f>
        <v>0</v>
      </c>
      <c r="CC105" s="445">
        <f>IF('Inputs and Assumptions'!$H$37="NO",0,IF(AND('Monthly Cash Flow'!CC5='Inputs and Assumptions'!$H$38,'Inputs and Assumptions'!$H$38&lt;='Inputs and Assumptions'!$P$6),'Inputs and Assumptions'!$H$39,0))</f>
        <v>0</v>
      </c>
      <c r="CD105" s="445">
        <f>IF('Inputs and Assumptions'!$H$37="NO",0,IF(AND('Monthly Cash Flow'!CD5='Inputs and Assumptions'!$H$38,'Inputs and Assumptions'!$H$38&lt;='Inputs and Assumptions'!$P$6),'Inputs and Assumptions'!$H$39,0))</f>
        <v>0</v>
      </c>
      <c r="CE105" s="445">
        <f>IF('Inputs and Assumptions'!$H$37="NO",0,IF(AND('Monthly Cash Flow'!CE5='Inputs and Assumptions'!$H$38,'Inputs and Assumptions'!$H$38&lt;='Inputs and Assumptions'!$P$6),'Inputs and Assumptions'!$H$39,0))</f>
        <v>0</v>
      </c>
      <c r="CF105" s="445">
        <f>IF('Inputs and Assumptions'!$H$37="NO",0,IF(AND('Monthly Cash Flow'!CF5='Inputs and Assumptions'!$H$38,'Inputs and Assumptions'!$H$38&lt;='Inputs and Assumptions'!$P$6),'Inputs and Assumptions'!$H$39,0))</f>
        <v>0</v>
      </c>
      <c r="CG105" s="445">
        <f>IF('Inputs and Assumptions'!$H$37="NO",0,IF(AND('Monthly Cash Flow'!CG5='Inputs and Assumptions'!$H$38,'Inputs and Assumptions'!$H$38&lt;='Inputs and Assumptions'!$P$6),'Inputs and Assumptions'!$H$39,0))</f>
        <v>0</v>
      </c>
      <c r="CH105" s="445">
        <f>IF('Inputs and Assumptions'!$H$37="NO",0,IF(AND('Monthly Cash Flow'!CH5='Inputs and Assumptions'!$H$38,'Inputs and Assumptions'!$H$38&lt;='Inputs and Assumptions'!$P$6),'Inputs and Assumptions'!$H$39,0))</f>
        <v>0</v>
      </c>
      <c r="CI105" s="445">
        <f>IF('Inputs and Assumptions'!$H$37="NO",0,IF(AND('Monthly Cash Flow'!CI5='Inputs and Assumptions'!$H$38,'Inputs and Assumptions'!$H$38&lt;='Inputs and Assumptions'!$P$6),'Inputs and Assumptions'!$H$39,0))</f>
        <v>0</v>
      </c>
      <c r="CJ105" s="445">
        <f>IF('Inputs and Assumptions'!$H$37="NO",0,IF(AND('Monthly Cash Flow'!CJ5='Inputs and Assumptions'!$H$38,'Inputs and Assumptions'!$H$38&lt;='Inputs and Assumptions'!$P$6),'Inputs and Assumptions'!$H$39,0))</f>
        <v>0</v>
      </c>
      <c r="CK105" s="445">
        <f>IF('Inputs and Assumptions'!$H$37="NO",0,IF(AND('Monthly Cash Flow'!CK5='Inputs and Assumptions'!$H$38,'Inputs and Assumptions'!$H$38&lt;='Inputs and Assumptions'!$P$6),'Inputs and Assumptions'!$H$39,0))</f>
        <v>0</v>
      </c>
      <c r="CL105" s="445">
        <f>IF('Inputs and Assumptions'!$H$37="NO",0,IF(AND('Monthly Cash Flow'!CL5='Inputs and Assumptions'!$H$38,'Inputs and Assumptions'!$H$38&lt;='Inputs and Assumptions'!$P$6),'Inputs and Assumptions'!$H$39,0))</f>
        <v>0</v>
      </c>
      <c r="CM105" s="445">
        <f>IF('Inputs and Assumptions'!$H$37="NO",0,IF(AND('Monthly Cash Flow'!CM5='Inputs and Assumptions'!$H$38,'Inputs and Assumptions'!$H$38&lt;='Inputs and Assumptions'!$P$6),'Inputs and Assumptions'!$H$39,0))</f>
        <v>0</v>
      </c>
      <c r="CN105" s="445">
        <f>IF('Inputs and Assumptions'!$H$37="NO",0,IF(AND('Monthly Cash Flow'!CN5='Inputs and Assumptions'!$H$38,'Inputs and Assumptions'!$H$38&lt;='Inputs and Assumptions'!$P$6),'Inputs and Assumptions'!$H$39,0))</f>
        <v>0</v>
      </c>
      <c r="CO105" s="445">
        <f>IF('Inputs and Assumptions'!$H$37="NO",0,IF(AND('Monthly Cash Flow'!CO5='Inputs and Assumptions'!$H$38,'Inputs and Assumptions'!$H$38&lt;='Inputs and Assumptions'!$P$6),'Inputs and Assumptions'!$H$39,0))</f>
        <v>0</v>
      </c>
      <c r="CP105" s="445">
        <f>IF('Inputs and Assumptions'!$H$37="NO",0,IF(AND('Monthly Cash Flow'!CP5='Inputs and Assumptions'!$H$38,'Inputs and Assumptions'!$H$38&lt;='Inputs and Assumptions'!$P$6),'Inputs and Assumptions'!$H$39,0))</f>
        <v>0</v>
      </c>
      <c r="CQ105" s="445">
        <f>IF('Inputs and Assumptions'!$H$37="NO",0,IF(AND('Monthly Cash Flow'!CQ5='Inputs and Assumptions'!$H$38,'Inputs and Assumptions'!$H$38&lt;='Inputs and Assumptions'!$P$6),'Inputs and Assumptions'!$H$39,0))</f>
        <v>0</v>
      </c>
      <c r="CR105" s="445">
        <f>IF('Inputs and Assumptions'!$H$37="NO",0,IF(AND('Monthly Cash Flow'!CR5='Inputs and Assumptions'!$H$38,'Inputs and Assumptions'!$H$38&lt;='Inputs and Assumptions'!$P$6),'Inputs and Assumptions'!$H$39,0))</f>
        <v>0</v>
      </c>
      <c r="CS105" s="445">
        <f>IF('Inputs and Assumptions'!$H$37="NO",0,IF(AND('Monthly Cash Flow'!CS5='Inputs and Assumptions'!$H$38,'Inputs and Assumptions'!$H$38&lt;='Inputs and Assumptions'!$P$6),'Inputs and Assumptions'!$H$39,0))</f>
        <v>0</v>
      </c>
      <c r="CT105" s="445">
        <f>IF('Inputs and Assumptions'!$H$37="NO",0,IF(AND('Monthly Cash Flow'!CT5='Inputs and Assumptions'!$H$38,'Inputs and Assumptions'!$H$38&lt;='Inputs and Assumptions'!$P$6),'Inputs and Assumptions'!$H$39,0))</f>
        <v>0</v>
      </c>
      <c r="CU105" s="445">
        <f>IF('Inputs and Assumptions'!$H$37="NO",0,IF(AND('Monthly Cash Flow'!CU5='Inputs and Assumptions'!$H$38,'Inputs and Assumptions'!$H$38&lt;='Inputs and Assumptions'!$P$6),'Inputs and Assumptions'!$H$39,0))</f>
        <v>0</v>
      </c>
      <c r="CV105" s="445">
        <f>IF('Inputs and Assumptions'!$H$37="NO",0,IF(AND('Monthly Cash Flow'!CV5='Inputs and Assumptions'!$H$38,'Inputs and Assumptions'!$H$38&lt;='Inputs and Assumptions'!$P$6),'Inputs and Assumptions'!$H$39,0))</f>
        <v>0</v>
      </c>
      <c r="CW105" s="445">
        <f>IF('Inputs and Assumptions'!$H$37="NO",0,IF(AND('Monthly Cash Flow'!CW5='Inputs and Assumptions'!$H$38,'Inputs and Assumptions'!$H$38&lt;='Inputs and Assumptions'!$P$6),'Inputs and Assumptions'!$H$39,0))</f>
        <v>0</v>
      </c>
      <c r="CX105" s="445">
        <f>IF('Inputs and Assumptions'!$H$37="NO",0,IF(AND('Monthly Cash Flow'!CX5='Inputs and Assumptions'!$H$38,'Inputs and Assumptions'!$H$38&lt;='Inputs and Assumptions'!$P$6),'Inputs and Assumptions'!$H$39,0))</f>
        <v>0</v>
      </c>
      <c r="CY105" s="445">
        <f>IF('Inputs and Assumptions'!$H$37="NO",0,IF(AND('Monthly Cash Flow'!CY5='Inputs and Assumptions'!$H$38,'Inputs and Assumptions'!$H$38&lt;='Inputs and Assumptions'!$P$6),'Inputs and Assumptions'!$H$39,0))</f>
        <v>0</v>
      </c>
      <c r="CZ105" s="445">
        <f>IF('Inputs and Assumptions'!$H$37="NO",0,IF(AND('Monthly Cash Flow'!CZ5='Inputs and Assumptions'!$H$38,'Inputs and Assumptions'!$H$38&lt;='Inputs and Assumptions'!$P$6),'Inputs and Assumptions'!$H$39,0))</f>
        <v>0</v>
      </c>
      <c r="DA105" s="445">
        <f>IF('Inputs and Assumptions'!$H$37="NO",0,IF(AND('Monthly Cash Flow'!DA5='Inputs and Assumptions'!$H$38,'Inputs and Assumptions'!$H$38&lt;='Inputs and Assumptions'!$P$6),'Inputs and Assumptions'!$H$39,0))</f>
        <v>0</v>
      </c>
      <c r="DB105" s="445">
        <f>IF('Inputs and Assumptions'!$H$37="NO",0,IF(AND('Monthly Cash Flow'!DB5='Inputs and Assumptions'!$H$38,'Inputs and Assumptions'!$H$38&lt;='Inputs and Assumptions'!$P$6),'Inputs and Assumptions'!$H$39,0))</f>
        <v>0</v>
      </c>
      <c r="DC105" s="445">
        <f>IF('Inputs and Assumptions'!$H$37="NO",0,IF(AND('Monthly Cash Flow'!DC5='Inputs and Assumptions'!$H$38,'Inputs and Assumptions'!$H$38&lt;='Inputs and Assumptions'!$P$6),'Inputs and Assumptions'!$H$39,0))</f>
        <v>0</v>
      </c>
      <c r="DD105" s="445">
        <f>IF('Inputs and Assumptions'!$H$37="NO",0,IF(AND('Monthly Cash Flow'!DD5='Inputs and Assumptions'!$H$38,'Inputs and Assumptions'!$H$38&lt;='Inputs and Assumptions'!$P$6),'Inputs and Assumptions'!$H$39,0))</f>
        <v>0</v>
      </c>
      <c r="DE105" s="445">
        <f>IF('Inputs and Assumptions'!$H$37="NO",0,IF(AND('Monthly Cash Flow'!DE5='Inputs and Assumptions'!$H$38,'Inputs and Assumptions'!$H$38&lt;='Inputs and Assumptions'!$P$6),'Inputs and Assumptions'!$H$39,0))</f>
        <v>0</v>
      </c>
      <c r="DF105" s="445">
        <f>IF('Inputs and Assumptions'!$H$37="NO",0,IF(AND('Monthly Cash Flow'!DF5='Inputs and Assumptions'!$H$38,'Inputs and Assumptions'!$H$38&lt;='Inputs and Assumptions'!$P$6),'Inputs and Assumptions'!$H$39,0))</f>
        <v>0</v>
      </c>
      <c r="DG105" s="445">
        <f>IF('Inputs and Assumptions'!$H$37="NO",0,IF(AND('Monthly Cash Flow'!DG5='Inputs and Assumptions'!$H$38,'Inputs and Assumptions'!$H$38&lt;='Inputs and Assumptions'!$P$6),'Inputs and Assumptions'!$H$39,0))</f>
        <v>0</v>
      </c>
      <c r="DH105" s="445">
        <f>IF('Inputs and Assumptions'!$H$37="NO",0,IF(AND('Monthly Cash Flow'!DH5='Inputs and Assumptions'!$H$38,'Inputs and Assumptions'!$H$38&lt;='Inputs and Assumptions'!$P$6),'Inputs and Assumptions'!$H$39,0))</f>
        <v>0</v>
      </c>
      <c r="DI105" s="445">
        <f>IF('Inputs and Assumptions'!$H$37="NO",0,IF(AND('Monthly Cash Flow'!DI5='Inputs and Assumptions'!$H$38,'Inputs and Assumptions'!$H$38&lt;='Inputs and Assumptions'!$P$6),'Inputs and Assumptions'!$H$39,0))</f>
        <v>0</v>
      </c>
      <c r="DJ105" s="445">
        <f>IF('Inputs and Assumptions'!$H$37="NO",0,IF(AND('Monthly Cash Flow'!DJ5='Inputs and Assumptions'!$H$38,'Inputs and Assumptions'!$H$38&lt;='Inputs and Assumptions'!$P$6),'Inputs and Assumptions'!$H$39,0))</f>
        <v>0</v>
      </c>
      <c r="DK105" s="445">
        <f>IF('Inputs and Assumptions'!$H$37="NO",0,IF(AND('Monthly Cash Flow'!DK5='Inputs and Assumptions'!$H$38,'Inputs and Assumptions'!$H$38&lt;='Inputs and Assumptions'!$P$6),'Inputs and Assumptions'!$H$39,0))</f>
        <v>0</v>
      </c>
      <c r="DL105" s="445">
        <f>IF('Inputs and Assumptions'!$H$37="NO",0,IF(AND('Monthly Cash Flow'!DL5='Inputs and Assumptions'!$H$38,'Inputs and Assumptions'!$H$38&lt;='Inputs and Assumptions'!$P$6),'Inputs and Assumptions'!$H$39,0))</f>
        <v>0</v>
      </c>
      <c r="DM105" s="445">
        <f>IF('Inputs and Assumptions'!$H$37="NO",0,IF(AND('Monthly Cash Flow'!DM5='Inputs and Assumptions'!$H$38,'Inputs and Assumptions'!$H$38&lt;='Inputs and Assumptions'!$P$6),'Inputs and Assumptions'!$H$39,0))</f>
        <v>0</v>
      </c>
      <c r="DN105" s="445">
        <f>IF('Inputs and Assumptions'!$H$37="NO",0,IF(AND('Monthly Cash Flow'!DN5='Inputs and Assumptions'!$H$38,'Inputs and Assumptions'!$H$38&lt;='Inputs and Assumptions'!$P$6),'Inputs and Assumptions'!$H$39,0))</f>
        <v>0</v>
      </c>
      <c r="DO105" s="445">
        <f>IF('Inputs and Assumptions'!$H$37="NO",0,IF(AND('Monthly Cash Flow'!DO5='Inputs and Assumptions'!$H$38,'Inputs and Assumptions'!$H$38&lt;='Inputs and Assumptions'!$P$6),'Inputs and Assumptions'!$H$39,0))</f>
        <v>0</v>
      </c>
      <c r="DP105" s="445">
        <f>IF('Inputs and Assumptions'!$H$37="NO",0,IF(AND('Monthly Cash Flow'!DP5='Inputs and Assumptions'!$H$38,'Inputs and Assumptions'!$H$38&lt;='Inputs and Assumptions'!$P$6),'Inputs and Assumptions'!$H$39,0))</f>
        <v>0</v>
      </c>
      <c r="DQ105" s="445">
        <f>IF('Inputs and Assumptions'!$H$37="NO",0,IF(AND('Monthly Cash Flow'!DQ5='Inputs and Assumptions'!$H$38,'Inputs and Assumptions'!$H$38&lt;='Inputs and Assumptions'!$P$6),'Inputs and Assumptions'!$H$39,0))</f>
        <v>0</v>
      </c>
      <c r="DR105" s="445">
        <f>IF('Inputs and Assumptions'!$H$37="NO",0,IF(AND('Monthly Cash Flow'!DR5='Inputs and Assumptions'!$H$38,'Inputs and Assumptions'!$H$38&lt;='Inputs and Assumptions'!$P$6),'Inputs and Assumptions'!$H$39,0))</f>
        <v>0</v>
      </c>
      <c r="DS105" s="445">
        <f>IF('Inputs and Assumptions'!$H$37="NO",0,IF(AND('Monthly Cash Flow'!DS5='Inputs and Assumptions'!$H$38,'Inputs and Assumptions'!$H$38&lt;='Inputs and Assumptions'!$P$6),'Inputs and Assumptions'!$H$39,0))</f>
        <v>0</v>
      </c>
      <c r="DT105" s="445">
        <f>IF('Inputs and Assumptions'!$H$37="NO",0,IF(AND('Monthly Cash Flow'!DT5='Inputs and Assumptions'!$H$38,'Inputs and Assumptions'!$H$38&lt;='Inputs and Assumptions'!$P$6),'Inputs and Assumptions'!$H$39,0))</f>
        <v>0</v>
      </c>
      <c r="DU105" s="447" t="s">
        <v>557</v>
      </c>
    </row>
    <row r="106" spans="1:125" ht="19">
      <c r="B106" s="203" t="s">
        <v>704</v>
      </c>
      <c r="D106" s="437"/>
      <c r="E106" s="438">
        <f>IF(E5&gt;'Inputs and Assumptions'!$P$6, 0, IF('Inputs and Assumptions'!$L$5= "NO", INDEX('Amo Schedule - Senior'!$J$17:$J$376,MATCH('Monthly Cash Flow'!E$5,'Amo Schedule - Senior'!$C$17:$C$376,0)), IF('Monthly Cash Flow'!E5&lt;='Inputs and Assumptions'!$L$6,  INDEX('Amo Schedule - Senior'!$J$17:$J$376,MATCH('Monthly Cash Flow'!E$5,'Amo Schedule - Senior'!$C$17:$C$376,0)), VLOOKUP('Monthly Cash Flow'!E5-'Inputs and Assumptions'!$L$6, 'Amo Schedule - Refi'!$C$15:$I$374,7))))</f>
        <v>123375.00000000001</v>
      </c>
      <c r="F106" s="438">
        <f>IF(F5&gt;'Inputs and Assumptions'!$P$6, 0, IF('Inputs and Assumptions'!$L$5= "NO", INDEX('Amo Schedule - Senior'!$J$17:$J$376,MATCH('Monthly Cash Flow'!F$5,'Amo Schedule - Senior'!$C$17:$C$376,0)), IF('Monthly Cash Flow'!F5&lt;='Inputs and Assumptions'!$L$6,  INDEX('Amo Schedule - Senior'!$J$17:$J$376,MATCH('Monthly Cash Flow'!F$5,'Amo Schedule - Senior'!$C$17:$C$376,0)), VLOOKUP('Monthly Cash Flow'!F5-'Inputs and Assumptions'!$L$6, 'Amo Schedule - Refi'!$C$15:$I$374,7))))</f>
        <v>123375.00000000001</v>
      </c>
      <c r="G106" s="438">
        <f>IF(G5&gt;'Inputs and Assumptions'!$P$6, 0, IF('Inputs and Assumptions'!$L$5= "NO", INDEX('Amo Schedule - Senior'!$J$17:$J$376,MATCH('Monthly Cash Flow'!G$5,'Amo Schedule - Senior'!$C$17:$C$376,0)), IF('Monthly Cash Flow'!G5&lt;='Inputs and Assumptions'!$L$6,  INDEX('Amo Schedule - Senior'!$J$17:$J$376,MATCH('Monthly Cash Flow'!G$5,'Amo Schedule - Senior'!$C$17:$C$376,0)), VLOOKUP('Monthly Cash Flow'!G5-'Inputs and Assumptions'!$L$6, 'Amo Schedule - Refi'!$C$15:$I$374,7))))</f>
        <v>123375.00000000001</v>
      </c>
      <c r="H106" s="438">
        <f>IF(H5&gt;'Inputs and Assumptions'!$P$6, 0, IF('Inputs and Assumptions'!$L$5= "NO", INDEX('Amo Schedule - Senior'!$J$17:$J$376,MATCH('Monthly Cash Flow'!H$5,'Amo Schedule - Senior'!$C$17:$C$376,0)), IF('Monthly Cash Flow'!H5&lt;='Inputs and Assumptions'!$L$6,  INDEX('Amo Schedule - Senior'!$J$17:$J$376,MATCH('Monthly Cash Flow'!H$5,'Amo Schedule - Senior'!$C$17:$C$376,0)), VLOOKUP('Monthly Cash Flow'!H5-'Inputs and Assumptions'!$L$6, 'Amo Schedule - Refi'!$C$15:$I$374,7))))</f>
        <v>123375.00000000001</v>
      </c>
      <c r="I106" s="438">
        <f>IF(I5&gt;'Inputs and Assumptions'!$P$6, 0, IF('Inputs and Assumptions'!$L$5= "NO", INDEX('Amo Schedule - Senior'!$J$17:$J$376,MATCH('Monthly Cash Flow'!I$5,'Amo Schedule - Senior'!$C$17:$C$376,0)), IF('Monthly Cash Flow'!I5&lt;='Inputs and Assumptions'!$L$6,  INDEX('Amo Schedule - Senior'!$J$17:$J$376,MATCH('Monthly Cash Flow'!I$5,'Amo Schedule - Senior'!$C$17:$C$376,0)), VLOOKUP('Monthly Cash Flow'!I5-'Inputs and Assumptions'!$L$6, 'Amo Schedule - Refi'!$C$15:$I$374,7))))</f>
        <v>123375.00000000001</v>
      </c>
      <c r="J106" s="438">
        <f>IF(J5&gt;'Inputs and Assumptions'!$P$6, 0, IF('Inputs and Assumptions'!$L$5= "NO", INDEX('Amo Schedule - Senior'!$J$17:$J$376,MATCH('Monthly Cash Flow'!J$5,'Amo Schedule - Senior'!$C$17:$C$376,0)), IF('Monthly Cash Flow'!J5&lt;='Inputs and Assumptions'!$L$6,  INDEX('Amo Schedule - Senior'!$J$17:$J$376,MATCH('Monthly Cash Flow'!J$5,'Amo Schedule - Senior'!$C$17:$C$376,0)), VLOOKUP('Monthly Cash Flow'!J5-'Inputs and Assumptions'!$L$6, 'Amo Schedule - Refi'!$C$15:$I$374,7))))</f>
        <v>123375.00000000001</v>
      </c>
      <c r="K106" s="438">
        <f>IF(K5&gt;'Inputs and Assumptions'!$P$6, 0, IF('Inputs and Assumptions'!$L$5= "NO", INDEX('Amo Schedule - Senior'!$J$17:$J$376,MATCH('Monthly Cash Flow'!K$5,'Amo Schedule - Senior'!$C$17:$C$376,0)), IF('Monthly Cash Flow'!K5&lt;='Inputs and Assumptions'!$L$6,  INDEX('Amo Schedule - Senior'!$J$17:$J$376,MATCH('Monthly Cash Flow'!K$5,'Amo Schedule - Senior'!$C$17:$C$376,0)), VLOOKUP('Monthly Cash Flow'!K5-'Inputs and Assumptions'!$L$6, 'Amo Schedule - Refi'!$C$15:$I$374,7))))</f>
        <v>123375.00000000001</v>
      </c>
      <c r="L106" s="438">
        <f>IF(L5&gt;'Inputs and Assumptions'!$P$6, 0, IF('Inputs and Assumptions'!$L$5= "NO", INDEX('Amo Schedule - Senior'!$J$17:$J$376,MATCH('Monthly Cash Flow'!L$5,'Amo Schedule - Senior'!$C$17:$C$376,0)), IF('Monthly Cash Flow'!L5&lt;='Inputs and Assumptions'!$L$6,  INDEX('Amo Schedule - Senior'!$J$17:$J$376,MATCH('Monthly Cash Flow'!L$5,'Amo Schedule - Senior'!$C$17:$C$376,0)), VLOOKUP('Monthly Cash Flow'!L5-'Inputs and Assumptions'!$L$6, 'Amo Schedule - Refi'!$C$15:$I$374,7))))</f>
        <v>123375.00000000001</v>
      </c>
      <c r="M106" s="438">
        <f>IF(M5&gt;'Inputs and Assumptions'!$P$6, 0, IF('Inputs and Assumptions'!$L$5= "NO", INDEX('Amo Schedule - Senior'!$J$17:$J$376,MATCH('Monthly Cash Flow'!M$5,'Amo Schedule - Senior'!$C$17:$C$376,0)), IF('Monthly Cash Flow'!M5&lt;='Inputs and Assumptions'!$L$6,  INDEX('Amo Schedule - Senior'!$J$17:$J$376,MATCH('Monthly Cash Flow'!M$5,'Amo Schedule - Senior'!$C$17:$C$376,0)), VLOOKUP('Monthly Cash Flow'!M5-'Inputs and Assumptions'!$L$6, 'Amo Schedule - Refi'!$C$15:$I$374,7))))</f>
        <v>123375.00000000001</v>
      </c>
      <c r="N106" s="438">
        <f>IF(N5&gt;'Inputs and Assumptions'!$P$6, 0, IF('Inputs and Assumptions'!$L$5= "NO", INDEX('Amo Schedule - Senior'!$J$17:$J$376,MATCH('Monthly Cash Flow'!N$5,'Amo Schedule - Senior'!$C$17:$C$376,0)), IF('Monthly Cash Flow'!N5&lt;='Inputs and Assumptions'!$L$6,  INDEX('Amo Schedule - Senior'!$J$17:$J$376,MATCH('Monthly Cash Flow'!N$5,'Amo Schedule - Senior'!$C$17:$C$376,0)), VLOOKUP('Monthly Cash Flow'!N5-'Inputs and Assumptions'!$L$6, 'Amo Schedule - Refi'!$C$15:$I$374,7))))</f>
        <v>123375.00000000001</v>
      </c>
      <c r="O106" s="438">
        <f>IF(O5&gt;'Inputs and Assumptions'!$P$6, 0, IF('Inputs and Assumptions'!$L$5= "NO", INDEX('Amo Schedule - Senior'!$J$17:$J$376,MATCH('Monthly Cash Flow'!O$5,'Amo Schedule - Senior'!$C$17:$C$376,0)), IF('Monthly Cash Flow'!O5&lt;='Inputs and Assumptions'!$L$6,  INDEX('Amo Schedule - Senior'!$J$17:$J$376,MATCH('Monthly Cash Flow'!O$5,'Amo Schedule - Senior'!$C$17:$C$376,0)), VLOOKUP('Monthly Cash Flow'!O5-'Inputs and Assumptions'!$L$6, 'Amo Schedule - Refi'!$C$15:$I$374,7))))</f>
        <v>123375.00000000001</v>
      </c>
      <c r="P106" s="438">
        <f>IF(P5&gt;'Inputs and Assumptions'!$P$6, 0, IF('Inputs and Assumptions'!$L$5= "NO", INDEX('Amo Schedule - Senior'!$J$17:$J$376,MATCH('Monthly Cash Flow'!P$5,'Amo Schedule - Senior'!$C$17:$C$376,0)), IF('Monthly Cash Flow'!P5&lt;='Inputs and Assumptions'!$L$6,  INDEX('Amo Schedule - Senior'!$J$17:$J$376,MATCH('Monthly Cash Flow'!P$5,'Amo Schedule - Senior'!$C$17:$C$376,0)), VLOOKUP('Monthly Cash Flow'!P5-'Inputs and Assumptions'!$L$6, 'Amo Schedule - Refi'!$C$15:$I$374,7))))</f>
        <v>123375.00000000001</v>
      </c>
      <c r="Q106" s="438">
        <f>IF(Q5&gt;'Inputs and Assumptions'!$P$6, 0, IF('Inputs and Assumptions'!$L$5= "NO", INDEX('Amo Schedule - Senior'!$J$17:$J$376,MATCH('Monthly Cash Flow'!Q$5,'Amo Schedule - Senior'!$C$17:$C$376,0)), IF('Monthly Cash Flow'!Q5&lt;='Inputs and Assumptions'!$L$6,  INDEX('Amo Schedule - Senior'!$J$17:$J$376,MATCH('Monthly Cash Flow'!Q$5,'Amo Schedule - Senior'!$C$17:$C$376,0)), VLOOKUP('Monthly Cash Flow'!Q5-'Inputs and Assumptions'!$L$6, 'Amo Schedule - Refi'!$C$15:$I$374,7))))</f>
        <v>123375.00000000001</v>
      </c>
      <c r="R106" s="438">
        <f>IF(R5&gt;'Inputs and Assumptions'!$P$6, 0, IF('Inputs and Assumptions'!$L$5= "NO", INDEX('Amo Schedule - Senior'!$J$17:$J$376,MATCH('Monthly Cash Flow'!R$5,'Amo Schedule - Senior'!$C$17:$C$376,0)), IF('Monthly Cash Flow'!R5&lt;='Inputs and Assumptions'!$L$6,  INDEX('Amo Schedule - Senior'!$J$17:$J$376,MATCH('Monthly Cash Flow'!R$5,'Amo Schedule - Senior'!$C$17:$C$376,0)), VLOOKUP('Monthly Cash Flow'!R5-'Inputs and Assumptions'!$L$6, 'Amo Schedule - Refi'!$C$15:$I$374,7))))</f>
        <v>123375.00000000001</v>
      </c>
      <c r="S106" s="438">
        <f>IF(S5&gt;'Inputs and Assumptions'!$P$6, 0, IF('Inputs and Assumptions'!$L$5= "NO", INDEX('Amo Schedule - Senior'!$J$17:$J$376,MATCH('Monthly Cash Flow'!S$5,'Amo Schedule - Senior'!$C$17:$C$376,0)), IF('Monthly Cash Flow'!S5&lt;='Inputs and Assumptions'!$L$6,  INDEX('Amo Schedule - Senior'!$J$17:$J$376,MATCH('Monthly Cash Flow'!S$5,'Amo Schedule - Senior'!$C$17:$C$376,0)), VLOOKUP('Monthly Cash Flow'!S5-'Inputs and Assumptions'!$L$6, 'Amo Schedule - Refi'!$C$15:$I$374,7))))</f>
        <v>123375.00000000001</v>
      </c>
      <c r="T106" s="438">
        <f>IF(T5&gt;'Inputs and Assumptions'!$P$6, 0, IF('Inputs and Assumptions'!$L$5= "NO", INDEX('Amo Schedule - Senior'!$J$17:$J$376,MATCH('Monthly Cash Flow'!T$5,'Amo Schedule - Senior'!$C$17:$C$376,0)), IF('Monthly Cash Flow'!T5&lt;='Inputs and Assumptions'!$L$6,  INDEX('Amo Schedule - Senior'!$J$17:$J$376,MATCH('Monthly Cash Flow'!T$5,'Amo Schedule - Senior'!$C$17:$C$376,0)), VLOOKUP('Monthly Cash Flow'!T5-'Inputs and Assumptions'!$L$6, 'Amo Schedule - Refi'!$C$15:$I$374,7))))</f>
        <v>123375.00000000001</v>
      </c>
      <c r="U106" s="438">
        <f>IF(U5&gt;'Inputs and Assumptions'!$P$6, 0, IF('Inputs and Assumptions'!$L$5= "NO", INDEX('Amo Schedule - Senior'!$J$17:$J$376,MATCH('Monthly Cash Flow'!U$5,'Amo Schedule - Senior'!$C$17:$C$376,0)), IF('Monthly Cash Flow'!U5&lt;='Inputs and Assumptions'!$L$6,  INDEX('Amo Schedule - Senior'!$J$17:$J$376,MATCH('Monthly Cash Flow'!U$5,'Amo Schedule - Senior'!$C$17:$C$376,0)), VLOOKUP('Monthly Cash Flow'!U5-'Inputs and Assumptions'!$L$6, 'Amo Schedule - Refi'!$C$15:$I$374,7))))</f>
        <v>123375.00000000001</v>
      </c>
      <c r="V106" s="438">
        <f>IF(V5&gt;'Inputs and Assumptions'!$P$6, 0, IF('Inputs and Assumptions'!$L$5= "NO", INDEX('Amo Schedule - Senior'!$J$17:$J$376,MATCH('Monthly Cash Flow'!V$5,'Amo Schedule - Senior'!$C$17:$C$376,0)), IF('Monthly Cash Flow'!V5&lt;='Inputs and Assumptions'!$L$6,  INDEX('Amo Schedule - Senior'!$J$17:$J$376,MATCH('Monthly Cash Flow'!V$5,'Amo Schedule - Senior'!$C$17:$C$376,0)), VLOOKUP('Monthly Cash Flow'!V5-'Inputs and Assumptions'!$L$6, 'Amo Schedule - Refi'!$C$15:$I$374,7))))</f>
        <v>123375.00000000001</v>
      </c>
      <c r="W106" s="438">
        <f>IF(W5&gt;'Inputs and Assumptions'!$P$6, 0, IF('Inputs and Assumptions'!$L$5= "NO", INDEX('Amo Schedule - Senior'!$J$17:$J$376,MATCH('Monthly Cash Flow'!W$5,'Amo Schedule - Senior'!$C$17:$C$376,0)), IF('Monthly Cash Flow'!W5&lt;='Inputs and Assumptions'!$L$6,  INDEX('Amo Schedule - Senior'!$J$17:$J$376,MATCH('Monthly Cash Flow'!W$5,'Amo Schedule - Senior'!$C$17:$C$376,0)), VLOOKUP('Monthly Cash Flow'!W5-'Inputs and Assumptions'!$L$6, 'Amo Schedule - Refi'!$C$15:$I$374,7))))</f>
        <v>123375.00000000001</v>
      </c>
      <c r="X106" s="438">
        <f>IF(X5&gt;'Inputs and Assumptions'!$P$6, 0, IF('Inputs and Assumptions'!$L$5= "NO", INDEX('Amo Schedule - Senior'!$J$17:$J$376,MATCH('Monthly Cash Flow'!X$5,'Amo Schedule - Senior'!$C$17:$C$376,0)), IF('Monthly Cash Flow'!X5&lt;='Inputs and Assumptions'!$L$6,  INDEX('Amo Schedule - Senior'!$J$17:$J$376,MATCH('Monthly Cash Flow'!X$5,'Amo Schedule - Senior'!$C$17:$C$376,0)), VLOOKUP('Monthly Cash Flow'!X5-'Inputs and Assumptions'!$L$6, 'Amo Schedule - Refi'!$C$15:$I$374,7))))</f>
        <v>123375.00000000001</v>
      </c>
      <c r="Y106" s="438">
        <f>IF(Y5&gt;'Inputs and Assumptions'!$P$6, 0, IF('Inputs and Assumptions'!$L$5= "NO", INDEX('Amo Schedule - Senior'!$J$17:$J$376,MATCH('Monthly Cash Flow'!Y$5,'Amo Schedule - Senior'!$C$17:$C$376,0)), IF('Monthly Cash Flow'!Y5&lt;='Inputs and Assumptions'!$L$6,  INDEX('Amo Schedule - Senior'!$J$17:$J$376,MATCH('Monthly Cash Flow'!Y$5,'Amo Schedule - Senior'!$C$17:$C$376,0)), VLOOKUP('Monthly Cash Flow'!Y5-'Inputs and Assumptions'!$L$6, 'Amo Schedule - Refi'!$C$15:$I$374,7))))</f>
        <v>123375.00000000001</v>
      </c>
      <c r="Z106" s="438">
        <f>IF(Z5&gt;'Inputs and Assumptions'!$P$6, 0, IF('Inputs and Assumptions'!$L$5= "NO", INDEX('Amo Schedule - Senior'!$J$17:$J$376,MATCH('Monthly Cash Flow'!Z$5,'Amo Schedule - Senior'!$C$17:$C$376,0)), IF('Monthly Cash Flow'!Z5&lt;='Inputs and Assumptions'!$L$6,  INDEX('Amo Schedule - Senior'!$J$17:$J$376,MATCH('Monthly Cash Flow'!Z$5,'Amo Schedule - Senior'!$C$17:$C$376,0)), VLOOKUP('Monthly Cash Flow'!Z5-'Inputs and Assumptions'!$L$6, 'Amo Schedule - Refi'!$C$15:$I$374,7))))</f>
        <v>123375.00000000001</v>
      </c>
      <c r="AA106" s="438">
        <f>IF(AA5&gt;'Inputs and Assumptions'!$P$6, 0, IF('Inputs and Assumptions'!$L$5= "NO", INDEX('Amo Schedule - Senior'!$J$17:$J$376,MATCH('Monthly Cash Flow'!AA$5,'Amo Schedule - Senior'!$C$17:$C$376,0)), IF('Monthly Cash Flow'!AA5&lt;='Inputs and Assumptions'!$L$6,  INDEX('Amo Schedule - Senior'!$J$17:$J$376,MATCH('Monthly Cash Flow'!AA$5,'Amo Schedule - Senior'!$C$17:$C$376,0)), VLOOKUP('Monthly Cash Flow'!AA5-'Inputs and Assumptions'!$L$6, 'Amo Schedule - Refi'!$C$15:$I$374,7))))</f>
        <v>123375.00000000001</v>
      </c>
      <c r="AB106" s="438">
        <f>IF(AB5&gt;'Inputs and Assumptions'!$P$6, 0, IF('Inputs and Assumptions'!$L$5= "NO", INDEX('Amo Schedule - Senior'!$J$17:$J$376,MATCH('Monthly Cash Flow'!AB$5,'Amo Schedule - Senior'!$C$17:$C$376,0)), IF('Monthly Cash Flow'!AB5&lt;='Inputs and Assumptions'!$L$6,  INDEX('Amo Schedule - Senior'!$J$17:$J$376,MATCH('Monthly Cash Flow'!AB$5,'Amo Schedule - Senior'!$C$17:$C$376,0)), VLOOKUP('Monthly Cash Flow'!AB5-'Inputs and Assumptions'!$L$6, 'Amo Schedule - Refi'!$C$15:$I$374,7))))</f>
        <v>123375.00000000001</v>
      </c>
      <c r="AC106" s="438">
        <f>IF(AC5&gt;'Inputs and Assumptions'!$P$6, 0, IF('Inputs and Assumptions'!$L$5= "NO", INDEX('Amo Schedule - Senior'!$J$17:$J$376,MATCH('Monthly Cash Flow'!AC$5,'Amo Schedule - Senior'!$C$17:$C$376,0)), IF('Monthly Cash Flow'!AC5&lt;='Inputs and Assumptions'!$L$6,  INDEX('Amo Schedule - Senior'!$J$17:$J$376,MATCH('Monthly Cash Flow'!AC$5,'Amo Schedule - Senior'!$C$17:$C$376,0)), VLOOKUP('Monthly Cash Flow'!AC5-'Inputs and Assumptions'!$L$6, 'Amo Schedule - Refi'!$C$15:$I$374,7))))</f>
        <v>123375.00000000001</v>
      </c>
      <c r="AD106" s="438">
        <f>IF(AD5&gt;'Inputs and Assumptions'!$P$6, 0, IF('Inputs and Assumptions'!$L$5= "NO", INDEX('Amo Schedule - Senior'!$J$17:$J$376,MATCH('Monthly Cash Flow'!AD$5,'Amo Schedule - Senior'!$C$17:$C$376,0)), IF('Monthly Cash Flow'!AD5&lt;='Inputs and Assumptions'!$L$6,  INDEX('Amo Schedule - Senior'!$J$17:$J$376,MATCH('Monthly Cash Flow'!AD$5,'Amo Schedule - Senior'!$C$17:$C$376,0)), VLOOKUP('Monthly Cash Flow'!AD5-'Inputs and Assumptions'!$L$6, 'Amo Schedule - Refi'!$C$15:$I$374,7))))</f>
        <v>123375.00000000001</v>
      </c>
      <c r="AE106" s="438">
        <f>IF(AE5&gt;'Inputs and Assumptions'!$P$6, 0, IF('Inputs and Assumptions'!$L$5= "NO", INDEX('Amo Schedule - Senior'!$J$17:$J$376,MATCH('Monthly Cash Flow'!AE$5,'Amo Schedule - Senior'!$C$17:$C$376,0)), IF('Monthly Cash Flow'!AE5&lt;='Inputs and Assumptions'!$L$6,  INDEX('Amo Schedule - Senior'!$J$17:$J$376,MATCH('Monthly Cash Flow'!AE$5,'Amo Schedule - Senior'!$C$17:$C$376,0)), VLOOKUP('Monthly Cash Flow'!AE5-'Inputs and Assumptions'!$L$6, 'Amo Schedule - Refi'!$C$15:$I$374,7))))</f>
        <v>123375.00000000001</v>
      </c>
      <c r="AF106" s="438">
        <f>IF(AF5&gt;'Inputs and Assumptions'!$P$6, 0, IF('Inputs and Assumptions'!$L$5= "NO", INDEX('Amo Schedule - Senior'!$J$17:$J$376,MATCH('Monthly Cash Flow'!AF$5,'Amo Schedule - Senior'!$C$17:$C$376,0)), IF('Monthly Cash Flow'!AF5&lt;='Inputs and Assumptions'!$L$6,  INDEX('Amo Schedule - Senior'!$J$17:$J$376,MATCH('Monthly Cash Flow'!AF$5,'Amo Schedule - Senior'!$C$17:$C$376,0)), VLOOKUP('Monthly Cash Flow'!AF5-'Inputs and Assumptions'!$L$6, 'Amo Schedule - Refi'!$C$15:$I$374,7))))</f>
        <v>123375.00000000001</v>
      </c>
      <c r="AG106" s="438">
        <f>IF(AG5&gt;'Inputs and Assumptions'!$P$6, 0, IF('Inputs and Assumptions'!$L$5= "NO", INDEX('Amo Schedule - Senior'!$J$17:$J$376,MATCH('Monthly Cash Flow'!AG$5,'Amo Schedule - Senior'!$C$17:$C$376,0)), IF('Monthly Cash Flow'!AG5&lt;='Inputs and Assumptions'!$L$6,  INDEX('Amo Schedule - Senior'!$J$17:$J$376,MATCH('Monthly Cash Flow'!AG$5,'Amo Schedule - Senior'!$C$17:$C$376,0)), VLOOKUP('Monthly Cash Flow'!AG5-'Inputs and Assumptions'!$L$6, 'Amo Schedule - Refi'!$C$15:$I$374,7))))</f>
        <v>123375.00000000001</v>
      </c>
      <c r="AH106" s="438">
        <f>IF(AH5&gt;'Inputs and Assumptions'!$P$6, 0, IF('Inputs and Assumptions'!$L$5= "NO", INDEX('Amo Schedule - Senior'!$J$17:$J$376,MATCH('Monthly Cash Flow'!AH$5,'Amo Schedule - Senior'!$C$17:$C$376,0)), IF('Monthly Cash Flow'!AH5&lt;='Inputs and Assumptions'!$L$6,  INDEX('Amo Schedule - Senior'!$J$17:$J$376,MATCH('Monthly Cash Flow'!AH$5,'Amo Schedule - Senior'!$C$17:$C$376,0)), VLOOKUP('Monthly Cash Flow'!AH5-'Inputs and Assumptions'!$L$6, 'Amo Schedule - Refi'!$C$15:$I$374,7))))</f>
        <v>123375.00000000001</v>
      </c>
      <c r="AI106" s="438">
        <f>IF(AI5&gt;'Inputs and Assumptions'!$P$6, 0, IF('Inputs and Assumptions'!$L$5= "NO", INDEX('Amo Schedule - Senior'!$J$17:$J$376,MATCH('Monthly Cash Flow'!AI$5,'Amo Schedule - Senior'!$C$17:$C$376,0)), IF('Monthly Cash Flow'!AI5&lt;='Inputs and Assumptions'!$L$6,  INDEX('Amo Schedule - Senior'!$J$17:$J$376,MATCH('Monthly Cash Flow'!AI$5,'Amo Schedule - Senior'!$C$17:$C$376,0)), VLOOKUP('Monthly Cash Flow'!AI5-'Inputs and Assumptions'!$L$6, 'Amo Schedule - Refi'!$C$15:$I$374,7))))</f>
        <v>123375.00000000001</v>
      </c>
      <c r="AJ106" s="438">
        <f>IF(AJ5&gt;'Inputs and Assumptions'!$P$6, 0, IF('Inputs and Assumptions'!$L$5= "NO", INDEX('Amo Schedule - Senior'!$J$17:$J$376,MATCH('Monthly Cash Flow'!AJ$5,'Amo Schedule - Senior'!$C$17:$C$376,0)), IF('Monthly Cash Flow'!AJ5&lt;='Inputs and Assumptions'!$L$6,  INDEX('Amo Schedule - Senior'!$J$17:$J$376,MATCH('Monthly Cash Flow'!AJ$5,'Amo Schedule - Senior'!$C$17:$C$376,0)), VLOOKUP('Monthly Cash Flow'!AJ5-'Inputs and Assumptions'!$L$6, 'Amo Schedule - Refi'!$C$15:$I$374,7))))</f>
        <v>123375.00000000001</v>
      </c>
      <c r="AK106" s="438">
        <f>IF(AK5&gt;'Inputs and Assumptions'!$P$6, 0, IF('Inputs and Assumptions'!$L$5= "NO", INDEX('Amo Schedule - Senior'!$J$17:$J$376,MATCH('Monthly Cash Flow'!AK$5,'Amo Schedule - Senior'!$C$17:$C$376,0)), IF('Monthly Cash Flow'!AK5&lt;='Inputs and Assumptions'!$L$6,  INDEX('Amo Schedule - Senior'!$J$17:$J$376,MATCH('Monthly Cash Flow'!AK$5,'Amo Schedule - Senior'!$C$17:$C$376,0)), VLOOKUP('Monthly Cash Flow'!AK5-'Inputs and Assumptions'!$L$6, 'Amo Schedule - Refi'!$C$15:$I$374,7))))</f>
        <v>123375.00000000001</v>
      </c>
      <c r="AL106" s="438">
        <f>IF(AL5&gt;'Inputs and Assumptions'!$P$6, 0, IF('Inputs and Assumptions'!$L$5= "NO", INDEX('Amo Schedule - Senior'!$J$17:$J$376,MATCH('Monthly Cash Flow'!AL$5,'Amo Schedule - Senior'!$C$17:$C$376,0)), IF('Monthly Cash Flow'!AL5&lt;='Inputs and Assumptions'!$L$6,  INDEX('Amo Schedule - Senior'!$J$17:$J$376,MATCH('Monthly Cash Flow'!AL$5,'Amo Schedule - Senior'!$C$17:$C$376,0)), VLOOKUP('Monthly Cash Flow'!AL5-'Inputs and Assumptions'!$L$6, 'Amo Schedule - Refi'!$C$15:$I$374,7))))</f>
        <v>123375.00000000001</v>
      </c>
      <c r="AM106" s="438">
        <f>IF(AM5&gt;'Inputs and Assumptions'!$P$6, 0, IF('Inputs and Assumptions'!$L$5= "NO", INDEX('Amo Schedule - Senior'!$J$17:$J$376,MATCH('Monthly Cash Flow'!AM$5,'Amo Schedule - Senior'!$C$17:$C$376,0)), IF('Monthly Cash Flow'!AM5&lt;='Inputs and Assumptions'!$L$6,  INDEX('Amo Schedule - Senior'!$J$17:$J$376,MATCH('Monthly Cash Flow'!AM$5,'Amo Schedule - Senior'!$C$17:$C$376,0)), VLOOKUP('Monthly Cash Flow'!AM5-'Inputs and Assumptions'!$L$6, 'Amo Schedule - Refi'!$C$15:$I$374,7))))</f>
        <v>123375.00000000001</v>
      </c>
      <c r="AN106" s="438">
        <f>IF(AN5&gt;'Inputs and Assumptions'!$P$6, 0, IF('Inputs and Assumptions'!$L$5= "NO", INDEX('Amo Schedule - Senior'!$J$17:$J$376,MATCH('Monthly Cash Flow'!AN$5,'Amo Schedule - Senior'!$C$17:$C$376,0)), IF('Monthly Cash Flow'!AN5&lt;='Inputs and Assumptions'!$L$6,  INDEX('Amo Schedule - Senior'!$J$17:$J$376,MATCH('Monthly Cash Flow'!AN$5,'Amo Schedule - Senior'!$C$17:$C$376,0)), VLOOKUP('Monthly Cash Flow'!AN5-'Inputs and Assumptions'!$L$6, 'Amo Schedule - Refi'!$C$15:$I$374,7))))</f>
        <v>123375.00000000001</v>
      </c>
      <c r="AO106" s="438">
        <f>IF(AO5&gt;'Inputs and Assumptions'!$P$6, 0, IF('Inputs and Assumptions'!$L$5= "NO", INDEX('Amo Schedule - Senior'!$J$17:$J$376,MATCH('Monthly Cash Flow'!AO$5,'Amo Schedule - Senior'!$C$17:$C$376,0)), IF('Monthly Cash Flow'!AO5&lt;='Inputs and Assumptions'!$L$6,  INDEX('Amo Schedule - Senior'!$J$17:$J$376,MATCH('Monthly Cash Flow'!AO$5,'Amo Schedule - Senior'!$C$17:$C$376,0)), VLOOKUP('Monthly Cash Flow'!AO5-'Inputs and Assumptions'!$L$6, 'Amo Schedule - Refi'!$C$15:$I$374,7))))</f>
        <v>123375.00000000001</v>
      </c>
      <c r="AP106" s="438">
        <f>IF(AP5&gt;'Inputs and Assumptions'!$P$6, 0, IF('Inputs and Assumptions'!$L$5= "NO", INDEX('Amo Schedule - Senior'!$J$17:$J$376,MATCH('Monthly Cash Flow'!AP$5,'Amo Schedule - Senior'!$C$17:$C$376,0)), IF('Monthly Cash Flow'!AP5&lt;='Inputs and Assumptions'!$L$6,  INDEX('Amo Schedule - Senior'!$J$17:$J$376,MATCH('Monthly Cash Flow'!AP$5,'Amo Schedule - Senior'!$C$17:$C$376,0)), VLOOKUP('Monthly Cash Flow'!AP5-'Inputs and Assumptions'!$L$6, 'Amo Schedule - Refi'!$C$15:$I$374,7))))</f>
        <v>123375.00000000001</v>
      </c>
      <c r="AQ106" s="438">
        <f>IF(AQ5&gt;'Inputs and Assumptions'!$P$6, 0, IF('Inputs and Assumptions'!$L$5= "NO", INDEX('Amo Schedule - Senior'!$J$17:$J$376,MATCH('Monthly Cash Flow'!AQ$5,'Amo Schedule - Senior'!$C$17:$C$376,0)), IF('Monthly Cash Flow'!AQ5&lt;='Inputs and Assumptions'!$L$6,  INDEX('Amo Schedule - Senior'!$J$17:$J$376,MATCH('Monthly Cash Flow'!AQ$5,'Amo Schedule - Senior'!$C$17:$C$376,0)), VLOOKUP('Monthly Cash Flow'!AQ5-'Inputs and Assumptions'!$L$6, 'Amo Schedule - Refi'!$C$15:$I$374,7))))</f>
        <v>123375.00000000001</v>
      </c>
      <c r="AR106" s="438">
        <f>IF(AR5&gt;'Inputs and Assumptions'!$P$6, 0, IF('Inputs and Assumptions'!$L$5= "NO", INDEX('Amo Schedule - Senior'!$J$17:$J$376,MATCH('Monthly Cash Flow'!AR$5,'Amo Schedule - Senior'!$C$17:$C$376,0)), IF('Monthly Cash Flow'!AR5&lt;='Inputs and Assumptions'!$L$6,  INDEX('Amo Schedule - Senior'!$J$17:$J$376,MATCH('Monthly Cash Flow'!AR$5,'Amo Schedule - Senior'!$C$17:$C$376,0)), VLOOKUP('Monthly Cash Flow'!AR5-'Inputs and Assumptions'!$L$6, 'Amo Schedule - Refi'!$C$15:$I$374,7))))</f>
        <v>123375.00000000001</v>
      </c>
      <c r="AS106" s="438">
        <f>IF(AS5&gt;'Inputs and Assumptions'!$P$6, 0, IF('Inputs and Assumptions'!$L$5= "NO", INDEX('Amo Schedule - Senior'!$J$17:$J$376,MATCH('Monthly Cash Flow'!AS$5,'Amo Schedule - Senior'!$C$17:$C$376,0)), IF('Monthly Cash Flow'!AS5&lt;='Inputs and Assumptions'!$L$6,  INDEX('Amo Schedule - Senior'!$J$17:$J$376,MATCH('Monthly Cash Flow'!AS$5,'Amo Schedule - Senior'!$C$17:$C$376,0)), VLOOKUP('Monthly Cash Flow'!AS5-'Inputs and Assumptions'!$L$6, 'Amo Schedule - Refi'!$C$15:$I$374,7))))</f>
        <v>123375.00000000001</v>
      </c>
      <c r="AT106" s="438">
        <f>IF(AT5&gt;'Inputs and Assumptions'!$P$6, 0, IF('Inputs and Assumptions'!$L$5= "NO", INDEX('Amo Schedule - Senior'!$J$17:$J$376,MATCH('Monthly Cash Flow'!AT$5,'Amo Schedule - Senior'!$C$17:$C$376,0)), IF('Monthly Cash Flow'!AT5&lt;='Inputs and Assumptions'!$L$6,  INDEX('Amo Schedule - Senior'!$J$17:$J$376,MATCH('Monthly Cash Flow'!AT$5,'Amo Schedule - Senior'!$C$17:$C$376,0)), VLOOKUP('Monthly Cash Flow'!AT5-'Inputs and Assumptions'!$L$6, 'Amo Schedule - Refi'!$C$15:$I$374,7))))</f>
        <v>123375.00000000001</v>
      </c>
      <c r="AU106" s="438">
        <f>IF(AU5&gt;'Inputs and Assumptions'!$P$6, 0, IF('Inputs and Assumptions'!$L$5= "NO", INDEX('Amo Schedule - Senior'!$J$17:$J$376,MATCH('Monthly Cash Flow'!AU$5,'Amo Schedule - Senior'!$C$17:$C$376,0)), IF('Monthly Cash Flow'!AU5&lt;='Inputs and Assumptions'!$L$6,  INDEX('Amo Schedule - Senior'!$J$17:$J$376,MATCH('Monthly Cash Flow'!AU$5,'Amo Schedule - Senior'!$C$17:$C$376,0)), VLOOKUP('Monthly Cash Flow'!AU5-'Inputs and Assumptions'!$L$6, 'Amo Schedule - Refi'!$C$15:$I$374,7))))</f>
        <v>123375.00000000001</v>
      </c>
      <c r="AV106" s="438">
        <f>IF(AV5&gt;'Inputs and Assumptions'!$P$6, 0, IF('Inputs and Assumptions'!$L$5= "NO", INDEX('Amo Schedule - Senior'!$J$17:$J$376,MATCH('Monthly Cash Flow'!AV$5,'Amo Schedule - Senior'!$C$17:$C$376,0)), IF('Monthly Cash Flow'!AV5&lt;='Inputs and Assumptions'!$L$6,  INDEX('Amo Schedule - Senior'!$J$17:$J$376,MATCH('Monthly Cash Flow'!AV$5,'Amo Schedule - Senior'!$C$17:$C$376,0)), VLOOKUP('Monthly Cash Flow'!AV5-'Inputs and Assumptions'!$L$6, 'Amo Schedule - Refi'!$C$15:$I$374,7))))</f>
        <v>123375.00000000001</v>
      </c>
      <c r="AW106" s="438">
        <f>IF(AW5&gt;'Inputs and Assumptions'!$P$6, 0, IF('Inputs and Assumptions'!$L$5= "NO", INDEX('Amo Schedule - Senior'!$J$17:$J$376,MATCH('Monthly Cash Flow'!AW$5,'Amo Schedule - Senior'!$C$17:$C$376,0)), IF('Monthly Cash Flow'!AW5&lt;='Inputs and Assumptions'!$L$6,  INDEX('Amo Schedule - Senior'!$J$17:$J$376,MATCH('Monthly Cash Flow'!AW$5,'Amo Schedule - Senior'!$C$17:$C$376,0)), VLOOKUP('Monthly Cash Flow'!AW5-'Inputs and Assumptions'!$L$6, 'Amo Schedule - Refi'!$C$15:$I$374,7))))</f>
        <v>123375.00000000001</v>
      </c>
      <c r="AX106" s="438">
        <f>IF(AX5&gt;'Inputs and Assumptions'!$P$6, 0, IF('Inputs and Assumptions'!$L$5= "NO", INDEX('Amo Schedule - Senior'!$J$17:$J$376,MATCH('Monthly Cash Flow'!AX$5,'Amo Schedule - Senior'!$C$17:$C$376,0)), IF('Monthly Cash Flow'!AX5&lt;='Inputs and Assumptions'!$L$6,  INDEX('Amo Schedule - Senior'!$J$17:$J$376,MATCH('Monthly Cash Flow'!AX$5,'Amo Schedule - Senior'!$C$17:$C$376,0)), VLOOKUP('Monthly Cash Flow'!AX5-'Inputs and Assumptions'!$L$6, 'Amo Schedule - Refi'!$C$15:$I$374,7))))</f>
        <v>123375.00000000001</v>
      </c>
      <c r="AY106" s="438">
        <f>IF(AY5&gt;'Inputs and Assumptions'!$P$6, 0, IF('Inputs and Assumptions'!$L$5= "NO", INDEX('Amo Schedule - Senior'!$J$17:$J$376,MATCH('Monthly Cash Flow'!AY$5,'Amo Schedule - Senior'!$C$17:$C$376,0)), IF('Monthly Cash Flow'!AY5&lt;='Inputs and Assumptions'!$L$6,  INDEX('Amo Schedule - Senior'!$J$17:$J$376,MATCH('Monthly Cash Flow'!AY$5,'Amo Schedule - Senior'!$C$17:$C$376,0)), VLOOKUP('Monthly Cash Flow'!AY5-'Inputs and Assumptions'!$L$6, 'Amo Schedule - Refi'!$C$15:$I$374,7))))</f>
        <v>123375.00000000001</v>
      </c>
      <c r="AZ106" s="438">
        <f>IF(AZ5&gt;'Inputs and Assumptions'!$P$6, 0, IF('Inputs and Assumptions'!$L$5= "NO", INDEX('Amo Schedule - Senior'!$J$17:$J$376,MATCH('Monthly Cash Flow'!AZ$5,'Amo Schedule - Senior'!$C$17:$C$376,0)), IF('Monthly Cash Flow'!AZ5&lt;='Inputs and Assumptions'!$L$6,  INDEX('Amo Schedule - Senior'!$J$17:$J$376,MATCH('Monthly Cash Flow'!AZ$5,'Amo Schedule - Senior'!$C$17:$C$376,0)), VLOOKUP('Monthly Cash Flow'!AZ5-'Inputs and Assumptions'!$L$6, 'Amo Schedule - Refi'!$C$15:$I$374,7))))</f>
        <v>123375.00000000001</v>
      </c>
      <c r="BA106" s="438">
        <f>IF(BA5&gt;'Inputs and Assumptions'!$P$6, 0, IF('Inputs and Assumptions'!$L$5= "NO", INDEX('Amo Schedule - Senior'!$J$17:$J$376,MATCH('Monthly Cash Flow'!BA$5,'Amo Schedule - Senior'!$C$17:$C$376,0)), IF('Monthly Cash Flow'!BA5&lt;='Inputs and Assumptions'!$L$6,  INDEX('Amo Schedule - Senior'!$J$17:$J$376,MATCH('Monthly Cash Flow'!BA$5,'Amo Schedule - Senior'!$C$17:$C$376,0)), VLOOKUP('Monthly Cash Flow'!BA5-'Inputs and Assumptions'!$L$6, 'Amo Schedule - Refi'!$C$15:$I$374,7))))</f>
        <v>0</v>
      </c>
      <c r="BB106" s="438">
        <f>IF(BB5&gt;'Inputs and Assumptions'!$P$6, 0, IF('Inputs and Assumptions'!$L$5= "NO", INDEX('Amo Schedule - Senior'!$J$17:$J$376,MATCH('Monthly Cash Flow'!BB$5,'Amo Schedule - Senior'!$C$17:$C$376,0)), IF('Monthly Cash Flow'!BB5&lt;='Inputs and Assumptions'!$L$6,  INDEX('Amo Schedule - Senior'!$J$17:$J$376,MATCH('Monthly Cash Flow'!BB$5,'Amo Schedule - Senior'!$C$17:$C$376,0)), VLOOKUP('Monthly Cash Flow'!BB5-'Inputs and Assumptions'!$L$6, 'Amo Schedule - Refi'!$C$15:$I$374,7))))</f>
        <v>0</v>
      </c>
      <c r="BC106" s="438">
        <f>IF(BC5&gt;'Inputs and Assumptions'!$P$6, 0, IF('Inputs and Assumptions'!$L$5= "NO", INDEX('Amo Schedule - Senior'!$J$17:$J$376,MATCH('Monthly Cash Flow'!BC$5,'Amo Schedule - Senior'!$C$17:$C$376,0)), IF('Monthly Cash Flow'!BC5&lt;='Inputs and Assumptions'!$L$6,  INDEX('Amo Schedule - Senior'!$J$17:$J$376,MATCH('Monthly Cash Flow'!BC$5,'Amo Schedule - Senior'!$C$17:$C$376,0)), VLOOKUP('Monthly Cash Flow'!BC5-'Inputs and Assumptions'!$L$6, 'Amo Schedule - Refi'!$C$15:$I$374,7))))</f>
        <v>0</v>
      </c>
      <c r="BD106" s="438">
        <f>IF(BD5&gt;'Inputs and Assumptions'!$P$6, 0, IF('Inputs and Assumptions'!$L$5= "NO", INDEX('Amo Schedule - Senior'!$J$17:$J$376,MATCH('Monthly Cash Flow'!BD$5,'Amo Schedule - Senior'!$C$17:$C$376,0)), IF('Monthly Cash Flow'!BD5&lt;='Inputs and Assumptions'!$L$6,  INDEX('Amo Schedule - Senior'!$J$17:$J$376,MATCH('Monthly Cash Flow'!BD$5,'Amo Schedule - Senior'!$C$17:$C$376,0)), VLOOKUP('Monthly Cash Flow'!BD5-'Inputs and Assumptions'!$L$6, 'Amo Schedule - Refi'!$C$15:$I$374,7))))</f>
        <v>0</v>
      </c>
      <c r="BE106" s="438">
        <f>IF(BE5&gt;'Inputs and Assumptions'!$P$6, 0, IF('Inputs and Assumptions'!$L$5= "NO", INDEX('Amo Schedule - Senior'!$J$17:$J$376,MATCH('Monthly Cash Flow'!BE$5,'Amo Schedule - Senior'!$C$17:$C$376,0)), IF('Monthly Cash Flow'!BE5&lt;='Inputs and Assumptions'!$L$6,  INDEX('Amo Schedule - Senior'!$J$17:$J$376,MATCH('Monthly Cash Flow'!BE$5,'Amo Schedule - Senior'!$C$17:$C$376,0)), VLOOKUP('Monthly Cash Flow'!BE5-'Inputs and Assumptions'!$L$6, 'Amo Schedule - Refi'!$C$15:$I$374,7))))</f>
        <v>0</v>
      </c>
      <c r="BF106" s="438">
        <f>IF(BF5&gt;'Inputs and Assumptions'!$P$6, 0, IF('Inputs and Assumptions'!$L$5= "NO", INDEX('Amo Schedule - Senior'!$J$17:$J$376,MATCH('Monthly Cash Flow'!BF$5,'Amo Schedule - Senior'!$C$17:$C$376,0)), IF('Monthly Cash Flow'!BF5&lt;='Inputs and Assumptions'!$L$6,  INDEX('Amo Schedule - Senior'!$J$17:$J$376,MATCH('Monthly Cash Flow'!BF$5,'Amo Schedule - Senior'!$C$17:$C$376,0)), VLOOKUP('Monthly Cash Flow'!BF5-'Inputs and Assumptions'!$L$6, 'Amo Schedule - Refi'!$C$15:$I$374,7))))</f>
        <v>0</v>
      </c>
      <c r="BG106" s="438">
        <f>IF(BG5&gt;'Inputs and Assumptions'!$P$6, 0, IF('Inputs and Assumptions'!$L$5= "NO", INDEX('Amo Schedule - Senior'!$J$17:$J$376,MATCH('Monthly Cash Flow'!BG$5,'Amo Schedule - Senior'!$C$17:$C$376,0)), IF('Monthly Cash Flow'!BG5&lt;='Inputs and Assumptions'!$L$6,  INDEX('Amo Schedule - Senior'!$J$17:$J$376,MATCH('Monthly Cash Flow'!BG$5,'Amo Schedule - Senior'!$C$17:$C$376,0)), VLOOKUP('Monthly Cash Flow'!BG5-'Inputs and Assumptions'!$L$6, 'Amo Schedule - Refi'!$C$15:$I$374,7))))</f>
        <v>0</v>
      </c>
      <c r="BH106" s="438">
        <f>IF(BH5&gt;'Inputs and Assumptions'!$P$6, 0, IF('Inputs and Assumptions'!$L$5= "NO", INDEX('Amo Schedule - Senior'!$J$17:$J$376,MATCH('Monthly Cash Flow'!BH$5,'Amo Schedule - Senior'!$C$17:$C$376,0)), IF('Monthly Cash Flow'!BH5&lt;='Inputs and Assumptions'!$L$6,  INDEX('Amo Schedule - Senior'!$J$17:$J$376,MATCH('Monthly Cash Flow'!BH$5,'Amo Schedule - Senior'!$C$17:$C$376,0)), VLOOKUP('Monthly Cash Flow'!BH5-'Inputs and Assumptions'!$L$6, 'Amo Schedule - Refi'!$C$15:$I$374,7))))</f>
        <v>0</v>
      </c>
      <c r="BI106" s="438">
        <f>IF(BI5&gt;'Inputs and Assumptions'!$P$6, 0, IF('Inputs and Assumptions'!$L$5= "NO", INDEX('Amo Schedule - Senior'!$J$17:$J$376,MATCH('Monthly Cash Flow'!BI$5,'Amo Schedule - Senior'!$C$17:$C$376,0)), IF('Monthly Cash Flow'!BI5&lt;='Inputs and Assumptions'!$L$6,  INDEX('Amo Schedule - Senior'!$J$17:$J$376,MATCH('Monthly Cash Flow'!BI$5,'Amo Schedule - Senior'!$C$17:$C$376,0)), VLOOKUP('Monthly Cash Flow'!BI5-'Inputs and Assumptions'!$L$6, 'Amo Schedule - Refi'!$C$15:$I$374,7))))</f>
        <v>0</v>
      </c>
      <c r="BJ106" s="438">
        <f>IF(BJ5&gt;'Inputs and Assumptions'!$P$6, 0, IF('Inputs and Assumptions'!$L$5= "NO", INDEX('Amo Schedule - Senior'!$J$17:$J$376,MATCH('Monthly Cash Flow'!BJ$5,'Amo Schedule - Senior'!$C$17:$C$376,0)), IF('Monthly Cash Flow'!BJ5&lt;='Inputs and Assumptions'!$L$6,  INDEX('Amo Schedule - Senior'!$J$17:$J$376,MATCH('Monthly Cash Flow'!BJ$5,'Amo Schedule - Senior'!$C$17:$C$376,0)), VLOOKUP('Monthly Cash Flow'!BJ5-'Inputs and Assumptions'!$L$6, 'Amo Schedule - Refi'!$C$15:$I$374,7))))</f>
        <v>0</v>
      </c>
      <c r="BK106" s="438">
        <f>IF(BK5&gt;'Inputs and Assumptions'!$P$6, 0, IF('Inputs and Assumptions'!$L$5= "NO", INDEX('Amo Schedule - Senior'!$J$17:$J$376,MATCH('Monthly Cash Flow'!BK$5,'Amo Schedule - Senior'!$C$17:$C$376,0)), IF('Monthly Cash Flow'!BK5&lt;='Inputs and Assumptions'!$L$6,  INDEX('Amo Schedule - Senior'!$J$17:$J$376,MATCH('Monthly Cash Flow'!BK$5,'Amo Schedule - Senior'!$C$17:$C$376,0)), VLOOKUP('Monthly Cash Flow'!BK5-'Inputs and Assumptions'!$L$6, 'Amo Schedule - Refi'!$C$15:$I$374,7))))</f>
        <v>0</v>
      </c>
      <c r="BL106" s="438">
        <f>IF(BL5&gt;'Inputs and Assumptions'!$P$6, 0, IF('Inputs and Assumptions'!$L$5= "NO", INDEX('Amo Schedule - Senior'!$J$17:$J$376,MATCH('Monthly Cash Flow'!BL$5,'Amo Schedule - Senior'!$C$17:$C$376,0)), IF('Monthly Cash Flow'!BL5&lt;='Inputs and Assumptions'!$L$6,  INDEX('Amo Schedule - Senior'!$J$17:$J$376,MATCH('Monthly Cash Flow'!BL$5,'Amo Schedule - Senior'!$C$17:$C$376,0)), VLOOKUP('Monthly Cash Flow'!BL5-'Inputs and Assumptions'!$L$6, 'Amo Schedule - Refi'!$C$15:$I$374,7))))</f>
        <v>0</v>
      </c>
      <c r="BM106" s="438">
        <f>IF(BM5&gt;'Inputs and Assumptions'!$P$6, 0, IF('Inputs and Assumptions'!$L$5= "NO", INDEX('Amo Schedule - Senior'!$J$17:$J$376,MATCH('Monthly Cash Flow'!BM$5,'Amo Schedule - Senior'!$C$17:$C$376,0)), IF('Monthly Cash Flow'!BM5&lt;='Inputs and Assumptions'!$L$6,  INDEX('Amo Schedule - Senior'!$J$17:$J$376,MATCH('Monthly Cash Flow'!BM$5,'Amo Schedule - Senior'!$C$17:$C$376,0)), VLOOKUP('Monthly Cash Flow'!BM5-'Inputs and Assumptions'!$L$6, 'Amo Schedule - Refi'!$C$15:$I$374,7))))</f>
        <v>0</v>
      </c>
      <c r="BN106" s="438">
        <f>IF(BN5&gt;'Inputs and Assumptions'!$P$6, 0, IF('Inputs and Assumptions'!$L$5= "NO", INDEX('Amo Schedule - Senior'!$J$17:$J$376,MATCH('Monthly Cash Flow'!BN$5,'Amo Schedule - Senior'!$C$17:$C$376,0)), IF('Monthly Cash Flow'!BN5&lt;='Inputs and Assumptions'!$L$6,  INDEX('Amo Schedule - Senior'!$J$17:$J$376,MATCH('Monthly Cash Flow'!BN$5,'Amo Schedule - Senior'!$C$17:$C$376,0)), VLOOKUP('Monthly Cash Flow'!BN5-'Inputs and Assumptions'!$L$6, 'Amo Schedule - Refi'!$C$15:$I$374,7))))</f>
        <v>0</v>
      </c>
      <c r="BO106" s="438">
        <f>IF(BO5&gt;'Inputs and Assumptions'!$P$6, 0, IF('Inputs and Assumptions'!$L$5= "NO", INDEX('Amo Schedule - Senior'!$J$17:$J$376,MATCH('Monthly Cash Flow'!BO$5,'Amo Schedule - Senior'!$C$17:$C$376,0)), IF('Monthly Cash Flow'!BO5&lt;='Inputs and Assumptions'!$L$6,  INDEX('Amo Schedule - Senior'!$J$17:$J$376,MATCH('Monthly Cash Flow'!BO$5,'Amo Schedule - Senior'!$C$17:$C$376,0)), VLOOKUP('Monthly Cash Flow'!BO5-'Inputs and Assumptions'!$L$6, 'Amo Schedule - Refi'!$C$15:$I$374,7))))</f>
        <v>0</v>
      </c>
      <c r="BP106" s="438">
        <f>IF(BP5&gt;'Inputs and Assumptions'!$P$6, 0, IF('Inputs and Assumptions'!$L$5= "NO", INDEX('Amo Schedule - Senior'!$J$17:$J$376,MATCH('Monthly Cash Flow'!BP$5,'Amo Schedule - Senior'!$C$17:$C$376,0)), IF('Monthly Cash Flow'!BP5&lt;='Inputs and Assumptions'!$L$6,  INDEX('Amo Schedule - Senior'!$J$17:$J$376,MATCH('Monthly Cash Flow'!BP$5,'Amo Schedule - Senior'!$C$17:$C$376,0)), VLOOKUP('Monthly Cash Flow'!BP5-'Inputs and Assumptions'!$L$6, 'Amo Schedule - Refi'!$C$15:$I$374,7))))</f>
        <v>0</v>
      </c>
      <c r="BQ106" s="438">
        <f>IF(BQ5&gt;'Inputs and Assumptions'!$P$6, 0, IF('Inputs and Assumptions'!$L$5= "NO", INDEX('Amo Schedule - Senior'!$J$17:$J$376,MATCH('Monthly Cash Flow'!BQ$5,'Amo Schedule - Senior'!$C$17:$C$376,0)), IF('Monthly Cash Flow'!BQ5&lt;='Inputs and Assumptions'!$L$6,  INDEX('Amo Schedule - Senior'!$J$17:$J$376,MATCH('Monthly Cash Flow'!BQ$5,'Amo Schedule - Senior'!$C$17:$C$376,0)), VLOOKUP('Monthly Cash Flow'!BQ5-'Inputs and Assumptions'!$L$6, 'Amo Schedule - Refi'!$C$15:$I$374,7))))</f>
        <v>0</v>
      </c>
      <c r="BR106" s="438">
        <f>IF(BR5&gt;'Inputs and Assumptions'!$P$6, 0, IF('Inputs and Assumptions'!$L$5= "NO", INDEX('Amo Schedule - Senior'!$J$17:$J$376,MATCH('Monthly Cash Flow'!BR$5,'Amo Schedule - Senior'!$C$17:$C$376,0)), IF('Monthly Cash Flow'!BR5&lt;='Inputs and Assumptions'!$L$6,  INDEX('Amo Schedule - Senior'!$J$17:$J$376,MATCH('Monthly Cash Flow'!BR$5,'Amo Schedule - Senior'!$C$17:$C$376,0)), VLOOKUP('Monthly Cash Flow'!BR5-'Inputs and Assumptions'!$L$6, 'Amo Schedule - Refi'!$C$15:$I$374,7))))</f>
        <v>0</v>
      </c>
      <c r="BS106" s="438">
        <f>IF(BS5&gt;'Inputs and Assumptions'!$P$6, 0, IF('Inputs and Assumptions'!$L$5= "NO", INDEX('Amo Schedule - Senior'!$J$17:$J$376,MATCH('Monthly Cash Flow'!BS$5,'Amo Schedule - Senior'!$C$17:$C$376,0)), IF('Monthly Cash Flow'!BS5&lt;='Inputs and Assumptions'!$L$6,  INDEX('Amo Schedule - Senior'!$J$17:$J$376,MATCH('Monthly Cash Flow'!BS$5,'Amo Schedule - Senior'!$C$17:$C$376,0)), VLOOKUP('Monthly Cash Flow'!BS5-'Inputs and Assumptions'!$L$6, 'Amo Schedule - Refi'!$C$15:$I$374,7))))</f>
        <v>0</v>
      </c>
      <c r="BT106" s="438">
        <f>IF(BT5&gt;'Inputs and Assumptions'!$P$6, 0, IF('Inputs and Assumptions'!$L$5= "NO", INDEX('Amo Schedule - Senior'!$J$17:$J$376,MATCH('Monthly Cash Flow'!BT$5,'Amo Schedule - Senior'!$C$17:$C$376,0)), IF('Monthly Cash Flow'!BT5&lt;='Inputs and Assumptions'!$L$6,  INDEX('Amo Schedule - Senior'!$J$17:$J$376,MATCH('Monthly Cash Flow'!BT$5,'Amo Schedule - Senior'!$C$17:$C$376,0)), VLOOKUP('Monthly Cash Flow'!BT5-'Inputs and Assumptions'!$L$6, 'Amo Schedule - Refi'!$C$15:$I$374,7))))</f>
        <v>0</v>
      </c>
      <c r="BU106" s="438">
        <f>IF(BU5&gt;'Inputs and Assumptions'!$P$6, 0, IF('Inputs and Assumptions'!$L$5= "NO", INDEX('Amo Schedule - Senior'!$J$17:$J$376,MATCH('Monthly Cash Flow'!BU$5,'Amo Schedule - Senior'!$C$17:$C$376,0)), IF('Monthly Cash Flow'!BU5&lt;='Inputs and Assumptions'!$L$6,  INDEX('Amo Schedule - Senior'!$J$17:$J$376,MATCH('Monthly Cash Flow'!BU$5,'Amo Schedule - Senior'!$C$17:$C$376,0)), VLOOKUP('Monthly Cash Flow'!BU5-'Inputs and Assumptions'!$L$6, 'Amo Schedule - Refi'!$C$15:$I$374,7))))</f>
        <v>0</v>
      </c>
      <c r="BV106" s="438">
        <f>IF(BV5&gt;'Inputs and Assumptions'!$P$6, 0, IF('Inputs and Assumptions'!$L$5= "NO", INDEX('Amo Schedule - Senior'!$J$17:$J$376,MATCH('Monthly Cash Flow'!BV$5,'Amo Schedule - Senior'!$C$17:$C$376,0)), IF('Monthly Cash Flow'!BV5&lt;='Inputs and Assumptions'!$L$6,  INDEX('Amo Schedule - Senior'!$J$17:$J$376,MATCH('Monthly Cash Flow'!BV$5,'Amo Schedule - Senior'!$C$17:$C$376,0)), VLOOKUP('Monthly Cash Flow'!BV5-'Inputs and Assumptions'!$L$6, 'Amo Schedule - Refi'!$C$15:$I$374,7))))</f>
        <v>0</v>
      </c>
      <c r="BW106" s="438">
        <f>IF(BW5&gt;'Inputs and Assumptions'!$P$6, 0, IF('Inputs and Assumptions'!$L$5= "NO", INDEX('Amo Schedule - Senior'!$J$17:$J$376,MATCH('Monthly Cash Flow'!BW$5,'Amo Schedule - Senior'!$C$17:$C$376,0)), IF('Monthly Cash Flow'!BW5&lt;='Inputs and Assumptions'!$L$6,  INDEX('Amo Schedule - Senior'!$J$17:$J$376,MATCH('Monthly Cash Flow'!BW$5,'Amo Schedule - Senior'!$C$17:$C$376,0)), VLOOKUP('Monthly Cash Flow'!BW5-'Inputs and Assumptions'!$L$6, 'Amo Schedule - Refi'!$C$15:$I$374,7))))</f>
        <v>0</v>
      </c>
      <c r="BX106" s="438">
        <f>IF(BX5&gt;'Inputs and Assumptions'!$P$6, 0, IF('Inputs and Assumptions'!$L$5= "NO", INDEX('Amo Schedule - Senior'!$J$17:$J$376,MATCH('Monthly Cash Flow'!BX$5,'Amo Schedule - Senior'!$C$17:$C$376,0)), IF('Monthly Cash Flow'!BX5&lt;='Inputs and Assumptions'!$L$6,  INDEX('Amo Schedule - Senior'!$J$17:$J$376,MATCH('Monthly Cash Flow'!BX$5,'Amo Schedule - Senior'!$C$17:$C$376,0)), VLOOKUP('Monthly Cash Flow'!BX5-'Inputs and Assumptions'!$L$6, 'Amo Schedule - Refi'!$C$15:$I$374,7))))</f>
        <v>0</v>
      </c>
      <c r="BY106" s="438">
        <f>IF(BY5&gt;'Inputs and Assumptions'!$P$6, 0, IF('Inputs and Assumptions'!$L$5= "NO", INDEX('Amo Schedule - Senior'!$J$17:$J$376,MATCH('Monthly Cash Flow'!BY$5,'Amo Schedule - Senior'!$C$17:$C$376,0)), IF('Monthly Cash Flow'!BY5&lt;='Inputs and Assumptions'!$L$6,  INDEX('Amo Schedule - Senior'!$J$17:$J$376,MATCH('Monthly Cash Flow'!BY$5,'Amo Schedule - Senior'!$C$17:$C$376,0)), VLOOKUP('Monthly Cash Flow'!BY5-'Inputs and Assumptions'!$L$6, 'Amo Schedule - Refi'!$C$15:$I$374,7))))</f>
        <v>0</v>
      </c>
      <c r="BZ106" s="438">
        <f>IF(BZ5&gt;'Inputs and Assumptions'!$P$6, 0, IF('Inputs and Assumptions'!$L$5= "NO", INDEX('Amo Schedule - Senior'!$J$17:$J$376,MATCH('Monthly Cash Flow'!BZ$5,'Amo Schedule - Senior'!$C$17:$C$376,0)), IF('Monthly Cash Flow'!BZ5&lt;='Inputs and Assumptions'!$L$6,  INDEX('Amo Schedule - Senior'!$J$17:$J$376,MATCH('Monthly Cash Flow'!BZ$5,'Amo Schedule - Senior'!$C$17:$C$376,0)), VLOOKUP('Monthly Cash Flow'!BZ5-'Inputs and Assumptions'!$L$6, 'Amo Schedule - Refi'!$C$15:$I$374,7))))</f>
        <v>0</v>
      </c>
      <c r="CA106" s="438">
        <f>IF(CA5&gt;'Inputs and Assumptions'!$P$6, 0, IF('Inputs and Assumptions'!$L$5= "NO", INDEX('Amo Schedule - Senior'!$J$17:$J$376,MATCH('Monthly Cash Flow'!CA$5,'Amo Schedule - Senior'!$C$17:$C$376,0)), IF('Monthly Cash Flow'!CA5&lt;='Inputs and Assumptions'!$L$6,  INDEX('Amo Schedule - Senior'!$J$17:$J$376,MATCH('Monthly Cash Flow'!CA$5,'Amo Schedule - Senior'!$C$17:$C$376,0)), VLOOKUP('Monthly Cash Flow'!CA5-'Inputs and Assumptions'!$L$6, 'Amo Schedule - Refi'!$C$15:$I$374,7))))</f>
        <v>0</v>
      </c>
      <c r="CB106" s="438">
        <f>IF(CB5&gt;'Inputs and Assumptions'!$P$6, 0, IF('Inputs and Assumptions'!$L$5= "NO", INDEX('Amo Schedule - Senior'!$J$17:$J$376,MATCH('Monthly Cash Flow'!CB$5,'Amo Schedule - Senior'!$C$17:$C$376,0)), IF('Monthly Cash Flow'!CB5&lt;='Inputs and Assumptions'!$L$6,  INDEX('Amo Schedule - Senior'!$J$17:$J$376,MATCH('Monthly Cash Flow'!CB$5,'Amo Schedule - Senior'!$C$17:$C$376,0)), VLOOKUP('Monthly Cash Flow'!CB5-'Inputs and Assumptions'!$L$6, 'Amo Schedule - Refi'!$C$15:$I$374,7))))</f>
        <v>0</v>
      </c>
      <c r="CC106" s="438">
        <f>IF(CC5&gt;'Inputs and Assumptions'!$P$6, 0, IF('Inputs and Assumptions'!$L$5= "NO", INDEX('Amo Schedule - Senior'!$J$17:$J$376,MATCH('Monthly Cash Flow'!CC$5,'Amo Schedule - Senior'!$C$17:$C$376,0)), IF('Monthly Cash Flow'!CC5&lt;='Inputs and Assumptions'!$L$6,  INDEX('Amo Schedule - Senior'!$J$17:$J$376,MATCH('Monthly Cash Flow'!CC$5,'Amo Schedule - Senior'!$C$17:$C$376,0)), VLOOKUP('Monthly Cash Flow'!CC5-'Inputs and Assumptions'!$L$6, 'Amo Schedule - Refi'!$C$15:$I$374,7))))</f>
        <v>0</v>
      </c>
      <c r="CD106" s="438">
        <f>IF(CD5&gt;'Inputs and Assumptions'!$P$6, 0, IF('Inputs and Assumptions'!$L$5= "NO", INDEX('Amo Schedule - Senior'!$J$17:$J$376,MATCH('Monthly Cash Flow'!CD$5,'Amo Schedule - Senior'!$C$17:$C$376,0)), IF('Monthly Cash Flow'!CD5&lt;='Inputs and Assumptions'!$L$6,  INDEX('Amo Schedule - Senior'!$J$17:$J$376,MATCH('Monthly Cash Flow'!CD$5,'Amo Schedule - Senior'!$C$17:$C$376,0)), VLOOKUP('Monthly Cash Flow'!CD5-'Inputs and Assumptions'!$L$6, 'Amo Schedule - Refi'!$C$15:$I$374,7))))</f>
        <v>0</v>
      </c>
      <c r="CE106" s="438">
        <f>IF(CE5&gt;'Inputs and Assumptions'!$P$6, 0, IF('Inputs and Assumptions'!$L$5= "NO", INDEX('Amo Schedule - Senior'!$J$17:$J$376,MATCH('Monthly Cash Flow'!CE$5,'Amo Schedule - Senior'!$C$17:$C$376,0)), IF('Monthly Cash Flow'!CE5&lt;='Inputs and Assumptions'!$L$6,  INDEX('Amo Schedule - Senior'!$J$17:$J$376,MATCH('Monthly Cash Flow'!CE$5,'Amo Schedule - Senior'!$C$17:$C$376,0)), VLOOKUP('Monthly Cash Flow'!CE5-'Inputs and Assumptions'!$L$6, 'Amo Schedule - Refi'!$C$15:$I$374,7))))</f>
        <v>0</v>
      </c>
      <c r="CF106" s="438">
        <f>IF(CF5&gt;'Inputs and Assumptions'!$P$6, 0, IF('Inputs and Assumptions'!$L$5= "NO", INDEX('Amo Schedule - Senior'!$J$17:$J$376,MATCH('Monthly Cash Flow'!CF$5,'Amo Schedule - Senior'!$C$17:$C$376,0)), IF('Monthly Cash Flow'!CF5&lt;='Inputs and Assumptions'!$L$6,  INDEX('Amo Schedule - Senior'!$J$17:$J$376,MATCH('Monthly Cash Flow'!CF$5,'Amo Schedule - Senior'!$C$17:$C$376,0)), VLOOKUP('Monthly Cash Flow'!CF5-'Inputs and Assumptions'!$L$6, 'Amo Schedule - Refi'!$C$15:$I$374,7))))</f>
        <v>0</v>
      </c>
      <c r="CG106" s="438">
        <f>IF(CG5&gt;'Inputs and Assumptions'!$P$6, 0, IF('Inputs and Assumptions'!$L$5= "NO", INDEX('Amo Schedule - Senior'!$J$17:$J$376,MATCH('Monthly Cash Flow'!CG$5,'Amo Schedule - Senior'!$C$17:$C$376,0)), IF('Monthly Cash Flow'!CG5&lt;='Inputs and Assumptions'!$L$6,  INDEX('Amo Schedule - Senior'!$J$17:$J$376,MATCH('Monthly Cash Flow'!CG$5,'Amo Schedule - Senior'!$C$17:$C$376,0)), VLOOKUP('Monthly Cash Flow'!CG5-'Inputs and Assumptions'!$L$6, 'Amo Schedule - Refi'!$C$15:$I$374,7))))</f>
        <v>0</v>
      </c>
      <c r="CH106" s="438">
        <f>IF(CH5&gt;'Inputs and Assumptions'!$P$6, 0, IF('Inputs and Assumptions'!$L$5= "NO", INDEX('Amo Schedule - Senior'!$J$17:$J$376,MATCH('Monthly Cash Flow'!CH$5,'Amo Schedule - Senior'!$C$17:$C$376,0)), IF('Monthly Cash Flow'!CH5&lt;='Inputs and Assumptions'!$L$6,  INDEX('Amo Schedule - Senior'!$J$17:$J$376,MATCH('Monthly Cash Flow'!CH$5,'Amo Schedule - Senior'!$C$17:$C$376,0)), VLOOKUP('Monthly Cash Flow'!CH5-'Inputs and Assumptions'!$L$6, 'Amo Schedule - Refi'!$C$15:$I$374,7))))</f>
        <v>0</v>
      </c>
      <c r="CI106" s="438">
        <f>IF(CI5&gt;'Inputs and Assumptions'!$P$6, 0, IF('Inputs and Assumptions'!$L$5= "NO", INDEX('Amo Schedule - Senior'!$J$17:$J$376,MATCH('Monthly Cash Flow'!CI$5,'Amo Schedule - Senior'!$C$17:$C$376,0)), IF('Monthly Cash Flow'!CI5&lt;='Inputs and Assumptions'!$L$6,  INDEX('Amo Schedule - Senior'!$J$17:$J$376,MATCH('Monthly Cash Flow'!CI$5,'Amo Schedule - Senior'!$C$17:$C$376,0)), VLOOKUP('Monthly Cash Flow'!CI5-'Inputs and Assumptions'!$L$6, 'Amo Schedule - Refi'!$C$15:$I$374,7))))</f>
        <v>0</v>
      </c>
      <c r="CJ106" s="438">
        <f>IF(CJ5&gt;'Inputs and Assumptions'!$P$6, 0, IF('Inputs and Assumptions'!$L$5= "NO", INDEX('Amo Schedule - Senior'!$J$17:$J$376,MATCH('Monthly Cash Flow'!CJ$5,'Amo Schedule - Senior'!$C$17:$C$376,0)), IF('Monthly Cash Flow'!CJ5&lt;='Inputs and Assumptions'!$L$6,  INDEX('Amo Schedule - Senior'!$J$17:$J$376,MATCH('Monthly Cash Flow'!CJ$5,'Amo Schedule - Senior'!$C$17:$C$376,0)), VLOOKUP('Monthly Cash Flow'!CJ5-'Inputs and Assumptions'!$L$6, 'Amo Schedule - Refi'!$C$15:$I$374,7))))</f>
        <v>0</v>
      </c>
      <c r="CK106" s="438">
        <f>IF(CK5&gt;'Inputs and Assumptions'!$P$6, 0, IF('Inputs and Assumptions'!$L$5= "NO", INDEX('Amo Schedule - Senior'!$J$17:$J$376,MATCH('Monthly Cash Flow'!CK$5,'Amo Schedule - Senior'!$C$17:$C$376,0)), IF('Monthly Cash Flow'!CK5&lt;='Inputs and Assumptions'!$L$6,  INDEX('Amo Schedule - Senior'!$J$17:$J$376,MATCH('Monthly Cash Flow'!CK$5,'Amo Schedule - Senior'!$C$17:$C$376,0)), VLOOKUP('Monthly Cash Flow'!CK5-'Inputs and Assumptions'!$L$6, 'Amo Schedule - Refi'!$C$15:$I$374,7))))</f>
        <v>0</v>
      </c>
      <c r="CL106" s="438">
        <f>IF(CL5&gt;'Inputs and Assumptions'!$P$6, 0, IF('Inputs and Assumptions'!$L$5= "NO", INDEX('Amo Schedule - Senior'!$J$17:$J$376,MATCH('Monthly Cash Flow'!CL$5,'Amo Schedule - Senior'!$C$17:$C$376,0)), IF('Monthly Cash Flow'!CL5&lt;='Inputs and Assumptions'!$L$6,  INDEX('Amo Schedule - Senior'!$J$17:$J$376,MATCH('Monthly Cash Flow'!CL$5,'Amo Schedule - Senior'!$C$17:$C$376,0)), VLOOKUP('Monthly Cash Flow'!CL5-'Inputs and Assumptions'!$L$6, 'Amo Schedule - Refi'!$C$15:$I$374,7))))</f>
        <v>0</v>
      </c>
      <c r="CM106" s="438">
        <f>IF(CM5&gt;'Inputs and Assumptions'!$P$6, 0, IF('Inputs and Assumptions'!$L$5= "NO", INDEX('Amo Schedule - Senior'!$J$17:$J$376,MATCH('Monthly Cash Flow'!CM$5,'Amo Schedule - Senior'!$C$17:$C$376,0)), IF('Monthly Cash Flow'!CM5&lt;='Inputs and Assumptions'!$L$6,  INDEX('Amo Schedule - Senior'!$J$17:$J$376,MATCH('Monthly Cash Flow'!CM$5,'Amo Schedule - Senior'!$C$17:$C$376,0)), VLOOKUP('Monthly Cash Flow'!CM5-'Inputs and Assumptions'!$L$6, 'Amo Schedule - Refi'!$C$15:$I$374,7))))</f>
        <v>0</v>
      </c>
      <c r="CN106" s="438">
        <f>IF(CN5&gt;'Inputs and Assumptions'!$P$6, 0, IF('Inputs and Assumptions'!$L$5= "NO", INDEX('Amo Schedule - Senior'!$J$17:$J$376,MATCH('Monthly Cash Flow'!CN$5,'Amo Schedule - Senior'!$C$17:$C$376,0)), IF('Monthly Cash Flow'!CN5&lt;='Inputs and Assumptions'!$L$6,  INDEX('Amo Schedule - Senior'!$J$17:$J$376,MATCH('Monthly Cash Flow'!CN$5,'Amo Schedule - Senior'!$C$17:$C$376,0)), VLOOKUP('Monthly Cash Flow'!CN5-'Inputs and Assumptions'!$L$6, 'Amo Schedule - Refi'!$C$15:$I$374,7))))</f>
        <v>0</v>
      </c>
      <c r="CO106" s="438">
        <f>IF(CO5&gt;'Inputs and Assumptions'!$P$6, 0, IF('Inputs and Assumptions'!$L$5= "NO", INDEX('Amo Schedule - Senior'!$J$17:$J$376,MATCH('Monthly Cash Flow'!CO$5,'Amo Schedule - Senior'!$C$17:$C$376,0)), IF('Monthly Cash Flow'!CO5&lt;='Inputs and Assumptions'!$L$6,  INDEX('Amo Schedule - Senior'!$J$17:$J$376,MATCH('Monthly Cash Flow'!CO$5,'Amo Schedule - Senior'!$C$17:$C$376,0)), VLOOKUP('Monthly Cash Flow'!CO5-'Inputs and Assumptions'!$L$6, 'Amo Schedule - Refi'!$C$15:$I$374,7))))</f>
        <v>0</v>
      </c>
      <c r="CP106" s="438">
        <f>IF(CP5&gt;'Inputs and Assumptions'!$P$6, 0, IF('Inputs and Assumptions'!$L$5= "NO", INDEX('Amo Schedule - Senior'!$J$17:$J$376,MATCH('Monthly Cash Flow'!CP$5,'Amo Schedule - Senior'!$C$17:$C$376,0)), IF('Monthly Cash Flow'!CP5&lt;='Inputs and Assumptions'!$L$6,  INDEX('Amo Schedule - Senior'!$J$17:$J$376,MATCH('Monthly Cash Flow'!CP$5,'Amo Schedule - Senior'!$C$17:$C$376,0)), VLOOKUP('Monthly Cash Flow'!CP5-'Inputs and Assumptions'!$L$6, 'Amo Schedule - Refi'!$C$15:$I$374,7))))</f>
        <v>0</v>
      </c>
      <c r="CQ106" s="438">
        <f>IF(CQ5&gt;'Inputs and Assumptions'!$P$6, 0, IF('Inputs and Assumptions'!$L$5= "NO", INDEX('Amo Schedule - Senior'!$J$17:$J$376,MATCH('Monthly Cash Flow'!CQ$5,'Amo Schedule - Senior'!$C$17:$C$376,0)), IF('Monthly Cash Flow'!CQ5&lt;='Inputs and Assumptions'!$L$6,  INDEX('Amo Schedule - Senior'!$J$17:$J$376,MATCH('Monthly Cash Flow'!CQ$5,'Amo Schedule - Senior'!$C$17:$C$376,0)), VLOOKUP('Monthly Cash Flow'!CQ5-'Inputs and Assumptions'!$L$6, 'Amo Schedule - Refi'!$C$15:$I$374,7))))</f>
        <v>0</v>
      </c>
      <c r="CR106" s="438">
        <f>IF(CR5&gt;'Inputs and Assumptions'!$P$6, 0, IF('Inputs and Assumptions'!$L$5= "NO", INDEX('Amo Schedule - Senior'!$J$17:$J$376,MATCH('Monthly Cash Flow'!CR$5,'Amo Schedule - Senior'!$C$17:$C$376,0)), IF('Monthly Cash Flow'!CR5&lt;='Inputs and Assumptions'!$L$6,  INDEX('Amo Schedule - Senior'!$J$17:$J$376,MATCH('Monthly Cash Flow'!CR$5,'Amo Schedule - Senior'!$C$17:$C$376,0)), VLOOKUP('Monthly Cash Flow'!CR5-'Inputs and Assumptions'!$L$6, 'Amo Schedule - Refi'!$C$15:$I$374,7))))</f>
        <v>0</v>
      </c>
      <c r="CS106" s="438">
        <f>IF(CS5&gt;'Inputs and Assumptions'!$P$6, 0, IF('Inputs and Assumptions'!$L$5= "NO", INDEX('Amo Schedule - Senior'!$J$17:$J$376,MATCH('Monthly Cash Flow'!CS$5,'Amo Schedule - Senior'!$C$17:$C$376,0)), IF('Monthly Cash Flow'!CS5&lt;='Inputs and Assumptions'!$L$6,  INDEX('Amo Schedule - Senior'!$J$17:$J$376,MATCH('Monthly Cash Flow'!CS$5,'Amo Schedule - Senior'!$C$17:$C$376,0)), VLOOKUP('Monthly Cash Flow'!CS5-'Inputs and Assumptions'!$L$6, 'Amo Schedule - Refi'!$C$15:$I$374,7))))</f>
        <v>0</v>
      </c>
      <c r="CT106" s="438">
        <f>IF(CT5&gt;'Inputs and Assumptions'!$P$6, 0, IF('Inputs and Assumptions'!$L$5= "NO", INDEX('Amo Schedule - Senior'!$J$17:$J$376,MATCH('Monthly Cash Flow'!CT$5,'Amo Schedule - Senior'!$C$17:$C$376,0)), IF('Monthly Cash Flow'!CT5&lt;='Inputs and Assumptions'!$L$6,  INDEX('Amo Schedule - Senior'!$J$17:$J$376,MATCH('Monthly Cash Flow'!CT$5,'Amo Schedule - Senior'!$C$17:$C$376,0)), VLOOKUP('Monthly Cash Flow'!CT5-'Inputs and Assumptions'!$L$6, 'Amo Schedule - Refi'!$C$15:$I$374,7))))</f>
        <v>0</v>
      </c>
      <c r="CU106" s="438">
        <f>IF(CU5&gt;'Inputs and Assumptions'!$P$6, 0, IF('Inputs and Assumptions'!$L$5= "NO", INDEX('Amo Schedule - Senior'!$J$17:$J$376,MATCH('Monthly Cash Flow'!CU$5,'Amo Schedule - Senior'!$C$17:$C$376,0)), IF('Monthly Cash Flow'!CU5&lt;='Inputs and Assumptions'!$L$6,  INDEX('Amo Schedule - Senior'!$J$17:$J$376,MATCH('Monthly Cash Flow'!CU$5,'Amo Schedule - Senior'!$C$17:$C$376,0)), VLOOKUP('Monthly Cash Flow'!CU5-'Inputs and Assumptions'!$L$6, 'Amo Schedule - Refi'!$C$15:$I$374,7))))</f>
        <v>0</v>
      </c>
      <c r="CV106" s="438">
        <f>IF(CV5&gt;'Inputs and Assumptions'!$P$6, 0, IF('Inputs and Assumptions'!$L$5= "NO", INDEX('Amo Schedule - Senior'!$J$17:$J$376,MATCH('Monthly Cash Flow'!CV$5,'Amo Schedule - Senior'!$C$17:$C$376,0)), IF('Monthly Cash Flow'!CV5&lt;='Inputs and Assumptions'!$L$6,  INDEX('Amo Schedule - Senior'!$J$17:$J$376,MATCH('Monthly Cash Flow'!CV$5,'Amo Schedule - Senior'!$C$17:$C$376,0)), VLOOKUP('Monthly Cash Flow'!CV5-'Inputs and Assumptions'!$L$6, 'Amo Schedule - Refi'!$C$15:$I$374,7))))</f>
        <v>0</v>
      </c>
      <c r="CW106" s="438">
        <f>IF(CW5&gt;'Inputs and Assumptions'!$P$6, 0, IF('Inputs and Assumptions'!$L$5= "NO", INDEX('Amo Schedule - Senior'!$J$17:$J$376,MATCH('Monthly Cash Flow'!CW$5,'Amo Schedule - Senior'!$C$17:$C$376,0)), IF('Monthly Cash Flow'!CW5&lt;='Inputs and Assumptions'!$L$6,  INDEX('Amo Schedule - Senior'!$J$17:$J$376,MATCH('Monthly Cash Flow'!CW$5,'Amo Schedule - Senior'!$C$17:$C$376,0)), VLOOKUP('Monthly Cash Flow'!CW5-'Inputs and Assumptions'!$L$6, 'Amo Schedule - Refi'!$C$15:$I$374,7))))</f>
        <v>0</v>
      </c>
      <c r="CX106" s="438">
        <f>IF(CX5&gt;'Inputs and Assumptions'!$P$6, 0, IF('Inputs and Assumptions'!$L$5= "NO", INDEX('Amo Schedule - Senior'!$J$17:$J$376,MATCH('Monthly Cash Flow'!CX$5,'Amo Schedule - Senior'!$C$17:$C$376,0)), IF('Monthly Cash Flow'!CX5&lt;='Inputs and Assumptions'!$L$6,  INDEX('Amo Schedule - Senior'!$J$17:$J$376,MATCH('Monthly Cash Flow'!CX$5,'Amo Schedule - Senior'!$C$17:$C$376,0)), VLOOKUP('Monthly Cash Flow'!CX5-'Inputs and Assumptions'!$L$6, 'Amo Schedule - Refi'!$C$15:$I$374,7))))</f>
        <v>0</v>
      </c>
      <c r="CY106" s="438">
        <f>IF(CY5&gt;'Inputs and Assumptions'!$P$6, 0, IF('Inputs and Assumptions'!$L$5= "NO", INDEX('Amo Schedule - Senior'!$J$17:$J$376,MATCH('Monthly Cash Flow'!CY$5,'Amo Schedule - Senior'!$C$17:$C$376,0)), IF('Monthly Cash Flow'!CY5&lt;='Inputs and Assumptions'!$L$6,  INDEX('Amo Schedule - Senior'!$J$17:$J$376,MATCH('Monthly Cash Flow'!CY$5,'Amo Schedule - Senior'!$C$17:$C$376,0)), VLOOKUP('Monthly Cash Flow'!CY5-'Inputs and Assumptions'!$L$6, 'Amo Schedule - Refi'!$C$15:$I$374,7))))</f>
        <v>0</v>
      </c>
      <c r="CZ106" s="438">
        <f>IF(CZ5&gt;'Inputs and Assumptions'!$P$6, 0, IF('Inputs and Assumptions'!$L$5= "NO", INDEX('Amo Schedule - Senior'!$J$17:$J$376,MATCH('Monthly Cash Flow'!CZ$5,'Amo Schedule - Senior'!$C$17:$C$376,0)), IF('Monthly Cash Flow'!CZ5&lt;='Inputs and Assumptions'!$L$6,  INDEX('Amo Schedule - Senior'!$J$17:$J$376,MATCH('Monthly Cash Flow'!CZ$5,'Amo Schedule - Senior'!$C$17:$C$376,0)), VLOOKUP('Monthly Cash Flow'!CZ5-'Inputs and Assumptions'!$L$6, 'Amo Schedule - Refi'!$C$15:$I$374,7))))</f>
        <v>0</v>
      </c>
      <c r="DA106" s="438">
        <f>IF(DA5&gt;'Inputs and Assumptions'!$P$6, 0, IF('Inputs and Assumptions'!$L$5= "NO", INDEX('Amo Schedule - Senior'!$J$17:$J$376,MATCH('Monthly Cash Flow'!DA$5,'Amo Schedule - Senior'!$C$17:$C$376,0)), IF('Monthly Cash Flow'!DA5&lt;='Inputs and Assumptions'!$L$6,  INDEX('Amo Schedule - Senior'!$J$17:$J$376,MATCH('Monthly Cash Flow'!DA$5,'Amo Schedule - Senior'!$C$17:$C$376,0)), VLOOKUP('Monthly Cash Flow'!DA5-'Inputs and Assumptions'!$L$6, 'Amo Schedule - Refi'!$C$15:$I$374,7))))</f>
        <v>0</v>
      </c>
      <c r="DB106" s="438">
        <f>IF(DB5&gt;'Inputs and Assumptions'!$P$6, 0, IF('Inputs and Assumptions'!$L$5= "NO", INDEX('Amo Schedule - Senior'!$J$17:$J$376,MATCH('Monthly Cash Flow'!DB$5,'Amo Schedule - Senior'!$C$17:$C$376,0)), IF('Monthly Cash Flow'!DB5&lt;='Inputs and Assumptions'!$L$6,  INDEX('Amo Schedule - Senior'!$J$17:$J$376,MATCH('Monthly Cash Flow'!DB$5,'Amo Schedule - Senior'!$C$17:$C$376,0)), VLOOKUP('Monthly Cash Flow'!DB5-'Inputs and Assumptions'!$L$6, 'Amo Schedule - Refi'!$C$15:$I$374,7))))</f>
        <v>0</v>
      </c>
      <c r="DC106" s="438">
        <f>IF(DC5&gt;'Inputs and Assumptions'!$P$6, 0, IF('Inputs and Assumptions'!$L$5= "NO", INDEX('Amo Schedule - Senior'!$J$17:$J$376,MATCH('Monthly Cash Flow'!DC$5,'Amo Schedule - Senior'!$C$17:$C$376,0)), IF('Monthly Cash Flow'!DC5&lt;='Inputs and Assumptions'!$L$6,  INDEX('Amo Schedule - Senior'!$J$17:$J$376,MATCH('Monthly Cash Flow'!DC$5,'Amo Schedule - Senior'!$C$17:$C$376,0)), VLOOKUP('Monthly Cash Flow'!DC5-'Inputs and Assumptions'!$L$6, 'Amo Schedule - Refi'!$C$15:$I$374,7))))</f>
        <v>0</v>
      </c>
      <c r="DD106" s="438">
        <f>IF(DD5&gt;'Inputs and Assumptions'!$P$6, 0, IF('Inputs and Assumptions'!$L$5= "NO", INDEX('Amo Schedule - Senior'!$J$17:$J$376,MATCH('Monthly Cash Flow'!DD$5,'Amo Schedule - Senior'!$C$17:$C$376,0)), IF('Monthly Cash Flow'!DD5&lt;='Inputs and Assumptions'!$L$6,  INDEX('Amo Schedule - Senior'!$J$17:$J$376,MATCH('Monthly Cash Flow'!DD$5,'Amo Schedule - Senior'!$C$17:$C$376,0)), VLOOKUP('Monthly Cash Flow'!DD5-'Inputs and Assumptions'!$L$6, 'Amo Schedule - Refi'!$C$15:$I$374,7))))</f>
        <v>0</v>
      </c>
      <c r="DE106" s="438">
        <f>IF(DE5&gt;'Inputs and Assumptions'!$P$6, 0, IF('Inputs and Assumptions'!$L$5= "NO", INDEX('Amo Schedule - Senior'!$J$17:$J$376,MATCH('Monthly Cash Flow'!DE$5,'Amo Schedule - Senior'!$C$17:$C$376,0)), IF('Monthly Cash Flow'!DE5&lt;='Inputs and Assumptions'!$L$6,  INDEX('Amo Schedule - Senior'!$J$17:$J$376,MATCH('Monthly Cash Flow'!DE$5,'Amo Schedule - Senior'!$C$17:$C$376,0)), VLOOKUP('Monthly Cash Flow'!DE5-'Inputs and Assumptions'!$L$6, 'Amo Schedule - Refi'!$C$15:$I$374,7))))</f>
        <v>0</v>
      </c>
      <c r="DF106" s="438">
        <f>IF(DF5&gt;'Inputs and Assumptions'!$P$6, 0, IF('Inputs and Assumptions'!$L$5= "NO", INDEX('Amo Schedule - Senior'!$J$17:$J$376,MATCH('Monthly Cash Flow'!DF$5,'Amo Schedule - Senior'!$C$17:$C$376,0)), IF('Monthly Cash Flow'!DF5&lt;='Inputs and Assumptions'!$L$6,  INDEX('Amo Schedule - Senior'!$J$17:$J$376,MATCH('Monthly Cash Flow'!DF$5,'Amo Schedule - Senior'!$C$17:$C$376,0)), VLOOKUP('Monthly Cash Flow'!DF5-'Inputs and Assumptions'!$L$6, 'Amo Schedule - Refi'!$C$15:$I$374,7))))</f>
        <v>0</v>
      </c>
      <c r="DG106" s="438">
        <f>IF(DG5&gt;'Inputs and Assumptions'!$P$6, 0, IF('Inputs and Assumptions'!$L$5= "NO", INDEX('Amo Schedule - Senior'!$J$17:$J$376,MATCH('Monthly Cash Flow'!DG$5,'Amo Schedule - Senior'!$C$17:$C$376,0)), IF('Monthly Cash Flow'!DG5&lt;='Inputs and Assumptions'!$L$6,  INDEX('Amo Schedule - Senior'!$J$17:$J$376,MATCH('Monthly Cash Flow'!DG$5,'Amo Schedule - Senior'!$C$17:$C$376,0)), VLOOKUP('Monthly Cash Flow'!DG5-'Inputs and Assumptions'!$L$6, 'Amo Schedule - Refi'!$C$15:$I$374,7))))</f>
        <v>0</v>
      </c>
      <c r="DH106" s="438">
        <f>IF(DH5&gt;'Inputs and Assumptions'!$P$6, 0, IF('Inputs and Assumptions'!$L$5= "NO", INDEX('Amo Schedule - Senior'!$J$17:$J$376,MATCH('Monthly Cash Flow'!DH$5,'Amo Schedule - Senior'!$C$17:$C$376,0)), IF('Monthly Cash Flow'!DH5&lt;='Inputs and Assumptions'!$L$6,  INDEX('Amo Schedule - Senior'!$J$17:$J$376,MATCH('Monthly Cash Flow'!DH$5,'Amo Schedule - Senior'!$C$17:$C$376,0)), VLOOKUP('Monthly Cash Flow'!DH5-'Inputs and Assumptions'!$L$6, 'Amo Schedule - Refi'!$C$15:$I$374,7))))</f>
        <v>0</v>
      </c>
      <c r="DI106" s="438">
        <f>IF(DI5&gt;'Inputs and Assumptions'!$P$6, 0, IF('Inputs and Assumptions'!$L$5= "NO", INDEX('Amo Schedule - Senior'!$J$17:$J$376,MATCH('Monthly Cash Flow'!DI$5,'Amo Schedule - Senior'!$C$17:$C$376,0)), IF('Monthly Cash Flow'!DI5&lt;='Inputs and Assumptions'!$L$6,  INDEX('Amo Schedule - Senior'!$J$17:$J$376,MATCH('Monthly Cash Flow'!DI$5,'Amo Schedule - Senior'!$C$17:$C$376,0)), VLOOKUP('Monthly Cash Flow'!DI5-'Inputs and Assumptions'!$L$6, 'Amo Schedule - Refi'!$C$15:$I$374,7))))</f>
        <v>0</v>
      </c>
      <c r="DJ106" s="438">
        <f>IF(DJ5&gt;'Inputs and Assumptions'!$P$6, 0, IF('Inputs and Assumptions'!$L$5= "NO", INDEX('Amo Schedule - Senior'!$J$17:$J$376,MATCH('Monthly Cash Flow'!DJ$5,'Amo Schedule - Senior'!$C$17:$C$376,0)), IF('Monthly Cash Flow'!DJ5&lt;='Inputs and Assumptions'!$L$6,  INDEX('Amo Schedule - Senior'!$J$17:$J$376,MATCH('Monthly Cash Flow'!DJ$5,'Amo Schedule - Senior'!$C$17:$C$376,0)), VLOOKUP('Monthly Cash Flow'!DJ5-'Inputs and Assumptions'!$L$6, 'Amo Schedule - Refi'!$C$15:$I$374,7))))</f>
        <v>0</v>
      </c>
      <c r="DK106" s="438">
        <f>IF(DK5&gt;'Inputs and Assumptions'!$P$6, 0, IF('Inputs and Assumptions'!$L$5= "NO", INDEX('Amo Schedule - Senior'!$J$17:$J$376,MATCH('Monthly Cash Flow'!DK$5,'Amo Schedule - Senior'!$C$17:$C$376,0)), IF('Monthly Cash Flow'!DK5&lt;='Inputs and Assumptions'!$L$6,  INDEX('Amo Schedule - Senior'!$J$17:$J$376,MATCH('Monthly Cash Flow'!DK$5,'Amo Schedule - Senior'!$C$17:$C$376,0)), VLOOKUP('Monthly Cash Flow'!DK5-'Inputs and Assumptions'!$L$6, 'Amo Schedule - Refi'!$C$15:$I$374,7))))</f>
        <v>0</v>
      </c>
      <c r="DL106" s="438">
        <f>IF(DL5&gt;'Inputs and Assumptions'!$P$6, 0, IF('Inputs and Assumptions'!$L$5= "NO", INDEX('Amo Schedule - Senior'!$J$17:$J$376,MATCH('Monthly Cash Flow'!DL$5,'Amo Schedule - Senior'!$C$17:$C$376,0)), IF('Monthly Cash Flow'!DL5&lt;='Inputs and Assumptions'!$L$6,  INDEX('Amo Schedule - Senior'!$J$17:$J$376,MATCH('Monthly Cash Flow'!DL$5,'Amo Schedule - Senior'!$C$17:$C$376,0)), VLOOKUP('Monthly Cash Flow'!DL5-'Inputs and Assumptions'!$L$6, 'Amo Schedule - Refi'!$C$15:$I$374,7))))</f>
        <v>0</v>
      </c>
      <c r="DM106" s="438">
        <f>IF(DM5&gt;'Inputs and Assumptions'!$P$6, 0, IF('Inputs and Assumptions'!$L$5= "NO", INDEX('Amo Schedule - Senior'!$J$17:$J$376,MATCH('Monthly Cash Flow'!DM$5,'Amo Schedule - Senior'!$C$17:$C$376,0)), IF('Monthly Cash Flow'!DM5&lt;='Inputs and Assumptions'!$L$6,  INDEX('Amo Schedule - Senior'!$J$17:$J$376,MATCH('Monthly Cash Flow'!DM$5,'Amo Schedule - Senior'!$C$17:$C$376,0)), VLOOKUP('Monthly Cash Flow'!DM5-'Inputs and Assumptions'!$L$6, 'Amo Schedule - Refi'!$C$15:$I$374,7))))</f>
        <v>0</v>
      </c>
      <c r="DN106" s="438">
        <f>IF(DN5&gt;'Inputs and Assumptions'!$P$6, 0, IF('Inputs and Assumptions'!$L$5= "NO", INDEX('Amo Schedule - Senior'!$J$17:$J$376,MATCH('Monthly Cash Flow'!DN$5,'Amo Schedule - Senior'!$C$17:$C$376,0)), IF('Monthly Cash Flow'!DN5&lt;='Inputs and Assumptions'!$L$6,  INDEX('Amo Schedule - Senior'!$J$17:$J$376,MATCH('Monthly Cash Flow'!DN$5,'Amo Schedule - Senior'!$C$17:$C$376,0)), VLOOKUP('Monthly Cash Flow'!DN5-'Inputs and Assumptions'!$L$6, 'Amo Schedule - Refi'!$C$15:$I$374,7))))</f>
        <v>0</v>
      </c>
      <c r="DO106" s="438">
        <f>IF(DO5&gt;'Inputs and Assumptions'!$P$6, 0, IF('Inputs and Assumptions'!$L$5= "NO", INDEX('Amo Schedule - Senior'!$J$17:$J$376,MATCH('Monthly Cash Flow'!DO$5,'Amo Schedule - Senior'!$C$17:$C$376,0)), IF('Monthly Cash Flow'!DO5&lt;='Inputs and Assumptions'!$L$6,  INDEX('Amo Schedule - Senior'!$J$17:$J$376,MATCH('Monthly Cash Flow'!DO$5,'Amo Schedule - Senior'!$C$17:$C$376,0)), VLOOKUP('Monthly Cash Flow'!DO5-'Inputs and Assumptions'!$L$6, 'Amo Schedule - Refi'!$C$15:$I$374,7))))</f>
        <v>0</v>
      </c>
      <c r="DP106" s="438">
        <f>IF(DP5&gt;'Inputs and Assumptions'!$P$6, 0, IF('Inputs and Assumptions'!$L$5= "NO", INDEX('Amo Schedule - Senior'!$J$17:$J$376,MATCH('Monthly Cash Flow'!DP$5,'Amo Schedule - Senior'!$C$17:$C$376,0)), IF('Monthly Cash Flow'!DP5&lt;='Inputs and Assumptions'!$L$6,  INDEX('Amo Schedule - Senior'!$J$17:$J$376,MATCH('Monthly Cash Flow'!DP$5,'Amo Schedule - Senior'!$C$17:$C$376,0)), VLOOKUP('Monthly Cash Flow'!DP5-'Inputs and Assumptions'!$L$6, 'Amo Schedule - Refi'!$C$15:$I$374,7))))</f>
        <v>0</v>
      </c>
      <c r="DQ106" s="438">
        <f>IF(DQ5&gt;'Inputs and Assumptions'!$P$6, 0, IF('Inputs and Assumptions'!$L$5= "NO", INDEX('Amo Schedule - Senior'!$J$17:$J$376,MATCH('Monthly Cash Flow'!DQ$5,'Amo Schedule - Senior'!$C$17:$C$376,0)), IF('Monthly Cash Flow'!DQ5&lt;='Inputs and Assumptions'!$L$6,  INDEX('Amo Schedule - Senior'!$J$17:$J$376,MATCH('Monthly Cash Flow'!DQ$5,'Amo Schedule - Senior'!$C$17:$C$376,0)), VLOOKUP('Monthly Cash Flow'!DQ5-'Inputs and Assumptions'!$L$6, 'Amo Schedule - Refi'!$C$15:$I$374,7))))</f>
        <v>0</v>
      </c>
      <c r="DR106" s="438">
        <f>IF(DR5&gt;'Inputs and Assumptions'!$P$6, 0, IF('Inputs and Assumptions'!$L$5= "NO", INDEX('Amo Schedule - Senior'!$J$17:$J$376,MATCH('Monthly Cash Flow'!DR$5,'Amo Schedule - Senior'!$C$17:$C$376,0)), IF('Monthly Cash Flow'!DR5&lt;='Inputs and Assumptions'!$L$6,  INDEX('Amo Schedule - Senior'!$J$17:$J$376,MATCH('Monthly Cash Flow'!DR$5,'Amo Schedule - Senior'!$C$17:$C$376,0)), VLOOKUP('Monthly Cash Flow'!DR5-'Inputs and Assumptions'!$L$6, 'Amo Schedule - Refi'!$C$15:$I$374,7))))</f>
        <v>0</v>
      </c>
      <c r="DS106" s="438">
        <f>IF(DS5&gt;'Inputs and Assumptions'!$P$6, 0, IF('Inputs and Assumptions'!$L$5= "NO", INDEX('Amo Schedule - Senior'!$J$17:$J$376,MATCH('Monthly Cash Flow'!DS$5,'Amo Schedule - Senior'!$C$17:$C$376,0)), IF('Monthly Cash Flow'!DS5&lt;='Inputs and Assumptions'!$L$6,  INDEX('Amo Schedule - Senior'!$J$17:$J$376,MATCH('Monthly Cash Flow'!DS$5,'Amo Schedule - Senior'!$C$17:$C$376,0)), VLOOKUP('Monthly Cash Flow'!DS5-'Inputs and Assumptions'!$L$6, 'Amo Schedule - Refi'!$C$15:$I$374,7))))</f>
        <v>0</v>
      </c>
      <c r="DT106" s="438">
        <f>IF(DT5&gt;'Inputs and Assumptions'!$P$6, 0, IF('Inputs and Assumptions'!$L$5= "NO", INDEX('Amo Schedule - Senior'!$J$17:$J$376,MATCH('Monthly Cash Flow'!DT$5,'Amo Schedule - Senior'!$C$17:$C$376,0)), IF('Monthly Cash Flow'!DT5&lt;='Inputs and Assumptions'!$L$6,  INDEX('Amo Schedule - Senior'!$J$17:$J$376,MATCH('Monthly Cash Flow'!DT$5,'Amo Schedule - Senior'!$C$17:$C$376,0)), VLOOKUP('Monthly Cash Flow'!DT5-'Inputs and Assumptions'!$L$6, 'Amo Schedule - Refi'!$C$15:$I$374,7))))</f>
        <v>0</v>
      </c>
      <c r="DU106" s="439" t="s">
        <v>557</v>
      </c>
    </row>
    <row r="107" spans="1:125" ht="19">
      <c r="B107" s="203" t="s">
        <v>1092</v>
      </c>
      <c r="D107" s="437"/>
      <c r="E107" s="438">
        <f>IF(E5&gt;'Inputs and Assumptions'!$P$6,0,IF('Inputs and Assumptions'!$H$37="NO",0,IF('Monthly Cash Flow'!E5&lt;='Inputs and Assumptions'!$H$38,0,VLOOKUP(E5-'Inputs and Assumptions'!$H$38,'Amo Schedule - Supplemental'!$C$14:$I$373,7))))</f>
        <v>0</v>
      </c>
      <c r="F107" s="438">
        <f>IF(F5&gt;'Inputs and Assumptions'!$P$6,0,IF('Inputs and Assumptions'!$H$37="NO",0,IF('Monthly Cash Flow'!F5&lt;='Inputs and Assumptions'!$H$38,0,VLOOKUP(F5-'Inputs and Assumptions'!$H$38,'Amo Schedule - Supplemental'!$C$14:$I$373,7))))</f>
        <v>0</v>
      </c>
      <c r="G107" s="438">
        <f>IF(G5&gt;'Inputs and Assumptions'!$P$6,0,IF('Inputs and Assumptions'!$H$37="NO",0,IF('Monthly Cash Flow'!G5&lt;='Inputs and Assumptions'!$H$38,0,VLOOKUP(G5-'Inputs and Assumptions'!$H$38,'Amo Schedule - Supplemental'!$C$14:$I$373,7))))</f>
        <v>0</v>
      </c>
      <c r="H107" s="438">
        <f>IF(H5&gt;'Inputs and Assumptions'!$P$6,0,IF('Inputs and Assumptions'!$H$37="NO",0,IF('Monthly Cash Flow'!H5&lt;='Inputs and Assumptions'!$H$38,0,VLOOKUP(H5-'Inputs and Assumptions'!$H$38,'Amo Schedule - Supplemental'!$C$14:$I$373,7))))</f>
        <v>0</v>
      </c>
      <c r="I107" s="438">
        <f>IF(I5&gt;'Inputs and Assumptions'!$P$6,0,IF('Inputs and Assumptions'!$H$37="NO",0,IF('Monthly Cash Flow'!I5&lt;='Inputs and Assumptions'!$H$38,0,VLOOKUP(I5-'Inputs and Assumptions'!$H$38,'Amo Schedule - Supplemental'!$C$14:$I$373,7))))</f>
        <v>0</v>
      </c>
      <c r="J107" s="438">
        <f>IF(J5&gt;'Inputs and Assumptions'!$P$6,0,IF('Inputs and Assumptions'!$H$37="NO",0,IF('Monthly Cash Flow'!J5&lt;='Inputs and Assumptions'!$H$38,0,VLOOKUP(J5-'Inputs and Assumptions'!$H$38,'Amo Schedule - Supplemental'!$C$14:$I$373,7))))</f>
        <v>0</v>
      </c>
      <c r="K107" s="438">
        <f>IF(K5&gt;'Inputs and Assumptions'!$P$6,0,IF('Inputs and Assumptions'!$H$37="NO",0,IF('Monthly Cash Flow'!K5&lt;='Inputs and Assumptions'!$H$38,0,VLOOKUP(K5-'Inputs and Assumptions'!$H$38,'Amo Schedule - Supplemental'!$C$14:$I$373,7))))</f>
        <v>0</v>
      </c>
      <c r="L107" s="438">
        <f>IF(L5&gt;'Inputs and Assumptions'!$P$6,0,IF('Inputs and Assumptions'!$H$37="NO",0,IF('Monthly Cash Flow'!L5&lt;='Inputs and Assumptions'!$H$38,0,VLOOKUP(L5-'Inputs and Assumptions'!$H$38,'Amo Schedule - Supplemental'!$C$14:$I$373,7))))</f>
        <v>0</v>
      </c>
      <c r="M107" s="438">
        <f>IF(M5&gt;'Inputs and Assumptions'!$P$6,0,IF('Inputs and Assumptions'!$H$37="NO",0,IF('Monthly Cash Flow'!M5&lt;='Inputs and Assumptions'!$H$38,0,VLOOKUP(M5-'Inputs and Assumptions'!$H$38,'Amo Schedule - Supplemental'!$C$14:$I$373,7))))</f>
        <v>0</v>
      </c>
      <c r="N107" s="438">
        <f>IF(N5&gt;'Inputs and Assumptions'!$P$6,0,IF('Inputs and Assumptions'!$H$37="NO",0,IF('Monthly Cash Flow'!N5&lt;='Inputs and Assumptions'!$H$38,0,VLOOKUP(N5-'Inputs and Assumptions'!$H$38,'Amo Schedule - Supplemental'!$C$14:$I$373,7))))</f>
        <v>0</v>
      </c>
      <c r="O107" s="438">
        <f>IF(O5&gt;'Inputs and Assumptions'!$P$6,0,IF('Inputs and Assumptions'!$H$37="NO",0,IF('Monthly Cash Flow'!O5&lt;='Inputs and Assumptions'!$H$38,0,VLOOKUP(O5-'Inputs and Assumptions'!$H$38,'Amo Schedule - Supplemental'!$C$14:$I$373,7))))</f>
        <v>0</v>
      </c>
      <c r="P107" s="438">
        <f>IF(P5&gt;'Inputs and Assumptions'!$P$6,0,IF('Inputs and Assumptions'!$H$37="NO",0,IF('Monthly Cash Flow'!P5&lt;='Inputs and Assumptions'!$H$38,0,VLOOKUP(P5-'Inputs and Assumptions'!$H$38,'Amo Schedule - Supplemental'!$C$14:$I$373,7))))</f>
        <v>0</v>
      </c>
      <c r="Q107" s="438">
        <f>IF(Q5&gt;'Inputs and Assumptions'!$P$6,0,IF('Inputs and Assumptions'!$H$37="NO",0,IF('Monthly Cash Flow'!Q5&lt;='Inputs and Assumptions'!$H$38,0,VLOOKUP(Q5-'Inputs and Assumptions'!$H$38,'Amo Schedule - Supplemental'!$C$14:$I$373,7))))</f>
        <v>0</v>
      </c>
      <c r="R107" s="438">
        <f>IF(R5&gt;'Inputs and Assumptions'!$P$6,0,IF('Inputs and Assumptions'!$H$37="NO",0,IF('Monthly Cash Flow'!R5&lt;='Inputs and Assumptions'!$H$38,0,VLOOKUP(R5-'Inputs and Assumptions'!$H$38,'Amo Schedule - Supplemental'!$C$14:$I$373,7))))</f>
        <v>0</v>
      </c>
      <c r="S107" s="438">
        <f>IF(S5&gt;'Inputs and Assumptions'!$P$6,0,IF('Inputs and Assumptions'!$H$37="NO",0,IF('Monthly Cash Flow'!S5&lt;='Inputs and Assumptions'!$H$38,0,VLOOKUP(S5-'Inputs and Assumptions'!$H$38,'Amo Schedule - Supplemental'!$C$14:$I$373,7))))</f>
        <v>0</v>
      </c>
      <c r="T107" s="438">
        <f>IF(T5&gt;'Inputs and Assumptions'!$P$6,0,IF('Inputs and Assumptions'!$H$37="NO",0,IF('Monthly Cash Flow'!T5&lt;='Inputs and Assumptions'!$H$38,0,VLOOKUP(T5-'Inputs and Assumptions'!$H$38,'Amo Schedule - Supplemental'!$C$14:$I$373,7))))</f>
        <v>0</v>
      </c>
      <c r="U107" s="438">
        <f>IF(U5&gt;'Inputs and Assumptions'!$P$6,0,IF('Inputs and Assumptions'!$H$37="NO",0,IF('Monthly Cash Flow'!U5&lt;='Inputs and Assumptions'!$H$38,0,VLOOKUP(U5-'Inputs and Assumptions'!$H$38,'Amo Schedule - Supplemental'!$C$14:$I$373,7))))</f>
        <v>0</v>
      </c>
      <c r="V107" s="438">
        <f>IF(V5&gt;'Inputs and Assumptions'!$P$6,0,IF('Inputs and Assumptions'!$H$37="NO",0,IF('Monthly Cash Flow'!V5&lt;='Inputs and Assumptions'!$H$38,0,VLOOKUP(V5-'Inputs and Assumptions'!$H$38,'Amo Schedule - Supplemental'!$C$14:$I$373,7))))</f>
        <v>0</v>
      </c>
      <c r="W107" s="438">
        <f>IF(W5&gt;'Inputs and Assumptions'!$P$6,0,IF('Inputs and Assumptions'!$H$37="NO",0,IF('Monthly Cash Flow'!W5&lt;='Inputs and Assumptions'!$H$38,0,VLOOKUP(W5-'Inputs and Assumptions'!$H$38,'Amo Schedule - Supplemental'!$C$14:$I$373,7))))</f>
        <v>0</v>
      </c>
      <c r="X107" s="438">
        <f>IF(X5&gt;'Inputs and Assumptions'!$P$6,0,IF('Inputs and Assumptions'!$H$37="NO",0,IF('Monthly Cash Flow'!X5&lt;='Inputs and Assumptions'!$H$38,0,VLOOKUP(X5-'Inputs and Assumptions'!$H$38,'Amo Schedule - Supplemental'!$C$14:$I$373,7))))</f>
        <v>0</v>
      </c>
      <c r="Y107" s="438">
        <f>IF(Y5&gt;'Inputs and Assumptions'!$P$6,0,IF('Inputs and Assumptions'!$H$37="NO",0,IF('Monthly Cash Flow'!Y5&lt;='Inputs and Assumptions'!$H$38,0,VLOOKUP(Y5-'Inputs and Assumptions'!$H$38,'Amo Schedule - Supplemental'!$C$14:$I$373,7))))</f>
        <v>0</v>
      </c>
      <c r="Z107" s="438">
        <f>IF(Z5&gt;'Inputs and Assumptions'!$P$6,0,IF('Inputs and Assumptions'!$H$37="NO",0,IF('Monthly Cash Flow'!Z5&lt;='Inputs and Assumptions'!$H$38,0,VLOOKUP(Z5-'Inputs and Assumptions'!$H$38,'Amo Schedule - Supplemental'!$C$14:$I$373,7))))</f>
        <v>0</v>
      </c>
      <c r="AA107" s="438">
        <f>IF(AA5&gt;'Inputs and Assumptions'!$P$6,0,IF('Inputs and Assumptions'!$H$37="NO",0,IF('Monthly Cash Flow'!AA5&lt;='Inputs and Assumptions'!$H$38,0,VLOOKUP(AA5-'Inputs and Assumptions'!$H$38,'Amo Schedule - Supplemental'!$C$14:$I$373,7))))</f>
        <v>0</v>
      </c>
      <c r="AB107" s="438">
        <f>IF(AB5&gt;'Inputs and Assumptions'!$P$6,0,IF('Inputs and Assumptions'!$H$37="NO",0,IF('Monthly Cash Flow'!AB5&lt;='Inputs and Assumptions'!$H$38,0,VLOOKUP(AB5-'Inputs and Assumptions'!$H$38,'Amo Schedule - Supplemental'!$C$14:$I$373,7))))</f>
        <v>0</v>
      </c>
      <c r="AC107" s="438">
        <f>IF(AC5&gt;'Inputs and Assumptions'!$P$6,0,IF('Inputs and Assumptions'!$H$37="NO",0,IF('Monthly Cash Flow'!AC5&lt;='Inputs and Assumptions'!$H$38,0,VLOOKUP(AC5-'Inputs and Assumptions'!$H$38,'Amo Schedule - Supplemental'!$C$14:$I$373,7))))</f>
        <v>0</v>
      </c>
      <c r="AD107" s="438">
        <f>IF(AD5&gt;'Inputs and Assumptions'!$P$6,0,IF('Inputs and Assumptions'!$H$37="NO",0,IF('Monthly Cash Flow'!AD5&lt;='Inputs and Assumptions'!$H$38,0,VLOOKUP(AD5-'Inputs and Assumptions'!$H$38,'Amo Schedule - Supplemental'!$C$14:$I$373,7))))</f>
        <v>0</v>
      </c>
      <c r="AE107" s="438">
        <f>IF(AE5&gt;'Inputs and Assumptions'!$P$6,0,IF('Inputs and Assumptions'!$H$37="NO",0,IF('Monthly Cash Flow'!AE5&lt;='Inputs and Assumptions'!$H$38,0,VLOOKUP(AE5-'Inputs and Assumptions'!$H$38,'Amo Schedule - Supplemental'!$C$14:$I$373,7))))</f>
        <v>0</v>
      </c>
      <c r="AF107" s="438">
        <f>IF(AF5&gt;'Inputs and Assumptions'!$P$6,0,IF('Inputs and Assumptions'!$H$37="NO",0,IF('Monthly Cash Flow'!AF5&lt;='Inputs and Assumptions'!$H$38,0,VLOOKUP(AF5-'Inputs and Assumptions'!$H$38,'Amo Schedule - Supplemental'!$C$14:$I$373,7))))</f>
        <v>0</v>
      </c>
      <c r="AG107" s="438">
        <f>IF(AG5&gt;'Inputs and Assumptions'!$P$6,0,IF('Inputs and Assumptions'!$H$37="NO",0,IF('Monthly Cash Flow'!AG5&lt;='Inputs and Assumptions'!$H$38,0,VLOOKUP(AG5-'Inputs and Assumptions'!$H$38,'Amo Schedule - Supplemental'!$C$14:$I$373,7))))</f>
        <v>0</v>
      </c>
      <c r="AH107" s="438">
        <f>IF(AH5&gt;'Inputs and Assumptions'!$P$6,0,IF('Inputs and Assumptions'!$H$37="NO",0,IF('Monthly Cash Flow'!AH5&lt;='Inputs and Assumptions'!$H$38,0,VLOOKUP(AH5-'Inputs and Assumptions'!$H$38,'Amo Schedule - Supplemental'!$C$14:$I$373,7))))</f>
        <v>0</v>
      </c>
      <c r="AI107" s="438">
        <f>IF(AI5&gt;'Inputs and Assumptions'!$P$6,0,IF('Inputs and Assumptions'!$H$37="NO",0,IF('Monthly Cash Flow'!AI5&lt;='Inputs and Assumptions'!$H$38,0,VLOOKUP(AI5-'Inputs and Assumptions'!$H$38,'Amo Schedule - Supplemental'!$C$14:$I$373,7))))</f>
        <v>0</v>
      </c>
      <c r="AJ107" s="438">
        <f>IF(AJ5&gt;'Inputs and Assumptions'!$P$6,0,IF('Inputs and Assumptions'!$H$37="NO",0,IF('Monthly Cash Flow'!AJ5&lt;='Inputs and Assumptions'!$H$38,0,VLOOKUP(AJ5-'Inputs and Assumptions'!$H$38,'Amo Schedule - Supplemental'!$C$14:$I$373,7))))</f>
        <v>0</v>
      </c>
      <c r="AK107" s="438">
        <f>IF(AK5&gt;'Inputs and Assumptions'!$P$6,0,IF('Inputs and Assumptions'!$H$37="NO",0,IF('Monthly Cash Flow'!AK5&lt;='Inputs and Assumptions'!$H$38,0,VLOOKUP(AK5-'Inputs and Assumptions'!$H$38,'Amo Schedule - Supplemental'!$C$14:$I$373,7))))</f>
        <v>0</v>
      </c>
      <c r="AL107" s="438">
        <f>IF(AL5&gt;'Inputs and Assumptions'!$P$6,0,IF('Inputs and Assumptions'!$H$37="NO",0,IF('Monthly Cash Flow'!AL5&lt;='Inputs and Assumptions'!$H$38,0,VLOOKUP(AL5-'Inputs and Assumptions'!$H$38,'Amo Schedule - Supplemental'!$C$14:$I$373,7))))</f>
        <v>0</v>
      </c>
      <c r="AM107" s="438">
        <f>IF(AM5&gt;'Inputs and Assumptions'!$P$6,0,IF('Inputs and Assumptions'!$H$37="NO",0,IF('Monthly Cash Flow'!AM5&lt;='Inputs and Assumptions'!$H$38,0,VLOOKUP(AM5-'Inputs and Assumptions'!$H$38,'Amo Schedule - Supplemental'!$C$14:$I$373,7))))</f>
        <v>0</v>
      </c>
      <c r="AN107" s="438">
        <f>IF(AN5&gt;'Inputs and Assumptions'!$P$6,0,IF('Inputs and Assumptions'!$H$37="NO",0,IF('Monthly Cash Flow'!AN5&lt;='Inputs and Assumptions'!$H$38,0,VLOOKUP(AN5-'Inputs and Assumptions'!$H$38,'Amo Schedule - Supplemental'!$C$14:$I$373,7))))</f>
        <v>0</v>
      </c>
      <c r="AO107" s="438">
        <f>IF(AO5&gt;'Inputs and Assumptions'!$P$6,0,IF('Inputs and Assumptions'!$H$37="NO",0,IF('Monthly Cash Flow'!AO5&lt;='Inputs and Assumptions'!$H$38,0,VLOOKUP(AO5-'Inputs and Assumptions'!$H$38,'Amo Schedule - Supplemental'!$C$14:$I$373,7))))</f>
        <v>0</v>
      </c>
      <c r="AP107" s="438">
        <f>IF(AP5&gt;'Inputs and Assumptions'!$P$6,0,IF('Inputs and Assumptions'!$H$37="NO",0,IF('Monthly Cash Flow'!AP5&lt;='Inputs and Assumptions'!$H$38,0,VLOOKUP(AP5-'Inputs and Assumptions'!$H$38,'Amo Schedule - Supplemental'!$C$14:$I$373,7))))</f>
        <v>0</v>
      </c>
      <c r="AQ107" s="438">
        <f>IF(AQ5&gt;'Inputs and Assumptions'!$P$6,0,IF('Inputs and Assumptions'!$H$37="NO",0,IF('Monthly Cash Flow'!AQ5&lt;='Inputs and Assumptions'!$H$38,0,VLOOKUP(AQ5-'Inputs and Assumptions'!$H$38,'Amo Schedule - Supplemental'!$C$14:$I$373,7))))</f>
        <v>0</v>
      </c>
      <c r="AR107" s="438">
        <f>IF(AR5&gt;'Inputs and Assumptions'!$P$6,0,IF('Inputs and Assumptions'!$H$37="NO",0,IF('Monthly Cash Flow'!AR5&lt;='Inputs and Assumptions'!$H$38,0,VLOOKUP(AR5-'Inputs and Assumptions'!$H$38,'Amo Schedule - Supplemental'!$C$14:$I$373,7))))</f>
        <v>0</v>
      </c>
      <c r="AS107" s="438">
        <f>IF(AS5&gt;'Inputs and Assumptions'!$P$6,0,IF('Inputs and Assumptions'!$H$37="NO",0,IF('Monthly Cash Flow'!AS5&lt;='Inputs and Assumptions'!$H$38,0,VLOOKUP(AS5-'Inputs and Assumptions'!$H$38,'Amo Schedule - Supplemental'!$C$14:$I$373,7))))</f>
        <v>0</v>
      </c>
      <c r="AT107" s="438">
        <f>IF(AT5&gt;'Inputs and Assumptions'!$P$6,0,IF('Inputs and Assumptions'!$H$37="NO",0,IF('Monthly Cash Flow'!AT5&lt;='Inputs and Assumptions'!$H$38,0,VLOOKUP(AT5-'Inputs and Assumptions'!$H$38,'Amo Schedule - Supplemental'!$C$14:$I$373,7))))</f>
        <v>0</v>
      </c>
      <c r="AU107" s="438">
        <f>IF(AU5&gt;'Inputs and Assumptions'!$P$6,0,IF('Inputs and Assumptions'!$H$37="NO",0,IF('Monthly Cash Flow'!AU5&lt;='Inputs and Assumptions'!$H$38,0,VLOOKUP(AU5-'Inputs and Assumptions'!$H$38,'Amo Schedule - Supplemental'!$C$14:$I$373,7))))</f>
        <v>0</v>
      </c>
      <c r="AV107" s="438">
        <f>IF(AV5&gt;'Inputs and Assumptions'!$P$6,0,IF('Inputs and Assumptions'!$H$37="NO",0,IF('Monthly Cash Flow'!AV5&lt;='Inputs and Assumptions'!$H$38,0,VLOOKUP(AV5-'Inputs and Assumptions'!$H$38,'Amo Schedule - Supplemental'!$C$14:$I$373,7))))</f>
        <v>0</v>
      </c>
      <c r="AW107" s="438">
        <f>IF(AW5&gt;'Inputs and Assumptions'!$P$6,0,IF('Inputs and Assumptions'!$H$37="NO",0,IF('Monthly Cash Flow'!AW5&lt;='Inputs and Assumptions'!$H$38,0,VLOOKUP(AW5-'Inputs and Assumptions'!$H$38,'Amo Schedule - Supplemental'!$C$14:$I$373,7))))</f>
        <v>0</v>
      </c>
      <c r="AX107" s="438">
        <f>IF(AX5&gt;'Inputs and Assumptions'!$P$6,0,IF('Inputs and Assumptions'!$H$37="NO",0,IF('Monthly Cash Flow'!AX5&lt;='Inputs and Assumptions'!$H$38,0,VLOOKUP(AX5-'Inputs and Assumptions'!$H$38,'Amo Schedule - Supplemental'!$C$14:$I$373,7))))</f>
        <v>0</v>
      </c>
      <c r="AY107" s="438">
        <f>IF(AY5&gt;'Inputs and Assumptions'!$P$6,0,IF('Inputs and Assumptions'!$H$37="NO",0,IF('Monthly Cash Flow'!AY5&lt;='Inputs and Assumptions'!$H$38,0,VLOOKUP(AY5-'Inputs and Assumptions'!$H$38,'Amo Schedule - Supplemental'!$C$14:$I$373,7))))</f>
        <v>0</v>
      </c>
      <c r="AZ107" s="438">
        <f>IF(AZ5&gt;'Inputs and Assumptions'!$P$6,0,IF('Inputs and Assumptions'!$H$37="NO",0,IF('Monthly Cash Flow'!AZ5&lt;='Inputs and Assumptions'!$H$38,0,VLOOKUP(AZ5-'Inputs and Assumptions'!$H$38,'Amo Schedule - Supplemental'!$C$14:$I$373,7))))</f>
        <v>0</v>
      </c>
      <c r="BA107" s="438">
        <f>IF(BA5&gt;'Inputs and Assumptions'!$P$6,0,IF('Inputs and Assumptions'!$H$37="NO",0,IF('Monthly Cash Flow'!BA5&lt;='Inputs and Assumptions'!$H$38,0,VLOOKUP(BA5-'Inputs and Assumptions'!$H$38,'Amo Schedule - Supplemental'!$C$14:$I$373,7))))</f>
        <v>0</v>
      </c>
      <c r="BB107" s="438">
        <f>IF(BB5&gt;'Inputs and Assumptions'!$P$6,0,IF('Inputs and Assumptions'!$H$37="NO",0,IF('Monthly Cash Flow'!BB5&lt;='Inputs and Assumptions'!$H$38,0,VLOOKUP(BB5-'Inputs and Assumptions'!$H$38,'Amo Schedule - Supplemental'!$C$14:$I$373,7))))</f>
        <v>0</v>
      </c>
      <c r="BC107" s="438">
        <f>IF(BC5&gt;'Inputs and Assumptions'!$P$6,0,IF('Inputs and Assumptions'!$H$37="NO",0,IF('Monthly Cash Flow'!BC5&lt;='Inputs and Assumptions'!$H$38,0,VLOOKUP(BC5-'Inputs and Assumptions'!$H$38,'Amo Schedule - Supplemental'!$C$14:$I$373,7))))</f>
        <v>0</v>
      </c>
      <c r="BD107" s="438">
        <f>IF(BD5&gt;'Inputs and Assumptions'!$P$6,0,IF('Inputs and Assumptions'!$H$37="NO",0,IF('Monthly Cash Flow'!BD5&lt;='Inputs and Assumptions'!$H$38,0,VLOOKUP(BD5-'Inputs and Assumptions'!$H$38,'Amo Schedule - Supplemental'!$C$14:$I$373,7))))</f>
        <v>0</v>
      </c>
      <c r="BE107" s="438">
        <f>IF(BE5&gt;'Inputs and Assumptions'!$P$6,0,IF('Inputs and Assumptions'!$H$37="NO",0,IF('Monthly Cash Flow'!BE5&lt;='Inputs and Assumptions'!$H$38,0,VLOOKUP(BE5-'Inputs and Assumptions'!$H$38,'Amo Schedule - Supplemental'!$C$14:$I$373,7))))</f>
        <v>0</v>
      </c>
      <c r="BF107" s="438">
        <f>IF(BF5&gt;'Inputs and Assumptions'!$P$6,0,IF('Inputs and Assumptions'!$H$37="NO",0,IF('Monthly Cash Flow'!BF5&lt;='Inputs and Assumptions'!$H$38,0,VLOOKUP(BF5-'Inputs and Assumptions'!$H$38,'Amo Schedule - Supplemental'!$C$14:$I$373,7))))</f>
        <v>0</v>
      </c>
      <c r="BG107" s="438">
        <f>IF(BG5&gt;'Inputs and Assumptions'!$P$6,0,IF('Inputs and Assumptions'!$H$37="NO",0,IF('Monthly Cash Flow'!BG5&lt;='Inputs and Assumptions'!$H$38,0,VLOOKUP(BG5-'Inputs and Assumptions'!$H$38,'Amo Schedule - Supplemental'!$C$14:$I$373,7))))</f>
        <v>0</v>
      </c>
      <c r="BH107" s="438">
        <f>IF(BH5&gt;'Inputs and Assumptions'!$P$6,0,IF('Inputs and Assumptions'!$H$37="NO",0,IF('Monthly Cash Flow'!BH5&lt;='Inputs and Assumptions'!$H$38,0,VLOOKUP(BH5-'Inputs and Assumptions'!$H$38,'Amo Schedule - Supplemental'!$C$14:$I$373,7))))</f>
        <v>0</v>
      </c>
      <c r="BI107" s="438">
        <f>IF(BI5&gt;'Inputs and Assumptions'!$P$6,0,IF('Inputs and Assumptions'!$H$37="NO",0,IF('Monthly Cash Flow'!BI5&lt;='Inputs and Assumptions'!$H$38,0,VLOOKUP(BI5-'Inputs and Assumptions'!$H$38,'Amo Schedule - Supplemental'!$C$14:$I$373,7))))</f>
        <v>0</v>
      </c>
      <c r="BJ107" s="438">
        <f>IF(BJ5&gt;'Inputs and Assumptions'!$P$6,0,IF('Inputs and Assumptions'!$H$37="NO",0,IF('Monthly Cash Flow'!BJ5&lt;='Inputs and Assumptions'!$H$38,0,VLOOKUP(BJ5-'Inputs and Assumptions'!$H$38,'Amo Schedule - Supplemental'!$C$14:$I$373,7))))</f>
        <v>0</v>
      </c>
      <c r="BK107" s="438">
        <f>IF(BK5&gt;'Inputs and Assumptions'!$P$6,0,IF('Inputs and Assumptions'!$H$37="NO",0,IF('Monthly Cash Flow'!BK5&lt;='Inputs and Assumptions'!$H$38,0,VLOOKUP(BK5-'Inputs and Assumptions'!$H$38,'Amo Schedule - Supplemental'!$C$14:$I$373,7))))</f>
        <v>0</v>
      </c>
      <c r="BL107" s="438">
        <f>IF(BL5&gt;'Inputs and Assumptions'!$P$6,0,IF('Inputs and Assumptions'!$H$37="NO",0,IF('Monthly Cash Flow'!BL5&lt;='Inputs and Assumptions'!$H$38,0,VLOOKUP(BL5-'Inputs and Assumptions'!$H$38,'Amo Schedule - Supplemental'!$C$14:$I$373,7))))</f>
        <v>0</v>
      </c>
      <c r="BM107" s="438">
        <f>IF(BM5&gt;'Inputs and Assumptions'!$P$6,0,IF('Inputs and Assumptions'!$H$37="NO",0,IF('Monthly Cash Flow'!BM5&lt;='Inputs and Assumptions'!$H$38,0,VLOOKUP(BM5-'Inputs and Assumptions'!$H$38,'Amo Schedule - Supplemental'!$C$14:$I$373,7))))</f>
        <v>0</v>
      </c>
      <c r="BN107" s="438">
        <f>IF(BN5&gt;'Inputs and Assumptions'!$P$6,0,IF('Inputs and Assumptions'!$H$37="NO",0,IF('Monthly Cash Flow'!BN5&lt;='Inputs and Assumptions'!$H$38,0,VLOOKUP(BN5-'Inputs and Assumptions'!$H$38,'Amo Schedule - Supplemental'!$C$14:$I$373,7))))</f>
        <v>0</v>
      </c>
      <c r="BO107" s="438">
        <f>IF(BO5&gt;'Inputs and Assumptions'!$P$6,0,IF('Inputs and Assumptions'!$H$37="NO",0,IF('Monthly Cash Flow'!BO5&lt;='Inputs and Assumptions'!$H$38,0,VLOOKUP(BO5-'Inputs and Assumptions'!$H$38,'Amo Schedule - Supplemental'!$C$14:$I$373,7))))</f>
        <v>0</v>
      </c>
      <c r="BP107" s="438">
        <f>IF(BP5&gt;'Inputs and Assumptions'!$P$6,0,IF('Inputs and Assumptions'!$H$37="NO",0,IF('Monthly Cash Flow'!BP5&lt;='Inputs and Assumptions'!$H$38,0,VLOOKUP(BP5-'Inputs and Assumptions'!$H$38,'Amo Schedule - Supplemental'!$C$14:$I$373,7))))</f>
        <v>0</v>
      </c>
      <c r="BQ107" s="438">
        <f>IF(BQ5&gt;'Inputs and Assumptions'!$P$6,0,IF('Inputs and Assumptions'!$H$37="NO",0,IF('Monthly Cash Flow'!BQ5&lt;='Inputs and Assumptions'!$H$38,0,VLOOKUP(BQ5-'Inputs and Assumptions'!$H$38,'Amo Schedule - Supplemental'!$C$14:$I$373,7))))</f>
        <v>0</v>
      </c>
      <c r="BR107" s="438">
        <f>IF(BR5&gt;'Inputs and Assumptions'!$P$6,0,IF('Inputs and Assumptions'!$H$37="NO",0,IF('Monthly Cash Flow'!BR5&lt;='Inputs and Assumptions'!$H$38,0,VLOOKUP(BR5-'Inputs and Assumptions'!$H$38,'Amo Schedule - Supplemental'!$C$14:$I$373,7))))</f>
        <v>0</v>
      </c>
      <c r="BS107" s="438">
        <f>IF(BS5&gt;'Inputs and Assumptions'!$P$6,0,IF('Inputs and Assumptions'!$H$37="NO",0,IF('Monthly Cash Flow'!BS5&lt;='Inputs and Assumptions'!$H$38,0,VLOOKUP(BS5-'Inputs and Assumptions'!$H$38,'Amo Schedule - Supplemental'!$C$14:$I$373,7))))</f>
        <v>0</v>
      </c>
      <c r="BT107" s="438">
        <f>IF(BT5&gt;'Inputs and Assumptions'!$P$6,0,IF('Inputs and Assumptions'!$H$37="NO",0,IF('Monthly Cash Flow'!BT5&lt;='Inputs and Assumptions'!$H$38,0,VLOOKUP(BT5-'Inputs and Assumptions'!$H$38,'Amo Schedule - Supplemental'!$C$14:$I$373,7))))</f>
        <v>0</v>
      </c>
      <c r="BU107" s="438">
        <f>IF(BU5&gt;'Inputs and Assumptions'!$P$6,0,IF('Inputs and Assumptions'!$H$37="NO",0,IF('Monthly Cash Flow'!BU5&lt;='Inputs and Assumptions'!$H$38,0,VLOOKUP(BU5-'Inputs and Assumptions'!$H$38,'Amo Schedule - Supplemental'!$C$14:$I$373,7))))</f>
        <v>0</v>
      </c>
      <c r="BV107" s="438">
        <f>IF(BV5&gt;'Inputs and Assumptions'!$P$6,0,IF('Inputs and Assumptions'!$H$37="NO",0,IF('Monthly Cash Flow'!BV5&lt;='Inputs and Assumptions'!$H$38,0,VLOOKUP(BV5-'Inputs and Assumptions'!$H$38,'Amo Schedule - Supplemental'!$C$14:$I$373,7))))</f>
        <v>0</v>
      </c>
      <c r="BW107" s="438">
        <f>IF(BW5&gt;'Inputs and Assumptions'!$P$6,0,IF('Inputs and Assumptions'!$H$37="NO",0,IF('Monthly Cash Flow'!BW5&lt;='Inputs and Assumptions'!$H$38,0,VLOOKUP(BW5-'Inputs and Assumptions'!$H$38,'Amo Schedule - Supplemental'!$C$14:$I$373,7))))</f>
        <v>0</v>
      </c>
      <c r="BX107" s="438">
        <f>IF(BX5&gt;'Inputs and Assumptions'!$P$6,0,IF('Inputs and Assumptions'!$H$37="NO",0,IF('Monthly Cash Flow'!BX5&lt;='Inputs and Assumptions'!$H$38,0,VLOOKUP(BX5-'Inputs and Assumptions'!$H$38,'Amo Schedule - Supplemental'!$C$14:$I$373,7))))</f>
        <v>0</v>
      </c>
      <c r="BY107" s="438">
        <f>IF(BY5&gt;'Inputs and Assumptions'!$P$6,0,IF('Inputs and Assumptions'!$H$37="NO",0,IF('Monthly Cash Flow'!BY5&lt;='Inputs and Assumptions'!$H$38,0,VLOOKUP(BY5-'Inputs and Assumptions'!$H$38,'Amo Schedule - Supplemental'!$C$14:$I$373,7))))</f>
        <v>0</v>
      </c>
      <c r="BZ107" s="438">
        <f>IF(BZ5&gt;'Inputs and Assumptions'!$P$6,0,IF('Inputs and Assumptions'!$H$37="NO",0,IF('Monthly Cash Flow'!BZ5&lt;='Inputs and Assumptions'!$H$38,0,VLOOKUP(BZ5-'Inputs and Assumptions'!$H$38,'Amo Schedule - Supplemental'!$C$14:$I$373,7))))</f>
        <v>0</v>
      </c>
      <c r="CA107" s="438">
        <f>IF(CA5&gt;'Inputs and Assumptions'!$P$6,0,IF('Inputs and Assumptions'!$H$37="NO",0,IF('Monthly Cash Flow'!CA5&lt;='Inputs and Assumptions'!$H$38,0,VLOOKUP(CA5-'Inputs and Assumptions'!$H$38,'Amo Schedule - Supplemental'!$C$14:$I$373,7))))</f>
        <v>0</v>
      </c>
      <c r="CB107" s="438">
        <f>IF(CB5&gt;'Inputs and Assumptions'!$P$6,0,IF('Inputs and Assumptions'!$H$37="NO",0,IF('Monthly Cash Flow'!CB5&lt;='Inputs and Assumptions'!$H$38,0,VLOOKUP(CB5-'Inputs and Assumptions'!$H$38,'Amo Schedule - Supplemental'!$C$14:$I$373,7))))</f>
        <v>0</v>
      </c>
      <c r="CC107" s="438">
        <f>IF(CC5&gt;'Inputs and Assumptions'!$P$6,0,IF('Inputs and Assumptions'!$H$37="NO",0,IF('Monthly Cash Flow'!CC5&lt;='Inputs and Assumptions'!$H$38,0,VLOOKUP(CC5-'Inputs and Assumptions'!$H$38,'Amo Schedule - Supplemental'!$C$14:$I$373,7))))</f>
        <v>0</v>
      </c>
      <c r="CD107" s="438">
        <f>IF(CD5&gt;'Inputs and Assumptions'!$P$6,0,IF('Inputs and Assumptions'!$H$37="NO",0,IF('Monthly Cash Flow'!CD5&lt;='Inputs and Assumptions'!$H$38,0,VLOOKUP(CD5-'Inputs and Assumptions'!$H$38,'Amo Schedule - Supplemental'!$C$14:$I$373,7))))</f>
        <v>0</v>
      </c>
      <c r="CE107" s="438">
        <f>IF(CE5&gt;'Inputs and Assumptions'!$P$6,0,IF('Inputs and Assumptions'!$H$37="NO",0,IF('Monthly Cash Flow'!CE5&lt;='Inputs and Assumptions'!$H$38,0,VLOOKUP(CE5-'Inputs and Assumptions'!$H$38,'Amo Schedule - Supplemental'!$C$14:$I$373,7))))</f>
        <v>0</v>
      </c>
      <c r="CF107" s="438">
        <f>IF(CF5&gt;'Inputs and Assumptions'!$P$6,0,IF('Inputs and Assumptions'!$H$37="NO",0,IF('Monthly Cash Flow'!CF5&lt;='Inputs and Assumptions'!$H$38,0,VLOOKUP(CF5-'Inputs and Assumptions'!$H$38,'Amo Schedule - Supplemental'!$C$14:$I$373,7))))</f>
        <v>0</v>
      </c>
      <c r="CG107" s="438">
        <f>IF(CG5&gt;'Inputs and Assumptions'!$P$6,0,IF('Inputs and Assumptions'!$H$37="NO",0,IF('Monthly Cash Flow'!CG5&lt;='Inputs and Assumptions'!$H$38,0,VLOOKUP(CG5-'Inputs and Assumptions'!$H$38,'Amo Schedule - Supplemental'!$C$14:$I$373,7))))</f>
        <v>0</v>
      </c>
      <c r="CH107" s="438">
        <f>IF(CH5&gt;'Inputs and Assumptions'!$P$6,0,IF('Inputs and Assumptions'!$H$37="NO",0,IF('Monthly Cash Flow'!CH5&lt;='Inputs and Assumptions'!$H$38,0,VLOOKUP(CH5-'Inputs and Assumptions'!$H$38,'Amo Schedule - Supplemental'!$C$14:$I$373,7))))</f>
        <v>0</v>
      </c>
      <c r="CI107" s="438">
        <f>IF(CI5&gt;'Inputs and Assumptions'!$P$6,0,IF('Inputs and Assumptions'!$H$37="NO",0,IF('Monthly Cash Flow'!CI5&lt;='Inputs and Assumptions'!$H$38,0,VLOOKUP(CI5-'Inputs and Assumptions'!$H$38,'Amo Schedule - Supplemental'!$C$14:$I$373,7))))</f>
        <v>0</v>
      </c>
      <c r="CJ107" s="438">
        <f>IF(CJ5&gt;'Inputs and Assumptions'!$P$6,0,IF('Inputs and Assumptions'!$H$37="NO",0,IF('Monthly Cash Flow'!CJ5&lt;='Inputs and Assumptions'!$H$38,0,VLOOKUP(CJ5-'Inputs and Assumptions'!$H$38,'Amo Schedule - Supplemental'!$C$14:$I$373,7))))</f>
        <v>0</v>
      </c>
      <c r="CK107" s="438">
        <f>IF(CK5&gt;'Inputs and Assumptions'!$P$6,0,IF('Inputs and Assumptions'!$H$37="NO",0,IF('Monthly Cash Flow'!CK5&lt;='Inputs and Assumptions'!$H$38,0,VLOOKUP(CK5-'Inputs and Assumptions'!$H$38,'Amo Schedule - Supplemental'!$C$14:$I$373,7))))</f>
        <v>0</v>
      </c>
      <c r="CL107" s="438">
        <f>IF(CL5&gt;'Inputs and Assumptions'!$P$6,0,IF('Inputs and Assumptions'!$H$37="NO",0,IF('Monthly Cash Flow'!CL5&lt;='Inputs and Assumptions'!$H$38,0,VLOOKUP(CL5-'Inputs and Assumptions'!$H$38,'Amo Schedule - Supplemental'!$C$14:$I$373,7))))</f>
        <v>0</v>
      </c>
      <c r="CM107" s="438">
        <f>IF(CM5&gt;'Inputs and Assumptions'!$P$6,0,IF('Inputs and Assumptions'!$H$37="NO",0,IF('Monthly Cash Flow'!CM5&lt;='Inputs and Assumptions'!$H$38,0,VLOOKUP(CM5-'Inputs and Assumptions'!$H$38,'Amo Schedule - Supplemental'!$C$14:$I$373,7))))</f>
        <v>0</v>
      </c>
      <c r="CN107" s="438">
        <f>IF(CN5&gt;'Inputs and Assumptions'!$P$6,0,IF('Inputs and Assumptions'!$H$37="NO",0,IF('Monthly Cash Flow'!CN5&lt;='Inputs and Assumptions'!$H$38,0,VLOOKUP(CN5-'Inputs and Assumptions'!$H$38,'Amo Schedule - Supplemental'!$C$14:$I$373,7))))</f>
        <v>0</v>
      </c>
      <c r="CO107" s="438">
        <f>IF(CO5&gt;'Inputs and Assumptions'!$P$6,0,IF('Inputs and Assumptions'!$H$37="NO",0,IF('Monthly Cash Flow'!CO5&lt;='Inputs and Assumptions'!$H$38,0,VLOOKUP(CO5-'Inputs and Assumptions'!$H$38,'Amo Schedule - Supplemental'!$C$14:$I$373,7))))</f>
        <v>0</v>
      </c>
      <c r="CP107" s="438">
        <f>IF(CP5&gt;'Inputs and Assumptions'!$P$6,0,IF('Inputs and Assumptions'!$H$37="NO",0,IF('Monthly Cash Flow'!CP5&lt;='Inputs and Assumptions'!$H$38,0,VLOOKUP(CP5-'Inputs and Assumptions'!$H$38,'Amo Schedule - Supplemental'!$C$14:$I$373,7))))</f>
        <v>0</v>
      </c>
      <c r="CQ107" s="438">
        <f>IF(CQ5&gt;'Inputs and Assumptions'!$P$6,0,IF('Inputs and Assumptions'!$H$37="NO",0,IF('Monthly Cash Flow'!CQ5&lt;='Inputs and Assumptions'!$H$38,0,VLOOKUP(CQ5-'Inputs and Assumptions'!$H$38,'Amo Schedule - Supplemental'!$C$14:$I$373,7))))</f>
        <v>0</v>
      </c>
      <c r="CR107" s="438">
        <f>IF(CR5&gt;'Inputs and Assumptions'!$P$6,0,IF('Inputs and Assumptions'!$H$37="NO",0,IF('Monthly Cash Flow'!CR5&lt;='Inputs and Assumptions'!$H$38,0,VLOOKUP(CR5-'Inputs and Assumptions'!$H$38,'Amo Schedule - Supplemental'!$C$14:$I$373,7))))</f>
        <v>0</v>
      </c>
      <c r="CS107" s="438">
        <f>IF(CS5&gt;'Inputs and Assumptions'!$P$6,0,IF('Inputs and Assumptions'!$H$37="NO",0,IF('Monthly Cash Flow'!CS5&lt;='Inputs and Assumptions'!$H$38,0,VLOOKUP(CS5-'Inputs and Assumptions'!$H$38,'Amo Schedule - Supplemental'!$C$14:$I$373,7))))</f>
        <v>0</v>
      </c>
      <c r="CT107" s="438">
        <f>IF(CT5&gt;'Inputs and Assumptions'!$P$6,0,IF('Inputs and Assumptions'!$H$37="NO",0,IF('Monthly Cash Flow'!CT5&lt;='Inputs and Assumptions'!$H$38,0,VLOOKUP(CT5-'Inputs and Assumptions'!$H$38,'Amo Schedule - Supplemental'!$C$14:$I$373,7))))</f>
        <v>0</v>
      </c>
      <c r="CU107" s="438">
        <f>IF(CU5&gt;'Inputs and Assumptions'!$P$6,0,IF('Inputs and Assumptions'!$H$37="NO",0,IF('Monthly Cash Flow'!CU5&lt;='Inputs and Assumptions'!$H$38,0,VLOOKUP(CU5-'Inputs and Assumptions'!$H$38,'Amo Schedule - Supplemental'!$C$14:$I$373,7))))</f>
        <v>0</v>
      </c>
      <c r="CV107" s="438">
        <f>IF(CV5&gt;'Inputs and Assumptions'!$P$6,0,IF('Inputs and Assumptions'!$H$37="NO",0,IF('Monthly Cash Flow'!CV5&lt;='Inputs and Assumptions'!$H$38,0,VLOOKUP(CV5-'Inputs and Assumptions'!$H$38,'Amo Schedule - Supplemental'!$C$14:$I$373,7))))</f>
        <v>0</v>
      </c>
      <c r="CW107" s="438">
        <f>IF(CW5&gt;'Inputs and Assumptions'!$P$6,0,IF('Inputs and Assumptions'!$H$37="NO",0,IF('Monthly Cash Flow'!CW5&lt;='Inputs and Assumptions'!$H$38,0,VLOOKUP(CW5-'Inputs and Assumptions'!$H$38,'Amo Schedule - Supplemental'!$C$14:$I$373,7))))</f>
        <v>0</v>
      </c>
      <c r="CX107" s="438">
        <f>IF(CX5&gt;'Inputs and Assumptions'!$P$6,0,IF('Inputs and Assumptions'!$H$37="NO",0,IF('Monthly Cash Flow'!CX5&lt;='Inputs and Assumptions'!$H$38,0,VLOOKUP(CX5-'Inputs and Assumptions'!$H$38,'Amo Schedule - Supplemental'!$C$14:$I$373,7))))</f>
        <v>0</v>
      </c>
      <c r="CY107" s="438">
        <f>IF(CY5&gt;'Inputs and Assumptions'!$P$6,0,IF('Inputs and Assumptions'!$H$37="NO",0,IF('Monthly Cash Flow'!CY5&lt;='Inputs and Assumptions'!$H$38,0,VLOOKUP(CY5-'Inputs and Assumptions'!$H$38,'Amo Schedule - Supplemental'!$C$14:$I$373,7))))</f>
        <v>0</v>
      </c>
      <c r="CZ107" s="438">
        <f>IF(CZ5&gt;'Inputs and Assumptions'!$P$6,0,IF('Inputs and Assumptions'!$H$37="NO",0,IF('Monthly Cash Flow'!CZ5&lt;='Inputs and Assumptions'!$H$38,0,VLOOKUP(CZ5-'Inputs and Assumptions'!$H$38,'Amo Schedule - Supplemental'!$C$14:$I$373,7))))</f>
        <v>0</v>
      </c>
      <c r="DA107" s="438">
        <f>IF(DA5&gt;'Inputs and Assumptions'!$P$6,0,IF('Inputs and Assumptions'!$H$37="NO",0,IF('Monthly Cash Flow'!DA5&lt;='Inputs and Assumptions'!$H$38,0,VLOOKUP(DA5-'Inputs and Assumptions'!$H$38,'Amo Schedule - Supplemental'!$C$14:$I$373,7))))</f>
        <v>0</v>
      </c>
      <c r="DB107" s="438">
        <f>IF(DB5&gt;'Inputs and Assumptions'!$P$6,0,IF('Inputs and Assumptions'!$H$37="NO",0,IF('Monthly Cash Flow'!DB5&lt;='Inputs and Assumptions'!$H$38,0,VLOOKUP(DB5-'Inputs and Assumptions'!$H$38,'Amo Schedule - Supplemental'!$C$14:$I$373,7))))</f>
        <v>0</v>
      </c>
      <c r="DC107" s="438">
        <f>IF(DC5&gt;'Inputs and Assumptions'!$P$6,0,IF('Inputs and Assumptions'!$H$37="NO",0,IF('Monthly Cash Flow'!DC5&lt;='Inputs and Assumptions'!$H$38,0,VLOOKUP(DC5-'Inputs and Assumptions'!$H$38,'Amo Schedule - Supplemental'!$C$14:$I$373,7))))</f>
        <v>0</v>
      </c>
      <c r="DD107" s="438">
        <f>IF(DD5&gt;'Inputs and Assumptions'!$P$6,0,IF('Inputs and Assumptions'!$H$37="NO",0,IF('Monthly Cash Flow'!DD5&lt;='Inputs and Assumptions'!$H$38,0,VLOOKUP(DD5-'Inputs and Assumptions'!$H$38,'Amo Schedule - Supplemental'!$C$14:$I$373,7))))</f>
        <v>0</v>
      </c>
      <c r="DE107" s="438">
        <f>IF(DE5&gt;'Inputs and Assumptions'!$P$6,0,IF('Inputs and Assumptions'!$H$37="NO",0,IF('Monthly Cash Flow'!DE5&lt;='Inputs and Assumptions'!$H$38,0,VLOOKUP(DE5-'Inputs and Assumptions'!$H$38,'Amo Schedule - Supplemental'!$C$14:$I$373,7))))</f>
        <v>0</v>
      </c>
      <c r="DF107" s="438">
        <f>IF(DF5&gt;'Inputs and Assumptions'!$P$6,0,IF('Inputs and Assumptions'!$H$37="NO",0,IF('Monthly Cash Flow'!DF5&lt;='Inputs and Assumptions'!$H$38,0,VLOOKUP(DF5-'Inputs and Assumptions'!$H$38,'Amo Schedule - Supplemental'!$C$14:$I$373,7))))</f>
        <v>0</v>
      </c>
      <c r="DG107" s="438">
        <f>IF(DG5&gt;'Inputs and Assumptions'!$P$6,0,IF('Inputs and Assumptions'!$H$37="NO",0,IF('Monthly Cash Flow'!DG5&lt;='Inputs and Assumptions'!$H$38,0,VLOOKUP(DG5-'Inputs and Assumptions'!$H$38,'Amo Schedule - Supplemental'!$C$14:$I$373,7))))</f>
        <v>0</v>
      </c>
      <c r="DH107" s="438">
        <f>IF(DH5&gt;'Inputs and Assumptions'!$P$6,0,IF('Inputs and Assumptions'!$H$37="NO",0,IF('Monthly Cash Flow'!DH5&lt;='Inputs and Assumptions'!$H$38,0,VLOOKUP(DH5-'Inputs and Assumptions'!$H$38,'Amo Schedule - Supplemental'!$C$14:$I$373,7))))</f>
        <v>0</v>
      </c>
      <c r="DI107" s="438">
        <f>IF(DI5&gt;'Inputs and Assumptions'!$P$6,0,IF('Inputs and Assumptions'!$H$37="NO",0,IF('Monthly Cash Flow'!DI5&lt;='Inputs and Assumptions'!$H$38,0,VLOOKUP(DI5-'Inputs and Assumptions'!$H$38,'Amo Schedule - Supplemental'!$C$14:$I$373,7))))</f>
        <v>0</v>
      </c>
      <c r="DJ107" s="438">
        <f>IF(DJ5&gt;'Inputs and Assumptions'!$P$6,0,IF('Inputs and Assumptions'!$H$37="NO",0,IF('Monthly Cash Flow'!DJ5&lt;='Inputs and Assumptions'!$H$38,0,VLOOKUP(DJ5-'Inputs and Assumptions'!$H$38,'Amo Schedule - Supplemental'!$C$14:$I$373,7))))</f>
        <v>0</v>
      </c>
      <c r="DK107" s="438">
        <f>IF(DK5&gt;'Inputs and Assumptions'!$P$6,0,IF('Inputs and Assumptions'!$H$37="NO",0,IF('Monthly Cash Flow'!DK5&lt;='Inputs and Assumptions'!$H$38,0,VLOOKUP(DK5-'Inputs and Assumptions'!$H$38,'Amo Schedule - Supplemental'!$C$14:$I$373,7))))</f>
        <v>0</v>
      </c>
      <c r="DL107" s="438">
        <f>IF(DL5&gt;'Inputs and Assumptions'!$P$6,0,IF('Inputs and Assumptions'!$H$37="NO",0,IF('Monthly Cash Flow'!DL5&lt;='Inputs and Assumptions'!$H$38,0,VLOOKUP(DL5-'Inputs and Assumptions'!$H$38,'Amo Schedule - Supplemental'!$C$14:$I$373,7))))</f>
        <v>0</v>
      </c>
      <c r="DM107" s="438">
        <f>IF(DM5&gt;'Inputs and Assumptions'!$P$6,0,IF('Inputs and Assumptions'!$H$37="NO",0,IF('Monthly Cash Flow'!DM5&lt;='Inputs and Assumptions'!$H$38,0,VLOOKUP(DM5-'Inputs and Assumptions'!$H$38,'Amo Schedule - Supplemental'!$C$14:$I$373,7))))</f>
        <v>0</v>
      </c>
      <c r="DN107" s="438">
        <f>IF(DN5&gt;'Inputs and Assumptions'!$P$6,0,IF('Inputs and Assumptions'!$H$37="NO",0,IF('Monthly Cash Flow'!DN5&lt;='Inputs and Assumptions'!$H$38,0,VLOOKUP(DN5-'Inputs and Assumptions'!$H$38,'Amo Schedule - Supplemental'!$C$14:$I$373,7))))</f>
        <v>0</v>
      </c>
      <c r="DO107" s="438">
        <f>IF(DO5&gt;'Inputs and Assumptions'!$P$6,0,IF('Inputs and Assumptions'!$H$37="NO",0,IF('Monthly Cash Flow'!DO5&lt;='Inputs and Assumptions'!$H$38,0,VLOOKUP(DO5-'Inputs and Assumptions'!$H$38,'Amo Schedule - Supplemental'!$C$14:$I$373,7))))</f>
        <v>0</v>
      </c>
      <c r="DP107" s="438">
        <f>IF(DP5&gt;'Inputs and Assumptions'!$P$6,0,IF('Inputs and Assumptions'!$H$37="NO",0,IF('Monthly Cash Flow'!DP5&lt;='Inputs and Assumptions'!$H$38,0,VLOOKUP(DP5-'Inputs and Assumptions'!$H$38,'Amo Schedule - Supplemental'!$C$14:$I$373,7))))</f>
        <v>0</v>
      </c>
      <c r="DQ107" s="438">
        <f>IF(DQ5&gt;'Inputs and Assumptions'!$P$6,0,IF('Inputs and Assumptions'!$H$37="NO",0,IF('Monthly Cash Flow'!DQ5&lt;='Inputs and Assumptions'!$H$38,0,VLOOKUP(DQ5-'Inputs and Assumptions'!$H$38,'Amo Schedule - Supplemental'!$C$14:$I$373,7))))</f>
        <v>0</v>
      </c>
      <c r="DR107" s="438">
        <f>IF(DR5&gt;'Inputs and Assumptions'!$P$6,0,IF('Inputs and Assumptions'!$H$37="NO",0,IF('Monthly Cash Flow'!DR5&lt;='Inputs and Assumptions'!$H$38,0,VLOOKUP(DR5-'Inputs and Assumptions'!$H$38,'Amo Schedule - Supplemental'!$C$14:$I$373,7))))</f>
        <v>0</v>
      </c>
      <c r="DS107" s="438">
        <f>IF(DS5&gt;'Inputs and Assumptions'!$P$6,0,IF('Inputs and Assumptions'!$H$37="NO",0,IF('Monthly Cash Flow'!DS5&lt;='Inputs and Assumptions'!$H$38,0,VLOOKUP(DS5-'Inputs and Assumptions'!$H$38,'Amo Schedule - Supplemental'!$C$14:$I$373,7))))</f>
        <v>0</v>
      </c>
      <c r="DT107" s="438">
        <f>IF(DT5&gt;'Inputs and Assumptions'!$P$6,0,IF('Inputs and Assumptions'!$H$37="NO",0,IF('Monthly Cash Flow'!DT5&lt;='Inputs and Assumptions'!$H$38,0,VLOOKUP(DT5-'Inputs and Assumptions'!$H$38,'Amo Schedule - Supplemental'!$C$14:$I$373,7))))</f>
        <v>0</v>
      </c>
      <c r="DU107" s="439" t="s">
        <v>557</v>
      </c>
    </row>
    <row r="108" spans="1:125" ht="19">
      <c r="B108" s="221" t="s">
        <v>705</v>
      </c>
      <c r="C108" s="443"/>
      <c r="D108" s="444"/>
      <c r="E108" s="435">
        <f t="shared" ref="E108:AJ108" si="288">E100+E103+E104+E105-E106-E107</f>
        <v>75142.199419975848</v>
      </c>
      <c r="F108" s="435">
        <f t="shared" si="288"/>
        <v>77255.772749442272</v>
      </c>
      <c r="G108" s="435">
        <f t="shared" si="288"/>
        <v>79383.436567771874</v>
      </c>
      <c r="H108" s="435">
        <f t="shared" si="288"/>
        <v>81525.284811557081</v>
      </c>
      <c r="I108" s="435">
        <f t="shared" si="288"/>
        <v>83681.412043634118</v>
      </c>
      <c r="J108" s="435">
        <f t="shared" si="288"/>
        <v>85851.913457258299</v>
      </c>
      <c r="K108" s="435">
        <f t="shared" si="288"/>
        <v>88036.884880306709</v>
      </c>
      <c r="L108" s="435">
        <f t="shared" si="288"/>
        <v>90236.422779508677</v>
      </c>
      <c r="M108" s="435">
        <f t="shared" si="288"/>
        <v>92450.624264705359</v>
      </c>
      <c r="N108" s="435">
        <f t="shared" si="288"/>
        <v>94679.587093136754</v>
      </c>
      <c r="O108" s="435">
        <f t="shared" si="288"/>
        <v>96923.409673757662</v>
      </c>
      <c r="P108" s="435">
        <f t="shared" si="288"/>
        <v>99182.191071582594</v>
      </c>
      <c r="Q108" s="435">
        <f t="shared" si="288"/>
        <v>99132.252015780003</v>
      </c>
      <c r="R108" s="435">
        <f t="shared" si="288"/>
        <v>101277.30024087873</v>
      </c>
      <c r="S108" s="435">
        <f t="shared" si="288"/>
        <v>103435.75501738423</v>
      </c>
      <c r="T108" s="435">
        <f t="shared" si="288"/>
        <v>105607.70013624289</v>
      </c>
      <c r="U108" s="435">
        <f t="shared" si="288"/>
        <v>107793.2199120944</v>
      </c>
      <c r="V108" s="435">
        <f t="shared" si="288"/>
        <v>109992.39918654515</v>
      </c>
      <c r="W108" s="435">
        <f t="shared" si="288"/>
        <v>112205.32333146107</v>
      </c>
      <c r="X108" s="435">
        <f t="shared" si="288"/>
        <v>114432.07825228265</v>
      </c>
      <c r="Y108" s="435">
        <f t="shared" si="288"/>
        <v>116672.75039135954</v>
      </c>
      <c r="Z108" s="435">
        <f t="shared" si="288"/>
        <v>118927.4267313055</v>
      </c>
      <c r="AA108" s="435">
        <f t="shared" si="288"/>
        <v>121196.19479837616</v>
      </c>
      <c r="AB108" s="435">
        <f t="shared" si="288"/>
        <v>123479.14266586611</v>
      </c>
      <c r="AC108" s="435">
        <f t="shared" si="288"/>
        <v>122481.38876808564</v>
      </c>
      <c r="AD108" s="435">
        <f t="shared" si="288"/>
        <v>123710.65473037933</v>
      </c>
      <c r="AE108" s="435">
        <f t="shared" si="288"/>
        <v>124944.01824588062</v>
      </c>
      <c r="AF108" s="435">
        <f t="shared" si="288"/>
        <v>126181.4929731002</v>
      </c>
      <c r="AG108" s="435">
        <f t="shared" si="288"/>
        <v>127423.09261607715</v>
      </c>
      <c r="AH108" s="435">
        <f t="shared" si="288"/>
        <v>128668.83092453091</v>
      </c>
      <c r="AI108" s="435">
        <f t="shared" si="288"/>
        <v>129918.72169401268</v>
      </c>
      <c r="AJ108" s="435">
        <f t="shared" si="288"/>
        <v>131172.77876605943</v>
      </c>
      <c r="AK108" s="435">
        <f t="shared" ref="AK108:BP108" si="289">AK100+AK103+AK104+AK105-AK106-AK107</f>
        <v>132431.01602834626</v>
      </c>
      <c r="AL108" s="435">
        <f t="shared" si="289"/>
        <v>133693.44741484086</v>
      </c>
      <c r="AM108" s="435">
        <f t="shared" si="289"/>
        <v>134960.08690595691</v>
      </c>
      <c r="AN108" s="435">
        <f t="shared" si="289"/>
        <v>136230.94852871029</v>
      </c>
      <c r="AO108" s="435">
        <f t="shared" si="289"/>
        <v>135241.08391927258</v>
      </c>
      <c r="AP108" s="435">
        <f t="shared" si="289"/>
        <v>136520.43207352899</v>
      </c>
      <c r="AQ108" s="435">
        <f t="shared" si="289"/>
        <v>137804.04472163261</v>
      </c>
      <c r="AR108" s="435">
        <f t="shared" si="289"/>
        <v>139091.93607856351</v>
      </c>
      <c r="AS108" s="435">
        <f t="shared" si="289"/>
        <v>140384.12040668412</v>
      </c>
      <c r="AT108" s="435">
        <f t="shared" si="289"/>
        <v>141680.61201589828</v>
      </c>
      <c r="AU108" s="435">
        <f t="shared" si="289"/>
        <v>142981.42526381009</v>
      </c>
      <c r="AV108" s="435">
        <f t="shared" si="289"/>
        <v>144286.57455588144</v>
      </c>
      <c r="AW108" s="435">
        <f t="shared" si="289"/>
        <v>145596.07434559317</v>
      </c>
      <c r="AX108" s="435">
        <f t="shared" si="289"/>
        <v>146909.93913460377</v>
      </c>
      <c r="AY108" s="435">
        <f t="shared" si="289"/>
        <v>148228.18347291125</v>
      </c>
      <c r="AZ108" s="435">
        <f t="shared" si="289"/>
        <v>149550.82195901289</v>
      </c>
      <c r="BA108" s="435">
        <f t="shared" si="289"/>
        <v>271951.69620404759</v>
      </c>
      <c r="BB108" s="435">
        <f t="shared" si="289"/>
        <v>273282.45626100694</v>
      </c>
      <c r="BC108" s="435">
        <f t="shared" si="289"/>
        <v>274617.65218482295</v>
      </c>
      <c r="BD108" s="435">
        <f t="shared" si="289"/>
        <v>275957.29876171815</v>
      </c>
      <c r="BE108" s="435">
        <f t="shared" si="289"/>
        <v>277301.41082720325</v>
      </c>
      <c r="BF108" s="435">
        <f t="shared" si="289"/>
        <v>278650.00326623971</v>
      </c>
      <c r="BG108" s="435">
        <f t="shared" si="289"/>
        <v>280003.09101340652</v>
      </c>
      <c r="BH108" s="435">
        <f t="shared" si="289"/>
        <v>281360.68905306375</v>
      </c>
      <c r="BI108" s="435">
        <f t="shared" si="289"/>
        <v>282722.81241952005</v>
      </c>
      <c r="BJ108" s="435">
        <f t="shared" si="289"/>
        <v>284089.47619719751</v>
      </c>
      <c r="BK108" s="435">
        <f t="shared" si="289"/>
        <v>285460.69552080089</v>
      </c>
      <c r="BL108" s="435">
        <f t="shared" si="289"/>
        <v>286836.48557548277</v>
      </c>
      <c r="BM108" s="435">
        <f t="shared" si="289"/>
        <v>287212.7427047246</v>
      </c>
      <c r="BN108" s="435">
        <f t="shared" si="289"/>
        <v>288597.71997966059</v>
      </c>
      <c r="BO108" s="435">
        <f t="shared" si="289"/>
        <v>289987.31384551292</v>
      </c>
      <c r="BP108" s="435">
        <f t="shared" si="289"/>
        <v>291381.53969091823</v>
      </c>
      <c r="BQ108" s="435">
        <f t="shared" ref="BQ108:CV108" si="290">BQ100+BQ103+BQ104+BQ105-BQ106-BQ107</f>
        <v>292780.41295580822</v>
      </c>
      <c r="BR108" s="435">
        <f t="shared" si="290"/>
        <v>294183.94913158112</v>
      </c>
      <c r="BS108" s="435">
        <f t="shared" si="290"/>
        <v>295592.1637612732</v>
      </c>
      <c r="BT108" s="435">
        <f t="shared" si="290"/>
        <v>297005.07243973116</v>
      </c>
      <c r="BU108" s="435">
        <f t="shared" si="290"/>
        <v>298422.69081378367</v>
      </c>
      <c r="BV108" s="435">
        <f t="shared" si="290"/>
        <v>299845.03458241653</v>
      </c>
      <c r="BW108" s="435">
        <f t="shared" si="290"/>
        <v>301272.11949694494</v>
      </c>
      <c r="BX108" s="435">
        <f t="shared" si="290"/>
        <v>302703.96136118815</v>
      </c>
      <c r="BY108" s="435">
        <f t="shared" si="290"/>
        <v>303132.5046173525</v>
      </c>
      <c r="BZ108" s="435">
        <f t="shared" si="290"/>
        <v>304573.90800337819</v>
      </c>
      <c r="CA108" s="435">
        <f t="shared" si="290"/>
        <v>306020.11606735736</v>
      </c>
      <c r="CB108" s="435">
        <f t="shared" si="290"/>
        <v>307471.14482488309</v>
      </c>
      <c r="CC108" s="435">
        <f t="shared" si="290"/>
        <v>308927.01034493378</v>
      </c>
      <c r="CD108" s="435">
        <f t="shared" si="290"/>
        <v>310387.72875005146</v>
      </c>
      <c r="CE108" s="435">
        <f t="shared" si="290"/>
        <v>311853.31621651963</v>
      </c>
      <c r="CF108" s="435">
        <f t="shared" si="290"/>
        <v>313323.78897454252</v>
      </c>
      <c r="CG108" s="435">
        <f t="shared" si="290"/>
        <v>314799.16330842546</v>
      </c>
      <c r="CH108" s="435">
        <f t="shared" si="290"/>
        <v>316279.45555675478</v>
      </c>
      <c r="CI108" s="435">
        <f t="shared" si="290"/>
        <v>317764.68211257848</v>
      </c>
      <c r="CJ108" s="435">
        <f t="shared" si="290"/>
        <v>319254.85942358832</v>
      </c>
      <c r="CK108" s="435">
        <f t="shared" si="290"/>
        <v>319738.38490123919</v>
      </c>
      <c r="CL108" s="435">
        <f t="shared" si="290"/>
        <v>321238.51328518143</v>
      </c>
      <c r="CM108" s="435">
        <f t="shared" si="290"/>
        <v>322743.64209707</v>
      </c>
      <c r="CN108" s="435">
        <f t="shared" si="290"/>
        <v>324253.78800499835</v>
      </c>
      <c r="CO108" s="435">
        <f t="shared" si="290"/>
        <v>325768.96773261984</v>
      </c>
      <c r="CP108" s="435">
        <f t="shared" si="290"/>
        <v>327289.19805933331</v>
      </c>
      <c r="CQ108" s="435">
        <f t="shared" si="290"/>
        <v>328814.49582046911</v>
      </c>
      <c r="CR108" s="435">
        <f t="shared" si="290"/>
        <v>330344.87790747534</v>
      </c>
      <c r="CS108" s="435">
        <f t="shared" si="290"/>
        <v>331880.36126810504</v>
      </c>
      <c r="CT108" s="435">
        <f t="shared" si="290"/>
        <v>333420.96290660347</v>
      </c>
      <c r="CU108" s="435">
        <f t="shared" si="290"/>
        <v>334966.69988389686</v>
      </c>
      <c r="CV108" s="435">
        <f t="shared" si="290"/>
        <v>336517.58931778115</v>
      </c>
      <c r="CW108" s="435">
        <f t="shared" ref="CW108:DT108" si="291">CW100+CW103+CW104+CW105-CW106-CW107</f>
        <v>337058.90907429077</v>
      </c>
      <c r="CX108" s="435">
        <f t="shared" si="291"/>
        <v>338620.15500317269</v>
      </c>
      <c r="CY108" s="435">
        <f t="shared" si="291"/>
        <v>340186.60508515063</v>
      </c>
      <c r="CZ108" s="435">
        <f t="shared" si="291"/>
        <v>341758.27666740213</v>
      </c>
      <c r="DA108" s="435">
        <f t="shared" si="291"/>
        <v>343335.18715492752</v>
      </c>
      <c r="DB108" s="435">
        <f t="shared" si="291"/>
        <v>344917.35401074472</v>
      </c>
      <c r="DC108" s="435">
        <f t="shared" si="291"/>
        <v>346504.79475608136</v>
      </c>
      <c r="DD108" s="435">
        <f t="shared" si="291"/>
        <v>348097.52697056899</v>
      </c>
      <c r="DE108" s="435">
        <f t="shared" si="291"/>
        <v>349695.56829243846</v>
      </c>
      <c r="DF108" s="435">
        <f t="shared" si="291"/>
        <v>351298.93641871418</v>
      </c>
      <c r="DG108" s="435">
        <f t="shared" si="291"/>
        <v>352907.6491054105</v>
      </c>
      <c r="DH108" s="435">
        <f t="shared" si="291"/>
        <v>354521.72416772938</v>
      </c>
      <c r="DI108" s="435">
        <f t="shared" si="291"/>
        <v>355123.77091424266</v>
      </c>
      <c r="DJ108" s="435">
        <f t="shared" si="291"/>
        <v>356748.62441114429</v>
      </c>
      <c r="DK108" s="435">
        <f t="shared" si="291"/>
        <v>358378.89408636896</v>
      </c>
      <c r="DL108" s="435">
        <f t="shared" si="291"/>
        <v>360014.59799384448</v>
      </c>
      <c r="DM108" s="435">
        <f t="shared" si="291"/>
        <v>361655.75424767809</v>
      </c>
      <c r="DN108" s="435">
        <f t="shared" si="291"/>
        <v>363302.38102235791</v>
      </c>
      <c r="DO108" s="435">
        <f t="shared" si="291"/>
        <v>364954.49655295326</v>
      </c>
      <c r="DP108" s="435">
        <f t="shared" si="291"/>
        <v>366612.11913531722</v>
      </c>
      <c r="DQ108" s="435">
        <f t="shared" si="291"/>
        <v>368275.26712628914</v>
      </c>
      <c r="DR108" s="435">
        <f t="shared" si="291"/>
        <v>369943.95894389768</v>
      </c>
      <c r="DS108" s="435">
        <f t="shared" si="291"/>
        <v>371618.21306756476</v>
      </c>
      <c r="DT108" s="435">
        <f t="shared" si="291"/>
        <v>373298.04803831084</v>
      </c>
      <c r="DU108" s="430" t="s">
        <v>557</v>
      </c>
    </row>
    <row r="109" spans="1:125" ht="19" outlineLevel="1">
      <c r="B109" s="455" t="s">
        <v>1093</v>
      </c>
      <c r="C109" s="1196"/>
      <c r="D109" s="1198">
        <f>SUM(E109:DT109)</f>
        <v>0</v>
      </c>
      <c r="E109" s="457">
        <f t="shared" ref="E109:BP109" si="292">IF(E108&lt;0,-E108,0)</f>
        <v>0</v>
      </c>
      <c r="F109" s="457">
        <f t="shared" si="292"/>
        <v>0</v>
      </c>
      <c r="G109" s="457">
        <f t="shared" si="292"/>
        <v>0</v>
      </c>
      <c r="H109" s="457">
        <f t="shared" si="292"/>
        <v>0</v>
      </c>
      <c r="I109" s="457">
        <f t="shared" si="292"/>
        <v>0</v>
      </c>
      <c r="J109" s="457">
        <f t="shared" si="292"/>
        <v>0</v>
      </c>
      <c r="K109" s="457">
        <f t="shared" si="292"/>
        <v>0</v>
      </c>
      <c r="L109" s="457">
        <f t="shared" si="292"/>
        <v>0</v>
      </c>
      <c r="M109" s="457">
        <f t="shared" si="292"/>
        <v>0</v>
      </c>
      <c r="N109" s="457">
        <f t="shared" si="292"/>
        <v>0</v>
      </c>
      <c r="O109" s="457">
        <f t="shared" si="292"/>
        <v>0</v>
      </c>
      <c r="P109" s="457">
        <f t="shared" si="292"/>
        <v>0</v>
      </c>
      <c r="Q109" s="457">
        <f t="shared" si="292"/>
        <v>0</v>
      </c>
      <c r="R109" s="457">
        <f t="shared" si="292"/>
        <v>0</v>
      </c>
      <c r="S109" s="457">
        <f t="shared" si="292"/>
        <v>0</v>
      </c>
      <c r="T109" s="457">
        <f t="shared" si="292"/>
        <v>0</v>
      </c>
      <c r="U109" s="457">
        <f t="shared" si="292"/>
        <v>0</v>
      </c>
      <c r="V109" s="457">
        <f t="shared" si="292"/>
        <v>0</v>
      </c>
      <c r="W109" s="457">
        <f t="shared" si="292"/>
        <v>0</v>
      </c>
      <c r="X109" s="457">
        <f t="shared" si="292"/>
        <v>0</v>
      </c>
      <c r="Y109" s="457">
        <f t="shared" si="292"/>
        <v>0</v>
      </c>
      <c r="Z109" s="457">
        <f t="shared" si="292"/>
        <v>0</v>
      </c>
      <c r="AA109" s="457">
        <f t="shared" si="292"/>
        <v>0</v>
      </c>
      <c r="AB109" s="457">
        <f t="shared" si="292"/>
        <v>0</v>
      </c>
      <c r="AC109" s="457">
        <f t="shared" si="292"/>
        <v>0</v>
      </c>
      <c r="AD109" s="457">
        <f t="shared" si="292"/>
        <v>0</v>
      </c>
      <c r="AE109" s="457">
        <f t="shared" si="292"/>
        <v>0</v>
      </c>
      <c r="AF109" s="457">
        <f t="shared" si="292"/>
        <v>0</v>
      </c>
      <c r="AG109" s="457">
        <f t="shared" si="292"/>
        <v>0</v>
      </c>
      <c r="AH109" s="457">
        <f t="shared" si="292"/>
        <v>0</v>
      </c>
      <c r="AI109" s="457">
        <f t="shared" si="292"/>
        <v>0</v>
      </c>
      <c r="AJ109" s="457">
        <f t="shared" si="292"/>
        <v>0</v>
      </c>
      <c r="AK109" s="457">
        <f t="shared" si="292"/>
        <v>0</v>
      </c>
      <c r="AL109" s="457">
        <f t="shared" si="292"/>
        <v>0</v>
      </c>
      <c r="AM109" s="457">
        <f t="shared" si="292"/>
        <v>0</v>
      </c>
      <c r="AN109" s="457">
        <f t="shared" si="292"/>
        <v>0</v>
      </c>
      <c r="AO109" s="457">
        <f t="shared" si="292"/>
        <v>0</v>
      </c>
      <c r="AP109" s="457">
        <f t="shared" si="292"/>
        <v>0</v>
      </c>
      <c r="AQ109" s="457">
        <f t="shared" si="292"/>
        <v>0</v>
      </c>
      <c r="AR109" s="457">
        <f t="shared" si="292"/>
        <v>0</v>
      </c>
      <c r="AS109" s="457">
        <f t="shared" si="292"/>
        <v>0</v>
      </c>
      <c r="AT109" s="457">
        <f t="shared" si="292"/>
        <v>0</v>
      </c>
      <c r="AU109" s="457">
        <f t="shared" si="292"/>
        <v>0</v>
      </c>
      <c r="AV109" s="457">
        <f t="shared" si="292"/>
        <v>0</v>
      </c>
      <c r="AW109" s="457">
        <f t="shared" si="292"/>
        <v>0</v>
      </c>
      <c r="AX109" s="457">
        <f t="shared" si="292"/>
        <v>0</v>
      </c>
      <c r="AY109" s="457">
        <f t="shared" si="292"/>
        <v>0</v>
      </c>
      <c r="AZ109" s="457">
        <f t="shared" si="292"/>
        <v>0</v>
      </c>
      <c r="BA109" s="457">
        <f t="shared" si="292"/>
        <v>0</v>
      </c>
      <c r="BB109" s="457">
        <f t="shared" si="292"/>
        <v>0</v>
      </c>
      <c r="BC109" s="457">
        <f t="shared" si="292"/>
        <v>0</v>
      </c>
      <c r="BD109" s="457">
        <f t="shared" si="292"/>
        <v>0</v>
      </c>
      <c r="BE109" s="457">
        <f t="shared" si="292"/>
        <v>0</v>
      </c>
      <c r="BF109" s="457">
        <f t="shared" si="292"/>
        <v>0</v>
      </c>
      <c r="BG109" s="457">
        <f t="shared" si="292"/>
        <v>0</v>
      </c>
      <c r="BH109" s="457">
        <f t="shared" si="292"/>
        <v>0</v>
      </c>
      <c r="BI109" s="457">
        <f t="shared" si="292"/>
        <v>0</v>
      </c>
      <c r="BJ109" s="457">
        <f t="shared" si="292"/>
        <v>0</v>
      </c>
      <c r="BK109" s="457">
        <f t="shared" si="292"/>
        <v>0</v>
      </c>
      <c r="BL109" s="457">
        <f t="shared" si="292"/>
        <v>0</v>
      </c>
      <c r="BM109" s="457">
        <f t="shared" si="292"/>
        <v>0</v>
      </c>
      <c r="BN109" s="457">
        <f t="shared" si="292"/>
        <v>0</v>
      </c>
      <c r="BO109" s="457">
        <f t="shared" si="292"/>
        <v>0</v>
      </c>
      <c r="BP109" s="457">
        <f t="shared" si="292"/>
        <v>0</v>
      </c>
      <c r="BQ109" s="457">
        <f t="shared" ref="BQ109:DT109" si="293">IF(BQ108&lt;0,-BQ108,0)</f>
        <v>0</v>
      </c>
      <c r="BR109" s="457">
        <f t="shared" si="293"/>
        <v>0</v>
      </c>
      <c r="BS109" s="457">
        <f t="shared" si="293"/>
        <v>0</v>
      </c>
      <c r="BT109" s="457">
        <f t="shared" si="293"/>
        <v>0</v>
      </c>
      <c r="BU109" s="457">
        <f t="shared" si="293"/>
        <v>0</v>
      </c>
      <c r="BV109" s="457">
        <f t="shared" si="293"/>
        <v>0</v>
      </c>
      <c r="BW109" s="457">
        <f t="shared" si="293"/>
        <v>0</v>
      </c>
      <c r="BX109" s="457">
        <f t="shared" si="293"/>
        <v>0</v>
      </c>
      <c r="BY109" s="457">
        <f t="shared" si="293"/>
        <v>0</v>
      </c>
      <c r="BZ109" s="457">
        <f t="shared" si="293"/>
        <v>0</v>
      </c>
      <c r="CA109" s="457">
        <f t="shared" si="293"/>
        <v>0</v>
      </c>
      <c r="CB109" s="457">
        <f t="shared" si="293"/>
        <v>0</v>
      </c>
      <c r="CC109" s="457">
        <f t="shared" si="293"/>
        <v>0</v>
      </c>
      <c r="CD109" s="457">
        <f t="shared" si="293"/>
        <v>0</v>
      </c>
      <c r="CE109" s="457">
        <f t="shared" si="293"/>
        <v>0</v>
      </c>
      <c r="CF109" s="457">
        <f t="shared" si="293"/>
        <v>0</v>
      </c>
      <c r="CG109" s="457">
        <f t="shared" si="293"/>
        <v>0</v>
      </c>
      <c r="CH109" s="457">
        <f t="shared" si="293"/>
        <v>0</v>
      </c>
      <c r="CI109" s="457">
        <f t="shared" si="293"/>
        <v>0</v>
      </c>
      <c r="CJ109" s="457">
        <f t="shared" si="293"/>
        <v>0</v>
      </c>
      <c r="CK109" s="457">
        <f t="shared" si="293"/>
        <v>0</v>
      </c>
      <c r="CL109" s="457">
        <f t="shared" si="293"/>
        <v>0</v>
      </c>
      <c r="CM109" s="457">
        <f t="shared" si="293"/>
        <v>0</v>
      </c>
      <c r="CN109" s="457">
        <f t="shared" si="293"/>
        <v>0</v>
      </c>
      <c r="CO109" s="457">
        <f t="shared" si="293"/>
        <v>0</v>
      </c>
      <c r="CP109" s="457">
        <f t="shared" si="293"/>
        <v>0</v>
      </c>
      <c r="CQ109" s="457">
        <f t="shared" si="293"/>
        <v>0</v>
      </c>
      <c r="CR109" s="457">
        <f t="shared" si="293"/>
        <v>0</v>
      </c>
      <c r="CS109" s="457">
        <f t="shared" si="293"/>
        <v>0</v>
      </c>
      <c r="CT109" s="457">
        <f t="shared" si="293"/>
        <v>0</v>
      </c>
      <c r="CU109" s="457">
        <f t="shared" si="293"/>
        <v>0</v>
      </c>
      <c r="CV109" s="457">
        <f t="shared" si="293"/>
        <v>0</v>
      </c>
      <c r="CW109" s="457">
        <f t="shared" si="293"/>
        <v>0</v>
      </c>
      <c r="CX109" s="457">
        <f t="shared" si="293"/>
        <v>0</v>
      </c>
      <c r="CY109" s="457">
        <f t="shared" si="293"/>
        <v>0</v>
      </c>
      <c r="CZ109" s="457">
        <f t="shared" si="293"/>
        <v>0</v>
      </c>
      <c r="DA109" s="457">
        <f t="shared" si="293"/>
        <v>0</v>
      </c>
      <c r="DB109" s="457">
        <f t="shared" si="293"/>
        <v>0</v>
      </c>
      <c r="DC109" s="457">
        <f t="shared" si="293"/>
        <v>0</v>
      </c>
      <c r="DD109" s="457">
        <f t="shared" si="293"/>
        <v>0</v>
      </c>
      <c r="DE109" s="457">
        <f t="shared" si="293"/>
        <v>0</v>
      </c>
      <c r="DF109" s="457">
        <f t="shared" si="293"/>
        <v>0</v>
      </c>
      <c r="DG109" s="457">
        <f t="shared" si="293"/>
        <v>0</v>
      </c>
      <c r="DH109" s="457">
        <f t="shared" si="293"/>
        <v>0</v>
      </c>
      <c r="DI109" s="457">
        <f t="shared" si="293"/>
        <v>0</v>
      </c>
      <c r="DJ109" s="457">
        <f t="shared" si="293"/>
        <v>0</v>
      </c>
      <c r="DK109" s="457">
        <f t="shared" si="293"/>
        <v>0</v>
      </c>
      <c r="DL109" s="457">
        <f t="shared" si="293"/>
        <v>0</v>
      </c>
      <c r="DM109" s="457">
        <f t="shared" si="293"/>
        <v>0</v>
      </c>
      <c r="DN109" s="457">
        <f t="shared" si="293"/>
        <v>0</v>
      </c>
      <c r="DO109" s="457">
        <f t="shared" si="293"/>
        <v>0</v>
      </c>
      <c r="DP109" s="457">
        <f t="shared" si="293"/>
        <v>0</v>
      </c>
      <c r="DQ109" s="457">
        <f t="shared" si="293"/>
        <v>0</v>
      </c>
      <c r="DR109" s="457">
        <f t="shared" si="293"/>
        <v>0</v>
      </c>
      <c r="DS109" s="457">
        <f t="shared" si="293"/>
        <v>0</v>
      </c>
      <c r="DT109" s="457">
        <f t="shared" si="293"/>
        <v>0</v>
      </c>
      <c r="DU109" s="430" t="s">
        <v>557</v>
      </c>
    </row>
    <row r="110" spans="1:125" ht="19">
      <c r="B110" s="448"/>
      <c r="D110" s="437"/>
      <c r="E110" s="449"/>
      <c r="F110" s="449"/>
      <c r="G110" s="449"/>
      <c r="H110" s="449"/>
      <c r="I110" s="449"/>
      <c r="J110" s="449"/>
      <c r="K110" s="449"/>
      <c r="L110" s="449"/>
      <c r="M110" s="449"/>
      <c r="N110" s="449"/>
      <c r="O110" s="449"/>
      <c r="P110" s="449"/>
      <c r="Q110" s="449"/>
      <c r="R110" s="449"/>
      <c r="S110" s="449"/>
      <c r="T110" s="449"/>
      <c r="U110" s="449"/>
      <c r="V110" s="449"/>
      <c r="W110" s="449"/>
      <c r="X110" s="449"/>
      <c r="Y110" s="449"/>
      <c r="Z110" s="449"/>
      <c r="AA110" s="449"/>
      <c r="AB110" s="449"/>
      <c r="AC110" s="449"/>
      <c r="AD110" s="449"/>
      <c r="AE110" s="449"/>
      <c r="AF110" s="449"/>
      <c r="AG110" s="449"/>
      <c r="AH110" s="449"/>
      <c r="AI110" s="449"/>
      <c r="AJ110" s="449"/>
      <c r="AK110" s="449"/>
      <c r="AL110" s="449"/>
      <c r="AM110" s="449"/>
      <c r="AN110" s="449"/>
      <c r="AO110" s="449"/>
      <c r="AP110" s="449"/>
      <c r="AQ110" s="449"/>
      <c r="AR110" s="449"/>
      <c r="AS110" s="449"/>
      <c r="AT110" s="449"/>
      <c r="AU110" s="449"/>
      <c r="AV110" s="449"/>
      <c r="AW110" s="449"/>
      <c r="AX110" s="449"/>
      <c r="AY110" s="449"/>
      <c r="AZ110" s="449"/>
      <c r="BA110" s="449"/>
      <c r="BB110" s="449"/>
      <c r="BC110" s="449"/>
      <c r="BD110" s="449"/>
      <c r="BE110" s="449"/>
      <c r="BF110" s="449"/>
      <c r="BG110" s="449"/>
      <c r="BH110" s="449"/>
      <c r="BI110" s="449"/>
      <c r="BJ110" s="449"/>
      <c r="BK110" s="449"/>
      <c r="BL110" s="449"/>
      <c r="BM110" s="449"/>
      <c r="BN110" s="449"/>
      <c r="BO110" s="449"/>
      <c r="BP110" s="449"/>
      <c r="BQ110" s="449"/>
      <c r="BR110" s="449"/>
      <c r="BS110" s="449"/>
      <c r="BT110" s="449"/>
      <c r="BU110" s="449"/>
      <c r="BV110" s="449"/>
      <c r="BW110" s="449"/>
      <c r="BX110" s="449"/>
      <c r="BY110" s="449"/>
      <c r="BZ110" s="449"/>
      <c r="CA110" s="449"/>
      <c r="CB110" s="449"/>
      <c r="CC110" s="449"/>
      <c r="CD110" s="449"/>
      <c r="CE110" s="449"/>
      <c r="CF110" s="449"/>
      <c r="CG110" s="449"/>
      <c r="CH110" s="449"/>
      <c r="CI110" s="449"/>
      <c r="CJ110" s="449"/>
      <c r="CK110" s="449"/>
      <c r="CL110" s="449"/>
      <c r="CM110" s="449"/>
      <c r="CN110" s="449"/>
      <c r="CO110" s="449"/>
      <c r="CP110" s="449"/>
      <c r="CQ110" s="449"/>
      <c r="CR110" s="449"/>
      <c r="CS110" s="449"/>
      <c r="CT110" s="449"/>
      <c r="CU110" s="449"/>
      <c r="CV110" s="449"/>
      <c r="CW110" s="449"/>
      <c r="CX110" s="449"/>
      <c r="CY110" s="449"/>
      <c r="CZ110" s="449"/>
      <c r="DA110" s="449"/>
      <c r="DB110" s="449"/>
      <c r="DC110" s="449"/>
      <c r="DD110" s="449"/>
      <c r="DE110" s="449"/>
      <c r="DF110" s="449"/>
      <c r="DG110" s="449"/>
      <c r="DH110" s="449"/>
      <c r="DI110" s="449"/>
      <c r="DJ110" s="449"/>
      <c r="DK110" s="449"/>
      <c r="DL110" s="449"/>
      <c r="DM110" s="449"/>
      <c r="DN110" s="449"/>
      <c r="DO110" s="449"/>
      <c r="DP110" s="449"/>
      <c r="DQ110" s="449"/>
      <c r="DR110" s="449"/>
      <c r="DS110" s="449"/>
      <c r="DT110" s="449"/>
      <c r="DU110" s="446" t="s">
        <v>557</v>
      </c>
    </row>
    <row r="111" spans="1:125" ht="19">
      <c r="B111" s="450" t="s">
        <v>1094</v>
      </c>
      <c r="C111" s="451">
        <f>'Inputs and Assumptions'!L35</f>
        <v>0.06</v>
      </c>
      <c r="D111" s="437"/>
      <c r="E111" s="438">
        <f>IF(AND($C$116&gt;0,E5&gt;1,D117=0),0,IF(E5&gt;'Inputs and Assumptions'!$L$6, $C$111/12*'Monthly Cash Flow'!E115,$C$111/12*'Inputs and Assumptions'!$L$25))</f>
        <v>0</v>
      </c>
      <c r="F111" s="438">
        <f>IF(AND($C$116&gt;0,F5&gt;1,E117=0),0,IF(F5&gt;'Inputs and Assumptions'!$L$6, $C$111/12*'Monthly Cash Flow'!F115,$C$111/12*'Inputs and Assumptions'!$L$25))</f>
        <v>0</v>
      </c>
      <c r="G111" s="438">
        <f>IF(AND($C$116&gt;0,G5&gt;1,F117=0),0,IF(G5&gt;'Inputs and Assumptions'!$L$6, $C$111/12*'Monthly Cash Flow'!G115,$C$111/12*'Inputs and Assumptions'!$L$25))</f>
        <v>0</v>
      </c>
      <c r="H111" s="438">
        <f>IF(AND($C$116&gt;0,H5&gt;1,G117=0),0,IF(H5&gt;'Inputs and Assumptions'!$L$6, $C$111/12*'Monthly Cash Flow'!H115,$C$111/12*'Inputs and Assumptions'!$L$25))</f>
        <v>0</v>
      </c>
      <c r="I111" s="438">
        <f>IF(AND($C$116&gt;0,I5&gt;1,H117=0),0,IF(I5&gt;'Inputs and Assumptions'!$L$6, $C$111/12*'Monthly Cash Flow'!I115,$C$111/12*'Inputs and Assumptions'!$L$25))</f>
        <v>0</v>
      </c>
      <c r="J111" s="438">
        <f>IF(AND($C$116&gt;0,J5&gt;1,I117=0),0,IF(J5&gt;'Inputs and Assumptions'!$L$6, $C$111/12*'Monthly Cash Flow'!J115,$C$111/12*'Inputs and Assumptions'!$L$25))</f>
        <v>0</v>
      </c>
      <c r="K111" s="438">
        <f>IF(AND($C$116&gt;0,K5&gt;1,J117=0),0,IF(K5&gt;'Inputs and Assumptions'!$L$6, $C$111/12*'Monthly Cash Flow'!K115,$C$111/12*'Inputs and Assumptions'!$L$25))</f>
        <v>0</v>
      </c>
      <c r="L111" s="438">
        <f>IF(AND($C$116&gt;0,L5&gt;1,K117=0),0,IF(L5&gt;'Inputs and Assumptions'!$L$6, $C$111/12*'Monthly Cash Flow'!L115,$C$111/12*'Inputs and Assumptions'!$L$25))</f>
        <v>0</v>
      </c>
      <c r="M111" s="438">
        <f>IF(AND($C$116&gt;0,M5&gt;1,L117=0),0,IF(M5&gt;'Inputs and Assumptions'!$L$6, $C$111/12*'Monthly Cash Flow'!M115,$C$111/12*'Inputs and Assumptions'!$L$25))</f>
        <v>0</v>
      </c>
      <c r="N111" s="438">
        <f>IF(AND($C$116&gt;0,N5&gt;1,M117=0),0,IF(N5&gt;'Inputs and Assumptions'!$L$6, $C$111/12*'Monthly Cash Flow'!N115,$C$111/12*'Inputs and Assumptions'!$L$25))</f>
        <v>0</v>
      </c>
      <c r="O111" s="438">
        <f>IF(AND($C$116&gt;0,O5&gt;1,N117=0),0,IF(O5&gt;'Inputs and Assumptions'!$L$6, $C$111/12*'Monthly Cash Flow'!O115,$C$111/12*'Inputs and Assumptions'!$L$25))</f>
        <v>0</v>
      </c>
      <c r="P111" s="438">
        <f>IF(AND($C$116&gt;0,P5&gt;1,O117=0),0,IF(P5&gt;'Inputs and Assumptions'!$L$6, $C$111/12*'Monthly Cash Flow'!P115,$C$111/12*'Inputs and Assumptions'!$L$25))</f>
        <v>0</v>
      </c>
      <c r="Q111" s="438">
        <f>IF(AND($C$116&gt;0,Q5&gt;1,P117=0),0,IF(Q5&gt;'Inputs and Assumptions'!$L$6, $C$111/12*'Monthly Cash Flow'!Q115,$C$111/12*'Inputs and Assumptions'!$L$25))</f>
        <v>0</v>
      </c>
      <c r="R111" s="438">
        <f>IF(AND($C$116&gt;0,R5&gt;1,Q117=0),0,IF(R5&gt;'Inputs and Assumptions'!$L$6, $C$111/12*'Monthly Cash Flow'!R115,$C$111/12*'Inputs and Assumptions'!$L$25))</f>
        <v>0</v>
      </c>
      <c r="S111" s="438">
        <f>IF(AND($C$116&gt;0,S5&gt;1,R117=0),0,IF(S5&gt;'Inputs and Assumptions'!$L$6, $C$111/12*'Monthly Cash Flow'!S115,$C$111/12*'Inputs and Assumptions'!$L$25))</f>
        <v>0</v>
      </c>
      <c r="T111" s="438">
        <f>IF(AND($C$116&gt;0,T5&gt;1,S117=0),0,IF(T5&gt;'Inputs and Assumptions'!$L$6, $C$111/12*'Monthly Cash Flow'!T115,$C$111/12*'Inputs and Assumptions'!$L$25))</f>
        <v>0</v>
      </c>
      <c r="U111" s="438">
        <f>IF(AND($C$116&gt;0,U5&gt;1,T117=0),0,IF(U5&gt;'Inputs and Assumptions'!$L$6, $C$111/12*'Monthly Cash Flow'!U115,$C$111/12*'Inputs and Assumptions'!$L$25))</f>
        <v>0</v>
      </c>
      <c r="V111" s="438">
        <f>IF(AND($C$116&gt;0,V5&gt;1,U117=0),0,IF(V5&gt;'Inputs and Assumptions'!$L$6, $C$111/12*'Monthly Cash Flow'!V115,$C$111/12*'Inputs and Assumptions'!$L$25))</f>
        <v>0</v>
      </c>
      <c r="W111" s="438">
        <f>IF(AND($C$116&gt;0,W5&gt;1,V117=0),0,IF(W5&gt;'Inputs and Assumptions'!$L$6, $C$111/12*'Monthly Cash Flow'!W115,$C$111/12*'Inputs and Assumptions'!$L$25))</f>
        <v>0</v>
      </c>
      <c r="X111" s="438">
        <f>IF(AND($C$116&gt;0,X5&gt;1,W117=0),0,IF(X5&gt;'Inputs and Assumptions'!$L$6, $C$111/12*'Monthly Cash Flow'!X115,$C$111/12*'Inputs and Assumptions'!$L$25))</f>
        <v>0</v>
      </c>
      <c r="Y111" s="438">
        <f>IF(AND($C$116&gt;0,Y5&gt;1,X117=0),0,IF(Y5&gt;'Inputs and Assumptions'!$L$6, $C$111/12*'Monthly Cash Flow'!Y115,$C$111/12*'Inputs and Assumptions'!$L$25))</f>
        <v>0</v>
      </c>
      <c r="Z111" s="438">
        <f>IF(AND($C$116&gt;0,Z5&gt;1,Y117=0),0,IF(Z5&gt;'Inputs and Assumptions'!$L$6, $C$111/12*'Monthly Cash Flow'!Z115,$C$111/12*'Inputs and Assumptions'!$L$25))</f>
        <v>0</v>
      </c>
      <c r="AA111" s="438">
        <f>IF(AND($C$116&gt;0,AA5&gt;1,Z117=0),0,IF(AA5&gt;'Inputs and Assumptions'!$L$6, $C$111/12*'Monthly Cash Flow'!AA115,$C$111/12*'Inputs and Assumptions'!$L$25))</f>
        <v>0</v>
      </c>
      <c r="AB111" s="438">
        <f>IF(AND($C$116&gt;0,AB5&gt;1,AA117=0),0,IF(AB5&gt;'Inputs and Assumptions'!$L$6, $C$111/12*'Monthly Cash Flow'!AB115,$C$111/12*'Inputs and Assumptions'!$L$25))</f>
        <v>0</v>
      </c>
      <c r="AC111" s="438">
        <f>IF(AND($C$116&gt;0,AC5&gt;1,AB117=0),0,IF(AC5&gt;'Inputs and Assumptions'!$L$6, $C$111/12*'Monthly Cash Flow'!AC115,$C$111/12*'Inputs and Assumptions'!$L$25))</f>
        <v>0</v>
      </c>
      <c r="AD111" s="438">
        <f>IF(AND($C$116&gt;0,AD5&gt;1,AC117=0),0,IF(AD5&gt;'Inputs and Assumptions'!$L$6, $C$111/12*'Monthly Cash Flow'!AD115,$C$111/12*'Inputs and Assumptions'!$L$25))</f>
        <v>0</v>
      </c>
      <c r="AE111" s="438">
        <f>IF(AND($C$116&gt;0,AE5&gt;1,AD117=0),0,IF(AE5&gt;'Inputs and Assumptions'!$L$6, $C$111/12*'Monthly Cash Flow'!AE115,$C$111/12*'Inputs and Assumptions'!$L$25))</f>
        <v>0</v>
      </c>
      <c r="AF111" s="438">
        <f>IF(AND($C$116&gt;0,AF5&gt;1,AE117=0),0,IF(AF5&gt;'Inputs and Assumptions'!$L$6, $C$111/12*'Monthly Cash Flow'!AF115,$C$111/12*'Inputs and Assumptions'!$L$25))</f>
        <v>0</v>
      </c>
      <c r="AG111" s="438">
        <f>IF(AND($C$116&gt;0,AG5&gt;1,AF117=0),0,IF(AG5&gt;'Inputs and Assumptions'!$L$6, $C$111/12*'Monthly Cash Flow'!AG115,$C$111/12*'Inputs and Assumptions'!$L$25))</f>
        <v>0</v>
      </c>
      <c r="AH111" s="438">
        <f>IF(AND($C$116&gt;0,AH5&gt;1,AG117=0),0,IF(AH5&gt;'Inputs and Assumptions'!$L$6, $C$111/12*'Monthly Cash Flow'!AH115,$C$111/12*'Inputs and Assumptions'!$L$25))</f>
        <v>0</v>
      </c>
      <c r="AI111" s="438">
        <f>IF(AND($C$116&gt;0,AI5&gt;1,AH117=0),0,IF(AI5&gt;'Inputs and Assumptions'!$L$6, $C$111/12*'Monthly Cash Flow'!AI115,$C$111/12*'Inputs and Assumptions'!$L$25))</f>
        <v>0</v>
      </c>
      <c r="AJ111" s="438">
        <f>IF(AND($C$116&gt;0,AJ5&gt;1,AI117=0),0,IF(AJ5&gt;'Inputs and Assumptions'!$L$6, $C$111/12*'Monthly Cash Flow'!AJ115,$C$111/12*'Inputs and Assumptions'!$L$25))</f>
        <v>0</v>
      </c>
      <c r="AK111" s="438">
        <f>IF(AND($C$116&gt;0,AK5&gt;1,AJ117=0),0,IF(AK5&gt;'Inputs and Assumptions'!$L$6, $C$111/12*'Monthly Cash Flow'!AK115,$C$111/12*'Inputs and Assumptions'!$L$25))</f>
        <v>0</v>
      </c>
      <c r="AL111" s="438">
        <f>IF(AND($C$116&gt;0,AL5&gt;1,AK117=0),0,IF(AL5&gt;'Inputs and Assumptions'!$L$6, $C$111/12*'Monthly Cash Flow'!AL115,$C$111/12*'Inputs and Assumptions'!$L$25))</f>
        <v>0</v>
      </c>
      <c r="AM111" s="438">
        <f>IF(AND($C$116&gt;0,AM5&gt;1,AL117=0),0,IF(AM5&gt;'Inputs and Assumptions'!$L$6, $C$111/12*'Monthly Cash Flow'!AM115,$C$111/12*'Inputs and Assumptions'!$L$25))</f>
        <v>0</v>
      </c>
      <c r="AN111" s="438">
        <f>IF(AND($C$116&gt;0,AN5&gt;1,AM117=0),0,IF(AN5&gt;'Inputs and Assumptions'!$L$6, $C$111/12*'Monthly Cash Flow'!AN115,$C$111/12*'Inputs and Assumptions'!$L$25))</f>
        <v>0</v>
      </c>
      <c r="AO111" s="438">
        <f>IF(AND($C$116&gt;0,AO5&gt;1,AN117=0),0,IF(AO5&gt;'Inputs and Assumptions'!$L$6, $C$111/12*'Monthly Cash Flow'!AO115,$C$111/12*'Inputs and Assumptions'!$L$25))</f>
        <v>0</v>
      </c>
      <c r="AP111" s="438">
        <f>IF(AND($C$116&gt;0,AP5&gt;1,AO117=0),0,IF(AP5&gt;'Inputs and Assumptions'!$L$6, $C$111/12*'Monthly Cash Flow'!AP115,$C$111/12*'Inputs and Assumptions'!$L$25))</f>
        <v>0</v>
      </c>
      <c r="AQ111" s="438">
        <f>IF(AND($C$116&gt;0,AQ5&gt;1,AP117=0),0,IF(AQ5&gt;'Inputs and Assumptions'!$L$6, $C$111/12*'Monthly Cash Flow'!AQ115,$C$111/12*'Inputs and Assumptions'!$L$25))</f>
        <v>0</v>
      </c>
      <c r="AR111" s="438">
        <f>IF(AND($C$116&gt;0,AR5&gt;1,AQ117=0),0,IF(AR5&gt;'Inputs and Assumptions'!$L$6, $C$111/12*'Monthly Cash Flow'!AR115,$C$111/12*'Inputs and Assumptions'!$L$25))</f>
        <v>0</v>
      </c>
      <c r="AS111" s="438">
        <f>IF(AND($C$116&gt;0,AS5&gt;1,AR117=0),0,IF(AS5&gt;'Inputs and Assumptions'!$L$6, $C$111/12*'Monthly Cash Flow'!AS115,$C$111/12*'Inputs and Assumptions'!$L$25))</f>
        <v>0</v>
      </c>
      <c r="AT111" s="438">
        <f>IF(AND($C$116&gt;0,AT5&gt;1,AS117=0),0,IF(AT5&gt;'Inputs and Assumptions'!$L$6, $C$111/12*'Monthly Cash Flow'!AT115,$C$111/12*'Inputs and Assumptions'!$L$25))</f>
        <v>0</v>
      </c>
      <c r="AU111" s="438">
        <f>IF(AND($C$116&gt;0,AU5&gt;1,AT117=0),0,IF(AU5&gt;'Inputs and Assumptions'!$L$6, $C$111/12*'Monthly Cash Flow'!AU115,$C$111/12*'Inputs and Assumptions'!$L$25))</f>
        <v>0</v>
      </c>
      <c r="AV111" s="438">
        <f>IF(AND($C$116&gt;0,AV5&gt;1,AU117=0),0,IF(AV5&gt;'Inputs and Assumptions'!$L$6, $C$111/12*'Monthly Cash Flow'!AV115,$C$111/12*'Inputs and Assumptions'!$L$25))</f>
        <v>0</v>
      </c>
      <c r="AW111" s="438">
        <f>IF(AND($C$116&gt;0,AW5&gt;1,AV117=0),0,IF(AW5&gt;'Inputs and Assumptions'!$L$6, $C$111/12*'Monthly Cash Flow'!AW115,$C$111/12*'Inputs and Assumptions'!$L$25))</f>
        <v>0</v>
      </c>
      <c r="AX111" s="438">
        <f>IF(AND($C$116&gt;0,AX5&gt;1,AW117=0),0,IF(AX5&gt;'Inputs and Assumptions'!$L$6, $C$111/12*'Monthly Cash Flow'!AX115,$C$111/12*'Inputs and Assumptions'!$L$25))</f>
        <v>0</v>
      </c>
      <c r="AY111" s="438">
        <f>IF(AND($C$116&gt;0,AY5&gt;1,AX117=0),0,IF(AY5&gt;'Inputs and Assumptions'!$L$6, $C$111/12*'Monthly Cash Flow'!AY115,$C$111/12*'Inputs and Assumptions'!$L$25))</f>
        <v>0</v>
      </c>
      <c r="AZ111" s="438">
        <f>IF(AND($C$116&gt;0,AZ5&gt;1,AY117=0),0,IF(AZ5&gt;'Inputs and Assumptions'!$L$6, $C$111/12*'Monthly Cash Flow'!AZ115,$C$111/12*'Inputs and Assumptions'!$L$25))</f>
        <v>0</v>
      </c>
      <c r="BA111" s="438">
        <f>IF(AND($C$116&gt;0,BA5&gt;1,AZ117=0),0,IF(BA5&gt;'Inputs and Assumptions'!$L$6, $C$111/12*'Monthly Cash Flow'!BA115,$C$111/12*'Inputs and Assumptions'!$L$25))</f>
        <v>0</v>
      </c>
      <c r="BB111" s="438">
        <f>IF(AND($C$116&gt;0,BB5&gt;1,BA117=0),0,IF(BB5&gt;'Inputs and Assumptions'!$L$6, $C$111/12*'Monthly Cash Flow'!BB115,$C$111/12*'Inputs and Assumptions'!$L$25))</f>
        <v>0</v>
      </c>
      <c r="BC111" s="438">
        <f>IF(AND($C$116&gt;0,BC5&gt;1,BB117=0),0,IF(BC5&gt;'Inputs and Assumptions'!$L$6, $C$111/12*'Monthly Cash Flow'!BC115,$C$111/12*'Inputs and Assumptions'!$L$25))</f>
        <v>0</v>
      </c>
      <c r="BD111" s="438">
        <f>IF(AND($C$116&gt;0,BD5&gt;1,BC117=0),0,IF(BD5&gt;'Inputs and Assumptions'!$L$6, $C$111/12*'Monthly Cash Flow'!BD115,$C$111/12*'Inputs and Assumptions'!$L$25))</f>
        <v>0</v>
      </c>
      <c r="BE111" s="438">
        <f>IF(AND($C$116&gt;0,BE5&gt;1,BD117=0),0,IF(BE5&gt;'Inputs and Assumptions'!$L$6, $C$111/12*'Monthly Cash Flow'!BE115,$C$111/12*'Inputs and Assumptions'!$L$25))</f>
        <v>0</v>
      </c>
      <c r="BF111" s="438">
        <f>IF(AND($C$116&gt;0,BF5&gt;1,BE117=0),0,IF(BF5&gt;'Inputs and Assumptions'!$L$6, $C$111/12*'Monthly Cash Flow'!BF115,$C$111/12*'Inputs and Assumptions'!$L$25))</f>
        <v>0</v>
      </c>
      <c r="BG111" s="438">
        <f>IF(AND($C$116&gt;0,BG5&gt;1,BF117=0),0,IF(BG5&gt;'Inputs and Assumptions'!$L$6, $C$111/12*'Monthly Cash Flow'!BG115,$C$111/12*'Inputs and Assumptions'!$L$25))</f>
        <v>0</v>
      </c>
      <c r="BH111" s="438">
        <f>IF(AND($C$116&gt;0,BH5&gt;1,BG117=0),0,IF(BH5&gt;'Inputs and Assumptions'!$L$6, $C$111/12*'Monthly Cash Flow'!BH115,$C$111/12*'Inputs and Assumptions'!$L$25))</f>
        <v>0</v>
      </c>
      <c r="BI111" s="438">
        <f>IF(AND($C$116&gt;0,BI5&gt;1,BH117=0),0,IF(BI5&gt;'Inputs and Assumptions'!$L$6, $C$111/12*'Monthly Cash Flow'!BI115,$C$111/12*'Inputs and Assumptions'!$L$25))</f>
        <v>0</v>
      </c>
      <c r="BJ111" s="438">
        <f>IF(AND($C$116&gt;0,BJ5&gt;1,BI117=0),0,IF(BJ5&gt;'Inputs and Assumptions'!$L$6, $C$111/12*'Monthly Cash Flow'!BJ115,$C$111/12*'Inputs and Assumptions'!$L$25))</f>
        <v>0</v>
      </c>
      <c r="BK111" s="438">
        <f>IF(AND($C$116&gt;0,BK5&gt;1,BJ117=0),0,IF(BK5&gt;'Inputs and Assumptions'!$L$6, $C$111/12*'Monthly Cash Flow'!BK115,$C$111/12*'Inputs and Assumptions'!$L$25))</f>
        <v>0</v>
      </c>
      <c r="BL111" s="438">
        <f>IF(AND($C$116&gt;0,BL5&gt;1,BK117=0),0,IF(BL5&gt;'Inputs and Assumptions'!$L$6, $C$111/12*'Monthly Cash Flow'!BL115,$C$111/12*'Inputs and Assumptions'!$L$25))</f>
        <v>0</v>
      </c>
      <c r="BM111" s="438">
        <f>IF(AND($C$116&gt;0,BM5&gt;1,BL117=0),0,IF(BM5&gt;'Inputs and Assumptions'!$L$6, $C$111/12*'Monthly Cash Flow'!BM115,$C$111/12*'Inputs and Assumptions'!$L$25))</f>
        <v>0</v>
      </c>
      <c r="BN111" s="438">
        <f>IF(AND($C$116&gt;0,BN5&gt;1,BM117=0),0,IF(BN5&gt;'Inputs and Assumptions'!$L$6, $C$111/12*'Monthly Cash Flow'!BN115,$C$111/12*'Inputs and Assumptions'!$L$25))</f>
        <v>0</v>
      </c>
      <c r="BO111" s="438">
        <f>IF(AND($C$116&gt;0,BO5&gt;1,BN117=0),0,IF(BO5&gt;'Inputs and Assumptions'!$L$6, $C$111/12*'Monthly Cash Flow'!BO115,$C$111/12*'Inputs and Assumptions'!$L$25))</f>
        <v>0</v>
      </c>
      <c r="BP111" s="438">
        <f>IF(AND($C$116&gt;0,BP5&gt;1,BO117=0),0,IF(BP5&gt;'Inputs and Assumptions'!$L$6, $C$111/12*'Monthly Cash Flow'!BP115,$C$111/12*'Inputs and Assumptions'!$L$25))</f>
        <v>0</v>
      </c>
      <c r="BQ111" s="438">
        <f>IF(AND($C$116&gt;0,BQ5&gt;1,BP117=0),0,IF(BQ5&gt;'Inputs and Assumptions'!$L$6, $C$111/12*'Monthly Cash Flow'!BQ115,$C$111/12*'Inputs and Assumptions'!$L$25))</f>
        <v>0</v>
      </c>
      <c r="BR111" s="438">
        <f>IF(AND($C$116&gt;0,BR5&gt;1,BQ117=0),0,IF(BR5&gt;'Inputs and Assumptions'!$L$6, $C$111/12*'Monthly Cash Flow'!BR115,$C$111/12*'Inputs and Assumptions'!$L$25))</f>
        <v>0</v>
      </c>
      <c r="BS111" s="438">
        <f>IF(AND($C$116&gt;0,BS5&gt;1,BR117=0),0,IF(BS5&gt;'Inputs and Assumptions'!$L$6, $C$111/12*'Monthly Cash Flow'!BS115,$C$111/12*'Inputs and Assumptions'!$L$25))</f>
        <v>0</v>
      </c>
      <c r="BT111" s="438">
        <f>IF(AND($C$116&gt;0,BT5&gt;1,BS117=0),0,IF(BT5&gt;'Inputs and Assumptions'!$L$6, $C$111/12*'Monthly Cash Flow'!BT115,$C$111/12*'Inputs and Assumptions'!$L$25))</f>
        <v>0</v>
      </c>
      <c r="BU111" s="438">
        <f>IF(AND($C$116&gt;0,BU5&gt;1,BT117=0),0,IF(BU5&gt;'Inputs and Assumptions'!$L$6, $C$111/12*'Monthly Cash Flow'!BU115,$C$111/12*'Inputs and Assumptions'!$L$25))</f>
        <v>0</v>
      </c>
      <c r="BV111" s="438">
        <f>IF(AND($C$116&gt;0,BV5&gt;1,BU117=0),0,IF(BV5&gt;'Inputs and Assumptions'!$L$6, $C$111/12*'Monthly Cash Flow'!BV115,$C$111/12*'Inputs and Assumptions'!$L$25))</f>
        <v>0</v>
      </c>
      <c r="BW111" s="438">
        <f>IF(AND($C$116&gt;0,BW5&gt;1,BV117=0),0,IF(BW5&gt;'Inputs and Assumptions'!$L$6, $C$111/12*'Monthly Cash Flow'!BW115,$C$111/12*'Inputs and Assumptions'!$L$25))</f>
        <v>0</v>
      </c>
      <c r="BX111" s="438">
        <f>IF(AND($C$116&gt;0,BX5&gt;1,BW117=0),0,IF(BX5&gt;'Inputs and Assumptions'!$L$6, $C$111/12*'Monthly Cash Flow'!BX115,$C$111/12*'Inputs and Assumptions'!$L$25))</f>
        <v>0</v>
      </c>
      <c r="BY111" s="438">
        <f>IF(AND($C$116&gt;0,BY5&gt;1,BX117=0),0,IF(BY5&gt;'Inputs and Assumptions'!$L$6, $C$111/12*'Monthly Cash Flow'!BY115,$C$111/12*'Inputs and Assumptions'!$L$25))</f>
        <v>0</v>
      </c>
      <c r="BZ111" s="438">
        <f>IF(AND($C$116&gt;0,BZ5&gt;1,BY117=0),0,IF(BZ5&gt;'Inputs and Assumptions'!$L$6, $C$111/12*'Monthly Cash Flow'!BZ115,$C$111/12*'Inputs and Assumptions'!$L$25))</f>
        <v>0</v>
      </c>
      <c r="CA111" s="438">
        <f>IF(AND($C$116&gt;0,CA5&gt;1,BZ117=0),0,IF(CA5&gt;'Inputs and Assumptions'!$L$6, $C$111/12*'Monthly Cash Flow'!CA115,$C$111/12*'Inputs and Assumptions'!$L$25))</f>
        <v>0</v>
      </c>
      <c r="CB111" s="438">
        <f>IF(AND($C$116&gt;0,CB5&gt;1,CA117=0),0,IF(CB5&gt;'Inputs and Assumptions'!$L$6, $C$111/12*'Monthly Cash Flow'!CB115,$C$111/12*'Inputs and Assumptions'!$L$25))</f>
        <v>0</v>
      </c>
      <c r="CC111" s="438">
        <f>IF(AND($C$116&gt;0,CC5&gt;1,CB117=0),0,IF(CC5&gt;'Inputs and Assumptions'!$L$6, $C$111/12*'Monthly Cash Flow'!CC115,$C$111/12*'Inputs and Assumptions'!$L$25))</f>
        <v>0</v>
      </c>
      <c r="CD111" s="438">
        <f>IF(AND($C$116&gt;0,CD5&gt;1,CC117=0),0,IF(CD5&gt;'Inputs and Assumptions'!$L$6, $C$111/12*'Monthly Cash Flow'!CD115,$C$111/12*'Inputs and Assumptions'!$L$25))</f>
        <v>0</v>
      </c>
      <c r="CE111" s="438">
        <f>IF(AND($C$116&gt;0,CE5&gt;1,CD117=0),0,IF(CE5&gt;'Inputs and Assumptions'!$L$6, $C$111/12*'Monthly Cash Flow'!CE115,$C$111/12*'Inputs and Assumptions'!$L$25))</f>
        <v>0</v>
      </c>
      <c r="CF111" s="438">
        <f>IF(AND($C$116&gt;0,CF5&gt;1,CE117=0),0,IF(CF5&gt;'Inputs and Assumptions'!$L$6, $C$111/12*'Monthly Cash Flow'!CF115,$C$111/12*'Inputs and Assumptions'!$L$25))</f>
        <v>0</v>
      </c>
      <c r="CG111" s="438">
        <f>IF(AND($C$116&gt;0,CG5&gt;1,CF117=0),0,IF(CG5&gt;'Inputs and Assumptions'!$L$6, $C$111/12*'Monthly Cash Flow'!CG115,$C$111/12*'Inputs and Assumptions'!$L$25))</f>
        <v>0</v>
      </c>
      <c r="CH111" s="438">
        <f>IF(AND($C$116&gt;0,CH5&gt;1,CG117=0),0,IF(CH5&gt;'Inputs and Assumptions'!$L$6, $C$111/12*'Monthly Cash Flow'!CH115,$C$111/12*'Inputs and Assumptions'!$L$25))</f>
        <v>0</v>
      </c>
      <c r="CI111" s="438">
        <f>IF(AND($C$116&gt;0,CI5&gt;1,CH117=0),0,IF(CI5&gt;'Inputs and Assumptions'!$L$6, $C$111/12*'Monthly Cash Flow'!CI115,$C$111/12*'Inputs and Assumptions'!$L$25))</f>
        <v>0</v>
      </c>
      <c r="CJ111" s="438">
        <f>IF(AND($C$116&gt;0,CJ5&gt;1,CI117=0),0,IF(CJ5&gt;'Inputs and Assumptions'!$L$6, $C$111/12*'Monthly Cash Flow'!CJ115,$C$111/12*'Inputs and Assumptions'!$L$25))</f>
        <v>0</v>
      </c>
      <c r="CK111" s="438">
        <f>IF(AND($C$116&gt;0,CK5&gt;1,CJ117=0),0,IF(CK5&gt;'Inputs and Assumptions'!$L$6, $C$111/12*'Monthly Cash Flow'!CK115,$C$111/12*'Inputs and Assumptions'!$L$25))</f>
        <v>0</v>
      </c>
      <c r="CL111" s="438">
        <f>IF(AND($C$116&gt;0,CL5&gt;1,CK117=0),0,IF(CL5&gt;'Inputs and Assumptions'!$L$6, $C$111/12*'Monthly Cash Flow'!CL115,$C$111/12*'Inputs and Assumptions'!$L$25))</f>
        <v>0</v>
      </c>
      <c r="CM111" s="438">
        <f>IF(AND($C$116&gt;0,CM5&gt;1,CL117=0),0,IF(CM5&gt;'Inputs and Assumptions'!$L$6, $C$111/12*'Monthly Cash Flow'!CM115,$C$111/12*'Inputs and Assumptions'!$L$25))</f>
        <v>0</v>
      </c>
      <c r="CN111" s="438">
        <f>IF(AND($C$116&gt;0,CN5&gt;1,CM117=0),0,IF(CN5&gt;'Inputs and Assumptions'!$L$6, $C$111/12*'Monthly Cash Flow'!CN115,$C$111/12*'Inputs and Assumptions'!$L$25))</f>
        <v>0</v>
      </c>
      <c r="CO111" s="438">
        <f>IF(AND($C$116&gt;0,CO5&gt;1,CN117=0),0,IF(CO5&gt;'Inputs and Assumptions'!$L$6, $C$111/12*'Monthly Cash Flow'!CO115,$C$111/12*'Inputs and Assumptions'!$L$25))</f>
        <v>0</v>
      </c>
      <c r="CP111" s="438">
        <f>IF(AND($C$116&gt;0,CP5&gt;1,CO117=0),0,IF(CP5&gt;'Inputs and Assumptions'!$L$6, $C$111/12*'Monthly Cash Flow'!CP115,$C$111/12*'Inputs and Assumptions'!$L$25))</f>
        <v>0</v>
      </c>
      <c r="CQ111" s="438">
        <f>IF(AND($C$116&gt;0,CQ5&gt;1,CP117=0),0,IF(CQ5&gt;'Inputs and Assumptions'!$L$6, $C$111/12*'Monthly Cash Flow'!CQ115,$C$111/12*'Inputs and Assumptions'!$L$25))</f>
        <v>0</v>
      </c>
      <c r="CR111" s="438">
        <f>IF(AND($C$116&gt;0,CR5&gt;1,CQ117=0),0,IF(CR5&gt;'Inputs and Assumptions'!$L$6, $C$111/12*'Monthly Cash Flow'!CR115,$C$111/12*'Inputs and Assumptions'!$L$25))</f>
        <v>0</v>
      </c>
      <c r="CS111" s="438">
        <f>IF(AND($C$116&gt;0,CS5&gt;1,CR117=0),0,IF(CS5&gt;'Inputs and Assumptions'!$L$6, $C$111/12*'Monthly Cash Flow'!CS115,$C$111/12*'Inputs and Assumptions'!$L$25))</f>
        <v>0</v>
      </c>
      <c r="CT111" s="438">
        <f>IF(AND($C$116&gt;0,CT5&gt;1,CS117=0),0,IF(CT5&gt;'Inputs and Assumptions'!$L$6, $C$111/12*'Monthly Cash Flow'!CT115,$C$111/12*'Inputs and Assumptions'!$L$25))</f>
        <v>0</v>
      </c>
      <c r="CU111" s="438">
        <f>IF(AND($C$116&gt;0,CU5&gt;1,CT117=0),0,IF(CU5&gt;'Inputs and Assumptions'!$L$6, $C$111/12*'Monthly Cash Flow'!CU115,$C$111/12*'Inputs and Assumptions'!$L$25))</f>
        <v>0</v>
      </c>
      <c r="CV111" s="438">
        <f>IF(AND($C$116&gt;0,CV5&gt;1,CU117=0),0,IF(CV5&gt;'Inputs and Assumptions'!$L$6, $C$111/12*'Monthly Cash Flow'!CV115,$C$111/12*'Inputs and Assumptions'!$L$25))</f>
        <v>0</v>
      </c>
      <c r="CW111" s="438">
        <f>IF(AND($C$116&gt;0,CW5&gt;1,CV117=0),0,IF(CW5&gt;'Inputs and Assumptions'!$L$6, $C$111/12*'Monthly Cash Flow'!CW115,$C$111/12*'Inputs and Assumptions'!$L$25))</f>
        <v>0</v>
      </c>
      <c r="CX111" s="438">
        <f>IF(AND($C$116&gt;0,CX5&gt;1,CW117=0),0,IF(CX5&gt;'Inputs and Assumptions'!$L$6, $C$111/12*'Monthly Cash Flow'!CX115,$C$111/12*'Inputs and Assumptions'!$L$25))</f>
        <v>0</v>
      </c>
      <c r="CY111" s="438">
        <f>IF(AND($C$116&gt;0,CY5&gt;1,CX117=0),0,IF(CY5&gt;'Inputs and Assumptions'!$L$6, $C$111/12*'Monthly Cash Flow'!CY115,$C$111/12*'Inputs and Assumptions'!$L$25))</f>
        <v>0</v>
      </c>
      <c r="CZ111" s="438">
        <f>IF(AND($C$116&gt;0,CZ5&gt;1,CY117=0),0,IF(CZ5&gt;'Inputs and Assumptions'!$L$6, $C$111/12*'Monthly Cash Flow'!CZ115,$C$111/12*'Inputs and Assumptions'!$L$25))</f>
        <v>0</v>
      </c>
      <c r="DA111" s="438">
        <f>IF(AND($C$116&gt;0,DA5&gt;1,CZ117=0),0,IF(DA5&gt;'Inputs and Assumptions'!$L$6, $C$111/12*'Monthly Cash Flow'!DA115,$C$111/12*'Inputs and Assumptions'!$L$25))</f>
        <v>0</v>
      </c>
      <c r="DB111" s="438">
        <f>IF(AND($C$116&gt;0,DB5&gt;1,DA117=0),0,IF(DB5&gt;'Inputs and Assumptions'!$L$6, $C$111/12*'Monthly Cash Flow'!DB115,$C$111/12*'Inputs and Assumptions'!$L$25))</f>
        <v>0</v>
      </c>
      <c r="DC111" s="438">
        <f>IF(AND($C$116&gt;0,DC5&gt;1,DB117=0),0,IF(DC5&gt;'Inputs and Assumptions'!$L$6, $C$111/12*'Monthly Cash Flow'!DC115,$C$111/12*'Inputs and Assumptions'!$L$25))</f>
        <v>0</v>
      </c>
      <c r="DD111" s="438">
        <f>IF(AND($C$116&gt;0,DD5&gt;1,DC117=0),0,IF(DD5&gt;'Inputs and Assumptions'!$L$6, $C$111/12*'Monthly Cash Flow'!DD115,$C$111/12*'Inputs and Assumptions'!$L$25))</f>
        <v>0</v>
      </c>
      <c r="DE111" s="438">
        <f>IF(AND($C$116&gt;0,DE5&gt;1,DD117=0),0,IF(DE5&gt;'Inputs and Assumptions'!$L$6, $C$111/12*'Monthly Cash Flow'!DE115,$C$111/12*'Inputs and Assumptions'!$L$25))</f>
        <v>0</v>
      </c>
      <c r="DF111" s="438">
        <f>IF(AND($C$116&gt;0,DF5&gt;1,DE117=0),0,IF(DF5&gt;'Inputs and Assumptions'!$L$6, $C$111/12*'Monthly Cash Flow'!DF115,$C$111/12*'Inputs and Assumptions'!$L$25))</f>
        <v>0</v>
      </c>
      <c r="DG111" s="438">
        <f>IF(AND($C$116&gt;0,DG5&gt;1,DF117=0),0,IF(DG5&gt;'Inputs and Assumptions'!$L$6, $C$111/12*'Monthly Cash Flow'!DG115,$C$111/12*'Inputs and Assumptions'!$L$25))</f>
        <v>0</v>
      </c>
      <c r="DH111" s="438">
        <f>IF(AND($C$116&gt;0,DH5&gt;1,DG117=0),0,IF(DH5&gt;'Inputs and Assumptions'!$L$6, $C$111/12*'Monthly Cash Flow'!DH115,$C$111/12*'Inputs and Assumptions'!$L$25))</f>
        <v>0</v>
      </c>
      <c r="DI111" s="438">
        <f>IF(AND($C$116&gt;0,DI5&gt;1,DH117=0),0,IF(DI5&gt;'Inputs and Assumptions'!$L$6, $C$111/12*'Monthly Cash Flow'!DI115,$C$111/12*'Inputs and Assumptions'!$L$25))</f>
        <v>0</v>
      </c>
      <c r="DJ111" s="438">
        <f>IF(AND($C$116&gt;0,DJ5&gt;1,DI117=0),0,IF(DJ5&gt;'Inputs and Assumptions'!$L$6, $C$111/12*'Monthly Cash Flow'!DJ115,$C$111/12*'Inputs and Assumptions'!$L$25))</f>
        <v>0</v>
      </c>
      <c r="DK111" s="438">
        <f>IF(AND($C$116&gt;0,DK5&gt;1,DJ117=0),0,IF(DK5&gt;'Inputs and Assumptions'!$L$6, $C$111/12*'Monthly Cash Flow'!DK115,$C$111/12*'Inputs and Assumptions'!$L$25))</f>
        <v>0</v>
      </c>
      <c r="DL111" s="438">
        <f>IF(AND($C$116&gt;0,DL5&gt;1,DK117=0),0,IF(DL5&gt;'Inputs and Assumptions'!$L$6, $C$111/12*'Monthly Cash Flow'!DL115,$C$111/12*'Inputs and Assumptions'!$L$25))</f>
        <v>0</v>
      </c>
      <c r="DM111" s="438">
        <f>IF(AND($C$116&gt;0,DM5&gt;1,DL117=0),0,IF(DM5&gt;'Inputs and Assumptions'!$L$6, $C$111/12*'Monthly Cash Flow'!DM115,$C$111/12*'Inputs and Assumptions'!$L$25))</f>
        <v>0</v>
      </c>
      <c r="DN111" s="438">
        <f>IF(AND($C$116&gt;0,DN5&gt;1,DM117=0),0,IF(DN5&gt;'Inputs and Assumptions'!$L$6, $C$111/12*'Monthly Cash Flow'!DN115,$C$111/12*'Inputs and Assumptions'!$L$25))</f>
        <v>0</v>
      </c>
      <c r="DO111" s="438">
        <f>IF(AND($C$116&gt;0,DO5&gt;1,DN117=0),0,IF(DO5&gt;'Inputs and Assumptions'!$L$6, $C$111/12*'Monthly Cash Flow'!DO115,$C$111/12*'Inputs and Assumptions'!$L$25))</f>
        <v>0</v>
      </c>
      <c r="DP111" s="438">
        <f>IF(AND($C$116&gt;0,DP5&gt;1,DO117=0),0,IF(DP5&gt;'Inputs and Assumptions'!$L$6, $C$111/12*'Monthly Cash Flow'!DP115,$C$111/12*'Inputs and Assumptions'!$L$25))</f>
        <v>0</v>
      </c>
      <c r="DQ111" s="438">
        <f>IF(AND($C$116&gt;0,DQ5&gt;1,DP117=0),0,IF(DQ5&gt;'Inputs and Assumptions'!$L$6, $C$111/12*'Monthly Cash Flow'!DQ115,$C$111/12*'Inputs and Assumptions'!$L$25))</f>
        <v>0</v>
      </c>
      <c r="DR111" s="438">
        <f>IF(AND($C$116&gt;0,DR5&gt;1,DQ117=0),0,IF(DR5&gt;'Inputs and Assumptions'!$L$6, $C$111/12*'Monthly Cash Flow'!DR115,$C$111/12*'Inputs and Assumptions'!$L$25))</f>
        <v>0</v>
      </c>
      <c r="DS111" s="438">
        <f>IF(AND($C$116&gt;0,DS5&gt;1,DR117=0),0,IF(DS5&gt;'Inputs and Assumptions'!$L$6, $C$111/12*'Monthly Cash Flow'!DS115,$C$111/12*'Inputs and Assumptions'!$L$25))</f>
        <v>0</v>
      </c>
      <c r="DT111" s="438">
        <f>IF(AND($C$116&gt;0,DT5&gt;1,DS117=0),0,IF(DT5&gt;'Inputs and Assumptions'!$L$6, $C$111/12*'Monthly Cash Flow'!DT115,$C$111/12*'Inputs and Assumptions'!$L$25))</f>
        <v>0</v>
      </c>
      <c r="DU111" s="446" t="s">
        <v>557</v>
      </c>
    </row>
    <row r="112" spans="1:125" ht="19">
      <c r="B112" s="221" t="s">
        <v>1095</v>
      </c>
      <c r="C112" s="452"/>
      <c r="D112" s="453"/>
      <c r="E112" s="454">
        <f t="shared" ref="E112:AJ112" si="294">E108-E111</f>
        <v>75142.199419975848</v>
      </c>
      <c r="F112" s="454">
        <f t="shared" si="294"/>
        <v>77255.772749442272</v>
      </c>
      <c r="G112" s="454">
        <f t="shared" si="294"/>
        <v>79383.436567771874</v>
      </c>
      <c r="H112" s="454">
        <f t="shared" si="294"/>
        <v>81525.284811557081</v>
      </c>
      <c r="I112" s="454">
        <f t="shared" si="294"/>
        <v>83681.412043634118</v>
      </c>
      <c r="J112" s="454">
        <f t="shared" si="294"/>
        <v>85851.913457258299</v>
      </c>
      <c r="K112" s="454">
        <f t="shared" si="294"/>
        <v>88036.884880306709</v>
      </c>
      <c r="L112" s="454">
        <f t="shared" si="294"/>
        <v>90236.422779508677</v>
      </c>
      <c r="M112" s="454">
        <f t="shared" si="294"/>
        <v>92450.624264705359</v>
      </c>
      <c r="N112" s="454">
        <f t="shared" si="294"/>
        <v>94679.587093136754</v>
      </c>
      <c r="O112" s="454">
        <f t="shared" si="294"/>
        <v>96923.409673757662</v>
      </c>
      <c r="P112" s="454">
        <f t="shared" si="294"/>
        <v>99182.191071582594</v>
      </c>
      <c r="Q112" s="454">
        <f t="shared" si="294"/>
        <v>99132.252015780003</v>
      </c>
      <c r="R112" s="454">
        <f t="shared" si="294"/>
        <v>101277.30024087873</v>
      </c>
      <c r="S112" s="454">
        <f t="shared" si="294"/>
        <v>103435.75501738423</v>
      </c>
      <c r="T112" s="454">
        <f t="shared" si="294"/>
        <v>105607.70013624289</v>
      </c>
      <c r="U112" s="454">
        <f t="shared" si="294"/>
        <v>107793.2199120944</v>
      </c>
      <c r="V112" s="454">
        <f t="shared" si="294"/>
        <v>109992.39918654515</v>
      </c>
      <c r="W112" s="454">
        <f t="shared" si="294"/>
        <v>112205.32333146107</v>
      </c>
      <c r="X112" s="454">
        <f t="shared" si="294"/>
        <v>114432.07825228265</v>
      </c>
      <c r="Y112" s="454">
        <f t="shared" si="294"/>
        <v>116672.75039135954</v>
      </c>
      <c r="Z112" s="454">
        <f t="shared" si="294"/>
        <v>118927.4267313055</v>
      </c>
      <c r="AA112" s="454">
        <f t="shared" si="294"/>
        <v>121196.19479837616</v>
      </c>
      <c r="AB112" s="454">
        <f t="shared" si="294"/>
        <v>123479.14266586611</v>
      </c>
      <c r="AC112" s="454">
        <f t="shared" si="294"/>
        <v>122481.38876808564</v>
      </c>
      <c r="AD112" s="454">
        <f t="shared" si="294"/>
        <v>123710.65473037933</v>
      </c>
      <c r="AE112" s="454">
        <f t="shared" si="294"/>
        <v>124944.01824588062</v>
      </c>
      <c r="AF112" s="454">
        <f t="shared" si="294"/>
        <v>126181.4929731002</v>
      </c>
      <c r="AG112" s="454">
        <f t="shared" si="294"/>
        <v>127423.09261607715</v>
      </c>
      <c r="AH112" s="454">
        <f t="shared" si="294"/>
        <v>128668.83092453091</v>
      </c>
      <c r="AI112" s="454">
        <f t="shared" si="294"/>
        <v>129918.72169401268</v>
      </c>
      <c r="AJ112" s="454">
        <f t="shared" si="294"/>
        <v>131172.77876605943</v>
      </c>
      <c r="AK112" s="454">
        <f t="shared" ref="AK112:BP112" si="295">AK108-AK111</f>
        <v>132431.01602834626</v>
      </c>
      <c r="AL112" s="454">
        <f t="shared" si="295"/>
        <v>133693.44741484086</v>
      </c>
      <c r="AM112" s="454">
        <f t="shared" si="295"/>
        <v>134960.08690595691</v>
      </c>
      <c r="AN112" s="454">
        <f t="shared" si="295"/>
        <v>136230.94852871029</v>
      </c>
      <c r="AO112" s="454">
        <f t="shared" si="295"/>
        <v>135241.08391927258</v>
      </c>
      <c r="AP112" s="454">
        <f t="shared" si="295"/>
        <v>136520.43207352899</v>
      </c>
      <c r="AQ112" s="454">
        <f t="shared" si="295"/>
        <v>137804.04472163261</v>
      </c>
      <c r="AR112" s="454">
        <f t="shared" si="295"/>
        <v>139091.93607856351</v>
      </c>
      <c r="AS112" s="454">
        <f t="shared" si="295"/>
        <v>140384.12040668412</v>
      </c>
      <c r="AT112" s="454">
        <f t="shared" si="295"/>
        <v>141680.61201589828</v>
      </c>
      <c r="AU112" s="454">
        <f t="shared" si="295"/>
        <v>142981.42526381009</v>
      </c>
      <c r="AV112" s="454">
        <f t="shared" si="295"/>
        <v>144286.57455588144</v>
      </c>
      <c r="AW112" s="454">
        <f t="shared" si="295"/>
        <v>145596.07434559317</v>
      </c>
      <c r="AX112" s="454">
        <f t="shared" si="295"/>
        <v>146909.93913460377</v>
      </c>
      <c r="AY112" s="454">
        <f t="shared" si="295"/>
        <v>148228.18347291125</v>
      </c>
      <c r="AZ112" s="454">
        <f t="shared" si="295"/>
        <v>149550.82195901289</v>
      </c>
      <c r="BA112" s="454">
        <f t="shared" si="295"/>
        <v>271951.69620404759</v>
      </c>
      <c r="BB112" s="454">
        <f t="shared" si="295"/>
        <v>273282.45626100694</v>
      </c>
      <c r="BC112" s="454">
        <f t="shared" si="295"/>
        <v>274617.65218482295</v>
      </c>
      <c r="BD112" s="454">
        <f t="shared" si="295"/>
        <v>275957.29876171815</v>
      </c>
      <c r="BE112" s="454">
        <f t="shared" si="295"/>
        <v>277301.41082720325</v>
      </c>
      <c r="BF112" s="454">
        <f t="shared" si="295"/>
        <v>278650.00326623971</v>
      </c>
      <c r="BG112" s="454">
        <f t="shared" si="295"/>
        <v>280003.09101340652</v>
      </c>
      <c r="BH112" s="454">
        <f t="shared" si="295"/>
        <v>281360.68905306375</v>
      </c>
      <c r="BI112" s="454">
        <f t="shared" si="295"/>
        <v>282722.81241952005</v>
      </c>
      <c r="BJ112" s="454">
        <f t="shared" si="295"/>
        <v>284089.47619719751</v>
      </c>
      <c r="BK112" s="454">
        <f t="shared" si="295"/>
        <v>285460.69552080089</v>
      </c>
      <c r="BL112" s="454">
        <f t="shared" si="295"/>
        <v>286836.48557548277</v>
      </c>
      <c r="BM112" s="454">
        <f t="shared" si="295"/>
        <v>287212.7427047246</v>
      </c>
      <c r="BN112" s="454">
        <f t="shared" si="295"/>
        <v>288597.71997966059</v>
      </c>
      <c r="BO112" s="454">
        <f t="shared" si="295"/>
        <v>289987.31384551292</v>
      </c>
      <c r="BP112" s="454">
        <f t="shared" si="295"/>
        <v>291381.53969091823</v>
      </c>
      <c r="BQ112" s="454">
        <f t="shared" ref="BQ112:CV112" si="296">BQ108-BQ111</f>
        <v>292780.41295580822</v>
      </c>
      <c r="BR112" s="454">
        <f t="shared" si="296"/>
        <v>294183.94913158112</v>
      </c>
      <c r="BS112" s="454">
        <f t="shared" si="296"/>
        <v>295592.1637612732</v>
      </c>
      <c r="BT112" s="454">
        <f t="shared" si="296"/>
        <v>297005.07243973116</v>
      </c>
      <c r="BU112" s="454">
        <f t="shared" si="296"/>
        <v>298422.69081378367</v>
      </c>
      <c r="BV112" s="454">
        <f t="shared" si="296"/>
        <v>299845.03458241653</v>
      </c>
      <c r="BW112" s="454">
        <f t="shared" si="296"/>
        <v>301272.11949694494</v>
      </c>
      <c r="BX112" s="454">
        <f t="shared" si="296"/>
        <v>302703.96136118815</v>
      </c>
      <c r="BY112" s="454">
        <f t="shared" si="296"/>
        <v>303132.5046173525</v>
      </c>
      <c r="BZ112" s="454">
        <f t="shared" si="296"/>
        <v>304573.90800337819</v>
      </c>
      <c r="CA112" s="454">
        <f t="shared" si="296"/>
        <v>306020.11606735736</v>
      </c>
      <c r="CB112" s="454">
        <f t="shared" si="296"/>
        <v>307471.14482488309</v>
      </c>
      <c r="CC112" s="454">
        <f t="shared" si="296"/>
        <v>308927.01034493378</v>
      </c>
      <c r="CD112" s="454">
        <f t="shared" si="296"/>
        <v>310387.72875005146</v>
      </c>
      <c r="CE112" s="454">
        <f t="shared" si="296"/>
        <v>311853.31621651963</v>
      </c>
      <c r="CF112" s="454">
        <f t="shared" si="296"/>
        <v>313323.78897454252</v>
      </c>
      <c r="CG112" s="454">
        <f t="shared" si="296"/>
        <v>314799.16330842546</v>
      </c>
      <c r="CH112" s="454">
        <f t="shared" si="296"/>
        <v>316279.45555675478</v>
      </c>
      <c r="CI112" s="454">
        <f t="shared" si="296"/>
        <v>317764.68211257848</v>
      </c>
      <c r="CJ112" s="454">
        <f t="shared" si="296"/>
        <v>319254.85942358832</v>
      </c>
      <c r="CK112" s="454">
        <f t="shared" si="296"/>
        <v>319738.38490123919</v>
      </c>
      <c r="CL112" s="454">
        <f t="shared" si="296"/>
        <v>321238.51328518143</v>
      </c>
      <c r="CM112" s="454">
        <f t="shared" si="296"/>
        <v>322743.64209707</v>
      </c>
      <c r="CN112" s="454">
        <f t="shared" si="296"/>
        <v>324253.78800499835</v>
      </c>
      <c r="CO112" s="454">
        <f t="shared" si="296"/>
        <v>325768.96773261984</v>
      </c>
      <c r="CP112" s="454">
        <f t="shared" si="296"/>
        <v>327289.19805933331</v>
      </c>
      <c r="CQ112" s="454">
        <f t="shared" si="296"/>
        <v>328814.49582046911</v>
      </c>
      <c r="CR112" s="454">
        <f t="shared" si="296"/>
        <v>330344.87790747534</v>
      </c>
      <c r="CS112" s="454">
        <f t="shared" si="296"/>
        <v>331880.36126810504</v>
      </c>
      <c r="CT112" s="454">
        <f t="shared" si="296"/>
        <v>333420.96290660347</v>
      </c>
      <c r="CU112" s="454">
        <f t="shared" si="296"/>
        <v>334966.69988389686</v>
      </c>
      <c r="CV112" s="454">
        <f t="shared" si="296"/>
        <v>336517.58931778115</v>
      </c>
      <c r="CW112" s="454">
        <f t="shared" ref="CW112:DT112" si="297">CW108-CW111</f>
        <v>337058.90907429077</v>
      </c>
      <c r="CX112" s="454">
        <f t="shared" si="297"/>
        <v>338620.15500317269</v>
      </c>
      <c r="CY112" s="454">
        <f t="shared" si="297"/>
        <v>340186.60508515063</v>
      </c>
      <c r="CZ112" s="454">
        <f t="shared" si="297"/>
        <v>341758.27666740213</v>
      </c>
      <c r="DA112" s="454">
        <f t="shared" si="297"/>
        <v>343335.18715492752</v>
      </c>
      <c r="DB112" s="454">
        <f t="shared" si="297"/>
        <v>344917.35401074472</v>
      </c>
      <c r="DC112" s="454">
        <f t="shared" si="297"/>
        <v>346504.79475608136</v>
      </c>
      <c r="DD112" s="454">
        <f t="shared" si="297"/>
        <v>348097.52697056899</v>
      </c>
      <c r="DE112" s="454">
        <f t="shared" si="297"/>
        <v>349695.56829243846</v>
      </c>
      <c r="DF112" s="454">
        <f t="shared" si="297"/>
        <v>351298.93641871418</v>
      </c>
      <c r="DG112" s="454">
        <f t="shared" si="297"/>
        <v>352907.6491054105</v>
      </c>
      <c r="DH112" s="454">
        <f t="shared" si="297"/>
        <v>354521.72416772938</v>
      </c>
      <c r="DI112" s="454">
        <f t="shared" si="297"/>
        <v>355123.77091424266</v>
      </c>
      <c r="DJ112" s="454">
        <f t="shared" si="297"/>
        <v>356748.62441114429</v>
      </c>
      <c r="DK112" s="454">
        <f t="shared" si="297"/>
        <v>358378.89408636896</v>
      </c>
      <c r="DL112" s="454">
        <f t="shared" si="297"/>
        <v>360014.59799384448</v>
      </c>
      <c r="DM112" s="454">
        <f t="shared" si="297"/>
        <v>361655.75424767809</v>
      </c>
      <c r="DN112" s="454">
        <f t="shared" si="297"/>
        <v>363302.38102235791</v>
      </c>
      <c r="DO112" s="454">
        <f t="shared" si="297"/>
        <v>364954.49655295326</v>
      </c>
      <c r="DP112" s="454">
        <f t="shared" si="297"/>
        <v>366612.11913531722</v>
      </c>
      <c r="DQ112" s="454">
        <f t="shared" si="297"/>
        <v>368275.26712628914</v>
      </c>
      <c r="DR112" s="454">
        <f t="shared" si="297"/>
        <v>369943.95894389768</v>
      </c>
      <c r="DS112" s="454">
        <f t="shared" si="297"/>
        <v>371618.21306756476</v>
      </c>
      <c r="DT112" s="454">
        <f t="shared" si="297"/>
        <v>373298.04803831084</v>
      </c>
      <c r="DU112" s="446" t="s">
        <v>557</v>
      </c>
    </row>
    <row r="113" spans="2:125" ht="19" outlineLevel="1">
      <c r="B113" s="455" t="s">
        <v>1096</v>
      </c>
      <c r="C113" s="456"/>
      <c r="D113" s="1198">
        <f>SUM(E113:DT113)</f>
        <v>0</v>
      </c>
      <c r="E113" s="457">
        <f>IF(E108&lt;0,E111,IF(AND(E108&gt;0,E108-E111&lt;0),-(E108-E111),0))</f>
        <v>0</v>
      </c>
      <c r="F113" s="457">
        <f t="shared" ref="F113:BQ113" si="298">IF(F108&lt;0,F111,IF(AND(F108&gt;0,F108-F111&lt;0),-(F108-F111),0))</f>
        <v>0</v>
      </c>
      <c r="G113" s="457">
        <f t="shared" si="298"/>
        <v>0</v>
      </c>
      <c r="H113" s="457">
        <f t="shared" si="298"/>
        <v>0</v>
      </c>
      <c r="I113" s="457">
        <f t="shared" si="298"/>
        <v>0</v>
      </c>
      <c r="J113" s="457">
        <f t="shared" si="298"/>
        <v>0</v>
      </c>
      <c r="K113" s="457">
        <f t="shared" si="298"/>
        <v>0</v>
      </c>
      <c r="L113" s="457">
        <f t="shared" si="298"/>
        <v>0</v>
      </c>
      <c r="M113" s="457">
        <f t="shared" si="298"/>
        <v>0</v>
      </c>
      <c r="N113" s="457">
        <f t="shared" si="298"/>
        <v>0</v>
      </c>
      <c r="O113" s="457">
        <f t="shared" si="298"/>
        <v>0</v>
      </c>
      <c r="P113" s="457">
        <f t="shared" si="298"/>
        <v>0</v>
      </c>
      <c r="Q113" s="457">
        <f t="shared" si="298"/>
        <v>0</v>
      </c>
      <c r="R113" s="457">
        <f t="shared" si="298"/>
        <v>0</v>
      </c>
      <c r="S113" s="457">
        <f t="shared" si="298"/>
        <v>0</v>
      </c>
      <c r="T113" s="457">
        <f t="shared" si="298"/>
        <v>0</v>
      </c>
      <c r="U113" s="457">
        <f t="shared" si="298"/>
        <v>0</v>
      </c>
      <c r="V113" s="457">
        <f t="shared" si="298"/>
        <v>0</v>
      </c>
      <c r="W113" s="457">
        <f t="shared" si="298"/>
        <v>0</v>
      </c>
      <c r="X113" s="457">
        <f t="shared" si="298"/>
        <v>0</v>
      </c>
      <c r="Y113" s="457">
        <f t="shared" si="298"/>
        <v>0</v>
      </c>
      <c r="Z113" s="457">
        <f t="shared" si="298"/>
        <v>0</v>
      </c>
      <c r="AA113" s="457">
        <f t="shared" si="298"/>
        <v>0</v>
      </c>
      <c r="AB113" s="457">
        <f t="shared" si="298"/>
        <v>0</v>
      </c>
      <c r="AC113" s="457">
        <f t="shared" si="298"/>
        <v>0</v>
      </c>
      <c r="AD113" s="457">
        <f t="shared" si="298"/>
        <v>0</v>
      </c>
      <c r="AE113" s="457">
        <f t="shared" si="298"/>
        <v>0</v>
      </c>
      <c r="AF113" s="457">
        <f t="shared" si="298"/>
        <v>0</v>
      </c>
      <c r="AG113" s="457">
        <f t="shared" si="298"/>
        <v>0</v>
      </c>
      <c r="AH113" s="457">
        <f t="shared" si="298"/>
        <v>0</v>
      </c>
      <c r="AI113" s="457">
        <f t="shared" si="298"/>
        <v>0</v>
      </c>
      <c r="AJ113" s="457">
        <f t="shared" si="298"/>
        <v>0</v>
      </c>
      <c r="AK113" s="457">
        <f t="shared" si="298"/>
        <v>0</v>
      </c>
      <c r="AL113" s="457">
        <f t="shared" si="298"/>
        <v>0</v>
      </c>
      <c r="AM113" s="457">
        <f t="shared" si="298"/>
        <v>0</v>
      </c>
      <c r="AN113" s="457">
        <f t="shared" si="298"/>
        <v>0</v>
      </c>
      <c r="AO113" s="457">
        <f t="shared" si="298"/>
        <v>0</v>
      </c>
      <c r="AP113" s="457">
        <f t="shared" si="298"/>
        <v>0</v>
      </c>
      <c r="AQ113" s="457">
        <f t="shared" si="298"/>
        <v>0</v>
      </c>
      <c r="AR113" s="457">
        <f t="shared" si="298"/>
        <v>0</v>
      </c>
      <c r="AS113" s="457">
        <f t="shared" si="298"/>
        <v>0</v>
      </c>
      <c r="AT113" s="457">
        <f t="shared" si="298"/>
        <v>0</v>
      </c>
      <c r="AU113" s="457">
        <f t="shared" si="298"/>
        <v>0</v>
      </c>
      <c r="AV113" s="457">
        <f t="shared" si="298"/>
        <v>0</v>
      </c>
      <c r="AW113" s="457">
        <f t="shared" si="298"/>
        <v>0</v>
      </c>
      <c r="AX113" s="457">
        <f t="shared" si="298"/>
        <v>0</v>
      </c>
      <c r="AY113" s="457">
        <f t="shared" si="298"/>
        <v>0</v>
      </c>
      <c r="AZ113" s="457">
        <f t="shared" si="298"/>
        <v>0</v>
      </c>
      <c r="BA113" s="457">
        <f t="shared" si="298"/>
        <v>0</v>
      </c>
      <c r="BB113" s="457">
        <f t="shared" si="298"/>
        <v>0</v>
      </c>
      <c r="BC113" s="457">
        <f t="shared" si="298"/>
        <v>0</v>
      </c>
      <c r="BD113" s="457">
        <f t="shared" si="298"/>
        <v>0</v>
      </c>
      <c r="BE113" s="457">
        <f t="shared" si="298"/>
        <v>0</v>
      </c>
      <c r="BF113" s="457">
        <f t="shared" si="298"/>
        <v>0</v>
      </c>
      <c r="BG113" s="457">
        <f t="shared" si="298"/>
        <v>0</v>
      </c>
      <c r="BH113" s="457">
        <f t="shared" si="298"/>
        <v>0</v>
      </c>
      <c r="BI113" s="457">
        <f t="shared" si="298"/>
        <v>0</v>
      </c>
      <c r="BJ113" s="457">
        <f t="shared" si="298"/>
        <v>0</v>
      </c>
      <c r="BK113" s="457">
        <f t="shared" si="298"/>
        <v>0</v>
      </c>
      <c r="BL113" s="457">
        <f t="shared" si="298"/>
        <v>0</v>
      </c>
      <c r="BM113" s="457">
        <f t="shared" si="298"/>
        <v>0</v>
      </c>
      <c r="BN113" s="457">
        <f t="shared" si="298"/>
        <v>0</v>
      </c>
      <c r="BO113" s="457">
        <f t="shared" si="298"/>
        <v>0</v>
      </c>
      <c r="BP113" s="457">
        <f t="shared" si="298"/>
        <v>0</v>
      </c>
      <c r="BQ113" s="457">
        <f t="shared" si="298"/>
        <v>0</v>
      </c>
      <c r="BR113" s="457">
        <f t="shared" ref="BR113:DT113" si="299">IF(BR108&lt;0,BR111,IF(AND(BR108&gt;0,BR108-BR111&lt;0),-(BR108-BR111),0))</f>
        <v>0</v>
      </c>
      <c r="BS113" s="457">
        <f t="shared" si="299"/>
        <v>0</v>
      </c>
      <c r="BT113" s="457">
        <f t="shared" si="299"/>
        <v>0</v>
      </c>
      <c r="BU113" s="457">
        <f t="shared" si="299"/>
        <v>0</v>
      </c>
      <c r="BV113" s="457">
        <f t="shared" si="299"/>
        <v>0</v>
      </c>
      <c r="BW113" s="457">
        <f t="shared" si="299"/>
        <v>0</v>
      </c>
      <c r="BX113" s="457">
        <f t="shared" si="299"/>
        <v>0</v>
      </c>
      <c r="BY113" s="457">
        <f t="shared" si="299"/>
        <v>0</v>
      </c>
      <c r="BZ113" s="457">
        <f t="shared" si="299"/>
        <v>0</v>
      </c>
      <c r="CA113" s="457">
        <f t="shared" si="299"/>
        <v>0</v>
      </c>
      <c r="CB113" s="457">
        <f t="shared" si="299"/>
        <v>0</v>
      </c>
      <c r="CC113" s="457">
        <f t="shared" si="299"/>
        <v>0</v>
      </c>
      <c r="CD113" s="457">
        <f t="shared" si="299"/>
        <v>0</v>
      </c>
      <c r="CE113" s="457">
        <f t="shared" si="299"/>
        <v>0</v>
      </c>
      <c r="CF113" s="457">
        <f t="shared" si="299"/>
        <v>0</v>
      </c>
      <c r="CG113" s="457">
        <f t="shared" si="299"/>
        <v>0</v>
      </c>
      <c r="CH113" s="457">
        <f t="shared" si="299"/>
        <v>0</v>
      </c>
      <c r="CI113" s="457">
        <f t="shared" si="299"/>
        <v>0</v>
      </c>
      <c r="CJ113" s="457">
        <f t="shared" si="299"/>
        <v>0</v>
      </c>
      <c r="CK113" s="457">
        <f t="shared" si="299"/>
        <v>0</v>
      </c>
      <c r="CL113" s="457">
        <f t="shared" si="299"/>
        <v>0</v>
      </c>
      <c r="CM113" s="457">
        <f t="shared" si="299"/>
        <v>0</v>
      </c>
      <c r="CN113" s="457">
        <f t="shared" si="299"/>
        <v>0</v>
      </c>
      <c r="CO113" s="457">
        <f t="shared" si="299"/>
        <v>0</v>
      </c>
      <c r="CP113" s="457">
        <f t="shared" si="299"/>
        <v>0</v>
      </c>
      <c r="CQ113" s="457">
        <f t="shared" si="299"/>
        <v>0</v>
      </c>
      <c r="CR113" s="457">
        <f t="shared" si="299"/>
        <v>0</v>
      </c>
      <c r="CS113" s="457">
        <f t="shared" si="299"/>
        <v>0</v>
      </c>
      <c r="CT113" s="457">
        <f t="shared" si="299"/>
        <v>0</v>
      </c>
      <c r="CU113" s="457">
        <f t="shared" si="299"/>
        <v>0</v>
      </c>
      <c r="CV113" s="457">
        <f t="shared" si="299"/>
        <v>0</v>
      </c>
      <c r="CW113" s="457">
        <f t="shared" si="299"/>
        <v>0</v>
      </c>
      <c r="CX113" s="457">
        <f t="shared" si="299"/>
        <v>0</v>
      </c>
      <c r="CY113" s="457">
        <f t="shared" si="299"/>
        <v>0</v>
      </c>
      <c r="CZ113" s="457">
        <f t="shared" si="299"/>
        <v>0</v>
      </c>
      <c r="DA113" s="457">
        <f t="shared" si="299"/>
        <v>0</v>
      </c>
      <c r="DB113" s="457">
        <f t="shared" si="299"/>
        <v>0</v>
      </c>
      <c r="DC113" s="457">
        <f t="shared" si="299"/>
        <v>0</v>
      </c>
      <c r="DD113" s="457">
        <f t="shared" si="299"/>
        <v>0</v>
      </c>
      <c r="DE113" s="457">
        <f t="shared" si="299"/>
        <v>0</v>
      </c>
      <c r="DF113" s="457">
        <f t="shared" si="299"/>
        <v>0</v>
      </c>
      <c r="DG113" s="457">
        <f t="shared" si="299"/>
        <v>0</v>
      </c>
      <c r="DH113" s="457">
        <f t="shared" si="299"/>
        <v>0</v>
      </c>
      <c r="DI113" s="457">
        <f t="shared" si="299"/>
        <v>0</v>
      </c>
      <c r="DJ113" s="457">
        <f t="shared" si="299"/>
        <v>0</v>
      </c>
      <c r="DK113" s="457">
        <f t="shared" si="299"/>
        <v>0</v>
      </c>
      <c r="DL113" s="457">
        <f t="shared" si="299"/>
        <v>0</v>
      </c>
      <c r="DM113" s="457">
        <f t="shared" si="299"/>
        <v>0</v>
      </c>
      <c r="DN113" s="457">
        <f t="shared" si="299"/>
        <v>0</v>
      </c>
      <c r="DO113" s="457">
        <f t="shared" si="299"/>
        <v>0</v>
      </c>
      <c r="DP113" s="457">
        <f t="shared" si="299"/>
        <v>0</v>
      </c>
      <c r="DQ113" s="457">
        <f t="shared" si="299"/>
        <v>0</v>
      </c>
      <c r="DR113" s="457">
        <f t="shared" si="299"/>
        <v>0</v>
      </c>
      <c r="DS113" s="457">
        <f t="shared" si="299"/>
        <v>0</v>
      </c>
      <c r="DT113" s="457">
        <f t="shared" si="299"/>
        <v>0</v>
      </c>
      <c r="DU113" s="446" t="s">
        <v>557</v>
      </c>
    </row>
    <row r="114" spans="2:125" ht="19">
      <c r="B114" s="448"/>
      <c r="D114" s="437"/>
      <c r="E114" s="449"/>
      <c r="F114" s="449"/>
      <c r="G114" s="449"/>
      <c r="H114" s="449"/>
      <c r="I114" s="449"/>
      <c r="J114" s="449"/>
      <c r="K114" s="449"/>
      <c r="L114" s="449"/>
      <c r="M114" s="449"/>
      <c r="N114" s="449"/>
      <c r="O114" s="449"/>
      <c r="P114" s="449"/>
      <c r="Q114" s="449"/>
      <c r="R114" s="449"/>
      <c r="S114" s="449"/>
      <c r="T114" s="449"/>
      <c r="U114" s="449"/>
      <c r="V114" s="449"/>
      <c r="W114" s="449"/>
      <c r="X114" s="449"/>
      <c r="Y114" s="449"/>
      <c r="Z114" s="449"/>
      <c r="AA114" s="449"/>
      <c r="AB114" s="449"/>
      <c r="AC114" s="449"/>
      <c r="AD114" s="449"/>
      <c r="AE114" s="449"/>
      <c r="AF114" s="449"/>
      <c r="AG114" s="449"/>
      <c r="AH114" s="449"/>
      <c r="AI114" s="449"/>
      <c r="AJ114" s="449"/>
      <c r="AK114" s="449"/>
      <c r="AL114" s="449"/>
      <c r="AM114" s="449"/>
      <c r="AN114" s="449"/>
      <c r="AO114" s="449"/>
      <c r="AP114" s="449"/>
      <c r="AQ114" s="449"/>
      <c r="AR114" s="449"/>
      <c r="AS114" s="449"/>
      <c r="AT114" s="449"/>
      <c r="AU114" s="449"/>
      <c r="AV114" s="449"/>
      <c r="AW114" s="449"/>
      <c r="AX114" s="449"/>
      <c r="AY114" s="449"/>
      <c r="AZ114" s="449"/>
      <c r="BA114" s="449"/>
      <c r="BB114" s="449"/>
      <c r="BC114" s="449"/>
      <c r="BD114" s="449"/>
      <c r="BE114" s="449"/>
      <c r="BF114" s="449"/>
      <c r="BG114" s="449"/>
      <c r="BH114" s="449"/>
      <c r="BI114" s="449"/>
      <c r="BJ114" s="449"/>
      <c r="BK114" s="449"/>
      <c r="BL114" s="449"/>
      <c r="BM114" s="449"/>
      <c r="BN114" s="449"/>
      <c r="BO114" s="449"/>
      <c r="BP114" s="449"/>
      <c r="BQ114" s="449"/>
      <c r="BR114" s="449"/>
      <c r="BS114" s="449"/>
      <c r="BT114" s="449"/>
      <c r="BU114" s="449"/>
      <c r="BV114" s="449"/>
      <c r="BW114" s="449"/>
      <c r="BX114" s="449"/>
      <c r="BY114" s="449"/>
      <c r="BZ114" s="449"/>
      <c r="CA114" s="449"/>
      <c r="CB114" s="449"/>
      <c r="CC114" s="449"/>
      <c r="CD114" s="449"/>
      <c r="CE114" s="449"/>
      <c r="CF114" s="449"/>
      <c r="CG114" s="449"/>
      <c r="CH114" s="449"/>
      <c r="CI114" s="449"/>
      <c r="CJ114" s="449"/>
      <c r="CK114" s="449"/>
      <c r="CL114" s="449"/>
      <c r="CM114" s="449"/>
      <c r="CN114" s="449"/>
      <c r="CO114" s="449"/>
      <c r="CP114" s="449"/>
      <c r="CQ114" s="449"/>
      <c r="CR114" s="449"/>
      <c r="CS114" s="449"/>
      <c r="CT114" s="449"/>
      <c r="CU114" s="449"/>
      <c r="CV114" s="449"/>
      <c r="CW114" s="449"/>
      <c r="CX114" s="449"/>
      <c r="CY114" s="449"/>
      <c r="CZ114" s="449"/>
      <c r="DA114" s="449"/>
      <c r="DB114" s="449"/>
      <c r="DC114" s="449"/>
      <c r="DD114" s="449"/>
      <c r="DE114" s="449"/>
      <c r="DF114" s="449"/>
      <c r="DG114" s="449"/>
      <c r="DH114" s="449"/>
      <c r="DI114" s="449"/>
      <c r="DJ114" s="449"/>
      <c r="DK114" s="449"/>
      <c r="DL114" s="449"/>
      <c r="DM114" s="449"/>
      <c r="DN114" s="449"/>
      <c r="DO114" s="449"/>
      <c r="DP114" s="449"/>
      <c r="DQ114" s="449"/>
      <c r="DR114" s="449"/>
      <c r="DS114" s="449"/>
      <c r="DT114" s="449"/>
      <c r="DU114" s="446" t="s">
        <v>557</v>
      </c>
    </row>
    <row r="115" spans="2:125" ht="19">
      <c r="B115" s="450" t="s">
        <v>1097</v>
      </c>
      <c r="C115" s="458"/>
      <c r="D115" s="437"/>
      <c r="E115" s="459">
        <f>'Inputs and Assumptions'!L25</f>
        <v>0</v>
      </c>
      <c r="F115" s="438">
        <f>E117</f>
        <v>0</v>
      </c>
      <c r="G115" s="438">
        <f t="shared" ref="G115:BR115" si="300">F117</f>
        <v>0</v>
      </c>
      <c r="H115" s="438">
        <f t="shared" si="300"/>
        <v>0</v>
      </c>
      <c r="I115" s="438">
        <f t="shared" si="300"/>
        <v>0</v>
      </c>
      <c r="J115" s="438">
        <f t="shared" si="300"/>
        <v>0</v>
      </c>
      <c r="K115" s="438">
        <f t="shared" si="300"/>
        <v>0</v>
      </c>
      <c r="L115" s="438">
        <f t="shared" si="300"/>
        <v>0</v>
      </c>
      <c r="M115" s="438">
        <f t="shared" si="300"/>
        <v>0</v>
      </c>
      <c r="N115" s="438">
        <f t="shared" si="300"/>
        <v>0</v>
      </c>
      <c r="O115" s="438">
        <f t="shared" si="300"/>
        <v>0</v>
      </c>
      <c r="P115" s="438">
        <f t="shared" si="300"/>
        <v>0</v>
      </c>
      <c r="Q115" s="438">
        <f t="shared" si="300"/>
        <v>0</v>
      </c>
      <c r="R115" s="438">
        <f t="shared" si="300"/>
        <v>0</v>
      </c>
      <c r="S115" s="438">
        <f t="shared" si="300"/>
        <v>0</v>
      </c>
      <c r="T115" s="438">
        <f t="shared" si="300"/>
        <v>0</v>
      </c>
      <c r="U115" s="438">
        <f t="shared" si="300"/>
        <v>0</v>
      </c>
      <c r="V115" s="438">
        <f t="shared" si="300"/>
        <v>0</v>
      </c>
      <c r="W115" s="438">
        <f t="shared" si="300"/>
        <v>0</v>
      </c>
      <c r="X115" s="438">
        <f t="shared" si="300"/>
        <v>0</v>
      </c>
      <c r="Y115" s="438">
        <f t="shared" si="300"/>
        <v>0</v>
      </c>
      <c r="Z115" s="438">
        <f t="shared" si="300"/>
        <v>0</v>
      </c>
      <c r="AA115" s="438">
        <f t="shared" si="300"/>
        <v>0</v>
      </c>
      <c r="AB115" s="438">
        <f t="shared" si="300"/>
        <v>0</v>
      </c>
      <c r="AC115" s="438">
        <f t="shared" si="300"/>
        <v>0</v>
      </c>
      <c r="AD115" s="438">
        <f t="shared" si="300"/>
        <v>0</v>
      </c>
      <c r="AE115" s="438">
        <f t="shared" si="300"/>
        <v>0</v>
      </c>
      <c r="AF115" s="438">
        <f t="shared" si="300"/>
        <v>0</v>
      </c>
      <c r="AG115" s="438">
        <f t="shared" si="300"/>
        <v>0</v>
      </c>
      <c r="AH115" s="438">
        <f t="shared" si="300"/>
        <v>0</v>
      </c>
      <c r="AI115" s="438">
        <f t="shared" si="300"/>
        <v>0</v>
      </c>
      <c r="AJ115" s="438">
        <f t="shared" si="300"/>
        <v>0</v>
      </c>
      <c r="AK115" s="438">
        <f t="shared" si="300"/>
        <v>0</v>
      </c>
      <c r="AL115" s="438">
        <f t="shared" si="300"/>
        <v>0</v>
      </c>
      <c r="AM115" s="438">
        <f t="shared" si="300"/>
        <v>0</v>
      </c>
      <c r="AN115" s="438">
        <f t="shared" si="300"/>
        <v>0</v>
      </c>
      <c r="AO115" s="438">
        <f t="shared" si="300"/>
        <v>0</v>
      </c>
      <c r="AP115" s="438">
        <f t="shared" si="300"/>
        <v>0</v>
      </c>
      <c r="AQ115" s="438">
        <f t="shared" si="300"/>
        <v>0</v>
      </c>
      <c r="AR115" s="438">
        <f t="shared" si="300"/>
        <v>0</v>
      </c>
      <c r="AS115" s="438">
        <f t="shared" si="300"/>
        <v>0</v>
      </c>
      <c r="AT115" s="438">
        <f t="shared" si="300"/>
        <v>0</v>
      </c>
      <c r="AU115" s="438">
        <f t="shared" si="300"/>
        <v>0</v>
      </c>
      <c r="AV115" s="438">
        <f t="shared" si="300"/>
        <v>0</v>
      </c>
      <c r="AW115" s="438">
        <f t="shared" si="300"/>
        <v>0</v>
      </c>
      <c r="AX115" s="438">
        <f t="shared" si="300"/>
        <v>0</v>
      </c>
      <c r="AY115" s="438">
        <f t="shared" si="300"/>
        <v>0</v>
      </c>
      <c r="AZ115" s="438">
        <f t="shared" si="300"/>
        <v>0</v>
      </c>
      <c r="BA115" s="438">
        <f t="shared" si="300"/>
        <v>0</v>
      </c>
      <c r="BB115" s="438">
        <f t="shared" si="300"/>
        <v>0</v>
      </c>
      <c r="BC115" s="438">
        <f t="shared" si="300"/>
        <v>0</v>
      </c>
      <c r="BD115" s="438">
        <f t="shared" si="300"/>
        <v>0</v>
      </c>
      <c r="BE115" s="438">
        <f t="shared" si="300"/>
        <v>0</v>
      </c>
      <c r="BF115" s="438">
        <f t="shared" si="300"/>
        <v>0</v>
      </c>
      <c r="BG115" s="438">
        <f t="shared" si="300"/>
        <v>0</v>
      </c>
      <c r="BH115" s="438">
        <f t="shared" si="300"/>
        <v>0</v>
      </c>
      <c r="BI115" s="438">
        <f t="shared" si="300"/>
        <v>0</v>
      </c>
      <c r="BJ115" s="438">
        <f t="shared" si="300"/>
        <v>0</v>
      </c>
      <c r="BK115" s="438">
        <f t="shared" si="300"/>
        <v>0</v>
      </c>
      <c r="BL115" s="438">
        <f t="shared" si="300"/>
        <v>0</v>
      </c>
      <c r="BM115" s="438">
        <f t="shared" si="300"/>
        <v>0</v>
      </c>
      <c r="BN115" s="438">
        <f t="shared" si="300"/>
        <v>0</v>
      </c>
      <c r="BO115" s="438">
        <f t="shared" si="300"/>
        <v>0</v>
      </c>
      <c r="BP115" s="438">
        <f t="shared" si="300"/>
        <v>0</v>
      </c>
      <c r="BQ115" s="438">
        <f t="shared" si="300"/>
        <v>0</v>
      </c>
      <c r="BR115" s="438">
        <f t="shared" si="300"/>
        <v>0</v>
      </c>
      <c r="BS115" s="438">
        <f t="shared" ref="BS115:DT115" si="301">BR117</f>
        <v>0</v>
      </c>
      <c r="BT115" s="438">
        <f t="shared" si="301"/>
        <v>0</v>
      </c>
      <c r="BU115" s="438">
        <f t="shared" si="301"/>
        <v>0</v>
      </c>
      <c r="BV115" s="438">
        <f t="shared" si="301"/>
        <v>0</v>
      </c>
      <c r="BW115" s="438">
        <f t="shared" si="301"/>
        <v>0</v>
      </c>
      <c r="BX115" s="438">
        <f t="shared" si="301"/>
        <v>0</v>
      </c>
      <c r="BY115" s="438">
        <f t="shared" si="301"/>
        <v>0</v>
      </c>
      <c r="BZ115" s="438">
        <f t="shared" si="301"/>
        <v>0</v>
      </c>
      <c r="CA115" s="438">
        <f t="shared" si="301"/>
        <v>0</v>
      </c>
      <c r="CB115" s="438">
        <f t="shared" si="301"/>
        <v>0</v>
      </c>
      <c r="CC115" s="438">
        <f t="shared" si="301"/>
        <v>0</v>
      </c>
      <c r="CD115" s="438">
        <f t="shared" si="301"/>
        <v>0</v>
      </c>
      <c r="CE115" s="438">
        <f t="shared" si="301"/>
        <v>0</v>
      </c>
      <c r="CF115" s="438">
        <f t="shared" si="301"/>
        <v>0</v>
      </c>
      <c r="CG115" s="438">
        <f t="shared" si="301"/>
        <v>0</v>
      </c>
      <c r="CH115" s="438">
        <f t="shared" si="301"/>
        <v>0</v>
      </c>
      <c r="CI115" s="438">
        <f t="shared" si="301"/>
        <v>0</v>
      </c>
      <c r="CJ115" s="438">
        <f t="shared" si="301"/>
        <v>0</v>
      </c>
      <c r="CK115" s="438">
        <f t="shared" si="301"/>
        <v>0</v>
      </c>
      <c r="CL115" s="438">
        <f t="shared" si="301"/>
        <v>0</v>
      </c>
      <c r="CM115" s="438">
        <f t="shared" si="301"/>
        <v>0</v>
      </c>
      <c r="CN115" s="438">
        <f t="shared" si="301"/>
        <v>0</v>
      </c>
      <c r="CO115" s="438">
        <f t="shared" si="301"/>
        <v>0</v>
      </c>
      <c r="CP115" s="438">
        <f t="shared" si="301"/>
        <v>0</v>
      </c>
      <c r="CQ115" s="438">
        <f t="shared" si="301"/>
        <v>0</v>
      </c>
      <c r="CR115" s="438">
        <f t="shared" si="301"/>
        <v>0</v>
      </c>
      <c r="CS115" s="438">
        <f t="shared" si="301"/>
        <v>0</v>
      </c>
      <c r="CT115" s="438">
        <f t="shared" si="301"/>
        <v>0</v>
      </c>
      <c r="CU115" s="438">
        <f t="shared" si="301"/>
        <v>0</v>
      </c>
      <c r="CV115" s="438">
        <f t="shared" si="301"/>
        <v>0</v>
      </c>
      <c r="CW115" s="438">
        <f t="shared" si="301"/>
        <v>0</v>
      </c>
      <c r="CX115" s="438">
        <f t="shared" si="301"/>
        <v>0</v>
      </c>
      <c r="CY115" s="438">
        <f t="shared" si="301"/>
        <v>0</v>
      </c>
      <c r="CZ115" s="438">
        <f t="shared" si="301"/>
        <v>0</v>
      </c>
      <c r="DA115" s="438">
        <f t="shared" si="301"/>
        <v>0</v>
      </c>
      <c r="DB115" s="438">
        <f t="shared" si="301"/>
        <v>0</v>
      </c>
      <c r="DC115" s="438">
        <f t="shared" si="301"/>
        <v>0</v>
      </c>
      <c r="DD115" s="438">
        <f t="shared" si="301"/>
        <v>0</v>
      </c>
      <c r="DE115" s="438">
        <f t="shared" si="301"/>
        <v>0</v>
      </c>
      <c r="DF115" s="438">
        <f t="shared" si="301"/>
        <v>0</v>
      </c>
      <c r="DG115" s="438">
        <f t="shared" si="301"/>
        <v>0</v>
      </c>
      <c r="DH115" s="438">
        <f t="shared" si="301"/>
        <v>0</v>
      </c>
      <c r="DI115" s="438">
        <f t="shared" si="301"/>
        <v>0</v>
      </c>
      <c r="DJ115" s="438">
        <f t="shared" si="301"/>
        <v>0</v>
      </c>
      <c r="DK115" s="438">
        <f t="shared" si="301"/>
        <v>0</v>
      </c>
      <c r="DL115" s="438">
        <f t="shared" si="301"/>
        <v>0</v>
      </c>
      <c r="DM115" s="438">
        <f t="shared" si="301"/>
        <v>0</v>
      </c>
      <c r="DN115" s="438">
        <f t="shared" si="301"/>
        <v>0</v>
      </c>
      <c r="DO115" s="438">
        <f t="shared" si="301"/>
        <v>0</v>
      </c>
      <c r="DP115" s="438">
        <f t="shared" si="301"/>
        <v>0</v>
      </c>
      <c r="DQ115" s="438">
        <f t="shared" si="301"/>
        <v>0</v>
      </c>
      <c r="DR115" s="438">
        <f t="shared" si="301"/>
        <v>0</v>
      </c>
      <c r="DS115" s="438">
        <f t="shared" si="301"/>
        <v>0</v>
      </c>
      <c r="DT115" s="438">
        <f t="shared" si="301"/>
        <v>0</v>
      </c>
      <c r="DU115" s="446" t="s">
        <v>557</v>
      </c>
    </row>
    <row r="116" spans="2:125" ht="19">
      <c r="B116" s="450" t="s">
        <v>1098</v>
      </c>
      <c r="C116" s="451">
        <f>'Inputs and Assumptions'!L36</f>
        <v>0.06</v>
      </c>
      <c r="D116" s="460" t="str">
        <f>'Inputs and Assumptions'!K36</f>
        <v>Accrue</v>
      </c>
      <c r="E116" s="438">
        <f>E115*($C$116/12)</f>
        <v>0</v>
      </c>
      <c r="F116" s="438">
        <f>F115*($C$116/12)</f>
        <v>0</v>
      </c>
      <c r="G116" s="438">
        <f t="shared" ref="G116:BR116" si="302">G115*($C$116/12)</f>
        <v>0</v>
      </c>
      <c r="H116" s="438">
        <f t="shared" si="302"/>
        <v>0</v>
      </c>
      <c r="I116" s="438">
        <f t="shared" si="302"/>
        <v>0</v>
      </c>
      <c r="J116" s="438">
        <f t="shared" si="302"/>
        <v>0</v>
      </c>
      <c r="K116" s="438">
        <f t="shared" si="302"/>
        <v>0</v>
      </c>
      <c r="L116" s="438">
        <f t="shared" si="302"/>
        <v>0</v>
      </c>
      <c r="M116" s="438">
        <f t="shared" si="302"/>
        <v>0</v>
      </c>
      <c r="N116" s="438">
        <f t="shared" si="302"/>
        <v>0</v>
      </c>
      <c r="O116" s="438">
        <f t="shared" si="302"/>
        <v>0</v>
      </c>
      <c r="P116" s="438">
        <f t="shared" si="302"/>
        <v>0</v>
      </c>
      <c r="Q116" s="438">
        <f t="shared" si="302"/>
        <v>0</v>
      </c>
      <c r="R116" s="438">
        <f t="shared" si="302"/>
        <v>0</v>
      </c>
      <c r="S116" s="438">
        <f t="shared" si="302"/>
        <v>0</v>
      </c>
      <c r="T116" s="438">
        <f t="shared" si="302"/>
        <v>0</v>
      </c>
      <c r="U116" s="438">
        <f t="shared" si="302"/>
        <v>0</v>
      </c>
      <c r="V116" s="438">
        <f t="shared" si="302"/>
        <v>0</v>
      </c>
      <c r="W116" s="438">
        <f t="shared" si="302"/>
        <v>0</v>
      </c>
      <c r="X116" s="438">
        <f t="shared" si="302"/>
        <v>0</v>
      </c>
      <c r="Y116" s="438">
        <f t="shared" si="302"/>
        <v>0</v>
      </c>
      <c r="Z116" s="438">
        <f t="shared" si="302"/>
        <v>0</v>
      </c>
      <c r="AA116" s="438">
        <f t="shared" si="302"/>
        <v>0</v>
      </c>
      <c r="AB116" s="438">
        <f t="shared" si="302"/>
        <v>0</v>
      </c>
      <c r="AC116" s="438">
        <f t="shared" si="302"/>
        <v>0</v>
      </c>
      <c r="AD116" s="438">
        <f t="shared" si="302"/>
        <v>0</v>
      </c>
      <c r="AE116" s="438">
        <f t="shared" si="302"/>
        <v>0</v>
      </c>
      <c r="AF116" s="438">
        <f t="shared" si="302"/>
        <v>0</v>
      </c>
      <c r="AG116" s="438">
        <f t="shared" si="302"/>
        <v>0</v>
      </c>
      <c r="AH116" s="438">
        <f t="shared" si="302"/>
        <v>0</v>
      </c>
      <c r="AI116" s="438">
        <f t="shared" si="302"/>
        <v>0</v>
      </c>
      <c r="AJ116" s="438">
        <f t="shared" si="302"/>
        <v>0</v>
      </c>
      <c r="AK116" s="438">
        <f t="shared" si="302"/>
        <v>0</v>
      </c>
      <c r="AL116" s="438">
        <f t="shared" si="302"/>
        <v>0</v>
      </c>
      <c r="AM116" s="438">
        <f t="shared" si="302"/>
        <v>0</v>
      </c>
      <c r="AN116" s="438">
        <f t="shared" si="302"/>
        <v>0</v>
      </c>
      <c r="AO116" s="438">
        <f t="shared" si="302"/>
        <v>0</v>
      </c>
      <c r="AP116" s="438">
        <f t="shared" si="302"/>
        <v>0</v>
      </c>
      <c r="AQ116" s="438">
        <f t="shared" si="302"/>
        <v>0</v>
      </c>
      <c r="AR116" s="438">
        <f t="shared" si="302"/>
        <v>0</v>
      </c>
      <c r="AS116" s="438">
        <f t="shared" si="302"/>
        <v>0</v>
      </c>
      <c r="AT116" s="438">
        <f t="shared" si="302"/>
        <v>0</v>
      </c>
      <c r="AU116" s="438">
        <f t="shared" si="302"/>
        <v>0</v>
      </c>
      <c r="AV116" s="438">
        <f t="shared" si="302"/>
        <v>0</v>
      </c>
      <c r="AW116" s="438">
        <f t="shared" si="302"/>
        <v>0</v>
      </c>
      <c r="AX116" s="438">
        <f t="shared" si="302"/>
        <v>0</v>
      </c>
      <c r="AY116" s="438">
        <f t="shared" si="302"/>
        <v>0</v>
      </c>
      <c r="AZ116" s="438">
        <f t="shared" si="302"/>
        <v>0</v>
      </c>
      <c r="BA116" s="438">
        <f t="shared" si="302"/>
        <v>0</v>
      </c>
      <c r="BB116" s="438">
        <f t="shared" si="302"/>
        <v>0</v>
      </c>
      <c r="BC116" s="438">
        <f t="shared" si="302"/>
        <v>0</v>
      </c>
      <c r="BD116" s="438">
        <f t="shared" si="302"/>
        <v>0</v>
      </c>
      <c r="BE116" s="438">
        <f t="shared" si="302"/>
        <v>0</v>
      </c>
      <c r="BF116" s="438">
        <f t="shared" si="302"/>
        <v>0</v>
      </c>
      <c r="BG116" s="438">
        <f t="shared" si="302"/>
        <v>0</v>
      </c>
      <c r="BH116" s="438">
        <f t="shared" si="302"/>
        <v>0</v>
      </c>
      <c r="BI116" s="438">
        <f t="shared" si="302"/>
        <v>0</v>
      </c>
      <c r="BJ116" s="438">
        <f t="shared" si="302"/>
        <v>0</v>
      </c>
      <c r="BK116" s="438">
        <f t="shared" si="302"/>
        <v>0</v>
      </c>
      <c r="BL116" s="438">
        <f t="shared" si="302"/>
        <v>0</v>
      </c>
      <c r="BM116" s="438">
        <f t="shared" si="302"/>
        <v>0</v>
      </c>
      <c r="BN116" s="438">
        <f t="shared" si="302"/>
        <v>0</v>
      </c>
      <c r="BO116" s="438">
        <f t="shared" si="302"/>
        <v>0</v>
      </c>
      <c r="BP116" s="438">
        <f t="shared" si="302"/>
        <v>0</v>
      </c>
      <c r="BQ116" s="438">
        <f t="shared" si="302"/>
        <v>0</v>
      </c>
      <c r="BR116" s="438">
        <f t="shared" si="302"/>
        <v>0</v>
      </c>
      <c r="BS116" s="438">
        <f t="shared" ref="BS116:DT116" si="303">BS115*($C$116/12)</f>
        <v>0</v>
      </c>
      <c r="BT116" s="438">
        <f t="shared" si="303"/>
        <v>0</v>
      </c>
      <c r="BU116" s="438">
        <f t="shared" si="303"/>
        <v>0</v>
      </c>
      <c r="BV116" s="438">
        <f t="shared" si="303"/>
        <v>0</v>
      </c>
      <c r="BW116" s="438">
        <f t="shared" si="303"/>
        <v>0</v>
      </c>
      <c r="BX116" s="438">
        <f t="shared" si="303"/>
        <v>0</v>
      </c>
      <c r="BY116" s="438">
        <f t="shared" si="303"/>
        <v>0</v>
      </c>
      <c r="BZ116" s="438">
        <f t="shared" si="303"/>
        <v>0</v>
      </c>
      <c r="CA116" s="438">
        <f t="shared" si="303"/>
        <v>0</v>
      </c>
      <c r="CB116" s="438">
        <f t="shared" si="303"/>
        <v>0</v>
      </c>
      <c r="CC116" s="438">
        <f t="shared" si="303"/>
        <v>0</v>
      </c>
      <c r="CD116" s="438">
        <f t="shared" si="303"/>
        <v>0</v>
      </c>
      <c r="CE116" s="438">
        <f t="shared" si="303"/>
        <v>0</v>
      </c>
      <c r="CF116" s="438">
        <f t="shared" si="303"/>
        <v>0</v>
      </c>
      <c r="CG116" s="438">
        <f t="shared" si="303"/>
        <v>0</v>
      </c>
      <c r="CH116" s="438">
        <f t="shared" si="303"/>
        <v>0</v>
      </c>
      <c r="CI116" s="438">
        <f t="shared" si="303"/>
        <v>0</v>
      </c>
      <c r="CJ116" s="438">
        <f t="shared" si="303"/>
        <v>0</v>
      </c>
      <c r="CK116" s="438">
        <f t="shared" si="303"/>
        <v>0</v>
      </c>
      <c r="CL116" s="438">
        <f t="shared" si="303"/>
        <v>0</v>
      </c>
      <c r="CM116" s="438">
        <f t="shared" si="303"/>
        <v>0</v>
      </c>
      <c r="CN116" s="438">
        <f t="shared" si="303"/>
        <v>0</v>
      </c>
      <c r="CO116" s="438">
        <f t="shared" si="303"/>
        <v>0</v>
      </c>
      <c r="CP116" s="438">
        <f t="shared" si="303"/>
        <v>0</v>
      </c>
      <c r="CQ116" s="438">
        <f t="shared" si="303"/>
        <v>0</v>
      </c>
      <c r="CR116" s="438">
        <f t="shared" si="303"/>
        <v>0</v>
      </c>
      <c r="CS116" s="438">
        <f t="shared" si="303"/>
        <v>0</v>
      </c>
      <c r="CT116" s="438">
        <f t="shared" si="303"/>
        <v>0</v>
      </c>
      <c r="CU116" s="438">
        <f t="shared" si="303"/>
        <v>0</v>
      </c>
      <c r="CV116" s="438">
        <f t="shared" si="303"/>
        <v>0</v>
      </c>
      <c r="CW116" s="438">
        <f t="shared" si="303"/>
        <v>0</v>
      </c>
      <c r="CX116" s="438">
        <f t="shared" si="303"/>
        <v>0</v>
      </c>
      <c r="CY116" s="438">
        <f t="shared" si="303"/>
        <v>0</v>
      </c>
      <c r="CZ116" s="438">
        <f t="shared" si="303"/>
        <v>0</v>
      </c>
      <c r="DA116" s="438">
        <f t="shared" si="303"/>
        <v>0</v>
      </c>
      <c r="DB116" s="438">
        <f t="shared" si="303"/>
        <v>0</v>
      </c>
      <c r="DC116" s="438">
        <f t="shared" si="303"/>
        <v>0</v>
      </c>
      <c r="DD116" s="438">
        <f t="shared" si="303"/>
        <v>0</v>
      </c>
      <c r="DE116" s="438">
        <f t="shared" si="303"/>
        <v>0</v>
      </c>
      <c r="DF116" s="438">
        <f t="shared" si="303"/>
        <v>0</v>
      </c>
      <c r="DG116" s="438">
        <f t="shared" si="303"/>
        <v>0</v>
      </c>
      <c r="DH116" s="438">
        <f t="shared" si="303"/>
        <v>0</v>
      </c>
      <c r="DI116" s="438">
        <f t="shared" si="303"/>
        <v>0</v>
      </c>
      <c r="DJ116" s="438">
        <f t="shared" si="303"/>
        <v>0</v>
      </c>
      <c r="DK116" s="438">
        <f t="shared" si="303"/>
        <v>0</v>
      </c>
      <c r="DL116" s="438">
        <f t="shared" si="303"/>
        <v>0</v>
      </c>
      <c r="DM116" s="438">
        <f t="shared" si="303"/>
        <v>0</v>
      </c>
      <c r="DN116" s="438">
        <f t="shared" si="303"/>
        <v>0</v>
      </c>
      <c r="DO116" s="438">
        <f t="shared" si="303"/>
        <v>0</v>
      </c>
      <c r="DP116" s="438">
        <f t="shared" si="303"/>
        <v>0</v>
      </c>
      <c r="DQ116" s="438">
        <f t="shared" si="303"/>
        <v>0</v>
      </c>
      <c r="DR116" s="438">
        <f t="shared" si="303"/>
        <v>0</v>
      </c>
      <c r="DS116" s="438">
        <f t="shared" si="303"/>
        <v>0</v>
      </c>
      <c r="DT116" s="438">
        <f t="shared" si="303"/>
        <v>0</v>
      </c>
      <c r="DU116" s="446" t="s">
        <v>557</v>
      </c>
    </row>
    <row r="117" spans="2:125" ht="19">
      <c r="B117" s="221" t="s">
        <v>1099</v>
      </c>
      <c r="C117" s="443"/>
      <c r="D117" s="453"/>
      <c r="E117" s="454">
        <f>IF(AND($D$116="Pay Down",$C$116=0),E115,IF(AND($D$116="Pay Down",E112&gt;0),MAX(SUM(E115:E116)-E112,0),IF(AND('Inputs and Assumptions'!$L$5="YES", 'Monthly Cash Flow'!E5='Inputs and Assumptions'!$L$6),MAX(SUM(E115:E116)-E112,0), SUM(E115:E116))))</f>
        <v>0</v>
      </c>
      <c r="F117" s="454">
        <f>IF(AND($D$116="Pay Down",$C$116=0),F115,IF(AND($D$116="Pay Down",F112&gt;0),MAX(SUM(F115:F116)-F112,0),IF(AND('Inputs and Assumptions'!$L$5="YES", 'Monthly Cash Flow'!F5='Inputs and Assumptions'!$L$6),MAX(SUM(F115:F116)-F112,0), SUM(F115:F116))))</f>
        <v>0</v>
      </c>
      <c r="G117" s="454">
        <f>IF(AND($D$116="Pay Down",$C$116=0),G115,IF(AND($D$116="Pay Down",G112&gt;0),MAX(SUM(G115:G116)-G112,0),IF(AND('Inputs and Assumptions'!$L$5="YES", 'Monthly Cash Flow'!G5='Inputs and Assumptions'!$L$6),MAX(SUM(G115:G116)-G112,0), SUM(G115:G116))))</f>
        <v>0</v>
      </c>
      <c r="H117" s="454">
        <f>IF(AND($D$116="Pay Down",$C$116=0),H115,IF(AND($D$116="Pay Down",H112&gt;0),MAX(SUM(H115:H116)-H112,0),IF(AND('Inputs and Assumptions'!$L$5="YES", 'Monthly Cash Flow'!H5='Inputs and Assumptions'!$L$6),MAX(SUM(H115:H116)-H112,0), SUM(H115:H116))))</f>
        <v>0</v>
      </c>
      <c r="I117" s="454">
        <f>IF(AND($D$116="Pay Down",$C$116=0),I115,IF(AND($D$116="Pay Down",I112&gt;0),MAX(SUM(I115:I116)-I112,0),IF(AND('Inputs and Assumptions'!$L$5="YES", 'Monthly Cash Flow'!I5='Inputs and Assumptions'!$L$6),MAX(SUM(I115:I116)-I112,0), SUM(I115:I116))))</f>
        <v>0</v>
      </c>
      <c r="J117" s="454">
        <f>IF(AND($D$116="Pay Down",$C$116=0),J115,IF(AND($D$116="Pay Down",J112&gt;0),MAX(SUM(J115:J116)-J112,0),IF(AND('Inputs and Assumptions'!$L$5="YES", 'Monthly Cash Flow'!J5='Inputs and Assumptions'!$L$6),MAX(SUM(J115:J116)-J112,0), SUM(J115:J116))))</f>
        <v>0</v>
      </c>
      <c r="K117" s="454">
        <f>IF(AND($D$116="Pay Down",$C$116=0),K115,IF(AND($D$116="Pay Down",K112&gt;0),MAX(SUM(K115:K116)-K112,0),IF(AND('Inputs and Assumptions'!$L$5="YES", 'Monthly Cash Flow'!K5='Inputs and Assumptions'!$L$6),MAX(SUM(K115:K116)-K112,0), SUM(K115:K116))))</f>
        <v>0</v>
      </c>
      <c r="L117" s="454">
        <f>IF(AND($D$116="Pay Down",$C$116=0),L115,IF(AND($D$116="Pay Down",L112&gt;0),MAX(SUM(L115:L116)-L112,0),IF(AND('Inputs and Assumptions'!$L$5="YES", 'Monthly Cash Flow'!L5='Inputs and Assumptions'!$L$6),MAX(SUM(L115:L116)-L112,0), SUM(L115:L116))))</f>
        <v>0</v>
      </c>
      <c r="M117" s="454">
        <f>IF(AND($D$116="Pay Down",$C$116=0),M115,IF(AND($D$116="Pay Down",M112&gt;0),MAX(SUM(M115:M116)-M112,0),IF(AND('Inputs and Assumptions'!$L$5="YES", 'Monthly Cash Flow'!M5='Inputs and Assumptions'!$L$6),MAX(SUM(M115:M116)-M112,0), SUM(M115:M116))))</f>
        <v>0</v>
      </c>
      <c r="N117" s="454">
        <f>IF(AND($D$116="Pay Down",$C$116=0),N115,IF(AND($D$116="Pay Down",N112&gt;0),MAX(SUM(N115:N116)-N112,0),IF(AND('Inputs and Assumptions'!$L$5="YES", 'Monthly Cash Flow'!N5='Inputs and Assumptions'!$L$6),MAX(SUM(N115:N116)-N112,0), SUM(N115:N116))))</f>
        <v>0</v>
      </c>
      <c r="O117" s="454">
        <f>IF(AND($D$116="Pay Down",$C$116=0),O115,IF(AND($D$116="Pay Down",O112&gt;0),MAX(SUM(O115:O116)-O112,0),IF(AND('Inputs and Assumptions'!$L$5="YES", 'Monthly Cash Flow'!O5='Inputs and Assumptions'!$L$6),MAX(SUM(O115:O116)-O112,0), SUM(O115:O116))))</f>
        <v>0</v>
      </c>
      <c r="P117" s="454">
        <f>IF(AND($D$116="Pay Down",$C$116=0),P115,IF(AND($D$116="Pay Down",P112&gt;0),MAX(SUM(P115:P116)-P112,0),IF(AND('Inputs and Assumptions'!$L$5="YES", 'Monthly Cash Flow'!P5='Inputs and Assumptions'!$L$6),MAX(SUM(P115:P116)-P112,0), SUM(P115:P116))))</f>
        <v>0</v>
      </c>
      <c r="Q117" s="454">
        <f>IF(AND($D$116="Pay Down",$C$116=0),Q115,IF(AND($D$116="Pay Down",Q112&gt;0),MAX(SUM(Q115:Q116)-Q112,0),IF(AND('Inputs and Assumptions'!$L$5="YES", 'Monthly Cash Flow'!Q5='Inputs and Assumptions'!$L$6),MAX(SUM(Q115:Q116)-Q112,0), SUM(Q115:Q116))))</f>
        <v>0</v>
      </c>
      <c r="R117" s="454">
        <f>IF(AND($D$116="Pay Down",$C$116=0),R115,IF(AND($D$116="Pay Down",R112&gt;0),MAX(SUM(R115:R116)-R112,0),IF(AND('Inputs and Assumptions'!$L$5="YES", 'Monthly Cash Flow'!R5='Inputs and Assumptions'!$L$6),MAX(SUM(R115:R116)-R112,0), SUM(R115:R116))))</f>
        <v>0</v>
      </c>
      <c r="S117" s="454">
        <f>IF(AND($D$116="Pay Down",$C$116=0),S115,IF(AND($D$116="Pay Down",S112&gt;0),MAX(SUM(S115:S116)-S112,0),IF(AND('Inputs and Assumptions'!$L$5="YES", 'Monthly Cash Flow'!S5='Inputs and Assumptions'!$L$6),MAX(SUM(S115:S116)-S112,0), SUM(S115:S116))))</f>
        <v>0</v>
      </c>
      <c r="T117" s="454">
        <f>IF(AND($D$116="Pay Down",$C$116=0),T115,IF(AND($D$116="Pay Down",T112&gt;0),MAX(SUM(T115:T116)-T112,0),IF(AND('Inputs and Assumptions'!$L$5="YES", 'Monthly Cash Flow'!T5='Inputs and Assumptions'!$L$6),MAX(SUM(T115:T116)-T112,0), SUM(T115:T116))))</f>
        <v>0</v>
      </c>
      <c r="U117" s="454">
        <f>IF(AND($D$116="Pay Down",$C$116=0),U115,IF(AND($D$116="Pay Down",U112&gt;0),MAX(SUM(U115:U116)-U112,0),IF(AND('Inputs and Assumptions'!$L$5="YES", 'Monthly Cash Flow'!U5='Inputs and Assumptions'!$L$6),MAX(SUM(U115:U116)-U112,0), SUM(U115:U116))))</f>
        <v>0</v>
      </c>
      <c r="V117" s="454">
        <f>IF(AND($D$116="Pay Down",$C$116=0),V115,IF(AND($D$116="Pay Down",V112&gt;0),MAX(SUM(V115:V116)-V112,0),IF(AND('Inputs and Assumptions'!$L$5="YES", 'Monthly Cash Flow'!V5='Inputs and Assumptions'!$L$6),MAX(SUM(V115:V116)-V112,0), SUM(V115:V116))))</f>
        <v>0</v>
      </c>
      <c r="W117" s="454">
        <f>IF(AND($D$116="Pay Down",$C$116=0),W115,IF(AND($D$116="Pay Down",W112&gt;0),MAX(SUM(W115:W116)-W112,0),IF(AND('Inputs and Assumptions'!$L$5="YES", 'Monthly Cash Flow'!W5='Inputs and Assumptions'!$L$6),MAX(SUM(W115:W116)-W112,0), SUM(W115:W116))))</f>
        <v>0</v>
      </c>
      <c r="X117" s="454">
        <f>IF(AND($D$116="Pay Down",$C$116=0),X115,IF(AND($D$116="Pay Down",X112&gt;0),MAX(SUM(X115:X116)-X112,0),IF(AND('Inputs and Assumptions'!$L$5="YES", 'Monthly Cash Flow'!X5='Inputs and Assumptions'!$L$6),MAX(SUM(X115:X116)-X112,0), SUM(X115:X116))))</f>
        <v>0</v>
      </c>
      <c r="Y117" s="454">
        <f>IF(AND($D$116="Pay Down",$C$116=0),Y115,IF(AND($D$116="Pay Down",Y112&gt;0),MAX(SUM(Y115:Y116)-Y112,0),IF(AND('Inputs and Assumptions'!$L$5="YES", 'Monthly Cash Flow'!Y5='Inputs and Assumptions'!$L$6),MAX(SUM(Y115:Y116)-Y112,0), SUM(Y115:Y116))))</f>
        <v>0</v>
      </c>
      <c r="Z117" s="454">
        <f>IF(AND($D$116="Pay Down",$C$116=0),Z115,IF(AND($D$116="Pay Down",Z112&gt;0),MAX(SUM(Z115:Z116)-Z112,0),IF(AND('Inputs and Assumptions'!$L$5="YES", 'Monthly Cash Flow'!Z5='Inputs and Assumptions'!$L$6),MAX(SUM(Z115:Z116)-Z112,0), SUM(Z115:Z116))))</f>
        <v>0</v>
      </c>
      <c r="AA117" s="454">
        <f>IF(AND($D$116="Pay Down",$C$116=0),AA115,IF(AND($D$116="Pay Down",AA112&gt;0),MAX(SUM(AA115:AA116)-AA112,0),IF(AND('Inputs and Assumptions'!$L$5="YES", 'Monthly Cash Flow'!AA5='Inputs and Assumptions'!$L$6),MAX(SUM(AA115:AA116)-AA112,0), SUM(AA115:AA116))))</f>
        <v>0</v>
      </c>
      <c r="AB117" s="454">
        <f>IF(AND($D$116="Pay Down",$C$116=0),AB115,IF(AND($D$116="Pay Down",AB112&gt;0),MAX(SUM(AB115:AB116)-AB112,0),IF(AND('Inputs and Assumptions'!$L$5="YES", 'Monthly Cash Flow'!AB5='Inputs and Assumptions'!$L$6),MAX(SUM(AB115:AB116)-AB112,0), SUM(AB115:AB116))))</f>
        <v>0</v>
      </c>
      <c r="AC117" s="454">
        <f>IF(AND($D$116="Pay Down",$C$116=0),AC115,IF(AND($D$116="Pay Down",AC112&gt;0),MAX(SUM(AC115:AC116)-AC112,0),IF(AND('Inputs and Assumptions'!$L$5="YES", 'Monthly Cash Flow'!AC5='Inputs and Assumptions'!$L$6),MAX(SUM(AC115:AC116)-AC112,0), SUM(AC115:AC116))))</f>
        <v>0</v>
      </c>
      <c r="AD117" s="454">
        <f>IF(AND($D$116="Pay Down",$C$116=0),AD115,IF(AND($D$116="Pay Down",AD112&gt;0),MAX(SUM(AD115:AD116)-AD112,0),IF(AND('Inputs and Assumptions'!$L$5="YES", 'Monthly Cash Flow'!AD5='Inputs and Assumptions'!$L$6),MAX(SUM(AD115:AD116)-AD112,0), SUM(AD115:AD116))))</f>
        <v>0</v>
      </c>
      <c r="AE117" s="454">
        <f>IF(AND($D$116="Pay Down",$C$116=0),AE115,IF(AND($D$116="Pay Down",AE112&gt;0),MAX(SUM(AE115:AE116)-AE112,0),IF(AND('Inputs and Assumptions'!$L$5="YES", 'Monthly Cash Flow'!AE5='Inputs and Assumptions'!$L$6),MAX(SUM(AE115:AE116)-AE112,0), SUM(AE115:AE116))))</f>
        <v>0</v>
      </c>
      <c r="AF117" s="454">
        <f>IF(AND($D$116="Pay Down",$C$116=0),AF115,IF(AND($D$116="Pay Down",AF112&gt;0),MAX(SUM(AF115:AF116)-AF112,0),IF(AND('Inputs and Assumptions'!$L$5="YES", 'Monthly Cash Flow'!AF5='Inputs and Assumptions'!$L$6),MAX(SUM(AF115:AF116)-AF112,0), SUM(AF115:AF116))))</f>
        <v>0</v>
      </c>
      <c r="AG117" s="454">
        <f>IF(AND($D$116="Pay Down",$C$116=0),AG115,IF(AND($D$116="Pay Down",AG112&gt;0),MAX(SUM(AG115:AG116)-AG112,0),IF(AND('Inputs and Assumptions'!$L$5="YES", 'Monthly Cash Flow'!AG5='Inputs and Assumptions'!$L$6),MAX(SUM(AG115:AG116)-AG112,0), SUM(AG115:AG116))))</f>
        <v>0</v>
      </c>
      <c r="AH117" s="454">
        <f>IF(AND($D$116="Pay Down",$C$116=0),AH115,IF(AND($D$116="Pay Down",AH112&gt;0),MAX(SUM(AH115:AH116)-AH112,0),IF(AND('Inputs and Assumptions'!$L$5="YES", 'Monthly Cash Flow'!AH5='Inputs and Assumptions'!$L$6),MAX(SUM(AH115:AH116)-AH112,0), SUM(AH115:AH116))))</f>
        <v>0</v>
      </c>
      <c r="AI117" s="454">
        <f>IF(AND($D$116="Pay Down",$C$116=0),AI115,IF(AND($D$116="Pay Down",AI112&gt;0),MAX(SUM(AI115:AI116)-AI112,0),IF(AND('Inputs and Assumptions'!$L$5="YES", 'Monthly Cash Flow'!AI5='Inputs and Assumptions'!$L$6),MAX(SUM(AI115:AI116)-AI112,0), SUM(AI115:AI116))))</f>
        <v>0</v>
      </c>
      <c r="AJ117" s="454">
        <f>IF(AND($D$116="Pay Down",$C$116=0),AJ115,IF(AND($D$116="Pay Down",AJ112&gt;0),MAX(SUM(AJ115:AJ116)-AJ112,0),IF(AND('Inputs and Assumptions'!$L$5="YES", 'Monthly Cash Flow'!AJ5='Inputs and Assumptions'!$L$6),MAX(SUM(AJ115:AJ116)-AJ112,0), SUM(AJ115:AJ116))))</f>
        <v>0</v>
      </c>
      <c r="AK117" s="454">
        <f>IF(AND($D$116="Pay Down",$C$116=0),AK115,IF(AND($D$116="Pay Down",AK112&gt;0),MAX(SUM(AK115:AK116)-AK112,0),IF(AND('Inputs and Assumptions'!$L$5="YES", 'Monthly Cash Flow'!AK5='Inputs and Assumptions'!$L$6),MAX(SUM(AK115:AK116)-AK112,0), SUM(AK115:AK116))))</f>
        <v>0</v>
      </c>
      <c r="AL117" s="454">
        <f>IF(AND($D$116="Pay Down",$C$116=0),AL115,IF(AND($D$116="Pay Down",AL112&gt;0),MAX(SUM(AL115:AL116)-AL112,0),IF(AND('Inputs and Assumptions'!$L$5="YES", 'Monthly Cash Flow'!AL5='Inputs and Assumptions'!$L$6),MAX(SUM(AL115:AL116)-AL112,0), SUM(AL115:AL116))))</f>
        <v>0</v>
      </c>
      <c r="AM117" s="454">
        <f>IF(AND($D$116="Pay Down",$C$116=0),AM115,IF(AND($D$116="Pay Down",AM112&gt;0),MAX(SUM(AM115:AM116)-AM112,0),IF(AND('Inputs and Assumptions'!$L$5="YES", 'Monthly Cash Flow'!AM5='Inputs and Assumptions'!$L$6),MAX(SUM(AM115:AM116)-AM112,0), SUM(AM115:AM116))))</f>
        <v>0</v>
      </c>
      <c r="AN117" s="454">
        <f>IF(AND($D$116="Pay Down",$C$116=0),AN115,IF(AND($D$116="Pay Down",AN112&gt;0),MAX(SUM(AN115:AN116)-AN112,0),IF(AND('Inputs and Assumptions'!$L$5="YES", 'Monthly Cash Flow'!AN5='Inputs and Assumptions'!$L$6),MAX(SUM(AN115:AN116)-AN112,0), SUM(AN115:AN116))))</f>
        <v>0</v>
      </c>
      <c r="AO117" s="454">
        <f>IF(AND($D$116="Pay Down",$C$116=0),AO115,IF(AND($D$116="Pay Down",AO112&gt;0),MAX(SUM(AO115:AO116)-AO112,0),IF(AND('Inputs and Assumptions'!$L$5="YES", 'Monthly Cash Flow'!AO5='Inputs and Assumptions'!$L$6),MAX(SUM(AO115:AO116)-AO112,0), SUM(AO115:AO116))))</f>
        <v>0</v>
      </c>
      <c r="AP117" s="454">
        <f>IF(AND($D$116="Pay Down",$C$116=0),AP115,IF(AND($D$116="Pay Down",AP112&gt;0),MAX(SUM(AP115:AP116)-AP112,0),IF(AND('Inputs and Assumptions'!$L$5="YES", 'Monthly Cash Flow'!AP5='Inputs and Assumptions'!$L$6),MAX(SUM(AP115:AP116)-AP112,0), SUM(AP115:AP116))))</f>
        <v>0</v>
      </c>
      <c r="AQ117" s="454">
        <f>IF(AND($D$116="Pay Down",$C$116=0),AQ115,IF(AND($D$116="Pay Down",AQ112&gt;0),MAX(SUM(AQ115:AQ116)-AQ112,0),IF(AND('Inputs and Assumptions'!$L$5="YES", 'Monthly Cash Flow'!AQ5='Inputs and Assumptions'!$L$6),MAX(SUM(AQ115:AQ116)-AQ112,0), SUM(AQ115:AQ116))))</f>
        <v>0</v>
      </c>
      <c r="AR117" s="454">
        <f>IF(AND($D$116="Pay Down",$C$116=0),AR115,IF(AND($D$116="Pay Down",AR112&gt;0),MAX(SUM(AR115:AR116)-AR112,0),IF(AND('Inputs and Assumptions'!$L$5="YES", 'Monthly Cash Flow'!AR5='Inputs and Assumptions'!$L$6),MAX(SUM(AR115:AR116)-AR112,0), SUM(AR115:AR116))))</f>
        <v>0</v>
      </c>
      <c r="AS117" s="454">
        <f>IF(AND($D$116="Pay Down",$C$116=0),AS115,IF(AND($D$116="Pay Down",AS112&gt;0),MAX(SUM(AS115:AS116)-AS112,0),IF(AND('Inputs and Assumptions'!$L$5="YES", 'Monthly Cash Flow'!AS5='Inputs and Assumptions'!$L$6),MAX(SUM(AS115:AS116)-AS112,0), SUM(AS115:AS116))))</f>
        <v>0</v>
      </c>
      <c r="AT117" s="454">
        <f>IF(AND($D$116="Pay Down",$C$116=0),AT115,IF(AND($D$116="Pay Down",AT112&gt;0),MAX(SUM(AT115:AT116)-AT112,0),IF(AND('Inputs and Assumptions'!$L$5="YES", 'Monthly Cash Flow'!AT5='Inputs and Assumptions'!$L$6),MAX(SUM(AT115:AT116)-AT112,0), SUM(AT115:AT116))))</f>
        <v>0</v>
      </c>
      <c r="AU117" s="454">
        <f>IF(AND($D$116="Pay Down",$C$116=0),AU115,IF(AND($D$116="Pay Down",AU112&gt;0),MAX(SUM(AU115:AU116)-AU112,0),IF(AND('Inputs and Assumptions'!$L$5="YES", 'Monthly Cash Flow'!AU5='Inputs and Assumptions'!$L$6),MAX(SUM(AU115:AU116)-AU112,0), SUM(AU115:AU116))))</f>
        <v>0</v>
      </c>
      <c r="AV117" s="454">
        <f>IF(AND($D$116="Pay Down",$C$116=0),AV115,IF(AND($D$116="Pay Down",AV112&gt;0),MAX(SUM(AV115:AV116)-AV112,0),IF(AND('Inputs and Assumptions'!$L$5="YES", 'Monthly Cash Flow'!AV5='Inputs and Assumptions'!$L$6),MAX(SUM(AV115:AV116)-AV112,0), SUM(AV115:AV116))))</f>
        <v>0</v>
      </c>
      <c r="AW117" s="454">
        <f>IF(AND($D$116="Pay Down",$C$116=0),AW115,IF(AND($D$116="Pay Down",AW112&gt;0),MAX(SUM(AW115:AW116)-AW112,0),IF(AND('Inputs and Assumptions'!$L$5="YES", 'Monthly Cash Flow'!AW5='Inputs and Assumptions'!$L$6),MAX(SUM(AW115:AW116)-AW112,0), SUM(AW115:AW116))))</f>
        <v>0</v>
      </c>
      <c r="AX117" s="454">
        <f>IF(AND($D$116="Pay Down",$C$116=0),AX115,IF(AND($D$116="Pay Down",AX112&gt;0),MAX(SUM(AX115:AX116)-AX112,0),IF(AND('Inputs and Assumptions'!$L$5="YES", 'Monthly Cash Flow'!AX5='Inputs and Assumptions'!$L$6),MAX(SUM(AX115:AX116)-AX112,0), SUM(AX115:AX116))))</f>
        <v>0</v>
      </c>
      <c r="AY117" s="454">
        <f>IF(AND($D$116="Pay Down",$C$116=0),AY115,IF(AND($D$116="Pay Down",AY112&gt;0),MAX(SUM(AY115:AY116)-AY112,0),IF(AND('Inputs and Assumptions'!$L$5="YES", 'Monthly Cash Flow'!AY5='Inputs and Assumptions'!$L$6),MAX(SUM(AY115:AY116)-AY112,0), SUM(AY115:AY116))))</f>
        <v>0</v>
      </c>
      <c r="AZ117" s="454">
        <f>IF(AND($D$116="Pay Down",$C$116=0),AZ115,IF(AND($D$116="Pay Down",AZ112&gt;0),MAX(SUM(AZ115:AZ116)-AZ112,0),IF(AND('Inputs and Assumptions'!$L$5="YES", 'Monthly Cash Flow'!AZ5='Inputs and Assumptions'!$L$6),MAX(SUM(AZ115:AZ116)-AZ112,0), SUM(AZ115:AZ116))))</f>
        <v>0</v>
      </c>
      <c r="BA117" s="454">
        <f>IF(AND($D$116="Pay Down",$C$116=0),BA115,IF(AND($D$116="Pay Down",BA112&gt;0),MAX(SUM(BA115:BA116)-BA112,0),IF(AND('Inputs and Assumptions'!$L$5="YES", 'Monthly Cash Flow'!BA5='Inputs and Assumptions'!$L$6),MAX(SUM(BA115:BA116)-BA112,0), SUM(BA115:BA116))))</f>
        <v>0</v>
      </c>
      <c r="BB117" s="454">
        <f>IF(AND($D$116="Pay Down",$C$116=0),BB115,IF(AND($D$116="Pay Down",BB112&gt;0),MAX(SUM(BB115:BB116)-BB112,0),IF(AND('Inputs and Assumptions'!$L$5="YES", 'Monthly Cash Flow'!BB5='Inputs and Assumptions'!$L$6),MAX(SUM(BB115:BB116)-BB112,0), SUM(BB115:BB116))))</f>
        <v>0</v>
      </c>
      <c r="BC117" s="454">
        <f>IF(AND($D$116="Pay Down",$C$116=0),BC115,IF(AND($D$116="Pay Down",BC112&gt;0),MAX(SUM(BC115:BC116)-BC112,0),IF(AND('Inputs and Assumptions'!$L$5="YES", 'Monthly Cash Flow'!BC5='Inputs and Assumptions'!$L$6),MAX(SUM(BC115:BC116)-BC112,0), SUM(BC115:BC116))))</f>
        <v>0</v>
      </c>
      <c r="BD117" s="454">
        <f>IF(AND($D$116="Pay Down",$C$116=0),BD115,IF(AND($D$116="Pay Down",BD112&gt;0),MAX(SUM(BD115:BD116)-BD112,0),IF(AND('Inputs and Assumptions'!$L$5="YES", 'Monthly Cash Flow'!BD5='Inputs and Assumptions'!$L$6),MAX(SUM(BD115:BD116)-BD112,0), SUM(BD115:BD116))))</f>
        <v>0</v>
      </c>
      <c r="BE117" s="454">
        <f>IF(AND($D$116="Pay Down",$C$116=0),BE115,IF(AND($D$116="Pay Down",BE112&gt;0),MAX(SUM(BE115:BE116)-BE112,0),IF(AND('Inputs and Assumptions'!$L$5="YES", 'Monthly Cash Flow'!BE5='Inputs and Assumptions'!$L$6),MAX(SUM(BE115:BE116)-BE112,0), SUM(BE115:BE116))))</f>
        <v>0</v>
      </c>
      <c r="BF117" s="454">
        <f>IF(AND($D$116="Pay Down",$C$116=0),BF115,IF(AND($D$116="Pay Down",BF112&gt;0),MAX(SUM(BF115:BF116)-BF112,0),IF(AND('Inputs and Assumptions'!$L$5="YES", 'Monthly Cash Flow'!BF5='Inputs and Assumptions'!$L$6),MAX(SUM(BF115:BF116)-BF112,0), SUM(BF115:BF116))))</f>
        <v>0</v>
      </c>
      <c r="BG117" s="454">
        <f>IF(AND($D$116="Pay Down",$C$116=0),BG115,IF(AND($D$116="Pay Down",BG112&gt;0),MAX(SUM(BG115:BG116)-BG112,0),IF(AND('Inputs and Assumptions'!$L$5="YES", 'Monthly Cash Flow'!BG5='Inputs and Assumptions'!$L$6),MAX(SUM(BG115:BG116)-BG112,0), SUM(BG115:BG116))))</f>
        <v>0</v>
      </c>
      <c r="BH117" s="454">
        <f>IF(AND($D$116="Pay Down",$C$116=0),BH115,IF(AND($D$116="Pay Down",BH112&gt;0),MAX(SUM(BH115:BH116)-BH112,0),IF(AND('Inputs and Assumptions'!$L$5="YES", 'Monthly Cash Flow'!BH5='Inputs and Assumptions'!$L$6),MAX(SUM(BH115:BH116)-BH112,0), SUM(BH115:BH116))))</f>
        <v>0</v>
      </c>
      <c r="BI117" s="454">
        <f>IF(AND($D$116="Pay Down",$C$116=0),BI115,IF(AND($D$116="Pay Down",BI112&gt;0),MAX(SUM(BI115:BI116)-BI112,0),IF(AND('Inputs and Assumptions'!$L$5="YES", 'Monthly Cash Flow'!BI5='Inputs and Assumptions'!$L$6),MAX(SUM(BI115:BI116)-BI112,0), SUM(BI115:BI116))))</f>
        <v>0</v>
      </c>
      <c r="BJ117" s="454">
        <f>IF(AND($D$116="Pay Down",$C$116=0),BJ115,IF(AND($D$116="Pay Down",BJ112&gt;0),MAX(SUM(BJ115:BJ116)-BJ112,0),IF(AND('Inputs and Assumptions'!$L$5="YES", 'Monthly Cash Flow'!BJ5='Inputs and Assumptions'!$L$6),MAX(SUM(BJ115:BJ116)-BJ112,0), SUM(BJ115:BJ116))))</f>
        <v>0</v>
      </c>
      <c r="BK117" s="454">
        <f>IF(AND($D$116="Pay Down",$C$116=0),BK115,IF(AND($D$116="Pay Down",BK112&gt;0),MAX(SUM(BK115:BK116)-BK112,0),IF(AND('Inputs and Assumptions'!$L$5="YES", 'Monthly Cash Flow'!BK5='Inputs and Assumptions'!$L$6),MAX(SUM(BK115:BK116)-BK112,0), SUM(BK115:BK116))))</f>
        <v>0</v>
      </c>
      <c r="BL117" s="454">
        <f>IF(AND($D$116="Pay Down",$C$116=0),BL115,IF(AND($D$116="Pay Down",BL112&gt;0),MAX(SUM(BL115:BL116)-BL112,0),IF(AND('Inputs and Assumptions'!$L$5="YES", 'Monthly Cash Flow'!BL5='Inputs and Assumptions'!$L$6),MAX(SUM(BL115:BL116)-BL112,0), SUM(BL115:BL116))))</f>
        <v>0</v>
      </c>
      <c r="BM117" s="454">
        <f>IF(AND($D$116="Pay Down",$C$116=0),BM115,IF(AND($D$116="Pay Down",BM112&gt;0),MAX(SUM(BM115:BM116)-BM112,0),IF(AND('Inputs and Assumptions'!$L$5="YES", 'Monthly Cash Flow'!BM5='Inputs and Assumptions'!$L$6),MAX(SUM(BM115:BM116)-BM112,0), SUM(BM115:BM116))))</f>
        <v>0</v>
      </c>
      <c r="BN117" s="454">
        <f>IF(AND($D$116="Pay Down",$C$116=0),BN115,IF(AND($D$116="Pay Down",BN112&gt;0),MAX(SUM(BN115:BN116)-BN112,0),IF(AND('Inputs and Assumptions'!$L$5="YES", 'Monthly Cash Flow'!BN5='Inputs and Assumptions'!$L$6),MAX(SUM(BN115:BN116)-BN112,0), SUM(BN115:BN116))))</f>
        <v>0</v>
      </c>
      <c r="BO117" s="454">
        <f>IF(AND($D$116="Pay Down",$C$116=0),BO115,IF(AND($D$116="Pay Down",BO112&gt;0),MAX(SUM(BO115:BO116)-BO112,0),IF(AND('Inputs and Assumptions'!$L$5="YES", 'Monthly Cash Flow'!BO5='Inputs and Assumptions'!$L$6),MAX(SUM(BO115:BO116)-BO112,0), SUM(BO115:BO116))))</f>
        <v>0</v>
      </c>
      <c r="BP117" s="454">
        <f>IF(AND($D$116="Pay Down",$C$116=0),BP115,IF(AND($D$116="Pay Down",BP112&gt;0),MAX(SUM(BP115:BP116)-BP112,0),IF(AND('Inputs and Assumptions'!$L$5="YES", 'Monthly Cash Flow'!BP5='Inputs and Assumptions'!$L$6),MAX(SUM(BP115:BP116)-BP112,0), SUM(BP115:BP116))))</f>
        <v>0</v>
      </c>
      <c r="BQ117" s="454">
        <f>IF(AND($D$116="Pay Down",$C$116=0),BQ115,IF(AND($D$116="Pay Down",BQ112&gt;0),MAX(SUM(BQ115:BQ116)-BQ112,0),IF(AND('Inputs and Assumptions'!$L$5="YES", 'Monthly Cash Flow'!BQ5='Inputs and Assumptions'!$L$6),MAX(SUM(BQ115:BQ116)-BQ112,0), SUM(BQ115:BQ116))))</f>
        <v>0</v>
      </c>
      <c r="BR117" s="454">
        <f>IF(AND($D$116="Pay Down",$C$116=0),BR115,IF(AND($D$116="Pay Down",BR112&gt;0),MAX(SUM(BR115:BR116)-BR112,0),IF(AND('Inputs and Assumptions'!$L$5="YES", 'Monthly Cash Flow'!BR5='Inputs and Assumptions'!$L$6),MAX(SUM(BR115:BR116)-BR112,0), SUM(BR115:BR116))))</f>
        <v>0</v>
      </c>
      <c r="BS117" s="454">
        <f>IF(AND($D$116="Pay Down",$C$116=0),BS115,IF(AND($D$116="Pay Down",BS112&gt;0),MAX(SUM(BS115:BS116)-BS112,0),IF(AND('Inputs and Assumptions'!$L$5="YES", 'Monthly Cash Flow'!BS5='Inputs and Assumptions'!$L$6),MAX(SUM(BS115:BS116)-BS112,0), SUM(BS115:BS116))))</f>
        <v>0</v>
      </c>
      <c r="BT117" s="454">
        <f>IF(AND($D$116="Pay Down",$C$116=0),BT115,IF(AND($D$116="Pay Down",BT112&gt;0),MAX(SUM(BT115:BT116)-BT112,0),IF(AND('Inputs and Assumptions'!$L$5="YES", 'Monthly Cash Flow'!BT5='Inputs and Assumptions'!$L$6),MAX(SUM(BT115:BT116)-BT112,0), SUM(BT115:BT116))))</f>
        <v>0</v>
      </c>
      <c r="BU117" s="454">
        <f>IF(AND($D$116="Pay Down",$C$116=0),BU115,IF(AND($D$116="Pay Down",BU112&gt;0),MAX(SUM(BU115:BU116)-BU112,0),IF(AND('Inputs and Assumptions'!$L$5="YES", 'Monthly Cash Flow'!BU5='Inputs and Assumptions'!$L$6),MAX(SUM(BU115:BU116)-BU112,0), SUM(BU115:BU116))))</f>
        <v>0</v>
      </c>
      <c r="BV117" s="454">
        <f>IF(AND($D$116="Pay Down",$C$116=0),BV115,IF(AND($D$116="Pay Down",BV112&gt;0),MAX(SUM(BV115:BV116)-BV112,0),IF(AND('Inputs and Assumptions'!$L$5="YES", 'Monthly Cash Flow'!BV5='Inputs and Assumptions'!$L$6),MAX(SUM(BV115:BV116)-BV112,0), SUM(BV115:BV116))))</f>
        <v>0</v>
      </c>
      <c r="BW117" s="454">
        <f>IF(AND($D$116="Pay Down",$C$116=0),BW115,IF(AND($D$116="Pay Down",BW112&gt;0),MAX(SUM(BW115:BW116)-BW112,0),IF(AND('Inputs and Assumptions'!$L$5="YES", 'Monthly Cash Flow'!BW5='Inputs and Assumptions'!$L$6),MAX(SUM(BW115:BW116)-BW112,0), SUM(BW115:BW116))))</f>
        <v>0</v>
      </c>
      <c r="BX117" s="454">
        <f>IF(AND($D$116="Pay Down",$C$116=0),BX115,IF(AND($D$116="Pay Down",BX112&gt;0),MAX(SUM(BX115:BX116)-BX112,0),IF(AND('Inputs and Assumptions'!$L$5="YES", 'Monthly Cash Flow'!BX5='Inputs and Assumptions'!$L$6),MAX(SUM(BX115:BX116)-BX112,0), SUM(BX115:BX116))))</f>
        <v>0</v>
      </c>
      <c r="BY117" s="454">
        <f>IF(AND($D$116="Pay Down",$C$116=0),BY115,IF(AND($D$116="Pay Down",BY112&gt;0),MAX(SUM(BY115:BY116)-BY112,0),IF(AND('Inputs and Assumptions'!$L$5="YES", 'Monthly Cash Flow'!BY5='Inputs and Assumptions'!$L$6),MAX(SUM(BY115:BY116)-BY112,0), SUM(BY115:BY116))))</f>
        <v>0</v>
      </c>
      <c r="BZ117" s="454">
        <f>IF(AND($D$116="Pay Down",$C$116=0),BZ115,IF(AND($D$116="Pay Down",BZ112&gt;0),MAX(SUM(BZ115:BZ116)-BZ112,0),IF(AND('Inputs and Assumptions'!$L$5="YES", 'Monthly Cash Flow'!BZ5='Inputs and Assumptions'!$L$6),MAX(SUM(BZ115:BZ116)-BZ112,0), SUM(BZ115:BZ116))))</f>
        <v>0</v>
      </c>
      <c r="CA117" s="454">
        <f>IF(AND($D$116="Pay Down",$C$116=0),CA115,IF(AND($D$116="Pay Down",CA112&gt;0),MAX(SUM(CA115:CA116)-CA112,0),IF(AND('Inputs and Assumptions'!$L$5="YES", 'Monthly Cash Flow'!CA5='Inputs and Assumptions'!$L$6),MAX(SUM(CA115:CA116)-CA112,0), SUM(CA115:CA116))))</f>
        <v>0</v>
      </c>
      <c r="CB117" s="454">
        <f>IF(AND($D$116="Pay Down",$C$116=0),CB115,IF(AND($D$116="Pay Down",CB112&gt;0),MAX(SUM(CB115:CB116)-CB112,0),IF(AND('Inputs and Assumptions'!$L$5="YES", 'Monthly Cash Flow'!CB5='Inputs and Assumptions'!$L$6),MAX(SUM(CB115:CB116)-CB112,0), SUM(CB115:CB116))))</f>
        <v>0</v>
      </c>
      <c r="CC117" s="454">
        <f>IF(AND($D$116="Pay Down",$C$116=0),CC115,IF(AND($D$116="Pay Down",CC112&gt;0),MAX(SUM(CC115:CC116)-CC112,0),IF(AND('Inputs and Assumptions'!$L$5="YES", 'Monthly Cash Flow'!CC5='Inputs and Assumptions'!$L$6),MAX(SUM(CC115:CC116)-CC112,0), SUM(CC115:CC116))))</f>
        <v>0</v>
      </c>
      <c r="CD117" s="454">
        <f>IF(AND($D$116="Pay Down",$C$116=0),CD115,IF(AND($D$116="Pay Down",CD112&gt;0),MAX(SUM(CD115:CD116)-CD112,0),IF(AND('Inputs and Assumptions'!$L$5="YES", 'Monthly Cash Flow'!CD5='Inputs and Assumptions'!$L$6),MAX(SUM(CD115:CD116)-CD112,0), SUM(CD115:CD116))))</f>
        <v>0</v>
      </c>
      <c r="CE117" s="454">
        <f>IF(AND($D$116="Pay Down",$C$116=0),CE115,IF(AND($D$116="Pay Down",CE112&gt;0),MAX(SUM(CE115:CE116)-CE112,0),IF(AND('Inputs and Assumptions'!$L$5="YES", 'Monthly Cash Flow'!CE5='Inputs and Assumptions'!$L$6),MAX(SUM(CE115:CE116)-CE112,0), SUM(CE115:CE116))))</f>
        <v>0</v>
      </c>
      <c r="CF117" s="454">
        <f>IF(AND($D$116="Pay Down",$C$116=0),CF115,IF(AND($D$116="Pay Down",CF112&gt;0),MAX(SUM(CF115:CF116)-CF112,0),IF(AND('Inputs and Assumptions'!$L$5="YES", 'Monthly Cash Flow'!CF5='Inputs and Assumptions'!$L$6),MAX(SUM(CF115:CF116)-CF112,0), SUM(CF115:CF116))))</f>
        <v>0</v>
      </c>
      <c r="CG117" s="454">
        <f>IF(AND($D$116="Pay Down",$C$116=0),CG115,IF(AND($D$116="Pay Down",CG112&gt;0),MAX(SUM(CG115:CG116)-CG112,0),IF(AND('Inputs and Assumptions'!$L$5="YES", 'Monthly Cash Flow'!CG5='Inputs and Assumptions'!$L$6),MAX(SUM(CG115:CG116)-CG112,0), SUM(CG115:CG116))))</f>
        <v>0</v>
      </c>
      <c r="CH117" s="454">
        <f>IF(AND($D$116="Pay Down",$C$116=0),CH115,IF(AND($D$116="Pay Down",CH112&gt;0),MAX(SUM(CH115:CH116)-CH112,0),IF(AND('Inputs and Assumptions'!$L$5="YES", 'Monthly Cash Flow'!CH5='Inputs and Assumptions'!$L$6),MAX(SUM(CH115:CH116)-CH112,0), SUM(CH115:CH116))))</f>
        <v>0</v>
      </c>
      <c r="CI117" s="454">
        <f>IF(AND($D$116="Pay Down",$C$116=0),CI115,IF(AND($D$116="Pay Down",CI112&gt;0),MAX(SUM(CI115:CI116)-CI112,0),IF(AND('Inputs and Assumptions'!$L$5="YES", 'Monthly Cash Flow'!CI5='Inputs and Assumptions'!$L$6),MAX(SUM(CI115:CI116)-CI112,0), SUM(CI115:CI116))))</f>
        <v>0</v>
      </c>
      <c r="CJ117" s="454">
        <f>IF(AND($D$116="Pay Down",$C$116=0),CJ115,IF(AND($D$116="Pay Down",CJ112&gt;0),MAX(SUM(CJ115:CJ116)-CJ112,0),IF(AND('Inputs and Assumptions'!$L$5="YES", 'Monthly Cash Flow'!CJ5='Inputs and Assumptions'!$L$6),MAX(SUM(CJ115:CJ116)-CJ112,0), SUM(CJ115:CJ116))))</f>
        <v>0</v>
      </c>
      <c r="CK117" s="454">
        <f>IF(AND($D$116="Pay Down",$C$116=0),CK115,IF(AND($D$116="Pay Down",CK112&gt;0),MAX(SUM(CK115:CK116)-CK112,0),IF(AND('Inputs and Assumptions'!$L$5="YES", 'Monthly Cash Flow'!CK5='Inputs and Assumptions'!$L$6),MAX(SUM(CK115:CK116)-CK112,0), SUM(CK115:CK116))))</f>
        <v>0</v>
      </c>
      <c r="CL117" s="454">
        <f>IF(AND($D$116="Pay Down",$C$116=0),CL115,IF(AND($D$116="Pay Down",CL112&gt;0),MAX(SUM(CL115:CL116)-CL112,0),IF(AND('Inputs and Assumptions'!$L$5="YES", 'Monthly Cash Flow'!CL5='Inputs and Assumptions'!$L$6),MAX(SUM(CL115:CL116)-CL112,0), SUM(CL115:CL116))))</f>
        <v>0</v>
      </c>
      <c r="CM117" s="454">
        <f>IF(AND($D$116="Pay Down",$C$116=0),CM115,IF(AND($D$116="Pay Down",CM112&gt;0),MAX(SUM(CM115:CM116)-CM112,0),IF(AND('Inputs and Assumptions'!$L$5="YES", 'Monthly Cash Flow'!CM5='Inputs and Assumptions'!$L$6),MAX(SUM(CM115:CM116)-CM112,0), SUM(CM115:CM116))))</f>
        <v>0</v>
      </c>
      <c r="CN117" s="454">
        <f>IF(AND($D$116="Pay Down",$C$116=0),CN115,IF(AND($D$116="Pay Down",CN112&gt;0),MAX(SUM(CN115:CN116)-CN112,0),IF(AND('Inputs and Assumptions'!$L$5="YES", 'Monthly Cash Flow'!CN5='Inputs and Assumptions'!$L$6),MAX(SUM(CN115:CN116)-CN112,0), SUM(CN115:CN116))))</f>
        <v>0</v>
      </c>
      <c r="CO117" s="454">
        <f>IF(AND($D$116="Pay Down",$C$116=0),CO115,IF(AND($D$116="Pay Down",CO112&gt;0),MAX(SUM(CO115:CO116)-CO112,0),IF(AND('Inputs and Assumptions'!$L$5="YES", 'Monthly Cash Flow'!CO5='Inputs and Assumptions'!$L$6),MAX(SUM(CO115:CO116)-CO112,0), SUM(CO115:CO116))))</f>
        <v>0</v>
      </c>
      <c r="CP117" s="454">
        <f>IF(AND($D$116="Pay Down",$C$116=0),CP115,IF(AND($D$116="Pay Down",CP112&gt;0),MAX(SUM(CP115:CP116)-CP112,0),IF(AND('Inputs and Assumptions'!$L$5="YES", 'Monthly Cash Flow'!CP5='Inputs and Assumptions'!$L$6),MAX(SUM(CP115:CP116)-CP112,0), SUM(CP115:CP116))))</f>
        <v>0</v>
      </c>
      <c r="CQ117" s="454">
        <f>IF(AND($D$116="Pay Down",$C$116=0),CQ115,IF(AND($D$116="Pay Down",CQ112&gt;0),MAX(SUM(CQ115:CQ116)-CQ112,0),IF(AND('Inputs and Assumptions'!$L$5="YES", 'Monthly Cash Flow'!CQ5='Inputs and Assumptions'!$L$6),MAX(SUM(CQ115:CQ116)-CQ112,0), SUM(CQ115:CQ116))))</f>
        <v>0</v>
      </c>
      <c r="CR117" s="454">
        <f>IF(AND($D$116="Pay Down",$C$116=0),CR115,IF(AND($D$116="Pay Down",CR112&gt;0),MAX(SUM(CR115:CR116)-CR112,0),IF(AND('Inputs and Assumptions'!$L$5="YES", 'Monthly Cash Flow'!CR5='Inputs and Assumptions'!$L$6),MAX(SUM(CR115:CR116)-CR112,0), SUM(CR115:CR116))))</f>
        <v>0</v>
      </c>
      <c r="CS117" s="454">
        <f>IF(AND($D$116="Pay Down",$C$116=0),CS115,IF(AND($D$116="Pay Down",CS112&gt;0),MAX(SUM(CS115:CS116)-CS112,0),IF(AND('Inputs and Assumptions'!$L$5="YES", 'Monthly Cash Flow'!CS5='Inputs and Assumptions'!$L$6),MAX(SUM(CS115:CS116)-CS112,0), SUM(CS115:CS116))))</f>
        <v>0</v>
      </c>
      <c r="CT117" s="454">
        <f>IF(AND($D$116="Pay Down",$C$116=0),CT115,IF(AND($D$116="Pay Down",CT112&gt;0),MAX(SUM(CT115:CT116)-CT112,0),IF(AND('Inputs and Assumptions'!$L$5="YES", 'Monthly Cash Flow'!CT5='Inputs and Assumptions'!$L$6),MAX(SUM(CT115:CT116)-CT112,0), SUM(CT115:CT116))))</f>
        <v>0</v>
      </c>
      <c r="CU117" s="454">
        <f>IF(AND($D$116="Pay Down",$C$116=0),CU115,IF(AND($D$116="Pay Down",CU112&gt;0),MAX(SUM(CU115:CU116)-CU112,0),IF(AND('Inputs and Assumptions'!$L$5="YES", 'Monthly Cash Flow'!CU5='Inputs and Assumptions'!$L$6),MAX(SUM(CU115:CU116)-CU112,0), SUM(CU115:CU116))))</f>
        <v>0</v>
      </c>
      <c r="CV117" s="454">
        <f>IF(AND($D$116="Pay Down",$C$116=0),CV115,IF(AND($D$116="Pay Down",CV112&gt;0),MAX(SUM(CV115:CV116)-CV112,0),IF(AND('Inputs and Assumptions'!$L$5="YES", 'Monthly Cash Flow'!CV5='Inputs and Assumptions'!$L$6),MAX(SUM(CV115:CV116)-CV112,0), SUM(CV115:CV116))))</f>
        <v>0</v>
      </c>
      <c r="CW117" s="454">
        <f>IF(AND($D$116="Pay Down",$C$116=0),CW115,IF(AND($D$116="Pay Down",CW112&gt;0),MAX(SUM(CW115:CW116)-CW112,0),IF(AND('Inputs and Assumptions'!$L$5="YES", 'Monthly Cash Flow'!CW5='Inputs and Assumptions'!$L$6),MAX(SUM(CW115:CW116)-CW112,0), SUM(CW115:CW116))))</f>
        <v>0</v>
      </c>
      <c r="CX117" s="454">
        <f>IF(AND($D$116="Pay Down",$C$116=0),CX115,IF(AND($D$116="Pay Down",CX112&gt;0),MAX(SUM(CX115:CX116)-CX112,0),IF(AND('Inputs and Assumptions'!$L$5="YES", 'Monthly Cash Flow'!CX5='Inputs and Assumptions'!$L$6),MAX(SUM(CX115:CX116)-CX112,0), SUM(CX115:CX116))))</f>
        <v>0</v>
      </c>
      <c r="CY117" s="454">
        <f>IF(AND($D$116="Pay Down",$C$116=0),CY115,IF(AND($D$116="Pay Down",CY112&gt;0),MAX(SUM(CY115:CY116)-CY112,0),IF(AND('Inputs and Assumptions'!$L$5="YES", 'Monthly Cash Flow'!CY5='Inputs and Assumptions'!$L$6),MAX(SUM(CY115:CY116)-CY112,0), SUM(CY115:CY116))))</f>
        <v>0</v>
      </c>
      <c r="CZ117" s="454">
        <f>IF(AND($D$116="Pay Down",$C$116=0),CZ115,IF(AND($D$116="Pay Down",CZ112&gt;0),MAX(SUM(CZ115:CZ116)-CZ112,0),IF(AND('Inputs and Assumptions'!$L$5="YES", 'Monthly Cash Flow'!CZ5='Inputs and Assumptions'!$L$6),MAX(SUM(CZ115:CZ116)-CZ112,0), SUM(CZ115:CZ116))))</f>
        <v>0</v>
      </c>
      <c r="DA117" s="454">
        <f>IF(AND($D$116="Pay Down",$C$116=0),DA115,IF(AND($D$116="Pay Down",DA112&gt;0),MAX(SUM(DA115:DA116)-DA112,0),IF(AND('Inputs and Assumptions'!$L$5="YES", 'Monthly Cash Flow'!DA5='Inputs and Assumptions'!$L$6),MAX(SUM(DA115:DA116)-DA112,0), SUM(DA115:DA116))))</f>
        <v>0</v>
      </c>
      <c r="DB117" s="454">
        <f>IF(AND($D$116="Pay Down",$C$116=0),DB115,IF(AND($D$116="Pay Down",DB112&gt;0),MAX(SUM(DB115:DB116)-DB112,0),IF(AND('Inputs and Assumptions'!$L$5="YES", 'Monthly Cash Flow'!DB5='Inputs and Assumptions'!$L$6),MAX(SUM(DB115:DB116)-DB112,0), SUM(DB115:DB116))))</f>
        <v>0</v>
      </c>
      <c r="DC117" s="454">
        <f>IF(AND($D$116="Pay Down",$C$116=0),DC115,IF(AND($D$116="Pay Down",DC112&gt;0),MAX(SUM(DC115:DC116)-DC112,0),IF(AND('Inputs and Assumptions'!$L$5="YES", 'Monthly Cash Flow'!DC5='Inputs and Assumptions'!$L$6),MAX(SUM(DC115:DC116)-DC112,0), SUM(DC115:DC116))))</f>
        <v>0</v>
      </c>
      <c r="DD117" s="454">
        <f>IF(AND($D$116="Pay Down",$C$116=0),DD115,IF(AND($D$116="Pay Down",DD112&gt;0),MAX(SUM(DD115:DD116)-DD112,0),IF(AND('Inputs and Assumptions'!$L$5="YES", 'Monthly Cash Flow'!DD5='Inputs and Assumptions'!$L$6),MAX(SUM(DD115:DD116)-DD112,0), SUM(DD115:DD116))))</f>
        <v>0</v>
      </c>
      <c r="DE117" s="454">
        <f>IF(AND($D$116="Pay Down",$C$116=0),DE115,IF(AND($D$116="Pay Down",DE112&gt;0),MAX(SUM(DE115:DE116)-DE112,0),IF(AND('Inputs and Assumptions'!$L$5="YES", 'Monthly Cash Flow'!DE5='Inputs and Assumptions'!$L$6),MAX(SUM(DE115:DE116)-DE112,0), SUM(DE115:DE116))))</f>
        <v>0</v>
      </c>
      <c r="DF117" s="454">
        <f>IF(AND($D$116="Pay Down",$C$116=0),DF115,IF(AND($D$116="Pay Down",DF112&gt;0),MAX(SUM(DF115:DF116)-DF112,0),IF(AND('Inputs and Assumptions'!$L$5="YES", 'Monthly Cash Flow'!DF5='Inputs and Assumptions'!$L$6),MAX(SUM(DF115:DF116)-DF112,0), SUM(DF115:DF116))))</f>
        <v>0</v>
      </c>
      <c r="DG117" s="454">
        <f>IF(AND($D$116="Pay Down",$C$116=0),DG115,IF(AND($D$116="Pay Down",DG112&gt;0),MAX(SUM(DG115:DG116)-DG112,0),IF(AND('Inputs and Assumptions'!$L$5="YES", 'Monthly Cash Flow'!DG5='Inputs and Assumptions'!$L$6),MAX(SUM(DG115:DG116)-DG112,0), SUM(DG115:DG116))))</f>
        <v>0</v>
      </c>
      <c r="DH117" s="454">
        <f>IF(AND($D$116="Pay Down",$C$116=0),DH115,IF(AND($D$116="Pay Down",DH112&gt;0),MAX(SUM(DH115:DH116)-DH112,0),IF(AND('Inputs and Assumptions'!$L$5="YES", 'Monthly Cash Flow'!DH5='Inputs and Assumptions'!$L$6),MAX(SUM(DH115:DH116)-DH112,0), SUM(DH115:DH116))))</f>
        <v>0</v>
      </c>
      <c r="DI117" s="454">
        <f>IF(AND($D$116="Pay Down",$C$116=0),DI115,IF(AND($D$116="Pay Down",DI112&gt;0),MAX(SUM(DI115:DI116)-DI112,0),IF(AND('Inputs and Assumptions'!$L$5="YES", 'Monthly Cash Flow'!DI5='Inputs and Assumptions'!$L$6),MAX(SUM(DI115:DI116)-DI112,0), SUM(DI115:DI116))))</f>
        <v>0</v>
      </c>
      <c r="DJ117" s="454">
        <f>IF(AND($D$116="Pay Down",$C$116=0),DJ115,IF(AND($D$116="Pay Down",DJ112&gt;0),MAX(SUM(DJ115:DJ116)-DJ112,0),IF(AND('Inputs and Assumptions'!$L$5="YES", 'Monthly Cash Flow'!DJ5='Inputs and Assumptions'!$L$6),MAX(SUM(DJ115:DJ116)-DJ112,0), SUM(DJ115:DJ116))))</f>
        <v>0</v>
      </c>
      <c r="DK117" s="454">
        <f>IF(AND($D$116="Pay Down",$C$116=0),DK115,IF(AND($D$116="Pay Down",DK112&gt;0),MAX(SUM(DK115:DK116)-DK112,0),IF(AND('Inputs and Assumptions'!$L$5="YES", 'Monthly Cash Flow'!DK5='Inputs and Assumptions'!$L$6),MAX(SUM(DK115:DK116)-DK112,0), SUM(DK115:DK116))))</f>
        <v>0</v>
      </c>
      <c r="DL117" s="454">
        <f>IF(AND($D$116="Pay Down",$C$116=0),DL115,IF(AND($D$116="Pay Down",DL112&gt;0),MAX(SUM(DL115:DL116)-DL112,0),IF(AND('Inputs and Assumptions'!$L$5="YES", 'Monthly Cash Flow'!DL5='Inputs and Assumptions'!$L$6),MAX(SUM(DL115:DL116)-DL112,0), SUM(DL115:DL116))))</f>
        <v>0</v>
      </c>
      <c r="DM117" s="454">
        <f>IF(AND($D$116="Pay Down",$C$116=0),DM115,IF(AND($D$116="Pay Down",DM112&gt;0),MAX(SUM(DM115:DM116)-DM112,0),IF(AND('Inputs and Assumptions'!$L$5="YES", 'Monthly Cash Flow'!DM5='Inputs and Assumptions'!$L$6),MAX(SUM(DM115:DM116)-DM112,0), SUM(DM115:DM116))))</f>
        <v>0</v>
      </c>
      <c r="DN117" s="454">
        <f>IF(AND($D$116="Pay Down",$C$116=0),DN115,IF(AND($D$116="Pay Down",DN112&gt;0),MAX(SUM(DN115:DN116)-DN112,0),IF(AND('Inputs and Assumptions'!$L$5="YES", 'Monthly Cash Flow'!DN5='Inputs and Assumptions'!$L$6),MAX(SUM(DN115:DN116)-DN112,0), SUM(DN115:DN116))))</f>
        <v>0</v>
      </c>
      <c r="DO117" s="454">
        <f>IF(AND($D$116="Pay Down",$C$116=0),DO115,IF(AND($D$116="Pay Down",DO112&gt;0),MAX(SUM(DO115:DO116)-DO112,0),IF(AND('Inputs and Assumptions'!$L$5="YES", 'Monthly Cash Flow'!DO5='Inputs and Assumptions'!$L$6),MAX(SUM(DO115:DO116)-DO112,0), SUM(DO115:DO116))))</f>
        <v>0</v>
      </c>
      <c r="DP117" s="454">
        <f>IF(AND($D$116="Pay Down",$C$116=0),DP115,IF(AND($D$116="Pay Down",DP112&gt;0),MAX(SUM(DP115:DP116)-DP112,0),IF(AND('Inputs and Assumptions'!$L$5="YES", 'Monthly Cash Flow'!DP5='Inputs and Assumptions'!$L$6),MAX(SUM(DP115:DP116)-DP112,0), SUM(DP115:DP116))))</f>
        <v>0</v>
      </c>
      <c r="DQ117" s="454">
        <f>IF(AND($D$116="Pay Down",$C$116=0),DQ115,IF(AND($D$116="Pay Down",DQ112&gt;0),MAX(SUM(DQ115:DQ116)-DQ112,0),IF(AND('Inputs and Assumptions'!$L$5="YES", 'Monthly Cash Flow'!DQ5='Inputs and Assumptions'!$L$6),MAX(SUM(DQ115:DQ116)-DQ112,0), SUM(DQ115:DQ116))))</f>
        <v>0</v>
      </c>
      <c r="DR117" s="454">
        <f>IF(AND($D$116="Pay Down",$C$116=0),DR115,IF(AND($D$116="Pay Down",DR112&gt;0),MAX(SUM(DR115:DR116)-DR112,0),IF(AND('Inputs and Assumptions'!$L$5="YES", 'Monthly Cash Flow'!DR5='Inputs and Assumptions'!$L$6),MAX(SUM(DR115:DR116)-DR112,0), SUM(DR115:DR116))))</f>
        <v>0</v>
      </c>
      <c r="DS117" s="454">
        <f>IF(AND($D$116="Pay Down",$C$116=0),DS115,IF(AND($D$116="Pay Down",DS112&gt;0),MAX(SUM(DS115:DS116)-DS112,0),IF(AND('Inputs and Assumptions'!$L$5="YES", 'Monthly Cash Flow'!DS5='Inputs and Assumptions'!$L$6),MAX(SUM(DS115:DS116)-DS112,0), SUM(DS115:DS116))))</f>
        <v>0</v>
      </c>
      <c r="DT117" s="454">
        <f>IF(AND($D$116="Pay Down",$C$116=0),DT115,IF(AND($D$116="Pay Down",DT112&gt;0),MAX(SUM(DT115:DT116)-DT112,0),IF(AND('Inputs and Assumptions'!$L$5="YES", 'Monthly Cash Flow'!DT5='Inputs and Assumptions'!$L$6),MAX(SUM(DT115:DT116)-DT112,0), SUM(DT115:DT116))))</f>
        <v>0</v>
      </c>
      <c r="DU117" s="446" t="s">
        <v>557</v>
      </c>
    </row>
    <row r="118" spans="2:125" ht="19">
      <c r="D118" s="437"/>
      <c r="E118" s="438"/>
      <c r="F118" s="438"/>
      <c r="G118" s="438"/>
      <c r="H118" s="438"/>
      <c r="I118" s="438"/>
      <c r="J118" s="438"/>
      <c r="K118" s="438"/>
      <c r="L118" s="438"/>
      <c r="M118" s="438"/>
      <c r="N118" s="438"/>
      <c r="O118" s="438"/>
      <c r="P118" s="438"/>
      <c r="Q118" s="438"/>
      <c r="R118" s="438"/>
      <c r="S118" s="438"/>
      <c r="T118" s="438"/>
      <c r="U118" s="438"/>
      <c r="V118" s="438"/>
      <c r="W118" s="438"/>
      <c r="X118" s="438"/>
      <c r="Y118" s="438"/>
      <c r="Z118" s="438"/>
      <c r="AA118" s="438"/>
      <c r="AB118" s="438"/>
      <c r="AC118" s="438"/>
      <c r="AD118" s="438"/>
      <c r="AE118" s="438"/>
      <c r="AF118" s="438"/>
      <c r="AG118" s="438"/>
      <c r="AH118" s="438"/>
      <c r="AI118" s="438"/>
      <c r="AJ118" s="438"/>
      <c r="AK118" s="438"/>
      <c r="AL118" s="438"/>
      <c r="AM118" s="438"/>
      <c r="AN118" s="438"/>
      <c r="AO118" s="438"/>
      <c r="AP118" s="438"/>
      <c r="AQ118" s="438"/>
      <c r="AR118" s="438"/>
      <c r="AS118" s="438"/>
      <c r="AT118" s="438"/>
      <c r="AU118" s="438"/>
      <c r="AV118" s="438"/>
      <c r="AW118" s="438"/>
      <c r="AX118" s="438"/>
      <c r="AY118" s="438"/>
      <c r="AZ118" s="438"/>
      <c r="BA118" s="438"/>
      <c r="BB118" s="438"/>
      <c r="BC118" s="438"/>
      <c r="BD118" s="438"/>
      <c r="BE118" s="438"/>
      <c r="BF118" s="438"/>
      <c r="BG118" s="438"/>
      <c r="BH118" s="438"/>
      <c r="BI118" s="438"/>
      <c r="BJ118" s="438"/>
      <c r="BK118" s="438"/>
      <c r="BL118" s="438"/>
      <c r="BM118" s="438"/>
      <c r="BN118" s="438"/>
      <c r="BO118" s="438"/>
      <c r="BP118" s="438"/>
      <c r="BQ118" s="438"/>
      <c r="BR118" s="438"/>
      <c r="BS118" s="438"/>
      <c r="BT118" s="438"/>
      <c r="BU118" s="438"/>
      <c r="BV118" s="438"/>
      <c r="BW118" s="438"/>
      <c r="BX118" s="438"/>
      <c r="BY118" s="438"/>
      <c r="BZ118" s="438"/>
      <c r="CA118" s="438"/>
      <c r="CB118" s="438"/>
      <c r="CC118" s="438"/>
      <c r="CD118" s="438"/>
      <c r="CE118" s="438"/>
      <c r="CF118" s="438"/>
      <c r="CG118" s="438"/>
      <c r="CH118" s="438"/>
      <c r="CI118" s="438"/>
      <c r="CJ118" s="438"/>
      <c r="CK118" s="438"/>
      <c r="CL118" s="438"/>
      <c r="CM118" s="438"/>
      <c r="CN118" s="438"/>
      <c r="CO118" s="438"/>
      <c r="CP118" s="438"/>
      <c r="CQ118" s="438"/>
      <c r="CR118" s="438"/>
      <c r="CS118" s="438"/>
      <c r="CT118" s="438"/>
      <c r="CU118" s="438"/>
      <c r="CV118" s="438"/>
      <c r="CW118" s="438"/>
      <c r="CX118" s="438"/>
      <c r="CY118" s="438"/>
      <c r="CZ118" s="438"/>
      <c r="DA118" s="438"/>
      <c r="DB118" s="438"/>
      <c r="DC118" s="438"/>
      <c r="DD118" s="438"/>
      <c r="DE118" s="438"/>
      <c r="DF118" s="438"/>
      <c r="DG118" s="438"/>
      <c r="DH118" s="438"/>
      <c r="DI118" s="438"/>
      <c r="DJ118" s="438"/>
      <c r="DK118" s="438"/>
      <c r="DL118" s="438"/>
      <c r="DM118" s="438"/>
      <c r="DN118" s="438"/>
      <c r="DO118" s="438"/>
      <c r="DP118" s="438"/>
      <c r="DQ118" s="438"/>
      <c r="DR118" s="438"/>
      <c r="DS118" s="438"/>
      <c r="DT118" s="438"/>
      <c r="DU118" s="446" t="s">
        <v>557</v>
      </c>
    </row>
    <row r="119" spans="2:125" ht="19">
      <c r="B119" s="197" t="s">
        <v>1100</v>
      </c>
      <c r="D119" s="437"/>
      <c r="E119" s="438"/>
      <c r="F119" s="438"/>
      <c r="G119" s="438"/>
      <c r="H119" s="438"/>
      <c r="I119" s="438"/>
      <c r="J119" s="438"/>
      <c r="K119" s="438"/>
      <c r="L119" s="438"/>
      <c r="M119" s="438"/>
      <c r="N119" s="438"/>
      <c r="O119" s="438"/>
      <c r="P119" s="438"/>
      <c r="Q119" s="438"/>
      <c r="R119" s="438"/>
      <c r="S119" s="438"/>
      <c r="T119" s="438"/>
      <c r="U119" s="438"/>
      <c r="V119" s="438"/>
      <c r="W119" s="438"/>
      <c r="X119" s="438"/>
      <c r="Y119" s="438"/>
      <c r="Z119" s="438"/>
      <c r="AA119" s="438"/>
      <c r="AB119" s="438"/>
      <c r="AC119" s="438"/>
      <c r="AD119" s="438"/>
      <c r="AE119" s="438"/>
      <c r="AF119" s="438"/>
      <c r="AG119" s="438"/>
      <c r="AH119" s="438"/>
      <c r="AI119" s="438"/>
      <c r="AJ119" s="438"/>
      <c r="AK119" s="438"/>
      <c r="AL119" s="438"/>
      <c r="AM119" s="438"/>
      <c r="AN119" s="438"/>
      <c r="AO119" s="438"/>
      <c r="AP119" s="438"/>
      <c r="AQ119" s="438"/>
      <c r="AR119" s="438"/>
      <c r="AS119" s="438"/>
      <c r="AT119" s="438"/>
      <c r="AU119" s="438"/>
      <c r="AV119" s="438"/>
      <c r="AW119" s="438"/>
      <c r="AX119" s="438"/>
      <c r="AY119" s="438"/>
      <c r="AZ119" s="438"/>
      <c r="BA119" s="438"/>
      <c r="BB119" s="438"/>
      <c r="BC119" s="438"/>
      <c r="BD119" s="438"/>
      <c r="BE119" s="438"/>
      <c r="BF119" s="438"/>
      <c r="BG119" s="438"/>
      <c r="BH119" s="438"/>
      <c r="BI119" s="438"/>
      <c r="BJ119" s="438"/>
      <c r="BK119" s="438"/>
      <c r="BL119" s="438"/>
      <c r="BM119" s="438"/>
      <c r="BN119" s="438"/>
      <c r="BO119" s="438"/>
      <c r="BP119" s="438"/>
      <c r="BQ119" s="438"/>
      <c r="BR119" s="438"/>
      <c r="BS119" s="438"/>
      <c r="BT119" s="438"/>
      <c r="BU119" s="438"/>
      <c r="BV119" s="438"/>
      <c r="BW119" s="438"/>
      <c r="BX119" s="438"/>
      <c r="BY119" s="438"/>
      <c r="BZ119" s="438"/>
      <c r="CA119" s="438"/>
      <c r="CB119" s="438"/>
      <c r="CC119" s="438"/>
      <c r="CD119" s="438"/>
      <c r="CE119" s="438"/>
      <c r="CF119" s="438"/>
      <c r="CG119" s="438"/>
      <c r="CH119" s="438"/>
      <c r="CI119" s="438"/>
      <c r="CJ119" s="438"/>
      <c r="CK119" s="438"/>
      <c r="CL119" s="438"/>
      <c r="CM119" s="438"/>
      <c r="CN119" s="438"/>
      <c r="CO119" s="438"/>
      <c r="CP119" s="438"/>
      <c r="CQ119" s="438"/>
      <c r="CR119" s="438"/>
      <c r="CS119" s="438"/>
      <c r="CT119" s="438"/>
      <c r="CU119" s="438"/>
      <c r="CV119" s="438"/>
      <c r="CW119" s="438"/>
      <c r="CX119" s="438"/>
      <c r="CY119" s="438"/>
      <c r="CZ119" s="438"/>
      <c r="DA119" s="438"/>
      <c r="DB119" s="438"/>
      <c r="DC119" s="438"/>
      <c r="DD119" s="438"/>
      <c r="DE119" s="438"/>
      <c r="DF119" s="438"/>
      <c r="DG119" s="438"/>
      <c r="DH119" s="438"/>
      <c r="DI119" s="438"/>
      <c r="DJ119" s="438"/>
      <c r="DK119" s="438"/>
      <c r="DL119" s="438"/>
      <c r="DM119" s="438"/>
      <c r="DN119" s="438"/>
      <c r="DO119" s="438"/>
      <c r="DP119" s="438"/>
      <c r="DQ119" s="438"/>
      <c r="DR119" s="438"/>
      <c r="DS119" s="438"/>
      <c r="DT119" s="438"/>
      <c r="DU119" s="439" t="s">
        <v>557</v>
      </c>
    </row>
    <row r="120" spans="2:125" ht="19">
      <c r="B120" s="203" t="s">
        <v>1101</v>
      </c>
      <c r="D120" s="437"/>
      <c r="E120" s="438">
        <f>IF(E5='Inputs and Assumptions'!$P$6, 'Inputs and Assumptions'!$P$16, 0)</f>
        <v>0</v>
      </c>
      <c r="F120" s="438">
        <f>IF(F5='Inputs and Assumptions'!$P$6, 'Inputs and Assumptions'!$P$16, 0)</f>
        <v>0</v>
      </c>
      <c r="G120" s="438">
        <f>IF(G5='Inputs and Assumptions'!$P$6, 'Inputs and Assumptions'!$P$16, 0)</f>
        <v>0</v>
      </c>
      <c r="H120" s="438">
        <f>IF(H5='Inputs and Assumptions'!$P$6, 'Inputs and Assumptions'!$P$16, 0)</f>
        <v>0</v>
      </c>
      <c r="I120" s="438">
        <f>IF(I5='Inputs and Assumptions'!$P$6, 'Inputs and Assumptions'!$P$16, 0)</f>
        <v>0</v>
      </c>
      <c r="J120" s="438">
        <f>IF(J5='Inputs and Assumptions'!$P$6, 'Inputs and Assumptions'!$P$16, 0)</f>
        <v>0</v>
      </c>
      <c r="K120" s="438">
        <f>IF(K5='Inputs and Assumptions'!$P$6, 'Inputs and Assumptions'!$P$16, 0)</f>
        <v>0</v>
      </c>
      <c r="L120" s="438">
        <f>IF(L5='Inputs and Assumptions'!$P$6, 'Inputs and Assumptions'!$P$16, 0)</f>
        <v>0</v>
      </c>
      <c r="M120" s="438">
        <f>IF(M5='Inputs and Assumptions'!$P$6, 'Inputs and Assumptions'!$P$16, 0)</f>
        <v>0</v>
      </c>
      <c r="N120" s="438">
        <f>IF(N5='Inputs and Assumptions'!$P$6, 'Inputs and Assumptions'!$P$16, 0)</f>
        <v>0</v>
      </c>
      <c r="O120" s="438">
        <f>IF(O5='Inputs and Assumptions'!$P$6, 'Inputs and Assumptions'!$P$16, 0)</f>
        <v>0</v>
      </c>
      <c r="P120" s="438">
        <f>IF(P5='Inputs and Assumptions'!$P$6, 'Inputs and Assumptions'!$P$16, 0)</f>
        <v>0</v>
      </c>
      <c r="Q120" s="438">
        <f>IF(Q5='Inputs and Assumptions'!$P$6, 'Inputs and Assumptions'!$P$16, 0)</f>
        <v>0</v>
      </c>
      <c r="R120" s="438">
        <f>IF(R5='Inputs and Assumptions'!$P$6, 'Inputs and Assumptions'!$P$16, 0)</f>
        <v>0</v>
      </c>
      <c r="S120" s="438">
        <f>IF(S5='Inputs and Assumptions'!$P$6, 'Inputs and Assumptions'!$P$16, 0)</f>
        <v>0</v>
      </c>
      <c r="T120" s="438">
        <f>IF(T5='Inputs and Assumptions'!$P$6, 'Inputs and Assumptions'!$P$16, 0)</f>
        <v>0</v>
      </c>
      <c r="U120" s="438">
        <f>IF(U5='Inputs and Assumptions'!$P$6, 'Inputs and Assumptions'!$P$16, 0)</f>
        <v>0</v>
      </c>
      <c r="V120" s="438">
        <f>IF(V5='Inputs and Assumptions'!$P$6, 'Inputs and Assumptions'!$P$16, 0)</f>
        <v>0</v>
      </c>
      <c r="W120" s="438">
        <f>IF(W5='Inputs and Assumptions'!$P$6, 'Inputs and Assumptions'!$P$16, 0)</f>
        <v>0</v>
      </c>
      <c r="X120" s="438">
        <f>IF(X5='Inputs and Assumptions'!$P$6, 'Inputs and Assumptions'!$P$16, 0)</f>
        <v>0</v>
      </c>
      <c r="Y120" s="438">
        <f>IF(Y5='Inputs and Assumptions'!$P$6, 'Inputs and Assumptions'!$P$16, 0)</f>
        <v>0</v>
      </c>
      <c r="Z120" s="438">
        <f>IF(Z5='Inputs and Assumptions'!$P$6, 'Inputs and Assumptions'!$P$16, 0)</f>
        <v>0</v>
      </c>
      <c r="AA120" s="438">
        <f>IF(AA5='Inputs and Assumptions'!$P$6, 'Inputs and Assumptions'!$P$16, 0)</f>
        <v>0</v>
      </c>
      <c r="AB120" s="438">
        <f>IF(AB5='Inputs and Assumptions'!$P$6, 'Inputs and Assumptions'!$P$16, 0)</f>
        <v>0</v>
      </c>
      <c r="AC120" s="438">
        <f>IF(AC5='Inputs and Assumptions'!$P$6, 'Inputs and Assumptions'!$P$16, 0)</f>
        <v>0</v>
      </c>
      <c r="AD120" s="438">
        <f>IF(AD5='Inputs and Assumptions'!$P$6, 'Inputs and Assumptions'!$P$16, 0)</f>
        <v>0</v>
      </c>
      <c r="AE120" s="438">
        <f>IF(AE5='Inputs and Assumptions'!$P$6, 'Inputs and Assumptions'!$P$16, 0)</f>
        <v>0</v>
      </c>
      <c r="AF120" s="438">
        <f>IF(AF5='Inputs and Assumptions'!$P$6, 'Inputs and Assumptions'!$P$16, 0)</f>
        <v>0</v>
      </c>
      <c r="AG120" s="438">
        <f>IF(AG5='Inputs and Assumptions'!$P$6, 'Inputs and Assumptions'!$P$16, 0)</f>
        <v>0</v>
      </c>
      <c r="AH120" s="438">
        <f>IF(AH5='Inputs and Assumptions'!$P$6, 'Inputs and Assumptions'!$P$16, 0)</f>
        <v>0</v>
      </c>
      <c r="AI120" s="438">
        <f>IF(AI5='Inputs and Assumptions'!$P$6, 'Inputs and Assumptions'!$P$16, 0)</f>
        <v>0</v>
      </c>
      <c r="AJ120" s="438">
        <f>IF(AJ5='Inputs and Assumptions'!$P$6, 'Inputs and Assumptions'!$P$16, 0)</f>
        <v>0</v>
      </c>
      <c r="AK120" s="438">
        <f>IF(AK5='Inputs and Assumptions'!$P$6, 'Inputs and Assumptions'!$P$16, 0)</f>
        <v>0</v>
      </c>
      <c r="AL120" s="438">
        <f>IF(AL5='Inputs and Assumptions'!$P$6, 'Inputs and Assumptions'!$P$16, 0)</f>
        <v>0</v>
      </c>
      <c r="AM120" s="438">
        <f>IF(AM5='Inputs and Assumptions'!$P$6, 'Inputs and Assumptions'!$P$16, 0)</f>
        <v>0</v>
      </c>
      <c r="AN120" s="438">
        <f>IF(AN5='Inputs and Assumptions'!$P$6, 'Inputs and Assumptions'!$P$16, 0)</f>
        <v>0</v>
      </c>
      <c r="AO120" s="438">
        <f>IF(AO5='Inputs and Assumptions'!$P$6, 'Inputs and Assumptions'!$P$16, 0)</f>
        <v>0</v>
      </c>
      <c r="AP120" s="438">
        <f>IF(AP5='Inputs and Assumptions'!$P$6, 'Inputs and Assumptions'!$P$16, 0)</f>
        <v>0</v>
      </c>
      <c r="AQ120" s="438">
        <f>IF(AQ5='Inputs and Assumptions'!$P$6, 'Inputs and Assumptions'!$P$16, 0)</f>
        <v>0</v>
      </c>
      <c r="AR120" s="438">
        <f>IF(AR5='Inputs and Assumptions'!$P$6, 'Inputs and Assumptions'!$P$16, 0)</f>
        <v>0</v>
      </c>
      <c r="AS120" s="438">
        <f>IF(AS5='Inputs and Assumptions'!$P$6, 'Inputs and Assumptions'!$P$16, 0)</f>
        <v>0</v>
      </c>
      <c r="AT120" s="438">
        <f>IF(AT5='Inputs and Assumptions'!$P$6, 'Inputs and Assumptions'!$P$16, 0)</f>
        <v>0</v>
      </c>
      <c r="AU120" s="438">
        <f>IF(AU5='Inputs and Assumptions'!$P$6, 'Inputs and Assumptions'!$P$16, 0)</f>
        <v>0</v>
      </c>
      <c r="AV120" s="438">
        <f>IF(AV5='Inputs and Assumptions'!$P$6, 'Inputs and Assumptions'!$P$16, 0)</f>
        <v>0</v>
      </c>
      <c r="AW120" s="438">
        <f>IF(AW5='Inputs and Assumptions'!$P$6, 'Inputs and Assumptions'!$P$16, 0)</f>
        <v>0</v>
      </c>
      <c r="AX120" s="438">
        <f>IF(AX5='Inputs and Assumptions'!$P$6, 'Inputs and Assumptions'!$P$16, 0)</f>
        <v>0</v>
      </c>
      <c r="AY120" s="438">
        <f>IF(AY5='Inputs and Assumptions'!$P$6, 'Inputs and Assumptions'!$P$16, 0)</f>
        <v>0</v>
      </c>
      <c r="AZ120" s="438">
        <f>IF(AZ5='Inputs and Assumptions'!$P$6, 'Inputs and Assumptions'!$P$16, 0)</f>
        <v>29220677.63086725</v>
      </c>
      <c r="BA120" s="438">
        <f>IF(BA5='Inputs and Assumptions'!$P$6, 'Inputs and Assumptions'!$P$16, 0)</f>
        <v>0</v>
      </c>
      <c r="BB120" s="438">
        <f>IF(BB5='Inputs and Assumptions'!$P$6, 'Inputs and Assumptions'!$P$16, 0)</f>
        <v>0</v>
      </c>
      <c r="BC120" s="438">
        <f>IF(BC5='Inputs and Assumptions'!$P$6, 'Inputs and Assumptions'!$P$16, 0)</f>
        <v>0</v>
      </c>
      <c r="BD120" s="438">
        <f>IF(BD5='Inputs and Assumptions'!$P$6, 'Inputs and Assumptions'!$P$16, 0)</f>
        <v>0</v>
      </c>
      <c r="BE120" s="438">
        <f>IF(BE5='Inputs and Assumptions'!$P$6, 'Inputs and Assumptions'!$P$16, 0)</f>
        <v>0</v>
      </c>
      <c r="BF120" s="438">
        <f>IF(BF5='Inputs and Assumptions'!$P$6, 'Inputs and Assumptions'!$P$16, 0)</f>
        <v>0</v>
      </c>
      <c r="BG120" s="438">
        <f>IF(BG5='Inputs and Assumptions'!$P$6, 'Inputs and Assumptions'!$P$16, 0)</f>
        <v>0</v>
      </c>
      <c r="BH120" s="438">
        <f>IF(BH5='Inputs and Assumptions'!$P$6, 'Inputs and Assumptions'!$P$16, 0)</f>
        <v>0</v>
      </c>
      <c r="BI120" s="438">
        <f>IF(BI5='Inputs and Assumptions'!$P$6, 'Inputs and Assumptions'!$P$16, 0)</f>
        <v>0</v>
      </c>
      <c r="BJ120" s="438">
        <f>IF(BJ5='Inputs and Assumptions'!$P$6, 'Inputs and Assumptions'!$P$16, 0)</f>
        <v>0</v>
      </c>
      <c r="BK120" s="438">
        <f>IF(BK5='Inputs and Assumptions'!$P$6, 'Inputs and Assumptions'!$P$16, 0)</f>
        <v>0</v>
      </c>
      <c r="BL120" s="438">
        <f>IF(BL5='Inputs and Assumptions'!$P$6, 'Inputs and Assumptions'!$P$16, 0)</f>
        <v>0</v>
      </c>
      <c r="BM120" s="438">
        <f>IF(BM5='Inputs and Assumptions'!$P$6, 'Inputs and Assumptions'!$P$16, 0)</f>
        <v>0</v>
      </c>
      <c r="BN120" s="438">
        <f>IF(BN5='Inputs and Assumptions'!$P$6, 'Inputs and Assumptions'!$P$16, 0)</f>
        <v>0</v>
      </c>
      <c r="BO120" s="438">
        <f>IF(BO5='Inputs and Assumptions'!$P$6, 'Inputs and Assumptions'!$P$16, 0)</f>
        <v>0</v>
      </c>
      <c r="BP120" s="438">
        <f>IF(BP5='Inputs and Assumptions'!$P$6, 'Inputs and Assumptions'!$P$16, 0)</f>
        <v>0</v>
      </c>
      <c r="BQ120" s="438">
        <f>IF(BQ5='Inputs and Assumptions'!$P$6, 'Inputs and Assumptions'!$P$16, 0)</f>
        <v>0</v>
      </c>
      <c r="BR120" s="438">
        <f>IF(BR5='Inputs and Assumptions'!$P$6, 'Inputs and Assumptions'!$P$16, 0)</f>
        <v>0</v>
      </c>
      <c r="BS120" s="438">
        <f>IF(BS5='Inputs and Assumptions'!$P$6, 'Inputs and Assumptions'!$P$16, 0)</f>
        <v>0</v>
      </c>
      <c r="BT120" s="438">
        <f>IF(BT5='Inputs and Assumptions'!$P$6, 'Inputs and Assumptions'!$P$16, 0)</f>
        <v>0</v>
      </c>
      <c r="BU120" s="438">
        <f>IF(BU5='Inputs and Assumptions'!$P$6, 'Inputs and Assumptions'!$P$16, 0)</f>
        <v>0</v>
      </c>
      <c r="BV120" s="438">
        <f>IF(BV5='Inputs and Assumptions'!$P$6, 'Inputs and Assumptions'!$P$16, 0)</f>
        <v>0</v>
      </c>
      <c r="BW120" s="438">
        <f>IF(BW5='Inputs and Assumptions'!$P$6, 'Inputs and Assumptions'!$P$16, 0)</f>
        <v>0</v>
      </c>
      <c r="BX120" s="438">
        <f>IF(BX5='Inputs and Assumptions'!$P$6, 'Inputs and Assumptions'!$P$16, 0)</f>
        <v>0</v>
      </c>
      <c r="BY120" s="438">
        <f>IF(BY5='Inputs and Assumptions'!$P$6, 'Inputs and Assumptions'!$P$16, 0)</f>
        <v>0</v>
      </c>
      <c r="BZ120" s="438">
        <f>IF(BZ5='Inputs and Assumptions'!$P$6, 'Inputs and Assumptions'!$P$16, 0)</f>
        <v>0</v>
      </c>
      <c r="CA120" s="438">
        <f>IF(CA5='Inputs and Assumptions'!$P$6, 'Inputs and Assumptions'!$P$16, 0)</f>
        <v>0</v>
      </c>
      <c r="CB120" s="438">
        <f>IF(CB5='Inputs and Assumptions'!$P$6, 'Inputs and Assumptions'!$P$16, 0)</f>
        <v>0</v>
      </c>
      <c r="CC120" s="438">
        <f>IF(CC5='Inputs and Assumptions'!$P$6, 'Inputs and Assumptions'!$P$16, 0)</f>
        <v>0</v>
      </c>
      <c r="CD120" s="438">
        <f>IF(CD5='Inputs and Assumptions'!$P$6, 'Inputs and Assumptions'!$P$16, 0)</f>
        <v>0</v>
      </c>
      <c r="CE120" s="438">
        <f>IF(CE5='Inputs and Assumptions'!$P$6, 'Inputs and Assumptions'!$P$16, 0)</f>
        <v>0</v>
      </c>
      <c r="CF120" s="438">
        <f>IF(CF5='Inputs and Assumptions'!$P$6, 'Inputs and Assumptions'!$P$16, 0)</f>
        <v>0</v>
      </c>
      <c r="CG120" s="438">
        <f>IF(CG5='Inputs and Assumptions'!$P$6, 'Inputs and Assumptions'!$P$16, 0)</f>
        <v>0</v>
      </c>
      <c r="CH120" s="438">
        <f>IF(CH5='Inputs and Assumptions'!$P$6, 'Inputs and Assumptions'!$P$16, 0)</f>
        <v>0</v>
      </c>
      <c r="CI120" s="438">
        <f>IF(CI5='Inputs and Assumptions'!$P$6, 'Inputs and Assumptions'!$P$16, 0)</f>
        <v>0</v>
      </c>
      <c r="CJ120" s="438">
        <f>IF(CJ5='Inputs and Assumptions'!$P$6, 'Inputs and Assumptions'!$P$16, 0)</f>
        <v>0</v>
      </c>
      <c r="CK120" s="438">
        <f>IF(CK5='Inputs and Assumptions'!$P$6, 'Inputs and Assumptions'!$P$16, 0)</f>
        <v>0</v>
      </c>
      <c r="CL120" s="438">
        <f>IF(CL5='Inputs and Assumptions'!$P$6, 'Inputs and Assumptions'!$P$16, 0)</f>
        <v>0</v>
      </c>
      <c r="CM120" s="438">
        <f>IF(CM5='Inputs and Assumptions'!$P$6, 'Inputs and Assumptions'!$P$16, 0)</f>
        <v>0</v>
      </c>
      <c r="CN120" s="438">
        <f>IF(CN5='Inputs and Assumptions'!$P$6, 'Inputs and Assumptions'!$P$16, 0)</f>
        <v>0</v>
      </c>
      <c r="CO120" s="438">
        <f>IF(CO5='Inputs and Assumptions'!$P$6, 'Inputs and Assumptions'!$P$16, 0)</f>
        <v>0</v>
      </c>
      <c r="CP120" s="438">
        <f>IF(CP5='Inputs and Assumptions'!$P$6, 'Inputs and Assumptions'!$P$16, 0)</f>
        <v>0</v>
      </c>
      <c r="CQ120" s="438">
        <f>IF(CQ5='Inputs and Assumptions'!$P$6, 'Inputs and Assumptions'!$P$16, 0)</f>
        <v>0</v>
      </c>
      <c r="CR120" s="438">
        <f>IF(CR5='Inputs and Assumptions'!$P$6, 'Inputs and Assumptions'!$P$16, 0)</f>
        <v>0</v>
      </c>
      <c r="CS120" s="438">
        <f>IF(CS5='Inputs and Assumptions'!$P$6, 'Inputs and Assumptions'!$P$16, 0)</f>
        <v>0</v>
      </c>
      <c r="CT120" s="438">
        <f>IF(CT5='Inputs and Assumptions'!$P$6, 'Inputs and Assumptions'!$P$16, 0)</f>
        <v>0</v>
      </c>
      <c r="CU120" s="438">
        <f>IF(CU5='Inputs and Assumptions'!$P$6, 'Inputs and Assumptions'!$P$16, 0)</f>
        <v>0</v>
      </c>
      <c r="CV120" s="438">
        <f>IF(CV5='Inputs and Assumptions'!$P$6, 'Inputs and Assumptions'!$P$16, 0)</f>
        <v>0</v>
      </c>
      <c r="CW120" s="438">
        <f>IF(CW5='Inputs and Assumptions'!$P$6, 'Inputs and Assumptions'!$P$16, 0)</f>
        <v>0</v>
      </c>
      <c r="CX120" s="438">
        <f>IF(CX5='Inputs and Assumptions'!$P$6, 'Inputs and Assumptions'!$P$16, 0)</f>
        <v>0</v>
      </c>
      <c r="CY120" s="438">
        <f>IF(CY5='Inputs and Assumptions'!$P$6, 'Inputs and Assumptions'!$P$16, 0)</f>
        <v>0</v>
      </c>
      <c r="CZ120" s="438">
        <f>IF(CZ5='Inputs and Assumptions'!$P$6, 'Inputs and Assumptions'!$P$16, 0)</f>
        <v>0</v>
      </c>
      <c r="DA120" s="438">
        <f>IF(DA5='Inputs and Assumptions'!$P$6, 'Inputs and Assumptions'!$P$16, 0)</f>
        <v>0</v>
      </c>
      <c r="DB120" s="438">
        <f>IF(DB5='Inputs and Assumptions'!$P$6, 'Inputs and Assumptions'!$P$16, 0)</f>
        <v>0</v>
      </c>
      <c r="DC120" s="438">
        <f>IF(DC5='Inputs and Assumptions'!$P$6, 'Inputs and Assumptions'!$P$16, 0)</f>
        <v>0</v>
      </c>
      <c r="DD120" s="438">
        <f>IF(DD5='Inputs and Assumptions'!$P$6, 'Inputs and Assumptions'!$P$16, 0)</f>
        <v>0</v>
      </c>
      <c r="DE120" s="438">
        <f>IF(DE5='Inputs and Assumptions'!$P$6, 'Inputs and Assumptions'!$P$16, 0)</f>
        <v>0</v>
      </c>
      <c r="DF120" s="438">
        <f>IF(DF5='Inputs and Assumptions'!$P$6, 'Inputs and Assumptions'!$P$16, 0)</f>
        <v>0</v>
      </c>
      <c r="DG120" s="438">
        <f>IF(DG5='Inputs and Assumptions'!$P$6, 'Inputs and Assumptions'!$P$16, 0)</f>
        <v>0</v>
      </c>
      <c r="DH120" s="438">
        <f>IF(DH5='Inputs and Assumptions'!$P$6, 'Inputs and Assumptions'!$P$16, 0)</f>
        <v>0</v>
      </c>
      <c r="DI120" s="438">
        <f>IF(DI5='Inputs and Assumptions'!$P$6, 'Inputs and Assumptions'!$P$16, 0)</f>
        <v>0</v>
      </c>
      <c r="DJ120" s="438">
        <f>IF(DJ5='Inputs and Assumptions'!$P$6, 'Inputs and Assumptions'!$P$16, 0)</f>
        <v>0</v>
      </c>
      <c r="DK120" s="438">
        <f>IF(DK5='Inputs and Assumptions'!$P$6, 'Inputs and Assumptions'!$P$16, 0)</f>
        <v>0</v>
      </c>
      <c r="DL120" s="438">
        <f>IF(DL5='Inputs and Assumptions'!$P$6, 'Inputs and Assumptions'!$P$16, 0)</f>
        <v>0</v>
      </c>
      <c r="DM120" s="438">
        <f>IF(DM5='Inputs and Assumptions'!$P$6, 'Inputs and Assumptions'!$P$16, 0)</f>
        <v>0</v>
      </c>
      <c r="DN120" s="438">
        <f>IF(DN5='Inputs and Assumptions'!$P$6, 'Inputs and Assumptions'!$P$16, 0)</f>
        <v>0</v>
      </c>
      <c r="DO120" s="438">
        <f>IF(DO5='Inputs and Assumptions'!$P$6, 'Inputs and Assumptions'!$P$16, 0)</f>
        <v>0</v>
      </c>
      <c r="DP120" s="438">
        <f>IF(DP5='Inputs and Assumptions'!$P$6, 'Inputs and Assumptions'!$P$16, 0)</f>
        <v>0</v>
      </c>
      <c r="DQ120" s="438">
        <f>IF(DQ5='Inputs and Assumptions'!$P$6, 'Inputs and Assumptions'!$P$16, 0)</f>
        <v>0</v>
      </c>
      <c r="DR120" s="438">
        <f>IF(DR5='Inputs and Assumptions'!$P$6, 'Inputs and Assumptions'!$P$16, 0)</f>
        <v>0</v>
      </c>
      <c r="DS120" s="438">
        <f>IF(DS5='Inputs and Assumptions'!$P$6, 'Inputs and Assumptions'!$P$16, 0)</f>
        <v>0</v>
      </c>
      <c r="DT120" s="438">
        <f>IF(DT5='Inputs and Assumptions'!$P$6, 'Inputs and Assumptions'!$P$16, 0)</f>
        <v>0</v>
      </c>
      <c r="DU120" s="439" t="s">
        <v>557</v>
      </c>
    </row>
    <row r="121" spans="2:125" ht="19">
      <c r="B121" s="203"/>
      <c r="D121" s="437"/>
      <c r="E121" s="438"/>
      <c r="F121" s="438"/>
      <c r="G121" s="438"/>
      <c r="H121" s="438"/>
      <c r="I121" s="438"/>
      <c r="J121" s="438"/>
      <c r="K121" s="438"/>
      <c r="L121" s="438"/>
      <c r="M121" s="438"/>
      <c r="N121" s="438"/>
      <c r="O121" s="438"/>
      <c r="P121" s="438"/>
      <c r="Q121" s="438"/>
      <c r="R121" s="438"/>
      <c r="S121" s="438"/>
      <c r="T121" s="438"/>
      <c r="U121" s="438"/>
      <c r="V121" s="438"/>
      <c r="W121" s="438"/>
      <c r="X121" s="438"/>
      <c r="Y121" s="438"/>
      <c r="Z121" s="438"/>
      <c r="AA121" s="438"/>
      <c r="AB121" s="438"/>
      <c r="AC121" s="438"/>
      <c r="AD121" s="438"/>
      <c r="AE121" s="438"/>
      <c r="AF121" s="438"/>
      <c r="AG121" s="438"/>
      <c r="AH121" s="438"/>
      <c r="AI121" s="438"/>
      <c r="AJ121" s="438"/>
      <c r="AK121" s="438"/>
      <c r="AL121" s="438"/>
      <c r="AM121" s="438"/>
      <c r="AN121" s="438"/>
      <c r="AO121" s="438"/>
      <c r="AP121" s="438"/>
      <c r="AQ121" s="438"/>
      <c r="AR121" s="438"/>
      <c r="AS121" s="438"/>
      <c r="AT121" s="438"/>
      <c r="AU121" s="438"/>
      <c r="AV121" s="438"/>
      <c r="AW121" s="438"/>
      <c r="AX121" s="438"/>
      <c r="AY121" s="438"/>
      <c r="AZ121" s="438"/>
      <c r="BA121" s="438"/>
      <c r="BB121" s="438"/>
      <c r="BC121" s="438"/>
      <c r="BD121" s="438"/>
      <c r="BE121" s="438"/>
      <c r="BF121" s="438"/>
      <c r="BG121" s="438"/>
      <c r="BH121" s="438"/>
      <c r="BI121" s="438"/>
      <c r="BJ121" s="438"/>
      <c r="BK121" s="438"/>
      <c r="BL121" s="438"/>
      <c r="BM121" s="438"/>
      <c r="BN121" s="438"/>
      <c r="BO121" s="438"/>
      <c r="BP121" s="438"/>
      <c r="BQ121" s="438"/>
      <c r="BR121" s="438"/>
      <c r="BS121" s="438"/>
      <c r="BT121" s="438"/>
      <c r="BU121" s="438"/>
      <c r="BV121" s="438"/>
      <c r="BW121" s="438"/>
      <c r="BX121" s="438"/>
      <c r="BY121" s="438"/>
      <c r="BZ121" s="438"/>
      <c r="CA121" s="438"/>
      <c r="CB121" s="438"/>
      <c r="CC121" s="438"/>
      <c r="CD121" s="438"/>
      <c r="CE121" s="438"/>
      <c r="CF121" s="438"/>
      <c r="CG121" s="438"/>
      <c r="CH121" s="438"/>
      <c r="CI121" s="438"/>
      <c r="CJ121" s="438"/>
      <c r="CK121" s="438"/>
      <c r="CL121" s="438"/>
      <c r="CM121" s="438"/>
      <c r="CN121" s="438"/>
      <c r="CO121" s="438"/>
      <c r="CP121" s="438"/>
      <c r="CQ121" s="438"/>
      <c r="CR121" s="438"/>
      <c r="CS121" s="438"/>
      <c r="CT121" s="438"/>
      <c r="CU121" s="438"/>
      <c r="CV121" s="438"/>
      <c r="CW121" s="438"/>
      <c r="CX121" s="438"/>
      <c r="CY121" s="438"/>
      <c r="CZ121" s="438"/>
      <c r="DA121" s="438"/>
      <c r="DB121" s="438"/>
      <c r="DC121" s="438"/>
      <c r="DD121" s="438"/>
      <c r="DE121" s="438"/>
      <c r="DF121" s="438"/>
      <c r="DG121" s="438"/>
      <c r="DH121" s="438"/>
      <c r="DI121" s="438"/>
      <c r="DJ121" s="438"/>
      <c r="DK121" s="438"/>
      <c r="DL121" s="438"/>
      <c r="DM121" s="438"/>
      <c r="DN121" s="438"/>
      <c r="DO121" s="438"/>
      <c r="DP121" s="438"/>
      <c r="DQ121" s="438"/>
      <c r="DR121" s="438"/>
      <c r="DS121" s="438"/>
      <c r="DT121" s="438"/>
      <c r="DU121" s="439"/>
    </row>
    <row r="122" spans="2:125" ht="19">
      <c r="B122" s="197" t="s">
        <v>1102</v>
      </c>
      <c r="D122" s="437"/>
      <c r="E122" s="438"/>
      <c r="F122" s="438"/>
      <c r="G122" s="438"/>
      <c r="H122" s="438"/>
      <c r="I122" s="438"/>
      <c r="J122" s="438"/>
      <c r="K122" s="438"/>
      <c r="L122" s="438"/>
      <c r="M122" s="438"/>
      <c r="N122" s="438"/>
      <c r="O122" s="438"/>
      <c r="P122" s="438"/>
      <c r="Q122" s="438"/>
      <c r="R122" s="438"/>
      <c r="S122" s="438"/>
      <c r="T122" s="438"/>
      <c r="U122" s="438"/>
      <c r="V122" s="438"/>
      <c r="W122" s="438"/>
      <c r="X122" s="438"/>
      <c r="Y122" s="438"/>
      <c r="Z122" s="438"/>
      <c r="AA122" s="438"/>
      <c r="AB122" s="438"/>
      <c r="AC122" s="438"/>
      <c r="AD122" s="438"/>
      <c r="AE122" s="438"/>
      <c r="AF122" s="438"/>
      <c r="AG122" s="438"/>
      <c r="AH122" s="438"/>
      <c r="AI122" s="438"/>
      <c r="AJ122" s="438"/>
      <c r="AK122" s="438"/>
      <c r="AL122" s="438"/>
      <c r="AM122" s="438"/>
      <c r="AN122" s="438"/>
      <c r="AO122" s="438"/>
      <c r="AP122" s="438"/>
      <c r="AQ122" s="438"/>
      <c r="AR122" s="438"/>
      <c r="AS122" s="438"/>
      <c r="AT122" s="438"/>
      <c r="AU122" s="438"/>
      <c r="AV122" s="438"/>
      <c r="AW122" s="438"/>
      <c r="AX122" s="438"/>
      <c r="AY122" s="438"/>
      <c r="AZ122" s="438"/>
      <c r="BA122" s="438"/>
      <c r="BB122" s="438"/>
      <c r="BC122" s="438"/>
      <c r="BD122" s="438"/>
      <c r="BE122" s="438"/>
      <c r="BF122" s="438"/>
      <c r="BG122" s="438"/>
      <c r="BH122" s="438"/>
      <c r="BI122" s="438"/>
      <c r="BJ122" s="438"/>
      <c r="BK122" s="438"/>
      <c r="BL122" s="438"/>
      <c r="BM122" s="438"/>
      <c r="BN122" s="438"/>
      <c r="BO122" s="438"/>
      <c r="BP122" s="438"/>
      <c r="BQ122" s="438"/>
      <c r="BR122" s="438"/>
      <c r="BS122" s="438"/>
      <c r="BT122" s="438"/>
      <c r="BU122" s="438"/>
      <c r="BV122" s="438"/>
      <c r="BW122" s="438"/>
      <c r="BX122" s="438"/>
      <c r="BY122" s="438"/>
      <c r="BZ122" s="438"/>
      <c r="CA122" s="438"/>
      <c r="CB122" s="438"/>
      <c r="CC122" s="438"/>
      <c r="CD122" s="438"/>
      <c r="CE122" s="438"/>
      <c r="CF122" s="438"/>
      <c r="CG122" s="438"/>
      <c r="CH122" s="438"/>
      <c r="CI122" s="438"/>
      <c r="CJ122" s="438"/>
      <c r="CK122" s="438"/>
      <c r="CL122" s="438"/>
      <c r="CM122" s="438"/>
      <c r="CN122" s="438"/>
      <c r="CO122" s="438"/>
      <c r="CP122" s="438"/>
      <c r="CQ122" s="438"/>
      <c r="CR122" s="438"/>
      <c r="CS122" s="438"/>
      <c r="CT122" s="438"/>
      <c r="CU122" s="438"/>
      <c r="CV122" s="438"/>
      <c r="CW122" s="438"/>
      <c r="CX122" s="438"/>
      <c r="CY122" s="438"/>
      <c r="CZ122" s="438"/>
      <c r="DA122" s="438"/>
      <c r="DB122" s="438"/>
      <c r="DC122" s="438"/>
      <c r="DD122" s="438"/>
      <c r="DE122" s="438"/>
      <c r="DF122" s="438"/>
      <c r="DG122" s="438"/>
      <c r="DH122" s="438"/>
      <c r="DI122" s="438"/>
      <c r="DJ122" s="438"/>
      <c r="DK122" s="438"/>
      <c r="DL122" s="438"/>
      <c r="DM122" s="438"/>
      <c r="DN122" s="438"/>
      <c r="DO122" s="438"/>
      <c r="DP122" s="438"/>
      <c r="DQ122" s="438"/>
      <c r="DR122" s="438"/>
      <c r="DS122" s="438"/>
      <c r="DT122" s="438"/>
      <c r="DU122" s="439"/>
    </row>
    <row r="123" spans="2:125" ht="19">
      <c r="B123" s="203" t="s">
        <v>26</v>
      </c>
      <c r="C123" s="461" t="s">
        <v>595</v>
      </c>
      <c r="D123" s="462">
        <v>0</v>
      </c>
      <c r="E123" s="438">
        <f>IF('Monthly Cash Flow'!E5&lt;='Inputs and Assumptions'!$D$14, 'Inputs and Assumptions'!$D$40/'Inputs and Assumptions'!$D$14, 0)</f>
        <v>0</v>
      </c>
      <c r="F123" s="438">
        <f>IF('Monthly Cash Flow'!F5&lt;='Inputs and Assumptions'!$D$14, 'Inputs and Assumptions'!$D$40/'Inputs and Assumptions'!$D$14, 0)</f>
        <v>0</v>
      </c>
      <c r="G123" s="438">
        <f>IF('Monthly Cash Flow'!G5&lt;='Inputs and Assumptions'!$D$14, 'Inputs and Assumptions'!$D$40/'Inputs and Assumptions'!$D$14, 0)</f>
        <v>0</v>
      </c>
      <c r="H123" s="438">
        <f>IF('Monthly Cash Flow'!H5&lt;='Inputs and Assumptions'!$D$14, 'Inputs and Assumptions'!$D$40/'Inputs and Assumptions'!$D$14, 0)</f>
        <v>0</v>
      </c>
      <c r="I123" s="438">
        <f>IF('Monthly Cash Flow'!I5&lt;='Inputs and Assumptions'!$D$14, 'Inputs and Assumptions'!$D$40/'Inputs and Assumptions'!$D$14, 0)</f>
        <v>0</v>
      </c>
      <c r="J123" s="438">
        <f>IF('Monthly Cash Flow'!J5&lt;='Inputs and Assumptions'!$D$14, 'Inputs and Assumptions'!$D$40/'Inputs and Assumptions'!$D$14, 0)</f>
        <v>0</v>
      </c>
      <c r="K123" s="438">
        <f>IF('Monthly Cash Flow'!K5&lt;='Inputs and Assumptions'!$D$14, 'Inputs and Assumptions'!$D$40/'Inputs and Assumptions'!$D$14, 0)</f>
        <v>0</v>
      </c>
      <c r="L123" s="438">
        <f>IF('Monthly Cash Flow'!L5&lt;='Inputs and Assumptions'!$D$14, 'Inputs and Assumptions'!$D$40/'Inputs and Assumptions'!$D$14, 0)</f>
        <v>0</v>
      </c>
      <c r="M123" s="438">
        <f>IF('Monthly Cash Flow'!M5&lt;='Inputs and Assumptions'!$D$14, 'Inputs and Assumptions'!$D$40/'Inputs and Assumptions'!$D$14, 0)</f>
        <v>0</v>
      </c>
      <c r="N123" s="438">
        <f>IF('Monthly Cash Flow'!N5&lt;='Inputs and Assumptions'!$D$14, 'Inputs and Assumptions'!$D$40/'Inputs and Assumptions'!$D$14, 0)</f>
        <v>0</v>
      </c>
      <c r="O123" s="438">
        <f>IF('Monthly Cash Flow'!O5&lt;='Inputs and Assumptions'!$D$14, 'Inputs and Assumptions'!$D$40/'Inputs and Assumptions'!$D$14, 0)</f>
        <v>0</v>
      </c>
      <c r="P123" s="438">
        <f>IF('Monthly Cash Flow'!P5&lt;='Inputs and Assumptions'!$D$14, 'Inputs and Assumptions'!$D$40/'Inputs and Assumptions'!$D$14, 0)</f>
        <v>0</v>
      </c>
      <c r="Q123" s="438">
        <f>IF('Monthly Cash Flow'!Q5&lt;='Inputs and Assumptions'!$D$14, 'Inputs and Assumptions'!$D$40/'Inputs and Assumptions'!$D$14, 0)</f>
        <v>0</v>
      </c>
      <c r="R123" s="438">
        <f>IF('Monthly Cash Flow'!R5&lt;='Inputs and Assumptions'!$D$14, 'Inputs and Assumptions'!$D$40/'Inputs and Assumptions'!$D$14, 0)</f>
        <v>0</v>
      </c>
      <c r="S123" s="438">
        <f>IF('Monthly Cash Flow'!S5&lt;='Inputs and Assumptions'!$D$14, 'Inputs and Assumptions'!$D$40/'Inputs and Assumptions'!$D$14, 0)</f>
        <v>0</v>
      </c>
      <c r="T123" s="438">
        <f>IF('Monthly Cash Flow'!T5&lt;='Inputs and Assumptions'!$D$14, 'Inputs and Assumptions'!$D$40/'Inputs and Assumptions'!$D$14, 0)</f>
        <v>0</v>
      </c>
      <c r="U123" s="438">
        <f>IF('Monthly Cash Flow'!U5&lt;='Inputs and Assumptions'!$D$14, 'Inputs and Assumptions'!$D$40/'Inputs and Assumptions'!$D$14, 0)</f>
        <v>0</v>
      </c>
      <c r="V123" s="438">
        <f>IF('Monthly Cash Flow'!V5&lt;='Inputs and Assumptions'!$D$14, 'Inputs and Assumptions'!$D$40/'Inputs and Assumptions'!$D$14, 0)</f>
        <v>0</v>
      </c>
      <c r="W123" s="438">
        <f>IF('Monthly Cash Flow'!W5&lt;='Inputs and Assumptions'!$D$14, 'Inputs and Assumptions'!$D$40/'Inputs and Assumptions'!$D$14, 0)</f>
        <v>0</v>
      </c>
      <c r="X123" s="438">
        <f>IF('Monthly Cash Flow'!X5&lt;='Inputs and Assumptions'!$D$14, 'Inputs and Assumptions'!$D$40/'Inputs and Assumptions'!$D$14, 0)</f>
        <v>0</v>
      </c>
      <c r="Y123" s="438">
        <f>IF('Monthly Cash Flow'!Y5&lt;='Inputs and Assumptions'!$D$14, 'Inputs and Assumptions'!$D$40/'Inputs and Assumptions'!$D$14, 0)</f>
        <v>0</v>
      </c>
      <c r="Z123" s="438">
        <f>IF('Monthly Cash Flow'!Z5&lt;='Inputs and Assumptions'!$D$14, 'Inputs and Assumptions'!$D$40/'Inputs and Assumptions'!$D$14, 0)</f>
        <v>0</v>
      </c>
      <c r="AA123" s="438">
        <f>IF('Monthly Cash Flow'!AA5&lt;='Inputs and Assumptions'!$D$14, 'Inputs and Assumptions'!$D$40/'Inputs and Assumptions'!$D$14, 0)</f>
        <v>0</v>
      </c>
      <c r="AB123" s="438">
        <f>IF('Monthly Cash Flow'!AB5&lt;='Inputs and Assumptions'!$D$14, 'Inputs and Assumptions'!$D$40/'Inputs and Assumptions'!$D$14, 0)</f>
        <v>0</v>
      </c>
      <c r="AC123" s="438">
        <f>IF('Monthly Cash Flow'!AC5&lt;='Inputs and Assumptions'!$D$14, 'Inputs and Assumptions'!$D$40/'Inputs and Assumptions'!$D$14, 0)</f>
        <v>0</v>
      </c>
      <c r="AD123" s="438">
        <f>IF('Monthly Cash Flow'!AD5&lt;='Inputs and Assumptions'!$D$14, 'Inputs and Assumptions'!$D$40/'Inputs and Assumptions'!$D$14, 0)</f>
        <v>0</v>
      </c>
      <c r="AE123" s="438">
        <f>IF('Monthly Cash Flow'!AE5&lt;='Inputs and Assumptions'!$D$14, 'Inputs and Assumptions'!$D$40/'Inputs and Assumptions'!$D$14, 0)</f>
        <v>0</v>
      </c>
      <c r="AF123" s="438">
        <f>IF('Monthly Cash Flow'!AF5&lt;='Inputs and Assumptions'!$D$14, 'Inputs and Assumptions'!$D$40/'Inputs and Assumptions'!$D$14, 0)</f>
        <v>0</v>
      </c>
      <c r="AG123" s="438">
        <f>IF('Monthly Cash Flow'!AG5&lt;='Inputs and Assumptions'!$D$14, 'Inputs and Assumptions'!$D$40/'Inputs and Assumptions'!$D$14, 0)</f>
        <v>0</v>
      </c>
      <c r="AH123" s="438">
        <f>IF('Monthly Cash Flow'!AH5&lt;='Inputs and Assumptions'!$D$14, 'Inputs and Assumptions'!$D$40/'Inputs and Assumptions'!$D$14, 0)</f>
        <v>0</v>
      </c>
      <c r="AI123" s="438">
        <f>IF('Monthly Cash Flow'!AI5&lt;='Inputs and Assumptions'!$D$14, 'Inputs and Assumptions'!$D$40/'Inputs and Assumptions'!$D$14, 0)</f>
        <v>0</v>
      </c>
      <c r="AJ123" s="438">
        <f>IF('Monthly Cash Flow'!AJ5&lt;='Inputs and Assumptions'!$D$14, 'Inputs and Assumptions'!$D$40/'Inputs and Assumptions'!$D$14, 0)</f>
        <v>0</v>
      </c>
      <c r="AK123" s="438">
        <f>IF('Monthly Cash Flow'!AK5&lt;='Inputs and Assumptions'!$D$14, 'Inputs and Assumptions'!$D$40/'Inputs and Assumptions'!$D$14, 0)</f>
        <v>0</v>
      </c>
      <c r="AL123" s="438">
        <f>IF('Monthly Cash Flow'!AL5&lt;='Inputs and Assumptions'!$D$14, 'Inputs and Assumptions'!$D$40/'Inputs and Assumptions'!$D$14, 0)</f>
        <v>0</v>
      </c>
      <c r="AM123" s="438">
        <f>IF('Monthly Cash Flow'!AM5&lt;='Inputs and Assumptions'!$D$14, 'Inputs and Assumptions'!$D$40/'Inputs and Assumptions'!$D$14, 0)</f>
        <v>0</v>
      </c>
      <c r="AN123" s="438">
        <f>IF('Monthly Cash Flow'!AN5&lt;='Inputs and Assumptions'!$D$14, 'Inputs and Assumptions'!$D$40/'Inputs and Assumptions'!$D$14, 0)</f>
        <v>0</v>
      </c>
      <c r="AO123" s="438">
        <f>IF('Monthly Cash Flow'!AO5&lt;='Inputs and Assumptions'!$D$14, 'Inputs and Assumptions'!$D$40/'Inputs and Assumptions'!$D$14, 0)</f>
        <v>0</v>
      </c>
      <c r="AP123" s="438">
        <f>IF('Monthly Cash Flow'!AP5&lt;='Inputs and Assumptions'!$D$14, 'Inputs and Assumptions'!$D$40/'Inputs and Assumptions'!$D$14, 0)</f>
        <v>0</v>
      </c>
      <c r="AQ123" s="438">
        <f>IF('Monthly Cash Flow'!AQ5&lt;='Inputs and Assumptions'!$D$14, 'Inputs and Assumptions'!$D$40/'Inputs and Assumptions'!$D$14, 0)</f>
        <v>0</v>
      </c>
      <c r="AR123" s="438">
        <f>IF('Monthly Cash Flow'!AR5&lt;='Inputs and Assumptions'!$D$14, 'Inputs and Assumptions'!$D$40/'Inputs and Assumptions'!$D$14, 0)</f>
        <v>0</v>
      </c>
      <c r="AS123" s="438">
        <f>IF('Monthly Cash Flow'!AS5&lt;='Inputs and Assumptions'!$D$14, 'Inputs and Assumptions'!$D$40/'Inputs and Assumptions'!$D$14, 0)</f>
        <v>0</v>
      </c>
      <c r="AT123" s="438">
        <f>IF('Monthly Cash Flow'!AT5&lt;='Inputs and Assumptions'!$D$14, 'Inputs and Assumptions'!$D$40/'Inputs and Assumptions'!$D$14, 0)</f>
        <v>0</v>
      </c>
      <c r="AU123" s="438">
        <f>IF('Monthly Cash Flow'!AU5&lt;='Inputs and Assumptions'!$D$14, 'Inputs and Assumptions'!$D$40/'Inputs and Assumptions'!$D$14, 0)</f>
        <v>0</v>
      </c>
      <c r="AV123" s="438">
        <f>IF('Monthly Cash Flow'!AV5&lt;='Inputs and Assumptions'!$D$14, 'Inputs and Assumptions'!$D$40/'Inputs and Assumptions'!$D$14, 0)</f>
        <v>0</v>
      </c>
      <c r="AW123" s="438">
        <f>IF('Monthly Cash Flow'!AW5&lt;='Inputs and Assumptions'!$D$14, 'Inputs and Assumptions'!$D$40/'Inputs and Assumptions'!$D$14, 0)</f>
        <v>0</v>
      </c>
      <c r="AX123" s="438">
        <f>IF('Monthly Cash Flow'!AX5&lt;='Inputs and Assumptions'!$D$14, 'Inputs and Assumptions'!$D$40/'Inputs and Assumptions'!$D$14, 0)</f>
        <v>0</v>
      </c>
      <c r="AY123" s="438">
        <f>IF('Monthly Cash Flow'!AY5&lt;='Inputs and Assumptions'!$D$14, 'Inputs and Assumptions'!$D$40/'Inputs and Assumptions'!$D$14, 0)</f>
        <v>0</v>
      </c>
      <c r="AZ123" s="438">
        <f>IF('Monthly Cash Flow'!AZ5&lt;='Inputs and Assumptions'!$D$14, 'Inputs and Assumptions'!$D$40/'Inputs and Assumptions'!$D$14, 0)</f>
        <v>0</v>
      </c>
      <c r="BA123" s="438">
        <f>IF('Monthly Cash Flow'!BA5&lt;='Inputs and Assumptions'!$D$14, 'Inputs and Assumptions'!$D$40/'Inputs and Assumptions'!$D$14, 0)</f>
        <v>0</v>
      </c>
      <c r="BB123" s="438">
        <f>IF('Monthly Cash Flow'!BB5&lt;='Inputs and Assumptions'!$D$14, 'Inputs and Assumptions'!$D$40/'Inputs and Assumptions'!$D$14, 0)</f>
        <v>0</v>
      </c>
      <c r="BC123" s="438">
        <f>IF('Monthly Cash Flow'!BC5&lt;='Inputs and Assumptions'!$D$14, 'Inputs and Assumptions'!$D$40/'Inputs and Assumptions'!$D$14, 0)</f>
        <v>0</v>
      </c>
      <c r="BD123" s="438">
        <f>IF('Monthly Cash Flow'!BD5&lt;='Inputs and Assumptions'!$D$14, 'Inputs and Assumptions'!$D$40/'Inputs and Assumptions'!$D$14, 0)</f>
        <v>0</v>
      </c>
      <c r="BE123" s="438">
        <f>IF('Monthly Cash Flow'!BE5&lt;='Inputs and Assumptions'!$D$14, 'Inputs and Assumptions'!$D$40/'Inputs and Assumptions'!$D$14, 0)</f>
        <v>0</v>
      </c>
      <c r="BF123" s="438">
        <f>IF('Monthly Cash Flow'!BF5&lt;='Inputs and Assumptions'!$D$14, 'Inputs and Assumptions'!$D$40/'Inputs and Assumptions'!$D$14, 0)</f>
        <v>0</v>
      </c>
      <c r="BG123" s="438">
        <f>IF('Monthly Cash Flow'!BG5&lt;='Inputs and Assumptions'!$D$14, 'Inputs and Assumptions'!$D$40/'Inputs and Assumptions'!$D$14, 0)</f>
        <v>0</v>
      </c>
      <c r="BH123" s="438">
        <f>IF('Monthly Cash Flow'!BH5&lt;='Inputs and Assumptions'!$D$14, 'Inputs and Assumptions'!$D$40/'Inputs and Assumptions'!$D$14, 0)</f>
        <v>0</v>
      </c>
      <c r="BI123" s="438">
        <f>IF('Monthly Cash Flow'!BI5&lt;='Inputs and Assumptions'!$D$14, 'Inputs and Assumptions'!$D$40/'Inputs and Assumptions'!$D$14, 0)</f>
        <v>0</v>
      </c>
      <c r="BJ123" s="438">
        <f>IF('Monthly Cash Flow'!BJ5&lt;='Inputs and Assumptions'!$D$14, 'Inputs and Assumptions'!$D$40/'Inputs and Assumptions'!$D$14, 0)</f>
        <v>0</v>
      </c>
      <c r="BK123" s="438">
        <f>IF('Monthly Cash Flow'!BK5&lt;='Inputs and Assumptions'!$D$14, 'Inputs and Assumptions'!$D$40/'Inputs and Assumptions'!$D$14, 0)</f>
        <v>0</v>
      </c>
      <c r="BL123" s="438">
        <f>IF('Monthly Cash Flow'!BL5&lt;='Inputs and Assumptions'!$D$14, 'Inputs and Assumptions'!$D$40/'Inputs and Assumptions'!$D$14, 0)</f>
        <v>0</v>
      </c>
      <c r="BM123" s="438">
        <f>IF('Monthly Cash Flow'!BM5&lt;='Inputs and Assumptions'!$D$14, 'Inputs and Assumptions'!$D$40/'Inputs and Assumptions'!$D$14, 0)</f>
        <v>0</v>
      </c>
      <c r="BN123" s="438">
        <f>IF('Monthly Cash Flow'!BN5&lt;='Inputs and Assumptions'!$D$14, 'Inputs and Assumptions'!$D$40/'Inputs and Assumptions'!$D$14, 0)</f>
        <v>0</v>
      </c>
      <c r="BO123" s="438">
        <f>IF('Monthly Cash Flow'!BO5&lt;='Inputs and Assumptions'!$D$14, 'Inputs and Assumptions'!$D$40/'Inputs and Assumptions'!$D$14, 0)</f>
        <v>0</v>
      </c>
      <c r="BP123" s="438">
        <f>IF('Monthly Cash Flow'!BP5&lt;='Inputs and Assumptions'!$D$14, 'Inputs and Assumptions'!$D$40/'Inputs and Assumptions'!$D$14, 0)</f>
        <v>0</v>
      </c>
      <c r="BQ123" s="438">
        <f>IF('Monthly Cash Flow'!BQ5&lt;='Inputs and Assumptions'!$D$14, 'Inputs and Assumptions'!$D$40/'Inputs and Assumptions'!$D$14, 0)</f>
        <v>0</v>
      </c>
      <c r="BR123" s="438">
        <f>IF('Monthly Cash Flow'!BR5&lt;='Inputs and Assumptions'!$D$14, 'Inputs and Assumptions'!$D$40/'Inputs and Assumptions'!$D$14, 0)</f>
        <v>0</v>
      </c>
      <c r="BS123" s="438">
        <f>IF('Monthly Cash Flow'!BS5&lt;='Inputs and Assumptions'!$D$14, 'Inputs and Assumptions'!$D$40/'Inputs and Assumptions'!$D$14, 0)</f>
        <v>0</v>
      </c>
      <c r="BT123" s="438">
        <f>IF('Monthly Cash Flow'!BT5&lt;='Inputs and Assumptions'!$D$14, 'Inputs and Assumptions'!$D$40/'Inputs and Assumptions'!$D$14, 0)</f>
        <v>0</v>
      </c>
      <c r="BU123" s="438">
        <f>IF('Monthly Cash Flow'!BU5&lt;='Inputs and Assumptions'!$D$14, 'Inputs and Assumptions'!$D$40/'Inputs and Assumptions'!$D$14, 0)</f>
        <v>0</v>
      </c>
      <c r="BV123" s="438">
        <f>IF('Monthly Cash Flow'!BV5&lt;='Inputs and Assumptions'!$D$14, 'Inputs and Assumptions'!$D$40/'Inputs and Assumptions'!$D$14, 0)</f>
        <v>0</v>
      </c>
      <c r="BW123" s="438">
        <f>IF('Monthly Cash Flow'!BW5&lt;='Inputs and Assumptions'!$D$14, 'Inputs and Assumptions'!$D$40/'Inputs and Assumptions'!$D$14, 0)</f>
        <v>0</v>
      </c>
      <c r="BX123" s="438">
        <f>IF('Monthly Cash Flow'!BX5&lt;='Inputs and Assumptions'!$D$14, 'Inputs and Assumptions'!$D$40/'Inputs and Assumptions'!$D$14, 0)</f>
        <v>0</v>
      </c>
      <c r="BY123" s="438">
        <f>IF('Monthly Cash Flow'!BY5&lt;='Inputs and Assumptions'!$D$14, 'Inputs and Assumptions'!$D$40/'Inputs and Assumptions'!$D$14, 0)</f>
        <v>0</v>
      </c>
      <c r="BZ123" s="438">
        <f>IF('Monthly Cash Flow'!BZ5&lt;='Inputs and Assumptions'!$D$14, 'Inputs and Assumptions'!$D$40/'Inputs and Assumptions'!$D$14, 0)</f>
        <v>0</v>
      </c>
      <c r="CA123" s="438">
        <f>IF('Monthly Cash Flow'!CA5&lt;='Inputs and Assumptions'!$D$14, 'Inputs and Assumptions'!$D$40/'Inputs and Assumptions'!$D$14, 0)</f>
        <v>0</v>
      </c>
      <c r="CB123" s="438">
        <f>IF('Monthly Cash Flow'!CB5&lt;='Inputs and Assumptions'!$D$14, 'Inputs and Assumptions'!$D$40/'Inputs and Assumptions'!$D$14, 0)</f>
        <v>0</v>
      </c>
      <c r="CC123" s="438">
        <f>IF('Monthly Cash Flow'!CC5&lt;='Inputs and Assumptions'!$D$14, 'Inputs and Assumptions'!$D$40/'Inputs and Assumptions'!$D$14, 0)</f>
        <v>0</v>
      </c>
      <c r="CD123" s="438">
        <f>IF('Monthly Cash Flow'!CD5&lt;='Inputs and Assumptions'!$D$14, 'Inputs and Assumptions'!$D$40/'Inputs and Assumptions'!$D$14, 0)</f>
        <v>0</v>
      </c>
      <c r="CE123" s="438">
        <f>IF('Monthly Cash Flow'!CE5&lt;='Inputs and Assumptions'!$D$14, 'Inputs and Assumptions'!$D$40/'Inputs and Assumptions'!$D$14, 0)</f>
        <v>0</v>
      </c>
      <c r="CF123" s="438">
        <f>IF('Monthly Cash Flow'!CF5&lt;='Inputs and Assumptions'!$D$14, 'Inputs and Assumptions'!$D$40/'Inputs and Assumptions'!$D$14, 0)</f>
        <v>0</v>
      </c>
      <c r="CG123" s="438">
        <f>IF('Monthly Cash Flow'!CG5&lt;='Inputs and Assumptions'!$D$14, 'Inputs and Assumptions'!$D$40/'Inputs and Assumptions'!$D$14, 0)</f>
        <v>0</v>
      </c>
      <c r="CH123" s="438">
        <f>IF('Monthly Cash Flow'!CH5&lt;='Inputs and Assumptions'!$D$14, 'Inputs and Assumptions'!$D$40/'Inputs and Assumptions'!$D$14, 0)</f>
        <v>0</v>
      </c>
      <c r="CI123" s="438">
        <f>IF('Monthly Cash Flow'!CI5&lt;='Inputs and Assumptions'!$D$14, 'Inputs and Assumptions'!$D$40/'Inputs and Assumptions'!$D$14, 0)</f>
        <v>0</v>
      </c>
      <c r="CJ123" s="438">
        <f>IF('Monthly Cash Flow'!CJ5&lt;='Inputs and Assumptions'!$D$14, 'Inputs and Assumptions'!$D$40/'Inputs and Assumptions'!$D$14, 0)</f>
        <v>0</v>
      </c>
      <c r="CK123" s="438">
        <f>IF('Monthly Cash Flow'!CK5&lt;='Inputs and Assumptions'!$D$14, 'Inputs and Assumptions'!$D$40/'Inputs and Assumptions'!$D$14, 0)</f>
        <v>0</v>
      </c>
      <c r="CL123" s="438">
        <f>IF('Monthly Cash Flow'!CL5&lt;='Inputs and Assumptions'!$D$14, 'Inputs and Assumptions'!$D$40/'Inputs and Assumptions'!$D$14, 0)</f>
        <v>0</v>
      </c>
      <c r="CM123" s="438">
        <f>IF('Monthly Cash Flow'!CM5&lt;='Inputs and Assumptions'!$D$14, 'Inputs and Assumptions'!$D$40/'Inputs and Assumptions'!$D$14, 0)</f>
        <v>0</v>
      </c>
      <c r="CN123" s="438">
        <f>IF('Monthly Cash Flow'!CN5&lt;='Inputs and Assumptions'!$D$14, 'Inputs and Assumptions'!$D$40/'Inputs and Assumptions'!$D$14, 0)</f>
        <v>0</v>
      </c>
      <c r="CO123" s="438">
        <f>IF('Monthly Cash Flow'!CO5&lt;='Inputs and Assumptions'!$D$14, 'Inputs and Assumptions'!$D$40/'Inputs and Assumptions'!$D$14, 0)</f>
        <v>0</v>
      </c>
      <c r="CP123" s="438">
        <f>IF('Monthly Cash Flow'!CP5&lt;='Inputs and Assumptions'!$D$14, 'Inputs and Assumptions'!$D$40/'Inputs and Assumptions'!$D$14, 0)</f>
        <v>0</v>
      </c>
      <c r="CQ123" s="438">
        <f>IF('Monthly Cash Flow'!CQ5&lt;='Inputs and Assumptions'!$D$14, 'Inputs and Assumptions'!$D$40/'Inputs and Assumptions'!$D$14, 0)</f>
        <v>0</v>
      </c>
      <c r="CR123" s="438">
        <f>IF('Monthly Cash Flow'!CR5&lt;='Inputs and Assumptions'!$D$14, 'Inputs and Assumptions'!$D$40/'Inputs and Assumptions'!$D$14, 0)</f>
        <v>0</v>
      </c>
      <c r="CS123" s="438">
        <f>IF('Monthly Cash Flow'!CS5&lt;='Inputs and Assumptions'!$D$14, 'Inputs and Assumptions'!$D$40/'Inputs and Assumptions'!$D$14, 0)</f>
        <v>0</v>
      </c>
      <c r="CT123" s="438">
        <f>IF('Monthly Cash Flow'!CT5&lt;='Inputs and Assumptions'!$D$14, 'Inputs and Assumptions'!$D$40/'Inputs and Assumptions'!$D$14, 0)</f>
        <v>0</v>
      </c>
      <c r="CU123" s="438">
        <f>IF('Monthly Cash Flow'!CU5&lt;='Inputs and Assumptions'!$D$14, 'Inputs and Assumptions'!$D$40/'Inputs and Assumptions'!$D$14, 0)</f>
        <v>0</v>
      </c>
      <c r="CV123" s="438">
        <f>IF('Monthly Cash Flow'!CV5&lt;='Inputs and Assumptions'!$D$14, 'Inputs and Assumptions'!$D$40/'Inputs and Assumptions'!$D$14, 0)</f>
        <v>0</v>
      </c>
      <c r="CW123" s="438">
        <f>IF('Monthly Cash Flow'!CW5&lt;='Inputs and Assumptions'!$D$14, 'Inputs and Assumptions'!$D$40/'Inputs and Assumptions'!$D$14, 0)</f>
        <v>0</v>
      </c>
      <c r="CX123" s="438">
        <f>IF('Monthly Cash Flow'!CX5&lt;='Inputs and Assumptions'!$D$14, 'Inputs and Assumptions'!$D$40/'Inputs and Assumptions'!$D$14, 0)</f>
        <v>0</v>
      </c>
      <c r="CY123" s="438">
        <f>IF('Monthly Cash Flow'!CY5&lt;='Inputs and Assumptions'!$D$14, 'Inputs and Assumptions'!$D$40/'Inputs and Assumptions'!$D$14, 0)</f>
        <v>0</v>
      </c>
      <c r="CZ123" s="438">
        <f>IF('Monthly Cash Flow'!CZ5&lt;='Inputs and Assumptions'!$D$14, 'Inputs and Assumptions'!$D$40/'Inputs and Assumptions'!$D$14, 0)</f>
        <v>0</v>
      </c>
      <c r="DA123" s="438">
        <f>IF('Monthly Cash Flow'!DA5&lt;='Inputs and Assumptions'!$D$14, 'Inputs and Assumptions'!$D$40/'Inputs and Assumptions'!$D$14, 0)</f>
        <v>0</v>
      </c>
      <c r="DB123" s="438">
        <f>IF('Monthly Cash Flow'!DB5&lt;='Inputs and Assumptions'!$D$14, 'Inputs and Assumptions'!$D$40/'Inputs and Assumptions'!$D$14, 0)</f>
        <v>0</v>
      </c>
      <c r="DC123" s="438">
        <f>IF('Monthly Cash Flow'!DC5&lt;='Inputs and Assumptions'!$D$14, 'Inputs and Assumptions'!$D$40/'Inputs and Assumptions'!$D$14, 0)</f>
        <v>0</v>
      </c>
      <c r="DD123" s="438">
        <f>IF('Monthly Cash Flow'!DD5&lt;='Inputs and Assumptions'!$D$14, 'Inputs and Assumptions'!$D$40/'Inputs and Assumptions'!$D$14, 0)</f>
        <v>0</v>
      </c>
      <c r="DE123" s="438">
        <f>IF('Monthly Cash Flow'!DE5&lt;='Inputs and Assumptions'!$D$14, 'Inputs and Assumptions'!$D$40/'Inputs and Assumptions'!$D$14, 0)</f>
        <v>0</v>
      </c>
      <c r="DF123" s="438">
        <f>IF('Monthly Cash Flow'!DF5&lt;='Inputs and Assumptions'!$D$14, 'Inputs and Assumptions'!$D$40/'Inputs and Assumptions'!$D$14, 0)</f>
        <v>0</v>
      </c>
      <c r="DG123" s="438">
        <f>IF('Monthly Cash Flow'!DG5&lt;='Inputs and Assumptions'!$D$14, 'Inputs and Assumptions'!$D$40/'Inputs and Assumptions'!$D$14, 0)</f>
        <v>0</v>
      </c>
      <c r="DH123" s="438">
        <f>IF('Monthly Cash Flow'!DH5&lt;='Inputs and Assumptions'!$D$14, 'Inputs and Assumptions'!$D$40/'Inputs and Assumptions'!$D$14, 0)</f>
        <v>0</v>
      </c>
      <c r="DI123" s="438">
        <f>IF('Monthly Cash Flow'!DI5&lt;='Inputs and Assumptions'!$D$14, 'Inputs and Assumptions'!$D$40/'Inputs and Assumptions'!$D$14, 0)</f>
        <v>0</v>
      </c>
      <c r="DJ123" s="438">
        <f>IF('Monthly Cash Flow'!DJ5&lt;='Inputs and Assumptions'!$D$14, 'Inputs and Assumptions'!$D$40/'Inputs and Assumptions'!$D$14, 0)</f>
        <v>0</v>
      </c>
      <c r="DK123" s="438">
        <f>IF('Monthly Cash Flow'!DK5&lt;='Inputs and Assumptions'!$D$14, 'Inputs and Assumptions'!$D$40/'Inputs and Assumptions'!$D$14, 0)</f>
        <v>0</v>
      </c>
      <c r="DL123" s="438">
        <f>IF('Monthly Cash Flow'!DL5&lt;='Inputs and Assumptions'!$D$14, 'Inputs and Assumptions'!$D$40/'Inputs and Assumptions'!$D$14, 0)</f>
        <v>0</v>
      </c>
      <c r="DM123" s="438">
        <f>IF('Monthly Cash Flow'!DM5&lt;='Inputs and Assumptions'!$D$14, 'Inputs and Assumptions'!$D$40/'Inputs and Assumptions'!$D$14, 0)</f>
        <v>0</v>
      </c>
      <c r="DN123" s="438">
        <f>IF('Monthly Cash Flow'!DN5&lt;='Inputs and Assumptions'!$D$14, 'Inputs and Assumptions'!$D$40/'Inputs and Assumptions'!$D$14, 0)</f>
        <v>0</v>
      </c>
      <c r="DO123" s="438">
        <f>IF('Monthly Cash Flow'!DO5&lt;='Inputs and Assumptions'!$D$14, 'Inputs and Assumptions'!$D$40/'Inputs and Assumptions'!$D$14, 0)</f>
        <v>0</v>
      </c>
      <c r="DP123" s="438">
        <f>IF('Monthly Cash Flow'!DP5&lt;='Inputs and Assumptions'!$D$14, 'Inputs and Assumptions'!$D$40/'Inputs and Assumptions'!$D$14, 0)</f>
        <v>0</v>
      </c>
      <c r="DQ123" s="438">
        <f>IF('Monthly Cash Flow'!DQ5&lt;='Inputs and Assumptions'!$D$14, 'Inputs and Assumptions'!$D$40/'Inputs and Assumptions'!$D$14, 0)</f>
        <v>0</v>
      </c>
      <c r="DR123" s="438">
        <f>IF('Monthly Cash Flow'!DR5&lt;='Inputs and Assumptions'!$D$14, 'Inputs and Assumptions'!$D$40/'Inputs and Assumptions'!$D$14, 0)</f>
        <v>0</v>
      </c>
      <c r="DS123" s="438">
        <f>IF('Monthly Cash Flow'!DS5&lt;='Inputs and Assumptions'!$D$14, 'Inputs and Assumptions'!$D$40/'Inputs and Assumptions'!$D$14, 0)</f>
        <v>0</v>
      </c>
      <c r="DT123" s="438">
        <f>IF('Monthly Cash Flow'!DT5&lt;='Inputs and Assumptions'!$D$14, 'Inputs and Assumptions'!$D$40/'Inputs and Assumptions'!$D$14, 0)</f>
        <v>0</v>
      </c>
      <c r="DU123" s="439" t="s">
        <v>557</v>
      </c>
    </row>
    <row r="124" spans="2:125" ht="19">
      <c r="B124" s="203" t="s">
        <v>10</v>
      </c>
      <c r="C124" s="463">
        <f ca="1">SUM(D124:DT124)</f>
        <v>20296000</v>
      </c>
      <c r="D124" s="462">
        <f ca="1">IF('Inputs and Assumptions'!$H$11="Bridge", 'Inputs and Assumptions'!G28, 'Inputs and Assumptions'!G28-'Inputs and Assumptions'!D40)</f>
        <v>20296000</v>
      </c>
      <c r="E124" s="462">
        <f>IF('Inputs and Assumptions'!$H$11="Bridge", 0, E123)</f>
        <v>0</v>
      </c>
      <c r="F124" s="462">
        <f>IF('Inputs and Assumptions'!$H$11="Bridge", 0, F123)</f>
        <v>0</v>
      </c>
      <c r="G124" s="462">
        <f>IF('Inputs and Assumptions'!$H$11="Bridge", 0, G123)</f>
        <v>0</v>
      </c>
      <c r="H124" s="462">
        <f>IF('Inputs and Assumptions'!$H$11="Bridge", 0, H123)</f>
        <v>0</v>
      </c>
      <c r="I124" s="462">
        <f>IF('Inputs and Assumptions'!$H$11="Bridge", 0, I123)</f>
        <v>0</v>
      </c>
      <c r="J124" s="462">
        <f>IF('Inputs and Assumptions'!$H$11="Bridge", 0, J123)</f>
        <v>0</v>
      </c>
      <c r="K124" s="462">
        <f>IF('Inputs and Assumptions'!$H$11="Bridge", 0, K123)</f>
        <v>0</v>
      </c>
      <c r="L124" s="462">
        <f>IF('Inputs and Assumptions'!$H$11="Bridge", 0, L123)</f>
        <v>0</v>
      </c>
      <c r="M124" s="462">
        <f>IF('Inputs and Assumptions'!$H$11="Bridge", 0, M123)</f>
        <v>0</v>
      </c>
      <c r="N124" s="462">
        <f>IF('Inputs and Assumptions'!$H$11="Bridge", 0, N123)</f>
        <v>0</v>
      </c>
      <c r="O124" s="462">
        <f>IF('Inputs and Assumptions'!$H$11="Bridge", 0, O123)</f>
        <v>0</v>
      </c>
      <c r="P124" s="462">
        <f>IF('Inputs and Assumptions'!$H$11="Bridge", 0, P123)</f>
        <v>0</v>
      </c>
      <c r="Q124" s="462">
        <f>IF('Inputs and Assumptions'!$H$11="Bridge", 0, Q123)</f>
        <v>0</v>
      </c>
      <c r="R124" s="462">
        <f>IF('Inputs and Assumptions'!$H$11="Bridge", 0, R123)</f>
        <v>0</v>
      </c>
      <c r="S124" s="462">
        <f>IF('Inputs and Assumptions'!$H$11="Bridge", 0, S123)</f>
        <v>0</v>
      </c>
      <c r="T124" s="462">
        <f>IF('Inputs and Assumptions'!$H$11="Bridge", 0, T123)</f>
        <v>0</v>
      </c>
      <c r="U124" s="462">
        <f>IF('Inputs and Assumptions'!$H$11="Bridge", 0, U123)</f>
        <v>0</v>
      </c>
      <c r="V124" s="462">
        <f>IF('Inputs and Assumptions'!$H$11="Bridge", 0, V123)</f>
        <v>0</v>
      </c>
      <c r="W124" s="462">
        <f>IF('Inputs and Assumptions'!$H$11="Bridge", 0, W123)</f>
        <v>0</v>
      </c>
      <c r="X124" s="462">
        <f>IF('Inputs and Assumptions'!$H$11="Bridge", 0, X123)</f>
        <v>0</v>
      </c>
      <c r="Y124" s="462">
        <f>IF('Inputs and Assumptions'!$H$11="Bridge", 0, Y123)</f>
        <v>0</v>
      </c>
      <c r="Z124" s="462">
        <f>IF('Inputs and Assumptions'!$H$11="Bridge", 0, Z123)</f>
        <v>0</v>
      </c>
      <c r="AA124" s="462">
        <f>IF('Inputs and Assumptions'!$H$11="Bridge", 0, AA123)</f>
        <v>0</v>
      </c>
      <c r="AB124" s="462">
        <f>IF('Inputs and Assumptions'!$H$11="Bridge", 0, AB123)</f>
        <v>0</v>
      </c>
      <c r="AC124" s="462">
        <f>IF('Inputs and Assumptions'!$H$11="Bridge", 0, AC123)</f>
        <v>0</v>
      </c>
      <c r="AD124" s="462">
        <f>IF('Inputs and Assumptions'!$H$11="Bridge", 0, AD123)</f>
        <v>0</v>
      </c>
      <c r="AE124" s="462">
        <f>IF('Inputs and Assumptions'!$H$11="Bridge", 0, AE123)</f>
        <v>0</v>
      </c>
      <c r="AF124" s="462">
        <f>IF('Inputs and Assumptions'!$H$11="Bridge", 0, AF123)</f>
        <v>0</v>
      </c>
      <c r="AG124" s="462">
        <f>IF('Inputs and Assumptions'!$H$11="Bridge", 0, AG123)</f>
        <v>0</v>
      </c>
      <c r="AH124" s="462">
        <f>IF('Inputs and Assumptions'!$H$11="Bridge", 0, AH123)</f>
        <v>0</v>
      </c>
      <c r="AI124" s="462">
        <f>IF('Inputs and Assumptions'!$H$11="Bridge", 0, AI123)</f>
        <v>0</v>
      </c>
      <c r="AJ124" s="462">
        <f>IF('Inputs and Assumptions'!$H$11="Bridge", 0, AJ123)</f>
        <v>0</v>
      </c>
      <c r="AK124" s="462">
        <f>IF('Inputs and Assumptions'!$H$11="Bridge", 0, AK123)</f>
        <v>0</v>
      </c>
      <c r="AL124" s="462">
        <f>IF('Inputs and Assumptions'!$H$11="Bridge", 0, AL123)</f>
        <v>0</v>
      </c>
      <c r="AM124" s="462">
        <f>IF('Inputs and Assumptions'!$H$11="Bridge", 0, AM123)</f>
        <v>0</v>
      </c>
      <c r="AN124" s="462">
        <f>IF('Inputs and Assumptions'!$H$11="Bridge", 0, AN123)</f>
        <v>0</v>
      </c>
      <c r="AO124" s="462">
        <f>IF('Inputs and Assumptions'!$H$11="Bridge", 0, AO123)</f>
        <v>0</v>
      </c>
      <c r="AP124" s="462">
        <f>IF('Inputs and Assumptions'!$H$11="Bridge", 0, AP123)</f>
        <v>0</v>
      </c>
      <c r="AQ124" s="462">
        <f>IF('Inputs and Assumptions'!$H$11="Bridge", 0, AQ123)</f>
        <v>0</v>
      </c>
      <c r="AR124" s="462">
        <f>IF('Inputs and Assumptions'!$H$11="Bridge", 0, AR123)</f>
        <v>0</v>
      </c>
      <c r="AS124" s="462">
        <f>IF('Inputs and Assumptions'!$H$11="Bridge", 0, AS123)</f>
        <v>0</v>
      </c>
      <c r="AT124" s="462">
        <f>IF('Inputs and Assumptions'!$H$11="Bridge", 0, AT123)</f>
        <v>0</v>
      </c>
      <c r="AU124" s="462">
        <f>IF('Inputs and Assumptions'!$H$11="Bridge", 0, AU123)</f>
        <v>0</v>
      </c>
      <c r="AV124" s="462">
        <f>IF('Inputs and Assumptions'!$H$11="Bridge", 0, AV123)</f>
        <v>0</v>
      </c>
      <c r="AW124" s="462">
        <f>IF('Inputs and Assumptions'!$H$11="Bridge", 0, AW123)</f>
        <v>0</v>
      </c>
      <c r="AX124" s="462">
        <f>IF('Inputs and Assumptions'!$H$11="Bridge", 0, AX123)</f>
        <v>0</v>
      </c>
      <c r="AY124" s="462">
        <f>IF('Inputs and Assumptions'!$H$11="Bridge", 0, AY123)</f>
        <v>0</v>
      </c>
      <c r="AZ124" s="462">
        <f>IF('Inputs and Assumptions'!$H$11="Bridge", 0, AZ123)</f>
        <v>0</v>
      </c>
      <c r="BA124" s="462">
        <f>IF('Inputs and Assumptions'!$H$11="Bridge", 0, BA123)</f>
        <v>0</v>
      </c>
      <c r="BB124" s="462">
        <f>IF('Inputs and Assumptions'!$H$11="Bridge", 0, BB123)</f>
        <v>0</v>
      </c>
      <c r="BC124" s="462">
        <f>IF('Inputs and Assumptions'!$H$11="Bridge", 0, BC123)</f>
        <v>0</v>
      </c>
      <c r="BD124" s="462">
        <f>IF('Inputs and Assumptions'!$H$11="Bridge", 0, BD123)</f>
        <v>0</v>
      </c>
      <c r="BE124" s="462">
        <f>IF('Inputs and Assumptions'!$H$11="Bridge", 0, BE123)</f>
        <v>0</v>
      </c>
      <c r="BF124" s="462">
        <f>IF('Inputs and Assumptions'!$H$11="Bridge", 0, BF123)</f>
        <v>0</v>
      </c>
      <c r="BG124" s="462">
        <f>IF('Inputs and Assumptions'!$H$11="Bridge", 0, BG123)</f>
        <v>0</v>
      </c>
      <c r="BH124" s="462">
        <f>IF('Inputs and Assumptions'!$H$11="Bridge", 0, BH123)</f>
        <v>0</v>
      </c>
      <c r="BI124" s="462">
        <f>IF('Inputs and Assumptions'!$H$11="Bridge", 0, BI123)</f>
        <v>0</v>
      </c>
      <c r="BJ124" s="462">
        <f>IF('Inputs and Assumptions'!$H$11="Bridge", 0, BJ123)</f>
        <v>0</v>
      </c>
      <c r="BK124" s="462">
        <f>IF('Inputs and Assumptions'!$H$11="Bridge", 0, BK123)</f>
        <v>0</v>
      </c>
      <c r="BL124" s="462">
        <f>IF('Inputs and Assumptions'!$H$11="Bridge", 0, BL123)</f>
        <v>0</v>
      </c>
      <c r="BM124" s="462">
        <f>IF('Inputs and Assumptions'!$H$11="Bridge", 0, BM123)</f>
        <v>0</v>
      </c>
      <c r="BN124" s="462">
        <f>IF('Inputs and Assumptions'!$H$11="Bridge", 0, BN123)</f>
        <v>0</v>
      </c>
      <c r="BO124" s="462">
        <f>IF('Inputs and Assumptions'!$H$11="Bridge", 0, BO123)</f>
        <v>0</v>
      </c>
      <c r="BP124" s="462">
        <f>IF('Inputs and Assumptions'!$H$11="Bridge", 0, BP123)</f>
        <v>0</v>
      </c>
      <c r="BQ124" s="462">
        <f>IF('Inputs and Assumptions'!$H$11="Bridge", 0, BQ123)</f>
        <v>0</v>
      </c>
      <c r="BR124" s="462">
        <f>IF('Inputs and Assumptions'!$H$11="Bridge", 0, BR123)</f>
        <v>0</v>
      </c>
      <c r="BS124" s="462">
        <f>IF('Inputs and Assumptions'!$H$11="Bridge", 0, BS123)</f>
        <v>0</v>
      </c>
      <c r="BT124" s="462">
        <f>IF('Inputs and Assumptions'!$H$11="Bridge", 0, BT123)</f>
        <v>0</v>
      </c>
      <c r="BU124" s="462">
        <f>IF('Inputs and Assumptions'!$H$11="Bridge", 0, BU123)</f>
        <v>0</v>
      </c>
      <c r="BV124" s="462">
        <f>IF('Inputs and Assumptions'!$H$11="Bridge", 0, BV123)</f>
        <v>0</v>
      </c>
      <c r="BW124" s="462">
        <f>IF('Inputs and Assumptions'!$H$11="Bridge", 0, BW123)</f>
        <v>0</v>
      </c>
      <c r="BX124" s="462">
        <f>IF('Inputs and Assumptions'!$H$11="Bridge", 0, BX123)</f>
        <v>0</v>
      </c>
      <c r="BY124" s="462">
        <f>IF('Inputs and Assumptions'!$H$11="Bridge", 0, BY123)</f>
        <v>0</v>
      </c>
      <c r="BZ124" s="462">
        <f>IF('Inputs and Assumptions'!$H$11="Bridge", 0, BZ123)</f>
        <v>0</v>
      </c>
      <c r="CA124" s="462">
        <f>IF('Inputs and Assumptions'!$H$11="Bridge", 0, CA123)</f>
        <v>0</v>
      </c>
      <c r="CB124" s="462">
        <f>IF('Inputs and Assumptions'!$H$11="Bridge", 0, CB123)</f>
        <v>0</v>
      </c>
      <c r="CC124" s="462">
        <f>IF('Inputs and Assumptions'!$H$11="Bridge", 0, CC123)</f>
        <v>0</v>
      </c>
      <c r="CD124" s="462">
        <f>IF('Inputs and Assumptions'!$H$11="Bridge", 0, CD123)</f>
        <v>0</v>
      </c>
      <c r="CE124" s="462">
        <f>IF('Inputs and Assumptions'!$H$11="Bridge", 0, CE123)</f>
        <v>0</v>
      </c>
      <c r="CF124" s="462">
        <f>IF('Inputs and Assumptions'!$H$11="Bridge", 0, CF123)</f>
        <v>0</v>
      </c>
      <c r="CG124" s="462">
        <f>IF('Inputs and Assumptions'!$H$11="Bridge", 0, CG123)</f>
        <v>0</v>
      </c>
      <c r="CH124" s="462">
        <f>IF('Inputs and Assumptions'!$H$11="Bridge", 0, CH123)</f>
        <v>0</v>
      </c>
      <c r="CI124" s="462">
        <f>IF('Inputs and Assumptions'!$H$11="Bridge", 0, CI123)</f>
        <v>0</v>
      </c>
      <c r="CJ124" s="462">
        <f>IF('Inputs and Assumptions'!$H$11="Bridge", 0, CJ123)</f>
        <v>0</v>
      </c>
      <c r="CK124" s="462">
        <f>IF('Inputs and Assumptions'!$H$11="Bridge", 0, CK123)</f>
        <v>0</v>
      </c>
      <c r="CL124" s="462">
        <f>IF('Inputs and Assumptions'!$H$11="Bridge", 0, CL123)</f>
        <v>0</v>
      </c>
      <c r="CM124" s="462">
        <f>IF('Inputs and Assumptions'!$H$11="Bridge", 0, CM123)</f>
        <v>0</v>
      </c>
      <c r="CN124" s="462">
        <f>IF('Inputs and Assumptions'!$H$11="Bridge", 0, CN123)</f>
        <v>0</v>
      </c>
      <c r="CO124" s="462">
        <f>IF('Inputs and Assumptions'!$H$11="Bridge", 0, CO123)</f>
        <v>0</v>
      </c>
      <c r="CP124" s="462">
        <f>IF('Inputs and Assumptions'!$H$11="Bridge", 0, CP123)</f>
        <v>0</v>
      </c>
      <c r="CQ124" s="462">
        <f>IF('Inputs and Assumptions'!$H$11="Bridge", 0, CQ123)</f>
        <v>0</v>
      </c>
      <c r="CR124" s="462">
        <f>IF('Inputs and Assumptions'!$H$11="Bridge", 0, CR123)</f>
        <v>0</v>
      </c>
      <c r="CS124" s="462">
        <f>IF('Inputs and Assumptions'!$H$11="Bridge", 0, CS123)</f>
        <v>0</v>
      </c>
      <c r="CT124" s="462">
        <f>IF('Inputs and Assumptions'!$H$11="Bridge", 0, CT123)</f>
        <v>0</v>
      </c>
      <c r="CU124" s="462">
        <f>IF('Inputs and Assumptions'!$H$11="Bridge", 0, CU123)</f>
        <v>0</v>
      </c>
      <c r="CV124" s="462">
        <f>IF('Inputs and Assumptions'!$H$11="Bridge", 0, CV123)</f>
        <v>0</v>
      </c>
      <c r="CW124" s="462">
        <f>IF('Inputs and Assumptions'!$H$11="Bridge", 0, CW123)</f>
        <v>0</v>
      </c>
      <c r="CX124" s="462">
        <f>IF('Inputs and Assumptions'!$H$11="Bridge", 0, CX123)</f>
        <v>0</v>
      </c>
      <c r="CY124" s="462">
        <f>IF('Inputs and Assumptions'!$H$11="Bridge", 0, CY123)</f>
        <v>0</v>
      </c>
      <c r="CZ124" s="462">
        <f>IF('Inputs and Assumptions'!$H$11="Bridge", 0, CZ123)</f>
        <v>0</v>
      </c>
      <c r="DA124" s="462">
        <f>IF('Inputs and Assumptions'!$H$11="Bridge", 0, DA123)</f>
        <v>0</v>
      </c>
      <c r="DB124" s="462">
        <f>IF('Inputs and Assumptions'!$H$11="Bridge", 0, DB123)</f>
        <v>0</v>
      </c>
      <c r="DC124" s="462">
        <f>IF('Inputs and Assumptions'!$H$11="Bridge", 0, DC123)</f>
        <v>0</v>
      </c>
      <c r="DD124" s="462">
        <f>IF('Inputs and Assumptions'!$H$11="Bridge", 0, DD123)</f>
        <v>0</v>
      </c>
      <c r="DE124" s="462">
        <f>IF('Inputs and Assumptions'!$H$11="Bridge", 0, DE123)</f>
        <v>0</v>
      </c>
      <c r="DF124" s="462">
        <f>IF('Inputs and Assumptions'!$H$11="Bridge", 0, DF123)</f>
        <v>0</v>
      </c>
      <c r="DG124" s="462">
        <f>IF('Inputs and Assumptions'!$H$11="Bridge", 0, DG123)</f>
        <v>0</v>
      </c>
      <c r="DH124" s="462">
        <f>IF('Inputs and Assumptions'!$H$11="Bridge", 0, DH123)</f>
        <v>0</v>
      </c>
      <c r="DI124" s="462">
        <f>IF('Inputs and Assumptions'!$H$11="Bridge", 0, DI123)</f>
        <v>0</v>
      </c>
      <c r="DJ124" s="462">
        <f>IF('Inputs and Assumptions'!$H$11="Bridge", 0, DJ123)</f>
        <v>0</v>
      </c>
      <c r="DK124" s="462">
        <f>IF('Inputs and Assumptions'!$H$11="Bridge", 0, DK123)</f>
        <v>0</v>
      </c>
      <c r="DL124" s="462">
        <f>IF('Inputs and Assumptions'!$H$11="Bridge", 0, DL123)</f>
        <v>0</v>
      </c>
      <c r="DM124" s="462">
        <f>IF('Inputs and Assumptions'!$H$11="Bridge", 0, DM123)</f>
        <v>0</v>
      </c>
      <c r="DN124" s="462">
        <f>IF('Inputs and Assumptions'!$H$11="Bridge", 0, DN123)</f>
        <v>0</v>
      </c>
      <c r="DO124" s="462">
        <f>IF('Inputs and Assumptions'!$H$11="Bridge", 0, DO123)</f>
        <v>0</v>
      </c>
      <c r="DP124" s="462">
        <f>IF('Inputs and Assumptions'!$H$11="Bridge", 0, DP123)</f>
        <v>0</v>
      </c>
      <c r="DQ124" s="462">
        <f>IF('Inputs and Assumptions'!$H$11="Bridge", 0, DQ123)</f>
        <v>0</v>
      </c>
      <c r="DR124" s="462">
        <f>IF('Inputs and Assumptions'!$H$11="Bridge", 0, DR123)</f>
        <v>0</v>
      </c>
      <c r="DS124" s="462">
        <f>IF('Inputs and Assumptions'!$H$11="Bridge", 0, DS123)</f>
        <v>0</v>
      </c>
      <c r="DT124" s="462">
        <f>IF('Inputs and Assumptions'!$H$11="Bridge", 0, DT123)</f>
        <v>0</v>
      </c>
      <c r="DU124" s="464" t="s">
        <v>557</v>
      </c>
    </row>
    <row r="125" spans="2:125" ht="19">
      <c r="B125" s="203" t="s">
        <v>7</v>
      </c>
      <c r="C125" s="463">
        <f>SUM(D125:DT125)</f>
        <v>0</v>
      </c>
      <c r="D125" s="462">
        <f>'Inputs and Assumptions'!G27</f>
        <v>0</v>
      </c>
      <c r="E125" s="462">
        <v>0</v>
      </c>
      <c r="F125" s="462">
        <v>0</v>
      </c>
      <c r="G125" s="462">
        <v>0</v>
      </c>
      <c r="H125" s="462">
        <v>0</v>
      </c>
      <c r="I125" s="462">
        <v>0</v>
      </c>
      <c r="J125" s="462">
        <v>0</v>
      </c>
      <c r="K125" s="462">
        <v>0</v>
      </c>
      <c r="L125" s="462">
        <v>0</v>
      </c>
      <c r="M125" s="462">
        <v>0</v>
      </c>
      <c r="N125" s="462">
        <v>0</v>
      </c>
      <c r="O125" s="462">
        <v>0</v>
      </c>
      <c r="P125" s="462">
        <v>0</v>
      </c>
      <c r="Q125" s="462">
        <v>0</v>
      </c>
      <c r="R125" s="462">
        <v>0</v>
      </c>
      <c r="S125" s="462">
        <v>0</v>
      </c>
      <c r="T125" s="462">
        <v>0</v>
      </c>
      <c r="U125" s="462">
        <v>0</v>
      </c>
      <c r="V125" s="462">
        <v>0</v>
      </c>
      <c r="W125" s="462">
        <v>0</v>
      </c>
      <c r="X125" s="462">
        <v>0</v>
      </c>
      <c r="Y125" s="462">
        <v>0</v>
      </c>
      <c r="Z125" s="462">
        <v>0</v>
      </c>
      <c r="AA125" s="462">
        <v>0</v>
      </c>
      <c r="AB125" s="462">
        <v>0</v>
      </c>
      <c r="AC125" s="462">
        <v>0</v>
      </c>
      <c r="AD125" s="462">
        <v>0</v>
      </c>
      <c r="AE125" s="462">
        <v>0</v>
      </c>
      <c r="AF125" s="462">
        <v>0</v>
      </c>
      <c r="AG125" s="462">
        <v>0</v>
      </c>
      <c r="AH125" s="462">
        <v>0</v>
      </c>
      <c r="AI125" s="462">
        <v>0</v>
      </c>
      <c r="AJ125" s="462">
        <v>0</v>
      </c>
      <c r="AK125" s="462">
        <v>0</v>
      </c>
      <c r="AL125" s="462">
        <v>0</v>
      </c>
      <c r="AM125" s="462">
        <v>0</v>
      </c>
      <c r="AN125" s="462">
        <v>0</v>
      </c>
      <c r="AO125" s="462">
        <v>0</v>
      </c>
      <c r="AP125" s="462">
        <v>0</v>
      </c>
      <c r="AQ125" s="462">
        <v>0</v>
      </c>
      <c r="AR125" s="462">
        <v>0</v>
      </c>
      <c r="AS125" s="462">
        <v>0</v>
      </c>
      <c r="AT125" s="462">
        <v>0</v>
      </c>
      <c r="AU125" s="462">
        <v>0</v>
      </c>
      <c r="AV125" s="462">
        <v>0</v>
      </c>
      <c r="AW125" s="462">
        <v>0</v>
      </c>
      <c r="AX125" s="462">
        <v>0</v>
      </c>
      <c r="AY125" s="462">
        <v>0</v>
      </c>
      <c r="AZ125" s="462">
        <v>0</v>
      </c>
      <c r="BA125" s="462">
        <v>0</v>
      </c>
      <c r="BB125" s="462">
        <v>0</v>
      </c>
      <c r="BC125" s="462">
        <v>0</v>
      </c>
      <c r="BD125" s="462">
        <v>0</v>
      </c>
      <c r="BE125" s="462">
        <v>0</v>
      </c>
      <c r="BF125" s="462">
        <v>0</v>
      </c>
      <c r="BG125" s="462">
        <v>0</v>
      </c>
      <c r="BH125" s="462">
        <v>0</v>
      </c>
      <c r="BI125" s="462">
        <v>0</v>
      </c>
      <c r="BJ125" s="462">
        <v>0</v>
      </c>
      <c r="BK125" s="462">
        <v>0</v>
      </c>
      <c r="BL125" s="462">
        <v>0</v>
      </c>
      <c r="BM125" s="462">
        <v>0</v>
      </c>
      <c r="BN125" s="462">
        <v>0</v>
      </c>
      <c r="BO125" s="462">
        <v>0</v>
      </c>
      <c r="BP125" s="462">
        <v>0</v>
      </c>
      <c r="BQ125" s="462">
        <v>0</v>
      </c>
      <c r="BR125" s="462">
        <v>0</v>
      </c>
      <c r="BS125" s="462">
        <v>0</v>
      </c>
      <c r="BT125" s="462">
        <v>0</v>
      </c>
      <c r="BU125" s="462">
        <v>0</v>
      </c>
      <c r="BV125" s="462">
        <v>0</v>
      </c>
      <c r="BW125" s="462">
        <v>0</v>
      </c>
      <c r="BX125" s="462">
        <v>0</v>
      </c>
      <c r="BY125" s="462">
        <v>0</v>
      </c>
      <c r="BZ125" s="462">
        <v>0</v>
      </c>
      <c r="CA125" s="462">
        <v>0</v>
      </c>
      <c r="CB125" s="462">
        <v>0</v>
      </c>
      <c r="CC125" s="462">
        <v>0</v>
      </c>
      <c r="CD125" s="462">
        <v>0</v>
      </c>
      <c r="CE125" s="462">
        <v>0</v>
      </c>
      <c r="CF125" s="462">
        <v>0</v>
      </c>
      <c r="CG125" s="462">
        <v>0</v>
      </c>
      <c r="CH125" s="462">
        <v>0</v>
      </c>
      <c r="CI125" s="462">
        <v>0</v>
      </c>
      <c r="CJ125" s="462">
        <v>0</v>
      </c>
      <c r="CK125" s="462">
        <v>0</v>
      </c>
      <c r="CL125" s="462">
        <v>0</v>
      </c>
      <c r="CM125" s="462">
        <v>0</v>
      </c>
      <c r="CN125" s="462">
        <v>0</v>
      </c>
      <c r="CO125" s="462">
        <v>0</v>
      </c>
      <c r="CP125" s="462">
        <v>0</v>
      </c>
      <c r="CQ125" s="462">
        <v>0</v>
      </c>
      <c r="CR125" s="462">
        <v>0</v>
      </c>
      <c r="CS125" s="462">
        <v>0</v>
      </c>
      <c r="CT125" s="462">
        <v>0</v>
      </c>
      <c r="CU125" s="462">
        <v>0</v>
      </c>
      <c r="CV125" s="462">
        <v>0</v>
      </c>
      <c r="CW125" s="462">
        <v>0</v>
      </c>
      <c r="CX125" s="462">
        <v>0</v>
      </c>
      <c r="CY125" s="462">
        <v>0</v>
      </c>
      <c r="CZ125" s="462">
        <v>0</v>
      </c>
      <c r="DA125" s="462">
        <v>0</v>
      </c>
      <c r="DB125" s="462">
        <v>0</v>
      </c>
      <c r="DC125" s="462">
        <v>0</v>
      </c>
      <c r="DD125" s="462">
        <v>0</v>
      </c>
      <c r="DE125" s="462">
        <v>0</v>
      </c>
      <c r="DF125" s="462">
        <v>0</v>
      </c>
      <c r="DG125" s="462">
        <v>0</v>
      </c>
      <c r="DH125" s="462">
        <v>0</v>
      </c>
      <c r="DI125" s="462">
        <v>0</v>
      </c>
      <c r="DJ125" s="462">
        <v>0</v>
      </c>
      <c r="DK125" s="462">
        <v>0</v>
      </c>
      <c r="DL125" s="462">
        <v>0</v>
      </c>
      <c r="DM125" s="462">
        <v>0</v>
      </c>
      <c r="DN125" s="462">
        <v>0</v>
      </c>
      <c r="DO125" s="462">
        <v>0</v>
      </c>
      <c r="DP125" s="462">
        <v>0</v>
      </c>
      <c r="DQ125" s="462">
        <v>0</v>
      </c>
      <c r="DR125" s="462">
        <v>0</v>
      </c>
      <c r="DS125" s="462">
        <v>0</v>
      </c>
      <c r="DT125" s="462">
        <v>0</v>
      </c>
      <c r="DU125" s="464" t="s">
        <v>557</v>
      </c>
    </row>
    <row r="126" spans="2:125" ht="19">
      <c r="B126" s="203" t="s">
        <v>1103</v>
      </c>
      <c r="C126" s="465">
        <f>SUM(D126:DT126)</f>
        <v>35000000</v>
      </c>
      <c r="D126" s="462">
        <f>IF('Inputs and Assumptions'!$H$11="Bridge",'Debt Sizing'!N58,IF('Inputs and Assumptions'!$H$11="Agency",'Debt Sizing'!P58,'Inputs and Assumptions'!H19))</f>
        <v>35000000</v>
      </c>
      <c r="E126" s="462">
        <f>IF('Inputs and Assumptions'!$H$11="Bridge", 'Monthly Cash Flow'!E123,0)</f>
        <v>0</v>
      </c>
      <c r="F126" s="462">
        <f>IF('Inputs and Assumptions'!$H$11="Bridge", 'Monthly Cash Flow'!F123,0)</f>
        <v>0</v>
      </c>
      <c r="G126" s="462">
        <f>IF('Inputs and Assumptions'!$H$11="Bridge", 'Monthly Cash Flow'!G123,0)</f>
        <v>0</v>
      </c>
      <c r="H126" s="462">
        <f>IF('Inputs and Assumptions'!$H$11="Bridge", 'Monthly Cash Flow'!H123,0)</f>
        <v>0</v>
      </c>
      <c r="I126" s="462">
        <f>IF('Inputs and Assumptions'!$H$11="Bridge", 'Monthly Cash Flow'!I123,0)</f>
        <v>0</v>
      </c>
      <c r="J126" s="462">
        <f>IF('Inputs and Assumptions'!$H$11="Bridge", 'Monthly Cash Flow'!J123,0)</f>
        <v>0</v>
      </c>
      <c r="K126" s="462">
        <f>IF('Inputs and Assumptions'!$H$11="Bridge", 'Monthly Cash Flow'!K123,0)</f>
        <v>0</v>
      </c>
      <c r="L126" s="462">
        <f>IF('Inputs and Assumptions'!$H$11="Bridge", 'Monthly Cash Flow'!L123,0)</f>
        <v>0</v>
      </c>
      <c r="M126" s="462">
        <f>IF('Inputs and Assumptions'!$H$11="Bridge", 'Monthly Cash Flow'!M123,0)</f>
        <v>0</v>
      </c>
      <c r="N126" s="462">
        <f>IF('Inputs and Assumptions'!$H$11="Bridge", 'Monthly Cash Flow'!N123,0)</f>
        <v>0</v>
      </c>
      <c r="O126" s="462">
        <f>IF('Inputs and Assumptions'!$H$11="Bridge", 'Monthly Cash Flow'!O123,0)</f>
        <v>0</v>
      </c>
      <c r="P126" s="462">
        <f>IF('Inputs and Assumptions'!$H$11="Bridge", 'Monthly Cash Flow'!P123,0)</f>
        <v>0</v>
      </c>
      <c r="Q126" s="462">
        <f>IF('Inputs and Assumptions'!$H$11="Bridge", 'Monthly Cash Flow'!Q123,0)</f>
        <v>0</v>
      </c>
      <c r="R126" s="462">
        <f>IF('Inputs and Assumptions'!$H$11="Bridge", 'Monthly Cash Flow'!R123,0)</f>
        <v>0</v>
      </c>
      <c r="S126" s="462">
        <f>IF('Inputs and Assumptions'!$H$11="Bridge", 'Monthly Cash Flow'!S123,0)</f>
        <v>0</v>
      </c>
      <c r="T126" s="462">
        <f>IF('Inputs and Assumptions'!$H$11="Bridge", 'Monthly Cash Flow'!T123,0)</f>
        <v>0</v>
      </c>
      <c r="U126" s="462">
        <f>IF('Inputs and Assumptions'!$H$11="Bridge", 'Monthly Cash Flow'!U123,0)</f>
        <v>0</v>
      </c>
      <c r="V126" s="462">
        <f>IF('Inputs and Assumptions'!$H$11="Bridge", 'Monthly Cash Flow'!V123,0)</f>
        <v>0</v>
      </c>
      <c r="W126" s="462">
        <f>IF('Inputs and Assumptions'!$H$11="Bridge", 'Monthly Cash Flow'!W123,0)</f>
        <v>0</v>
      </c>
      <c r="X126" s="462">
        <f>IF('Inputs and Assumptions'!$H$11="Bridge", 'Monthly Cash Flow'!X123,0)</f>
        <v>0</v>
      </c>
      <c r="Y126" s="462">
        <f>IF('Inputs and Assumptions'!$H$11="Bridge", 'Monthly Cash Flow'!Y123,0)</f>
        <v>0</v>
      </c>
      <c r="Z126" s="462">
        <f>IF('Inputs and Assumptions'!$H$11="Bridge", 'Monthly Cash Flow'!Z123,0)</f>
        <v>0</v>
      </c>
      <c r="AA126" s="462">
        <f>IF('Inputs and Assumptions'!$H$11="Bridge", 'Monthly Cash Flow'!AA123,0)</f>
        <v>0</v>
      </c>
      <c r="AB126" s="462">
        <f>IF('Inputs and Assumptions'!$H$11="Bridge", 'Monthly Cash Flow'!AB123,0)</f>
        <v>0</v>
      </c>
      <c r="AC126" s="462">
        <f>IF('Inputs and Assumptions'!$H$11="Bridge", 'Monthly Cash Flow'!AC123,0)</f>
        <v>0</v>
      </c>
      <c r="AD126" s="462">
        <f>IF('Inputs and Assumptions'!$H$11="Bridge", 'Monthly Cash Flow'!AD123,0)</f>
        <v>0</v>
      </c>
      <c r="AE126" s="462">
        <f>IF('Inputs and Assumptions'!$H$11="Bridge", 'Monthly Cash Flow'!AE123,0)</f>
        <v>0</v>
      </c>
      <c r="AF126" s="462">
        <f>IF('Inputs and Assumptions'!$H$11="Bridge", 'Monthly Cash Flow'!AF123,0)</f>
        <v>0</v>
      </c>
      <c r="AG126" s="462">
        <f>IF('Inputs and Assumptions'!$H$11="Bridge", 'Monthly Cash Flow'!AG123,0)</f>
        <v>0</v>
      </c>
      <c r="AH126" s="462">
        <f>IF('Inputs and Assumptions'!$H$11="Bridge", 'Monthly Cash Flow'!AH123,0)</f>
        <v>0</v>
      </c>
      <c r="AI126" s="462">
        <f>IF('Inputs and Assumptions'!$H$11="Bridge", 'Monthly Cash Flow'!AI123,0)</f>
        <v>0</v>
      </c>
      <c r="AJ126" s="462">
        <f>IF('Inputs and Assumptions'!$H$11="Bridge", 'Monthly Cash Flow'!AJ123,0)</f>
        <v>0</v>
      </c>
      <c r="AK126" s="462">
        <f>IF('Inputs and Assumptions'!$H$11="Bridge", 'Monthly Cash Flow'!AK123,0)</f>
        <v>0</v>
      </c>
      <c r="AL126" s="462">
        <f>IF('Inputs and Assumptions'!$H$11="Bridge", 'Monthly Cash Flow'!AL123,0)</f>
        <v>0</v>
      </c>
      <c r="AM126" s="462">
        <f>IF('Inputs and Assumptions'!$H$11="Bridge", 'Monthly Cash Flow'!AM123,0)</f>
        <v>0</v>
      </c>
      <c r="AN126" s="462">
        <f>IF('Inputs and Assumptions'!$H$11="Bridge", 'Monthly Cash Flow'!AN123,0)</f>
        <v>0</v>
      </c>
      <c r="AO126" s="462">
        <f>IF('Inputs and Assumptions'!$H$11="Bridge", 'Monthly Cash Flow'!AO123,0)</f>
        <v>0</v>
      </c>
      <c r="AP126" s="462">
        <f>IF('Inputs and Assumptions'!$H$11="Bridge", 'Monthly Cash Flow'!AP123,0)</f>
        <v>0</v>
      </c>
      <c r="AQ126" s="462">
        <f>IF('Inputs and Assumptions'!$H$11="Bridge", 'Monthly Cash Flow'!AQ123,0)</f>
        <v>0</v>
      </c>
      <c r="AR126" s="462">
        <f>IF('Inputs and Assumptions'!$H$11="Bridge", 'Monthly Cash Flow'!AR123,0)</f>
        <v>0</v>
      </c>
      <c r="AS126" s="462">
        <f>IF('Inputs and Assumptions'!$H$11="Bridge", 'Monthly Cash Flow'!AS123,0)</f>
        <v>0</v>
      </c>
      <c r="AT126" s="462">
        <f>IF('Inputs and Assumptions'!$H$11="Bridge", 'Monthly Cash Flow'!AT123,0)</f>
        <v>0</v>
      </c>
      <c r="AU126" s="462">
        <f>IF('Inputs and Assumptions'!$H$11="Bridge", 'Monthly Cash Flow'!AU123,0)</f>
        <v>0</v>
      </c>
      <c r="AV126" s="462">
        <f>IF('Inputs and Assumptions'!$H$11="Bridge", 'Monthly Cash Flow'!AV123,0)</f>
        <v>0</v>
      </c>
      <c r="AW126" s="462">
        <f>IF('Inputs and Assumptions'!$H$11="Bridge", 'Monthly Cash Flow'!AW123,0)</f>
        <v>0</v>
      </c>
      <c r="AX126" s="462">
        <f>IF('Inputs and Assumptions'!$H$11="Bridge", 'Monthly Cash Flow'!AX123,0)</f>
        <v>0</v>
      </c>
      <c r="AY126" s="462">
        <f>IF('Inputs and Assumptions'!$H$11="Bridge", 'Monthly Cash Flow'!AY123,0)</f>
        <v>0</v>
      </c>
      <c r="AZ126" s="462">
        <f>IF('Inputs and Assumptions'!$H$11="Bridge", 'Monthly Cash Flow'!AZ123,0)</f>
        <v>0</v>
      </c>
      <c r="BA126" s="462">
        <f>IF('Inputs and Assumptions'!$H$11="Bridge", 'Monthly Cash Flow'!BA123,0)</f>
        <v>0</v>
      </c>
      <c r="BB126" s="462">
        <f>IF('Inputs and Assumptions'!$H$11="Bridge", 'Monthly Cash Flow'!BB123,0)</f>
        <v>0</v>
      </c>
      <c r="BC126" s="462">
        <f>IF('Inputs and Assumptions'!$H$11="Bridge", 'Monthly Cash Flow'!BC123,0)</f>
        <v>0</v>
      </c>
      <c r="BD126" s="462">
        <f>IF('Inputs and Assumptions'!$H$11="Bridge", 'Monthly Cash Flow'!BD123,0)</f>
        <v>0</v>
      </c>
      <c r="BE126" s="462">
        <f>IF('Inputs and Assumptions'!$H$11="Bridge", 'Monthly Cash Flow'!BE123,0)</f>
        <v>0</v>
      </c>
      <c r="BF126" s="462">
        <f>IF('Inputs and Assumptions'!$H$11="Bridge", 'Monthly Cash Flow'!BF123,0)</f>
        <v>0</v>
      </c>
      <c r="BG126" s="462">
        <f>IF('Inputs and Assumptions'!$H$11="Bridge", 'Monthly Cash Flow'!BG123,0)</f>
        <v>0</v>
      </c>
      <c r="BH126" s="462">
        <f>IF('Inputs and Assumptions'!$H$11="Bridge", 'Monthly Cash Flow'!BH123,0)</f>
        <v>0</v>
      </c>
      <c r="BI126" s="462">
        <f>IF('Inputs and Assumptions'!$H$11="Bridge", 'Monthly Cash Flow'!BI123,0)</f>
        <v>0</v>
      </c>
      <c r="BJ126" s="462">
        <f>IF('Inputs and Assumptions'!$H$11="Bridge", 'Monthly Cash Flow'!BJ123,0)</f>
        <v>0</v>
      </c>
      <c r="BK126" s="462">
        <f>IF('Inputs and Assumptions'!$H$11="Bridge", 'Monthly Cash Flow'!BK123,0)</f>
        <v>0</v>
      </c>
      <c r="BL126" s="462">
        <f>IF('Inputs and Assumptions'!$H$11="Bridge", 'Monthly Cash Flow'!BL123,0)</f>
        <v>0</v>
      </c>
      <c r="BM126" s="462">
        <f>IF('Inputs and Assumptions'!$H$11="Bridge", 'Monthly Cash Flow'!BM123,0)</f>
        <v>0</v>
      </c>
      <c r="BN126" s="462">
        <f>IF('Inputs and Assumptions'!$H$11="Bridge", 'Monthly Cash Flow'!BN123,0)</f>
        <v>0</v>
      </c>
      <c r="BO126" s="462">
        <f>IF('Inputs and Assumptions'!$H$11="Bridge", 'Monthly Cash Flow'!BO123,0)</f>
        <v>0</v>
      </c>
      <c r="BP126" s="462">
        <f>IF('Inputs and Assumptions'!$H$11="Bridge", 'Monthly Cash Flow'!BP123,0)</f>
        <v>0</v>
      </c>
      <c r="BQ126" s="462">
        <f>IF('Inputs and Assumptions'!$H$11="Bridge", 'Monthly Cash Flow'!BQ123,0)</f>
        <v>0</v>
      </c>
      <c r="BR126" s="462">
        <f>IF('Inputs and Assumptions'!$H$11="Bridge", 'Monthly Cash Flow'!BR123,0)</f>
        <v>0</v>
      </c>
      <c r="BS126" s="462">
        <f>IF('Inputs and Assumptions'!$H$11="Bridge", 'Monthly Cash Flow'!BS123,0)</f>
        <v>0</v>
      </c>
      <c r="BT126" s="462">
        <f>IF('Inputs and Assumptions'!$H$11="Bridge", 'Monthly Cash Flow'!BT123,0)</f>
        <v>0</v>
      </c>
      <c r="BU126" s="462">
        <f>IF('Inputs and Assumptions'!$H$11="Bridge", 'Monthly Cash Flow'!BU123,0)</f>
        <v>0</v>
      </c>
      <c r="BV126" s="462">
        <f>IF('Inputs and Assumptions'!$H$11="Bridge", 'Monthly Cash Flow'!BV123,0)</f>
        <v>0</v>
      </c>
      <c r="BW126" s="462">
        <f>IF('Inputs and Assumptions'!$H$11="Bridge", 'Monthly Cash Flow'!BW123,0)</f>
        <v>0</v>
      </c>
      <c r="BX126" s="462">
        <f>IF('Inputs and Assumptions'!$H$11="Bridge", 'Monthly Cash Flow'!BX123,0)</f>
        <v>0</v>
      </c>
      <c r="BY126" s="462">
        <f>IF('Inputs and Assumptions'!$H$11="Bridge", 'Monthly Cash Flow'!BY123,0)</f>
        <v>0</v>
      </c>
      <c r="BZ126" s="462">
        <f>IF('Inputs and Assumptions'!$H$11="Bridge", 'Monthly Cash Flow'!BZ123,0)</f>
        <v>0</v>
      </c>
      <c r="CA126" s="462">
        <f>IF('Inputs and Assumptions'!$H$11="Bridge", 'Monthly Cash Flow'!CA123,0)</f>
        <v>0</v>
      </c>
      <c r="CB126" s="462">
        <f>IF('Inputs and Assumptions'!$H$11="Bridge", 'Monthly Cash Flow'!CB123,0)</f>
        <v>0</v>
      </c>
      <c r="CC126" s="462">
        <f>IF('Inputs and Assumptions'!$H$11="Bridge", 'Monthly Cash Flow'!CC123,0)</f>
        <v>0</v>
      </c>
      <c r="CD126" s="462">
        <f>IF('Inputs and Assumptions'!$H$11="Bridge", 'Monthly Cash Flow'!CD123,0)</f>
        <v>0</v>
      </c>
      <c r="CE126" s="462">
        <f>IF('Inputs and Assumptions'!$H$11="Bridge", 'Monthly Cash Flow'!CE123,0)</f>
        <v>0</v>
      </c>
      <c r="CF126" s="462">
        <f>IF('Inputs and Assumptions'!$H$11="Bridge", 'Monthly Cash Flow'!CF123,0)</f>
        <v>0</v>
      </c>
      <c r="CG126" s="462">
        <f>IF('Inputs and Assumptions'!$H$11="Bridge", 'Monthly Cash Flow'!CG123,0)</f>
        <v>0</v>
      </c>
      <c r="CH126" s="462">
        <f>IF('Inputs and Assumptions'!$H$11="Bridge", 'Monthly Cash Flow'!CH123,0)</f>
        <v>0</v>
      </c>
      <c r="CI126" s="462">
        <f>IF('Inputs and Assumptions'!$H$11="Bridge", 'Monthly Cash Flow'!CI123,0)</f>
        <v>0</v>
      </c>
      <c r="CJ126" s="462">
        <f>IF('Inputs and Assumptions'!$H$11="Bridge", 'Monthly Cash Flow'!CJ123,0)</f>
        <v>0</v>
      </c>
      <c r="CK126" s="462">
        <f>IF('Inputs and Assumptions'!$H$11="Bridge", 'Monthly Cash Flow'!CK123,0)</f>
        <v>0</v>
      </c>
      <c r="CL126" s="462">
        <f>IF('Inputs and Assumptions'!$H$11="Bridge", 'Monthly Cash Flow'!CL123,0)</f>
        <v>0</v>
      </c>
      <c r="CM126" s="462">
        <f>IF('Inputs and Assumptions'!$H$11="Bridge", 'Monthly Cash Flow'!CM123,0)</f>
        <v>0</v>
      </c>
      <c r="CN126" s="462">
        <f>IF('Inputs and Assumptions'!$H$11="Bridge", 'Monthly Cash Flow'!CN123,0)</f>
        <v>0</v>
      </c>
      <c r="CO126" s="462">
        <f>IF('Inputs and Assumptions'!$H$11="Bridge", 'Monthly Cash Flow'!CO123,0)</f>
        <v>0</v>
      </c>
      <c r="CP126" s="462">
        <f>IF('Inputs and Assumptions'!$H$11="Bridge", 'Monthly Cash Flow'!CP123,0)</f>
        <v>0</v>
      </c>
      <c r="CQ126" s="462">
        <f>IF('Inputs and Assumptions'!$H$11="Bridge", 'Monthly Cash Flow'!CQ123,0)</f>
        <v>0</v>
      </c>
      <c r="CR126" s="462">
        <f>IF('Inputs and Assumptions'!$H$11="Bridge", 'Monthly Cash Flow'!CR123,0)</f>
        <v>0</v>
      </c>
      <c r="CS126" s="462">
        <f>IF('Inputs and Assumptions'!$H$11="Bridge", 'Monthly Cash Flow'!CS123,0)</f>
        <v>0</v>
      </c>
      <c r="CT126" s="462">
        <f>IF('Inputs and Assumptions'!$H$11="Bridge", 'Monthly Cash Flow'!CT123,0)</f>
        <v>0</v>
      </c>
      <c r="CU126" s="462">
        <f>IF('Inputs and Assumptions'!$H$11="Bridge", 'Monthly Cash Flow'!CU123,0)</f>
        <v>0</v>
      </c>
      <c r="CV126" s="462">
        <f>IF('Inputs and Assumptions'!$H$11="Bridge", 'Monthly Cash Flow'!CV123,0)</f>
        <v>0</v>
      </c>
      <c r="CW126" s="462">
        <f>IF('Inputs and Assumptions'!$H$11="Bridge", 'Monthly Cash Flow'!CW123,0)</f>
        <v>0</v>
      </c>
      <c r="CX126" s="462">
        <f>IF('Inputs and Assumptions'!$H$11="Bridge", 'Monthly Cash Flow'!CX123,0)</f>
        <v>0</v>
      </c>
      <c r="CY126" s="462">
        <f>IF('Inputs and Assumptions'!$H$11="Bridge", 'Monthly Cash Flow'!CY123,0)</f>
        <v>0</v>
      </c>
      <c r="CZ126" s="462">
        <f>IF('Inputs and Assumptions'!$H$11="Bridge", 'Monthly Cash Flow'!CZ123,0)</f>
        <v>0</v>
      </c>
      <c r="DA126" s="462">
        <f>IF('Inputs and Assumptions'!$H$11="Bridge", 'Monthly Cash Flow'!DA123,0)</f>
        <v>0</v>
      </c>
      <c r="DB126" s="462">
        <f>IF('Inputs and Assumptions'!$H$11="Bridge", 'Monthly Cash Flow'!DB123,0)</f>
        <v>0</v>
      </c>
      <c r="DC126" s="462">
        <f>IF('Inputs and Assumptions'!$H$11="Bridge", 'Monthly Cash Flow'!DC123,0)</f>
        <v>0</v>
      </c>
      <c r="DD126" s="462">
        <f>IF('Inputs and Assumptions'!$H$11="Bridge", 'Monthly Cash Flow'!DD123,0)</f>
        <v>0</v>
      </c>
      <c r="DE126" s="462">
        <f>IF('Inputs and Assumptions'!$H$11="Bridge", 'Monthly Cash Flow'!DE123,0)</f>
        <v>0</v>
      </c>
      <c r="DF126" s="462">
        <f>IF('Inputs and Assumptions'!$H$11="Bridge", 'Monthly Cash Flow'!DF123,0)</f>
        <v>0</v>
      </c>
      <c r="DG126" s="462">
        <f>IF('Inputs and Assumptions'!$H$11="Bridge", 'Monthly Cash Flow'!DG123,0)</f>
        <v>0</v>
      </c>
      <c r="DH126" s="462">
        <f>IF('Inputs and Assumptions'!$H$11="Bridge", 'Monthly Cash Flow'!DH123,0)</f>
        <v>0</v>
      </c>
      <c r="DI126" s="462">
        <f>IF('Inputs and Assumptions'!$H$11="Bridge", 'Monthly Cash Flow'!DI123,0)</f>
        <v>0</v>
      </c>
      <c r="DJ126" s="462">
        <f>IF('Inputs and Assumptions'!$H$11="Bridge", 'Monthly Cash Flow'!DJ123,0)</f>
        <v>0</v>
      </c>
      <c r="DK126" s="462">
        <f>IF('Inputs and Assumptions'!$H$11="Bridge", 'Monthly Cash Flow'!DK123,0)</f>
        <v>0</v>
      </c>
      <c r="DL126" s="462">
        <f>IF('Inputs and Assumptions'!$H$11="Bridge", 'Monthly Cash Flow'!DL123,0)</f>
        <v>0</v>
      </c>
      <c r="DM126" s="462">
        <f>IF('Inputs and Assumptions'!$H$11="Bridge", 'Monthly Cash Flow'!DM123,0)</f>
        <v>0</v>
      </c>
      <c r="DN126" s="462">
        <f>IF('Inputs and Assumptions'!$H$11="Bridge", 'Monthly Cash Flow'!DN123,0)</f>
        <v>0</v>
      </c>
      <c r="DO126" s="462">
        <f>IF('Inputs and Assumptions'!$H$11="Bridge", 'Monthly Cash Flow'!DO123,0)</f>
        <v>0</v>
      </c>
      <c r="DP126" s="462">
        <f>IF('Inputs and Assumptions'!$H$11="Bridge", 'Monthly Cash Flow'!DP123,0)</f>
        <v>0</v>
      </c>
      <c r="DQ126" s="462">
        <f>IF('Inputs and Assumptions'!$H$11="Bridge", 'Monthly Cash Flow'!DQ123,0)</f>
        <v>0</v>
      </c>
      <c r="DR126" s="462">
        <f>IF('Inputs and Assumptions'!$H$11="Bridge", 'Monthly Cash Flow'!DR123,0)</f>
        <v>0</v>
      </c>
      <c r="DS126" s="462">
        <f>IF('Inputs and Assumptions'!$H$11="Bridge", 'Monthly Cash Flow'!DS123,0)</f>
        <v>0</v>
      </c>
      <c r="DT126" s="462">
        <f>IF('Inputs and Assumptions'!$H$11="Bridge", 'Monthly Cash Flow'!DT123,0)</f>
        <v>0</v>
      </c>
      <c r="DU126" s="464" t="s">
        <v>557</v>
      </c>
    </row>
    <row r="127" spans="2:125" ht="19">
      <c r="B127" s="466" t="s">
        <v>595</v>
      </c>
      <c r="C127" s="465">
        <f ca="1">SUM(C124:C126)</f>
        <v>55296000</v>
      </c>
      <c r="D127" s="437"/>
      <c r="E127" s="438"/>
      <c r="F127" s="438"/>
      <c r="G127" s="438"/>
      <c r="H127" s="438"/>
      <c r="I127" s="438"/>
      <c r="J127" s="438"/>
      <c r="K127" s="438"/>
      <c r="L127" s="438"/>
      <c r="M127" s="438"/>
      <c r="N127" s="438"/>
      <c r="O127" s="438"/>
      <c r="P127" s="438"/>
      <c r="Q127" s="438"/>
      <c r="R127" s="438"/>
      <c r="S127" s="438"/>
      <c r="T127" s="438"/>
      <c r="U127" s="438"/>
      <c r="V127" s="438"/>
      <c r="W127" s="438"/>
      <c r="X127" s="438"/>
      <c r="Y127" s="438"/>
      <c r="Z127" s="438"/>
      <c r="AA127" s="438"/>
      <c r="AB127" s="438"/>
      <c r="AC127" s="438"/>
      <c r="AD127" s="438"/>
      <c r="AE127" s="438"/>
      <c r="AF127" s="438"/>
      <c r="AG127" s="438"/>
      <c r="AH127" s="438"/>
      <c r="AI127" s="438"/>
      <c r="AJ127" s="438"/>
      <c r="AK127" s="438"/>
      <c r="AL127" s="438"/>
      <c r="AM127" s="438"/>
      <c r="AN127" s="438"/>
      <c r="AO127" s="438"/>
      <c r="AP127" s="438"/>
      <c r="AQ127" s="438"/>
      <c r="AR127" s="438"/>
      <c r="AS127" s="438"/>
      <c r="AT127" s="438"/>
      <c r="AU127" s="438"/>
      <c r="AV127" s="438"/>
      <c r="AW127" s="438"/>
      <c r="AX127" s="438"/>
      <c r="AY127" s="438"/>
      <c r="AZ127" s="438"/>
      <c r="BA127" s="438"/>
      <c r="BB127" s="438"/>
      <c r="BC127" s="438"/>
      <c r="BD127" s="438"/>
      <c r="BE127" s="438"/>
      <c r="BF127" s="438"/>
      <c r="BG127" s="438"/>
      <c r="BH127" s="438"/>
      <c r="BI127" s="438"/>
      <c r="BJ127" s="438"/>
      <c r="BK127" s="438"/>
      <c r="BL127" s="438"/>
      <c r="BM127" s="438"/>
      <c r="BN127" s="438"/>
      <c r="BO127" s="438"/>
      <c r="BP127" s="438"/>
      <c r="BQ127" s="438"/>
      <c r="BR127" s="438"/>
      <c r="BS127" s="438"/>
      <c r="BT127" s="438"/>
      <c r="BU127" s="438"/>
      <c r="BV127" s="438"/>
      <c r="BW127" s="438"/>
      <c r="BX127" s="438"/>
      <c r="BY127" s="438"/>
      <c r="BZ127" s="438"/>
      <c r="CA127" s="438"/>
      <c r="CB127" s="438"/>
      <c r="CC127" s="438"/>
      <c r="CD127" s="438"/>
      <c r="CE127" s="438"/>
      <c r="CF127" s="438"/>
      <c r="CG127" s="438"/>
      <c r="CH127" s="438"/>
      <c r="CI127" s="438"/>
      <c r="CJ127" s="438"/>
      <c r="CK127" s="438"/>
      <c r="CL127" s="438"/>
      <c r="CM127" s="438"/>
      <c r="CN127" s="438"/>
      <c r="CO127" s="438"/>
      <c r="CP127" s="438"/>
      <c r="CQ127" s="438"/>
      <c r="CR127" s="438"/>
      <c r="CS127" s="438"/>
      <c r="CT127" s="438"/>
      <c r="CU127" s="438"/>
      <c r="CV127" s="438"/>
      <c r="CW127" s="438"/>
      <c r="CX127" s="438"/>
      <c r="CY127" s="438"/>
      <c r="CZ127" s="438"/>
      <c r="DA127" s="438"/>
      <c r="DB127" s="438"/>
      <c r="DC127" s="438"/>
      <c r="DD127" s="438"/>
      <c r="DE127" s="438"/>
      <c r="DF127" s="438"/>
      <c r="DG127" s="438"/>
      <c r="DH127" s="438"/>
      <c r="DI127" s="438"/>
      <c r="DJ127" s="438"/>
      <c r="DK127" s="438"/>
      <c r="DL127" s="438"/>
      <c r="DM127" s="438"/>
      <c r="DN127" s="438"/>
      <c r="DO127" s="438"/>
      <c r="DP127" s="438"/>
      <c r="DQ127" s="438"/>
      <c r="DR127" s="438"/>
      <c r="DS127" s="438"/>
      <c r="DT127" s="438"/>
      <c r="DU127" s="439"/>
    </row>
    <row r="128" spans="2:125" ht="19">
      <c r="D128" s="437"/>
      <c r="E128" s="438"/>
      <c r="F128" s="438"/>
      <c r="G128" s="438"/>
      <c r="H128" s="438"/>
      <c r="I128" s="438"/>
      <c r="J128" s="438"/>
      <c r="K128" s="438"/>
      <c r="L128" s="438"/>
      <c r="M128" s="438"/>
      <c r="N128" s="438"/>
      <c r="O128" s="438"/>
      <c r="P128" s="438"/>
      <c r="Q128" s="438"/>
      <c r="R128" s="438"/>
      <c r="S128" s="438"/>
      <c r="T128" s="438"/>
      <c r="U128" s="438"/>
      <c r="V128" s="438"/>
      <c r="W128" s="438"/>
      <c r="X128" s="438"/>
      <c r="Y128" s="438"/>
      <c r="Z128" s="438"/>
      <c r="AA128" s="438"/>
      <c r="AB128" s="438"/>
      <c r="AC128" s="438"/>
      <c r="AD128" s="438"/>
      <c r="AE128" s="438"/>
      <c r="AF128" s="438"/>
      <c r="AG128" s="438"/>
      <c r="AH128" s="438"/>
      <c r="AI128" s="438"/>
      <c r="AJ128" s="438"/>
      <c r="AK128" s="438"/>
      <c r="AL128" s="438"/>
      <c r="AM128" s="438"/>
      <c r="AN128" s="438"/>
      <c r="AO128" s="438"/>
      <c r="AP128" s="438"/>
      <c r="AQ128" s="438"/>
      <c r="AR128" s="438"/>
      <c r="AS128" s="438"/>
      <c r="AT128" s="438"/>
      <c r="AU128" s="438"/>
      <c r="AV128" s="438"/>
      <c r="AW128" s="438"/>
      <c r="AX128" s="438"/>
      <c r="AY128" s="438"/>
      <c r="AZ128" s="438"/>
      <c r="BA128" s="438"/>
      <c r="BB128" s="438"/>
      <c r="BC128" s="438"/>
      <c r="BD128" s="438"/>
      <c r="BE128" s="438"/>
      <c r="BF128" s="438"/>
      <c r="BG128" s="438"/>
      <c r="BH128" s="438"/>
      <c r="BI128" s="438"/>
      <c r="BJ128" s="438"/>
      <c r="BK128" s="438"/>
      <c r="BL128" s="438"/>
      <c r="BM128" s="438"/>
      <c r="BN128" s="438"/>
      <c r="BO128" s="438"/>
      <c r="BP128" s="438"/>
      <c r="BQ128" s="438"/>
      <c r="BR128" s="438"/>
      <c r="BS128" s="438"/>
      <c r="BT128" s="438"/>
      <c r="BU128" s="438"/>
      <c r="BV128" s="438"/>
      <c r="BW128" s="438"/>
      <c r="BX128" s="438"/>
      <c r="BY128" s="438"/>
      <c r="BZ128" s="438"/>
      <c r="CA128" s="438"/>
      <c r="CB128" s="438"/>
      <c r="CC128" s="438"/>
      <c r="CD128" s="438"/>
      <c r="CE128" s="438"/>
      <c r="CF128" s="438"/>
      <c r="CG128" s="438"/>
      <c r="CH128" s="438"/>
      <c r="CI128" s="438"/>
      <c r="CJ128" s="438"/>
      <c r="CK128" s="438"/>
      <c r="CL128" s="438"/>
      <c r="CM128" s="438"/>
      <c r="CN128" s="438"/>
      <c r="CO128" s="438"/>
      <c r="CP128" s="438"/>
      <c r="CQ128" s="438"/>
      <c r="CR128" s="438"/>
      <c r="CS128" s="438"/>
      <c r="CT128" s="438"/>
      <c r="CU128" s="438"/>
      <c r="CV128" s="438"/>
      <c r="CW128" s="438"/>
      <c r="CX128" s="438"/>
      <c r="CY128" s="438"/>
      <c r="CZ128" s="438"/>
      <c r="DA128" s="438"/>
      <c r="DB128" s="438"/>
      <c r="DC128" s="438"/>
      <c r="DD128" s="438"/>
      <c r="DE128" s="438"/>
      <c r="DF128" s="438"/>
      <c r="DG128" s="438"/>
      <c r="DH128" s="438"/>
      <c r="DI128" s="438"/>
      <c r="DJ128" s="438"/>
      <c r="DK128" s="438"/>
      <c r="DL128" s="438"/>
      <c r="DM128" s="438"/>
      <c r="DN128" s="438"/>
      <c r="DO128" s="438"/>
      <c r="DP128" s="438"/>
      <c r="DQ128" s="438"/>
      <c r="DR128" s="438"/>
      <c r="DS128" s="438"/>
      <c r="DT128" s="438"/>
      <c r="DU128" s="439" t="s">
        <v>557</v>
      </c>
    </row>
    <row r="129" spans="2:125" ht="19">
      <c r="B129" s="221" t="s">
        <v>1104</v>
      </c>
      <c r="C129" s="443"/>
      <c r="D129" s="467">
        <f ca="1">-D124</f>
        <v>-20296000</v>
      </c>
      <c r="E129" s="435">
        <f>IF(E5&gt;'Inputs and Assumptions'!$P$6,0,IF($E$115=0,E112+E120-E124+E109+E113,IF(AND($D$116="Pay Down",E112&lt;E116),0+E120-E124,IF(AND($D$116="Pay Down",E112&gt;E116,E5='Inputs and Assumptions'!$P$6),0+'Monthly Cash Flow'!E120,IF(AND($D$116="Pay Down",E112&gt;E116),0,IF(AND($D$116="Accrue",E112&gt;E116,'Inputs and Assumptions'!$L$5="YES",'Monthly Cash Flow'!E5='Inputs and Assumptions'!$L$6),MAX(0,E112-E115-E116),IF(AND($D$116="Accrue",E112&lt;0,E120=0),E112+E120-E124+E109+E113,IF($D$116="Accrue",E112+E120-E124,E112-E116+E120-E124+E109+E113))))))))</f>
        <v>75142.199419975848</v>
      </c>
      <c r="F129" s="435">
        <f>IF(F5&gt;'Inputs and Assumptions'!$P$6,0,IF($E$115=0,F112+F120-F124+F109+F113,IF(AND($D$116="Pay Down",F112&lt;F116),0+F120-F124,IF(AND($D$116="Pay Down",F112&gt;F116,F5='Inputs and Assumptions'!$P$6),0+'Monthly Cash Flow'!F120,IF(AND($D$116="Pay Down",F112&gt;F116),0,IF(AND($D$116="Accrue",F112&gt;F116,'Inputs and Assumptions'!$L$5="YES",'Monthly Cash Flow'!F5='Inputs and Assumptions'!$L$6),MAX(0,F112-F115-F116),IF(AND($D$116="Accrue",F112&lt;0,F120=0),F112+F120-F124+F109+F113,IF($D$116="Accrue",F112+F120-F124,F112-F116+F120-F124+F109+F113))))))))</f>
        <v>77255.772749442272</v>
      </c>
      <c r="G129" s="435">
        <f>IF(G5&gt;'Inputs and Assumptions'!$P$6,0,IF($E$115=0,G112+G120-G124+G109+G113,IF(AND($D$116="Pay Down",G112&lt;G116),0+G120-G124,IF(AND($D$116="Pay Down",G112&gt;G116,G5='Inputs and Assumptions'!$P$6),0+'Monthly Cash Flow'!G120,IF(AND($D$116="Pay Down",G112&gt;G116),0,IF(AND($D$116="Accrue",G112&gt;G116,'Inputs and Assumptions'!$L$5="YES",'Monthly Cash Flow'!G5='Inputs and Assumptions'!$L$6),MAX(0,G112-G115-G116),IF(AND($D$116="Accrue",G112&lt;0,G120=0),G112+G120-G124+G109+G113,IF($D$116="Accrue",G112+G120-G124,G112-G116+G120-G124+G109+G113))))))))</f>
        <v>79383.436567771874</v>
      </c>
      <c r="H129" s="435">
        <f>IF(H5&gt;'Inputs and Assumptions'!$P$6,0,IF($E$115=0,H112+H120-H124+H109+H113,IF(AND($D$116="Pay Down",H112&lt;H116),0+H120-H124,IF(AND($D$116="Pay Down",H112&gt;H116,H5='Inputs and Assumptions'!$P$6),0+'Monthly Cash Flow'!H120,IF(AND($D$116="Pay Down",H112&gt;H116),0,IF(AND($D$116="Accrue",H112&gt;H116,'Inputs and Assumptions'!$L$5="YES",'Monthly Cash Flow'!H5='Inputs and Assumptions'!$L$6),MAX(0,H112-H115-H116),IF(AND($D$116="Accrue",H112&lt;0,H120=0),H112+H120-H124+H109+H113,IF($D$116="Accrue",H112+H120-H124,H112-H116+H120-H124+H109+H113))))))))</f>
        <v>81525.284811557081</v>
      </c>
      <c r="I129" s="435">
        <f>IF(I5&gt;'Inputs and Assumptions'!$P$6,0,IF($E$115=0,I112+I120-I124+I109+I113,IF(AND($D$116="Pay Down",I112&lt;I116),0+I120-I124,IF(AND($D$116="Pay Down",I112&gt;I116,I5='Inputs and Assumptions'!$P$6),0+'Monthly Cash Flow'!I120,IF(AND($D$116="Pay Down",I112&gt;I116),0,IF(AND($D$116="Accrue",I112&gt;I116,'Inputs and Assumptions'!$L$5="YES",'Monthly Cash Flow'!I5='Inputs and Assumptions'!$L$6),MAX(0,I112-I115-I116),IF(AND($D$116="Accrue",I112&lt;0,I120=0),I112+I120-I124+I109+I113,IF($D$116="Accrue",I112+I120-I124,I112-I116+I120-I124+I109+I113))))))))</f>
        <v>83681.412043634118</v>
      </c>
      <c r="J129" s="435">
        <f>IF(J5&gt;'Inputs and Assumptions'!$P$6,0,IF($E$115=0,J112+J120-J124+J109+J113,IF(AND($D$116="Pay Down",J112&lt;J116),0+J120-J124,IF(AND($D$116="Pay Down",J112&gt;J116,J5='Inputs and Assumptions'!$P$6),0+'Monthly Cash Flow'!J120,IF(AND($D$116="Pay Down",J112&gt;J116),0,IF(AND($D$116="Accrue",J112&gt;J116,'Inputs and Assumptions'!$L$5="YES",'Monthly Cash Flow'!J5='Inputs and Assumptions'!$L$6),MAX(0,J112-J115-J116),IF(AND($D$116="Accrue",J112&lt;0,J120=0),J112+J120-J124+J109+J113,IF($D$116="Accrue",J112+J120-J124,J112-J116+J120-J124+J109+J113))))))))</f>
        <v>85851.913457258299</v>
      </c>
      <c r="K129" s="435">
        <f>IF(K5&gt;'Inputs and Assumptions'!$P$6,0,IF($E$115=0,K112+K120-K124+K109+K113,IF(AND($D$116="Pay Down",K112&lt;K116),0+K120-K124,IF(AND($D$116="Pay Down",K112&gt;K116,K5='Inputs and Assumptions'!$P$6),0+'Monthly Cash Flow'!K120,IF(AND($D$116="Pay Down",K112&gt;K116),0,IF(AND($D$116="Accrue",K112&gt;K116,'Inputs and Assumptions'!$L$5="YES",'Monthly Cash Flow'!K5='Inputs and Assumptions'!$L$6),MAX(0,K112-K115-K116),IF(AND($D$116="Accrue",K112&lt;0,K120=0),K112+K120-K124+K109+K113,IF($D$116="Accrue",K112+K120-K124,K112-K116+K120-K124+K109+K113))))))))</f>
        <v>88036.884880306709</v>
      </c>
      <c r="L129" s="435">
        <f>IF(L5&gt;'Inputs and Assumptions'!$P$6,0,IF($E$115=0,L112+L120-L124+L109+L113,IF(AND($D$116="Pay Down",L112&lt;L116),0+L120-L124,IF(AND($D$116="Pay Down",L112&gt;L116,L5='Inputs and Assumptions'!$P$6),0+'Monthly Cash Flow'!L120,IF(AND($D$116="Pay Down",L112&gt;L116),0,IF(AND($D$116="Accrue",L112&gt;L116,'Inputs and Assumptions'!$L$5="YES",'Monthly Cash Flow'!L5='Inputs and Assumptions'!$L$6),MAX(0,L112-L115-L116),IF(AND($D$116="Accrue",L112&lt;0,L120=0),L112+L120-L124+L109+L113,IF($D$116="Accrue",L112+L120-L124,L112-L116+L120-L124+L109+L113))))))))</f>
        <v>90236.422779508677</v>
      </c>
      <c r="M129" s="435">
        <f>IF(M5&gt;'Inputs and Assumptions'!$P$6,0,IF($E$115=0,M112+M120-M124+M109+M113,IF(AND($D$116="Pay Down",M112&lt;M116),0+M120-M124,IF(AND($D$116="Pay Down",M112&gt;M116,M5='Inputs and Assumptions'!$P$6),0+'Monthly Cash Flow'!M120,IF(AND($D$116="Pay Down",M112&gt;M116),0,IF(AND($D$116="Accrue",M112&gt;M116,'Inputs and Assumptions'!$L$5="YES",'Monthly Cash Flow'!M5='Inputs and Assumptions'!$L$6),MAX(0,M112-M115-M116),IF(AND($D$116="Accrue",M112&lt;0,M120=0),M112+M120-M124+M109+M113,IF($D$116="Accrue",M112+M120-M124,M112-M116+M120-M124+M109+M113))))))))</f>
        <v>92450.624264705359</v>
      </c>
      <c r="N129" s="435">
        <f>IF(N5&gt;'Inputs and Assumptions'!$P$6,0,IF($E$115=0,N112+N120-N124+N109+N113,IF(AND($D$116="Pay Down",N112&lt;N116),0+N120-N124,IF(AND($D$116="Pay Down",N112&gt;N116,N5='Inputs and Assumptions'!$P$6),0+'Monthly Cash Flow'!N120,IF(AND($D$116="Pay Down",N112&gt;N116),0,IF(AND($D$116="Accrue",N112&gt;N116,'Inputs and Assumptions'!$L$5="YES",'Monthly Cash Flow'!N5='Inputs and Assumptions'!$L$6),MAX(0,N112-N115-N116),IF(AND($D$116="Accrue",N112&lt;0,N120=0),N112+N120-N124+N109+N113,IF($D$116="Accrue",N112+N120-N124,N112-N116+N120-N124+N109+N113))))))))</f>
        <v>94679.587093136754</v>
      </c>
      <c r="O129" s="435">
        <f>IF(O5&gt;'Inputs and Assumptions'!$P$6,0,IF($E$115=0,O112+O120-O124+O109+O113,IF(AND($D$116="Pay Down",O112&lt;O116),0+O120-O124,IF(AND($D$116="Pay Down",O112&gt;O116,O5='Inputs and Assumptions'!$P$6),0+'Monthly Cash Flow'!O120,IF(AND($D$116="Pay Down",O112&gt;O116),0,IF(AND($D$116="Accrue",O112&gt;O116,'Inputs and Assumptions'!$L$5="YES",'Monthly Cash Flow'!O5='Inputs and Assumptions'!$L$6),MAX(0,O112-O115-O116),IF(AND($D$116="Accrue",O112&lt;0,O120=0),O112+O120-O124+O109+O113,IF($D$116="Accrue",O112+O120-O124,O112-O116+O120-O124+O109+O113))))))))</f>
        <v>96923.409673757662</v>
      </c>
      <c r="P129" s="435">
        <f>IF(P5&gt;'Inputs and Assumptions'!$P$6,0,IF($E$115=0,P112+P120-P124+P109+P113,IF(AND($D$116="Pay Down",P112&lt;P116),0+P120-P124,IF(AND($D$116="Pay Down",P112&gt;P116,P5='Inputs and Assumptions'!$P$6),0+'Monthly Cash Flow'!P120,IF(AND($D$116="Pay Down",P112&gt;P116),0,IF(AND($D$116="Accrue",P112&gt;P116,'Inputs and Assumptions'!$L$5="YES",'Monthly Cash Flow'!P5='Inputs and Assumptions'!$L$6),MAX(0,P112-P115-P116),IF(AND($D$116="Accrue",P112&lt;0,P120=0),P112+P120-P124+P109+P113,IF($D$116="Accrue",P112+P120-P124,P112-P116+P120-P124+P109+P113))))))))</f>
        <v>99182.191071582594</v>
      </c>
      <c r="Q129" s="435">
        <f>IF(Q5&gt;'Inputs and Assumptions'!$P$6,0,IF($E$115=0,Q112+Q120-Q124+Q109+Q113,IF(AND($D$116="Pay Down",Q112&lt;Q116),0+Q120-Q124,IF(AND($D$116="Pay Down",Q112&gt;Q116,Q5='Inputs and Assumptions'!$P$6),0+'Monthly Cash Flow'!Q120,IF(AND($D$116="Pay Down",Q112&gt;Q116),0,IF(AND($D$116="Accrue",Q112&gt;Q116,'Inputs and Assumptions'!$L$5="YES",'Monthly Cash Flow'!Q5='Inputs and Assumptions'!$L$6),MAX(0,Q112-Q115-Q116),IF(AND($D$116="Accrue",Q112&lt;0,Q120=0),Q112+Q120-Q124+Q109+Q113,IF($D$116="Accrue",Q112+Q120-Q124,Q112-Q116+Q120-Q124+Q109+Q113))))))))</f>
        <v>99132.252015780003</v>
      </c>
      <c r="R129" s="435">
        <f>IF(R5&gt;'Inputs and Assumptions'!$P$6,0,IF($E$115=0,R112+R120-R124+R109+R113,IF(AND($D$116="Pay Down",R112&lt;R116),0+R120-R124,IF(AND($D$116="Pay Down",R112&gt;R116,R5='Inputs and Assumptions'!$P$6),0+'Monthly Cash Flow'!R120,IF(AND($D$116="Pay Down",R112&gt;R116),0,IF(AND($D$116="Accrue",R112&gt;R116,'Inputs and Assumptions'!$L$5="YES",'Monthly Cash Flow'!R5='Inputs and Assumptions'!$L$6),MAX(0,R112-R115-R116),IF(AND($D$116="Accrue",R112&lt;0,R120=0),R112+R120-R124+R109+R113,IF($D$116="Accrue",R112+R120-R124,R112-R116+R120-R124+R109+R113))))))))</f>
        <v>101277.30024087873</v>
      </c>
      <c r="S129" s="435">
        <f>IF(S5&gt;'Inputs and Assumptions'!$P$6,0,IF($E$115=0,S112+S120-S124+S109+S113,IF(AND($D$116="Pay Down",S112&lt;S116),0+S120-S124,IF(AND($D$116="Pay Down",S112&gt;S116,S5='Inputs and Assumptions'!$P$6),0+'Monthly Cash Flow'!S120,IF(AND($D$116="Pay Down",S112&gt;S116),0,IF(AND($D$116="Accrue",S112&gt;S116,'Inputs and Assumptions'!$L$5="YES",'Monthly Cash Flow'!S5='Inputs and Assumptions'!$L$6),MAX(0,S112-S115-S116),IF(AND($D$116="Accrue",S112&lt;0,S120=0),S112+S120-S124+S109+S113,IF($D$116="Accrue",S112+S120-S124,S112-S116+S120-S124+S109+S113))))))))</f>
        <v>103435.75501738423</v>
      </c>
      <c r="T129" s="435">
        <f>IF(T5&gt;'Inputs and Assumptions'!$P$6,0,IF($E$115=0,T112+T120-T124+T109+T113,IF(AND($D$116="Pay Down",T112&lt;T116),0+T120-T124,IF(AND($D$116="Pay Down",T112&gt;T116,T5='Inputs and Assumptions'!$P$6),0+'Monthly Cash Flow'!T120,IF(AND($D$116="Pay Down",T112&gt;T116),0,IF(AND($D$116="Accrue",T112&gt;T116,'Inputs and Assumptions'!$L$5="YES",'Monthly Cash Flow'!T5='Inputs and Assumptions'!$L$6),MAX(0,T112-T115-T116),IF(AND($D$116="Accrue",T112&lt;0,T120=0),T112+T120-T124+T109+T113,IF($D$116="Accrue",T112+T120-T124,T112-T116+T120-T124+T109+T113))))))))</f>
        <v>105607.70013624289</v>
      </c>
      <c r="U129" s="435">
        <f>IF(U5&gt;'Inputs and Assumptions'!$P$6,0,IF($E$115=0,U112+U120-U124+U109+U113,IF(AND($D$116="Pay Down",U112&lt;U116),0+U120-U124,IF(AND($D$116="Pay Down",U112&gt;U116,U5='Inputs and Assumptions'!$P$6),0+'Monthly Cash Flow'!U120,IF(AND($D$116="Pay Down",U112&gt;U116),0,IF(AND($D$116="Accrue",U112&gt;U116,'Inputs and Assumptions'!$L$5="YES",'Monthly Cash Flow'!U5='Inputs and Assumptions'!$L$6),MAX(0,U112-U115-U116),IF(AND($D$116="Accrue",U112&lt;0,U120=0),U112+U120-U124+U109+U113,IF($D$116="Accrue",U112+U120-U124,U112-U116+U120-U124+U109+U113))))))))</f>
        <v>107793.2199120944</v>
      </c>
      <c r="V129" s="435">
        <f>IF(V5&gt;'Inputs and Assumptions'!$P$6,0,IF($E$115=0,V112+V120-V124+V109+V113,IF(AND($D$116="Pay Down",V112&lt;V116),0+V120-V124,IF(AND($D$116="Pay Down",V112&gt;V116,V5='Inputs and Assumptions'!$P$6),0+'Monthly Cash Flow'!V120,IF(AND($D$116="Pay Down",V112&gt;V116),0,IF(AND($D$116="Accrue",V112&gt;V116,'Inputs and Assumptions'!$L$5="YES",'Monthly Cash Flow'!V5='Inputs and Assumptions'!$L$6),MAX(0,V112-V115-V116),IF(AND($D$116="Accrue",V112&lt;0,V120=0),V112+V120-V124+V109+V113,IF($D$116="Accrue",V112+V120-V124,V112-V116+V120-V124+V109+V113))))))))</f>
        <v>109992.39918654515</v>
      </c>
      <c r="W129" s="435">
        <f>IF(W5&gt;'Inputs and Assumptions'!$P$6,0,IF($E$115=0,W112+W120-W124+W109+W113,IF(AND($D$116="Pay Down",W112&lt;W116),0+W120-W124,IF(AND($D$116="Pay Down",W112&gt;W116,W5='Inputs and Assumptions'!$P$6),0+'Monthly Cash Flow'!W120,IF(AND($D$116="Pay Down",W112&gt;W116),0,IF(AND($D$116="Accrue",W112&gt;W116,'Inputs and Assumptions'!$L$5="YES",'Monthly Cash Flow'!W5='Inputs and Assumptions'!$L$6),MAX(0,W112-W115-W116),IF(AND($D$116="Accrue",W112&lt;0,W120=0),W112+W120-W124+W109+W113,IF($D$116="Accrue",W112+W120-W124,W112-W116+W120-W124+W109+W113))))))))</f>
        <v>112205.32333146107</v>
      </c>
      <c r="X129" s="435">
        <f>IF(X5&gt;'Inputs and Assumptions'!$P$6,0,IF($E$115=0,X112+X120-X124+X109+X113,IF(AND($D$116="Pay Down",X112&lt;X116),0+X120-X124,IF(AND($D$116="Pay Down",X112&gt;X116,X5='Inputs and Assumptions'!$P$6),0+'Monthly Cash Flow'!X120,IF(AND($D$116="Pay Down",X112&gt;X116),0,IF(AND($D$116="Accrue",X112&gt;X116,'Inputs and Assumptions'!$L$5="YES",'Monthly Cash Flow'!X5='Inputs and Assumptions'!$L$6),MAX(0,X112-X115-X116),IF(AND($D$116="Accrue",X112&lt;0,X120=0),X112+X120-X124+X109+X113,IF($D$116="Accrue",X112+X120-X124,X112-X116+X120-X124+X109+X113))))))))</f>
        <v>114432.07825228265</v>
      </c>
      <c r="Y129" s="435">
        <f>IF(Y5&gt;'Inputs and Assumptions'!$P$6,0,IF($E$115=0,Y112+Y120-Y124+Y109+Y113,IF(AND($D$116="Pay Down",Y112&lt;Y116),0+Y120-Y124,IF(AND($D$116="Pay Down",Y112&gt;Y116,Y5='Inputs and Assumptions'!$P$6),0+'Monthly Cash Flow'!Y120,IF(AND($D$116="Pay Down",Y112&gt;Y116),0,IF(AND($D$116="Accrue",Y112&gt;Y116,'Inputs and Assumptions'!$L$5="YES",'Monthly Cash Flow'!Y5='Inputs and Assumptions'!$L$6),MAX(0,Y112-Y115-Y116),IF(AND($D$116="Accrue",Y112&lt;0,Y120=0),Y112+Y120-Y124+Y109+Y113,IF($D$116="Accrue",Y112+Y120-Y124,Y112-Y116+Y120-Y124+Y109+Y113))))))))</f>
        <v>116672.75039135954</v>
      </c>
      <c r="Z129" s="435">
        <f>IF(Z5&gt;'Inputs and Assumptions'!$P$6,0,IF($E$115=0,Z112+Z120-Z124+Z109+Z113,IF(AND($D$116="Pay Down",Z112&lt;Z116),0+Z120-Z124,IF(AND($D$116="Pay Down",Z112&gt;Z116,Z5='Inputs and Assumptions'!$P$6),0+'Monthly Cash Flow'!Z120,IF(AND($D$116="Pay Down",Z112&gt;Z116),0,IF(AND($D$116="Accrue",Z112&gt;Z116,'Inputs and Assumptions'!$L$5="YES",'Monthly Cash Flow'!Z5='Inputs and Assumptions'!$L$6),MAX(0,Z112-Z115-Z116),IF(AND($D$116="Accrue",Z112&lt;0,Z120=0),Z112+Z120-Z124+Z109+Z113,IF($D$116="Accrue",Z112+Z120-Z124,Z112-Z116+Z120-Z124+Z109+Z113))))))))</f>
        <v>118927.4267313055</v>
      </c>
      <c r="AA129" s="435">
        <f>IF(AA5&gt;'Inputs and Assumptions'!$P$6,0,IF($E$115=0,AA112+AA120-AA124+AA109+AA113,IF(AND($D$116="Pay Down",AA112&lt;AA116),0+AA120-AA124,IF(AND($D$116="Pay Down",AA112&gt;AA116,AA5='Inputs and Assumptions'!$P$6),0+'Monthly Cash Flow'!AA120,IF(AND($D$116="Pay Down",AA112&gt;AA116),0,IF(AND($D$116="Accrue",AA112&gt;AA116,'Inputs and Assumptions'!$L$5="YES",'Monthly Cash Flow'!AA5='Inputs and Assumptions'!$L$6),MAX(0,AA112-AA115-AA116),IF(AND($D$116="Accrue",AA112&lt;0,AA120=0),AA112+AA120-AA124+AA109+AA113,IF($D$116="Accrue",AA112+AA120-AA124,AA112-AA116+AA120-AA124+AA109+AA113))))))))</f>
        <v>121196.19479837616</v>
      </c>
      <c r="AB129" s="435">
        <f>IF(AB5&gt;'Inputs and Assumptions'!$P$6,0,IF($E$115=0,AB112+AB120-AB124+AB109+AB113,IF(AND($D$116="Pay Down",AB112&lt;AB116),0+AB120-AB124,IF(AND($D$116="Pay Down",AB112&gt;AB116,AB5='Inputs and Assumptions'!$P$6),0+'Monthly Cash Flow'!AB120,IF(AND($D$116="Pay Down",AB112&gt;AB116),0,IF(AND($D$116="Accrue",AB112&gt;AB116,'Inputs and Assumptions'!$L$5="YES",'Monthly Cash Flow'!AB5='Inputs and Assumptions'!$L$6),MAX(0,AB112-AB115-AB116),IF(AND($D$116="Accrue",AB112&lt;0,AB120=0),AB112+AB120-AB124+AB109+AB113,IF($D$116="Accrue",AB112+AB120-AB124,AB112-AB116+AB120-AB124+AB109+AB113))))))))</f>
        <v>123479.14266586611</v>
      </c>
      <c r="AC129" s="435">
        <f>IF(AC5&gt;'Inputs and Assumptions'!$P$6,0,IF($E$115=0,AC112+AC120-AC124+AC109+AC113,IF(AND($D$116="Pay Down",AC112&lt;AC116),0+AC120-AC124,IF(AND($D$116="Pay Down",AC112&gt;AC116,AC5='Inputs and Assumptions'!$P$6),0+'Monthly Cash Flow'!AC120,IF(AND($D$116="Pay Down",AC112&gt;AC116),0,IF(AND($D$116="Accrue",AC112&gt;AC116,'Inputs and Assumptions'!$L$5="YES",'Monthly Cash Flow'!AC5='Inputs and Assumptions'!$L$6),MAX(0,AC112-AC115-AC116),IF(AND($D$116="Accrue",AC112&lt;0,AC120=0),AC112+AC120-AC124+AC109+AC113,IF($D$116="Accrue",AC112+AC120-AC124,AC112-AC116+AC120-AC124+AC109+AC113))))))))</f>
        <v>122481.38876808564</v>
      </c>
      <c r="AD129" s="435">
        <f>IF(AD5&gt;'Inputs and Assumptions'!$P$6,0,IF($E$115=0,AD112+AD120-AD124+AD109+AD113,IF(AND($D$116="Pay Down",AD112&lt;AD116),0+AD120-AD124,IF(AND($D$116="Pay Down",AD112&gt;AD116,AD5='Inputs and Assumptions'!$P$6),0+'Monthly Cash Flow'!AD120,IF(AND($D$116="Pay Down",AD112&gt;AD116),0,IF(AND($D$116="Accrue",AD112&gt;AD116,'Inputs and Assumptions'!$L$5="YES",'Monthly Cash Flow'!AD5='Inputs and Assumptions'!$L$6),MAX(0,AD112-AD115-AD116),IF(AND($D$116="Accrue",AD112&lt;0,AD120=0),AD112+AD120-AD124+AD109+AD113,IF($D$116="Accrue",AD112+AD120-AD124,AD112-AD116+AD120-AD124+AD109+AD113))))))))</f>
        <v>123710.65473037933</v>
      </c>
      <c r="AE129" s="435">
        <f>IF(AE5&gt;'Inputs and Assumptions'!$P$6,0,IF($E$115=0,AE112+AE120-AE124+AE109+AE113,IF(AND($D$116="Pay Down",AE112&lt;AE116),0+AE120-AE124,IF(AND($D$116="Pay Down",AE112&gt;AE116,AE5='Inputs and Assumptions'!$P$6),0+'Monthly Cash Flow'!AE120,IF(AND($D$116="Pay Down",AE112&gt;AE116),0,IF(AND($D$116="Accrue",AE112&gt;AE116,'Inputs and Assumptions'!$L$5="YES",'Monthly Cash Flow'!AE5='Inputs and Assumptions'!$L$6),MAX(0,AE112-AE115-AE116),IF(AND($D$116="Accrue",AE112&lt;0,AE120=0),AE112+AE120-AE124+AE109+AE113,IF($D$116="Accrue",AE112+AE120-AE124,AE112-AE116+AE120-AE124+AE109+AE113))))))))</f>
        <v>124944.01824588062</v>
      </c>
      <c r="AF129" s="435">
        <f>IF(AF5&gt;'Inputs and Assumptions'!$P$6,0,IF($E$115=0,AF112+AF120-AF124+AF109+AF113,IF(AND($D$116="Pay Down",AF112&lt;AF116),0+AF120-AF124,IF(AND($D$116="Pay Down",AF112&gt;AF116,AF5='Inputs and Assumptions'!$P$6),0+'Monthly Cash Flow'!AF120,IF(AND($D$116="Pay Down",AF112&gt;AF116),0,IF(AND($D$116="Accrue",AF112&gt;AF116,'Inputs and Assumptions'!$L$5="YES",'Monthly Cash Flow'!AF5='Inputs and Assumptions'!$L$6),MAX(0,AF112-AF115-AF116),IF(AND($D$116="Accrue",AF112&lt;0,AF120=0),AF112+AF120-AF124+AF109+AF113,IF($D$116="Accrue",AF112+AF120-AF124,AF112-AF116+AF120-AF124+AF109+AF113))))))))</f>
        <v>126181.4929731002</v>
      </c>
      <c r="AG129" s="435">
        <f>IF(AG5&gt;'Inputs and Assumptions'!$P$6,0,IF($E$115=0,AG112+AG120-AG124+AG109+AG113,IF(AND($D$116="Pay Down",AG112&lt;AG116),0+AG120-AG124,IF(AND($D$116="Pay Down",AG112&gt;AG116,AG5='Inputs and Assumptions'!$P$6),0+'Monthly Cash Flow'!AG120,IF(AND($D$116="Pay Down",AG112&gt;AG116),0,IF(AND($D$116="Accrue",AG112&gt;AG116,'Inputs and Assumptions'!$L$5="YES",'Monthly Cash Flow'!AG5='Inputs and Assumptions'!$L$6),MAX(0,AG112-AG115-AG116),IF(AND($D$116="Accrue",AG112&lt;0,AG120=0),AG112+AG120-AG124+AG109+AG113,IF($D$116="Accrue",AG112+AG120-AG124,AG112-AG116+AG120-AG124+AG109+AG113))))))))</f>
        <v>127423.09261607715</v>
      </c>
      <c r="AH129" s="435">
        <f>IF(AH5&gt;'Inputs and Assumptions'!$P$6,0,IF($E$115=0,AH112+AH120-AH124+AH109+AH113,IF(AND($D$116="Pay Down",AH112&lt;AH116),0+AH120-AH124,IF(AND($D$116="Pay Down",AH112&gt;AH116,AH5='Inputs and Assumptions'!$P$6),0+'Monthly Cash Flow'!AH120,IF(AND($D$116="Pay Down",AH112&gt;AH116),0,IF(AND($D$116="Accrue",AH112&gt;AH116,'Inputs and Assumptions'!$L$5="YES",'Monthly Cash Flow'!AH5='Inputs and Assumptions'!$L$6),MAX(0,AH112-AH115-AH116),IF(AND($D$116="Accrue",AH112&lt;0,AH120=0),AH112+AH120-AH124+AH109+AH113,IF($D$116="Accrue",AH112+AH120-AH124,AH112-AH116+AH120-AH124+AH109+AH113))))))))</f>
        <v>128668.83092453091</v>
      </c>
      <c r="AI129" s="435">
        <f>IF(AI5&gt;'Inputs and Assumptions'!$P$6,0,IF($E$115=0,AI112+AI120-AI124+AI109+AI113,IF(AND($D$116="Pay Down",AI112&lt;AI116),0+AI120-AI124,IF(AND($D$116="Pay Down",AI112&gt;AI116,AI5='Inputs and Assumptions'!$P$6),0+'Monthly Cash Flow'!AI120,IF(AND($D$116="Pay Down",AI112&gt;AI116),0,IF(AND($D$116="Accrue",AI112&gt;AI116,'Inputs and Assumptions'!$L$5="YES",'Monthly Cash Flow'!AI5='Inputs and Assumptions'!$L$6),MAX(0,AI112-AI115-AI116),IF(AND($D$116="Accrue",AI112&lt;0,AI120=0),AI112+AI120-AI124+AI109+AI113,IF($D$116="Accrue",AI112+AI120-AI124,AI112-AI116+AI120-AI124+AI109+AI113))))))))</f>
        <v>129918.72169401268</v>
      </c>
      <c r="AJ129" s="435">
        <f>IF(AJ5&gt;'Inputs and Assumptions'!$P$6,0,IF($E$115=0,AJ112+AJ120-AJ124+AJ109+AJ113,IF(AND($D$116="Pay Down",AJ112&lt;AJ116),0+AJ120-AJ124,IF(AND($D$116="Pay Down",AJ112&gt;AJ116,AJ5='Inputs and Assumptions'!$P$6),0+'Monthly Cash Flow'!AJ120,IF(AND($D$116="Pay Down",AJ112&gt;AJ116),0,IF(AND($D$116="Accrue",AJ112&gt;AJ116,'Inputs and Assumptions'!$L$5="YES",'Monthly Cash Flow'!AJ5='Inputs and Assumptions'!$L$6),MAX(0,AJ112-AJ115-AJ116),IF(AND($D$116="Accrue",AJ112&lt;0,AJ120=0),AJ112+AJ120-AJ124+AJ109+AJ113,IF($D$116="Accrue",AJ112+AJ120-AJ124,AJ112-AJ116+AJ120-AJ124+AJ109+AJ113))))))))</f>
        <v>131172.77876605943</v>
      </c>
      <c r="AK129" s="435">
        <f>IF(AK5&gt;'Inputs and Assumptions'!$P$6,0,IF($E$115=0,AK112+AK120-AK124+AK109+AK113,IF(AND($D$116="Pay Down",AK112&lt;AK116),0+AK120-AK124,IF(AND($D$116="Pay Down",AK112&gt;AK116,AK5='Inputs and Assumptions'!$P$6),0+'Monthly Cash Flow'!AK120,IF(AND($D$116="Pay Down",AK112&gt;AK116),0,IF(AND($D$116="Accrue",AK112&gt;AK116,'Inputs and Assumptions'!$L$5="YES",'Monthly Cash Flow'!AK5='Inputs and Assumptions'!$L$6),MAX(0,AK112-AK115-AK116),IF(AND($D$116="Accrue",AK112&lt;0,AK120=0),AK112+AK120-AK124+AK109+AK113,IF($D$116="Accrue",AK112+AK120-AK124,AK112-AK116+AK120-AK124+AK109+AK113))))))))</f>
        <v>132431.01602834626</v>
      </c>
      <c r="AL129" s="435">
        <f>IF(AL5&gt;'Inputs and Assumptions'!$P$6,0,IF($E$115=0,AL112+AL120-AL124+AL109+AL113,IF(AND($D$116="Pay Down",AL112&lt;AL116),0+AL120-AL124,IF(AND($D$116="Pay Down",AL112&gt;AL116,AL5='Inputs and Assumptions'!$P$6),0+'Monthly Cash Flow'!AL120,IF(AND($D$116="Pay Down",AL112&gt;AL116),0,IF(AND($D$116="Accrue",AL112&gt;AL116,'Inputs and Assumptions'!$L$5="YES",'Monthly Cash Flow'!AL5='Inputs and Assumptions'!$L$6),MAX(0,AL112-AL115-AL116),IF(AND($D$116="Accrue",AL112&lt;0,AL120=0),AL112+AL120-AL124+AL109+AL113,IF($D$116="Accrue",AL112+AL120-AL124,AL112-AL116+AL120-AL124+AL109+AL113))))))))</f>
        <v>133693.44741484086</v>
      </c>
      <c r="AM129" s="435">
        <f>IF(AM5&gt;'Inputs and Assumptions'!$P$6,0,IF($E$115=0,AM112+AM120-AM124+AM109+AM113,IF(AND($D$116="Pay Down",AM112&lt;AM116),0+AM120-AM124,IF(AND($D$116="Pay Down",AM112&gt;AM116,AM5='Inputs and Assumptions'!$P$6),0+'Monthly Cash Flow'!AM120,IF(AND($D$116="Pay Down",AM112&gt;AM116),0,IF(AND($D$116="Accrue",AM112&gt;AM116,'Inputs and Assumptions'!$L$5="YES",'Monthly Cash Flow'!AM5='Inputs and Assumptions'!$L$6),MAX(0,AM112-AM115-AM116),IF(AND($D$116="Accrue",AM112&lt;0,AM120=0),AM112+AM120-AM124+AM109+AM113,IF($D$116="Accrue",AM112+AM120-AM124,AM112-AM116+AM120-AM124+AM109+AM113))))))))</f>
        <v>134960.08690595691</v>
      </c>
      <c r="AN129" s="435">
        <f>IF(AN5&gt;'Inputs and Assumptions'!$P$6,0,IF($E$115=0,AN112+AN120-AN124+AN109+AN113,IF(AND($D$116="Pay Down",AN112&lt;AN116),0+AN120-AN124,IF(AND($D$116="Pay Down",AN112&gt;AN116,AN5='Inputs and Assumptions'!$P$6),0+'Monthly Cash Flow'!AN120,IF(AND($D$116="Pay Down",AN112&gt;AN116),0,IF(AND($D$116="Accrue",AN112&gt;AN116,'Inputs and Assumptions'!$L$5="YES",'Monthly Cash Flow'!AN5='Inputs and Assumptions'!$L$6),MAX(0,AN112-AN115-AN116),IF(AND($D$116="Accrue",AN112&lt;0,AN120=0),AN112+AN120-AN124+AN109+AN113,IF($D$116="Accrue",AN112+AN120-AN124,AN112-AN116+AN120-AN124+AN109+AN113))))))))</f>
        <v>136230.94852871029</v>
      </c>
      <c r="AO129" s="435">
        <f>IF(AO5&gt;'Inputs and Assumptions'!$P$6,0,IF($E$115=0,AO112+AO120-AO124+AO109+AO113,IF(AND($D$116="Pay Down",AO112&lt;AO116),0+AO120-AO124,IF(AND($D$116="Pay Down",AO112&gt;AO116,AO5='Inputs and Assumptions'!$P$6),0+'Monthly Cash Flow'!AO120,IF(AND($D$116="Pay Down",AO112&gt;AO116),0,IF(AND($D$116="Accrue",AO112&gt;AO116,'Inputs and Assumptions'!$L$5="YES",'Monthly Cash Flow'!AO5='Inputs and Assumptions'!$L$6),MAX(0,AO112-AO115-AO116),IF(AND($D$116="Accrue",AO112&lt;0,AO120=0),AO112+AO120-AO124+AO109+AO113,IF($D$116="Accrue",AO112+AO120-AO124,AO112-AO116+AO120-AO124+AO109+AO113))))))))</f>
        <v>135241.08391927258</v>
      </c>
      <c r="AP129" s="435">
        <f>IF(AP5&gt;'Inputs and Assumptions'!$P$6,0,IF($E$115=0,AP112+AP120-AP124+AP109+AP113,IF(AND($D$116="Pay Down",AP112&lt;AP116),0+AP120-AP124,IF(AND($D$116="Pay Down",AP112&gt;AP116,AP5='Inputs and Assumptions'!$P$6),0+'Monthly Cash Flow'!AP120,IF(AND($D$116="Pay Down",AP112&gt;AP116),0,IF(AND($D$116="Accrue",AP112&gt;AP116,'Inputs and Assumptions'!$L$5="YES",'Monthly Cash Flow'!AP5='Inputs and Assumptions'!$L$6),MAX(0,AP112-AP115-AP116),IF(AND($D$116="Accrue",AP112&lt;0,AP120=0),AP112+AP120-AP124+AP109+AP113,IF($D$116="Accrue",AP112+AP120-AP124,AP112-AP116+AP120-AP124+AP109+AP113))))))))</f>
        <v>136520.43207352899</v>
      </c>
      <c r="AQ129" s="435">
        <f>IF(AQ5&gt;'Inputs and Assumptions'!$P$6,0,IF($E$115=0,AQ112+AQ120-AQ124+AQ109+AQ113,IF(AND($D$116="Pay Down",AQ112&lt;AQ116),0+AQ120-AQ124,IF(AND($D$116="Pay Down",AQ112&gt;AQ116,AQ5='Inputs and Assumptions'!$P$6),0+'Monthly Cash Flow'!AQ120,IF(AND($D$116="Pay Down",AQ112&gt;AQ116),0,IF(AND($D$116="Accrue",AQ112&gt;AQ116,'Inputs and Assumptions'!$L$5="YES",'Monthly Cash Flow'!AQ5='Inputs and Assumptions'!$L$6),MAX(0,AQ112-AQ115-AQ116),IF(AND($D$116="Accrue",AQ112&lt;0,AQ120=0),AQ112+AQ120-AQ124+AQ109+AQ113,IF($D$116="Accrue",AQ112+AQ120-AQ124,AQ112-AQ116+AQ120-AQ124+AQ109+AQ113))))))))</f>
        <v>137804.04472163261</v>
      </c>
      <c r="AR129" s="435">
        <f>IF(AR5&gt;'Inputs and Assumptions'!$P$6,0,IF($E$115=0,AR112+AR120-AR124+AR109+AR113,IF(AND($D$116="Pay Down",AR112&lt;AR116),0+AR120-AR124,IF(AND($D$116="Pay Down",AR112&gt;AR116,AR5='Inputs and Assumptions'!$P$6),0+'Monthly Cash Flow'!AR120,IF(AND($D$116="Pay Down",AR112&gt;AR116),0,IF(AND($D$116="Accrue",AR112&gt;AR116,'Inputs and Assumptions'!$L$5="YES",'Monthly Cash Flow'!AR5='Inputs and Assumptions'!$L$6),MAX(0,AR112-AR115-AR116),IF(AND($D$116="Accrue",AR112&lt;0,AR120=0),AR112+AR120-AR124+AR109+AR113,IF($D$116="Accrue",AR112+AR120-AR124,AR112-AR116+AR120-AR124+AR109+AR113))))))))</f>
        <v>139091.93607856351</v>
      </c>
      <c r="AS129" s="435">
        <f>IF(AS5&gt;'Inputs and Assumptions'!$P$6,0,IF($E$115=0,AS112+AS120-AS124+AS109+AS113,IF(AND($D$116="Pay Down",AS112&lt;AS116),0+AS120-AS124,IF(AND($D$116="Pay Down",AS112&gt;AS116,AS5='Inputs and Assumptions'!$P$6),0+'Monthly Cash Flow'!AS120,IF(AND($D$116="Pay Down",AS112&gt;AS116),0,IF(AND($D$116="Accrue",AS112&gt;AS116,'Inputs and Assumptions'!$L$5="YES",'Monthly Cash Flow'!AS5='Inputs and Assumptions'!$L$6),MAX(0,AS112-AS115-AS116),IF(AND($D$116="Accrue",AS112&lt;0,AS120=0),AS112+AS120-AS124+AS109+AS113,IF($D$116="Accrue",AS112+AS120-AS124,AS112-AS116+AS120-AS124+AS109+AS113))))))))</f>
        <v>140384.12040668412</v>
      </c>
      <c r="AT129" s="435">
        <f>IF(AT5&gt;'Inputs and Assumptions'!$P$6,0,IF($E$115=0,AT112+AT120-AT124+AT109+AT113,IF(AND($D$116="Pay Down",AT112&lt;AT116),0+AT120-AT124,IF(AND($D$116="Pay Down",AT112&gt;AT116,AT5='Inputs and Assumptions'!$P$6),0+'Monthly Cash Flow'!AT120,IF(AND($D$116="Pay Down",AT112&gt;AT116),0,IF(AND($D$116="Accrue",AT112&gt;AT116,'Inputs and Assumptions'!$L$5="YES",'Monthly Cash Flow'!AT5='Inputs and Assumptions'!$L$6),MAX(0,AT112-AT115-AT116),IF(AND($D$116="Accrue",AT112&lt;0,AT120=0),AT112+AT120-AT124+AT109+AT113,IF($D$116="Accrue",AT112+AT120-AT124,AT112-AT116+AT120-AT124+AT109+AT113))))))))</f>
        <v>141680.61201589828</v>
      </c>
      <c r="AU129" s="435">
        <f>IF(AU5&gt;'Inputs and Assumptions'!$P$6,0,IF($E$115=0,AU112+AU120-AU124+AU109+AU113,IF(AND($D$116="Pay Down",AU112&lt;AU116),0+AU120-AU124,IF(AND($D$116="Pay Down",AU112&gt;AU116,AU5='Inputs and Assumptions'!$P$6),0+'Monthly Cash Flow'!AU120,IF(AND($D$116="Pay Down",AU112&gt;AU116),0,IF(AND($D$116="Accrue",AU112&gt;AU116,'Inputs and Assumptions'!$L$5="YES",'Monthly Cash Flow'!AU5='Inputs and Assumptions'!$L$6),MAX(0,AU112-AU115-AU116),IF(AND($D$116="Accrue",AU112&lt;0,AU120=0),AU112+AU120-AU124+AU109+AU113,IF($D$116="Accrue",AU112+AU120-AU124,AU112-AU116+AU120-AU124+AU109+AU113))))))))</f>
        <v>142981.42526381009</v>
      </c>
      <c r="AV129" s="435">
        <f>IF(AV5&gt;'Inputs and Assumptions'!$P$6,0,IF($E$115=0,AV112+AV120-AV124+AV109+AV113,IF(AND($D$116="Pay Down",AV112&lt;AV116),0+AV120-AV124,IF(AND($D$116="Pay Down",AV112&gt;AV116,AV5='Inputs and Assumptions'!$P$6),0+'Monthly Cash Flow'!AV120,IF(AND($D$116="Pay Down",AV112&gt;AV116),0,IF(AND($D$116="Accrue",AV112&gt;AV116,'Inputs and Assumptions'!$L$5="YES",'Monthly Cash Flow'!AV5='Inputs and Assumptions'!$L$6),MAX(0,AV112-AV115-AV116),IF(AND($D$116="Accrue",AV112&lt;0,AV120=0),AV112+AV120-AV124+AV109+AV113,IF($D$116="Accrue",AV112+AV120-AV124,AV112-AV116+AV120-AV124+AV109+AV113))))))))</f>
        <v>144286.57455588144</v>
      </c>
      <c r="AW129" s="435">
        <f>IF(AW5&gt;'Inputs and Assumptions'!$P$6,0,IF($E$115=0,AW112+AW120-AW124+AW109+AW113,IF(AND($D$116="Pay Down",AW112&lt;AW116),0+AW120-AW124,IF(AND($D$116="Pay Down",AW112&gt;AW116,AW5='Inputs and Assumptions'!$P$6),0+'Monthly Cash Flow'!AW120,IF(AND($D$116="Pay Down",AW112&gt;AW116),0,IF(AND($D$116="Accrue",AW112&gt;AW116,'Inputs and Assumptions'!$L$5="YES",'Monthly Cash Flow'!AW5='Inputs and Assumptions'!$L$6),MAX(0,AW112-AW115-AW116),IF(AND($D$116="Accrue",AW112&lt;0,AW120=0),AW112+AW120-AW124+AW109+AW113,IF($D$116="Accrue",AW112+AW120-AW124,AW112-AW116+AW120-AW124+AW109+AW113))))))))</f>
        <v>145596.07434559317</v>
      </c>
      <c r="AX129" s="435">
        <f>IF(AX5&gt;'Inputs and Assumptions'!$P$6,0,IF($E$115=0,AX112+AX120-AX124+AX109+AX113,IF(AND($D$116="Pay Down",AX112&lt;AX116),0+AX120-AX124,IF(AND($D$116="Pay Down",AX112&gt;AX116,AX5='Inputs and Assumptions'!$P$6),0+'Monthly Cash Flow'!AX120,IF(AND($D$116="Pay Down",AX112&gt;AX116),0,IF(AND($D$116="Accrue",AX112&gt;AX116,'Inputs and Assumptions'!$L$5="YES",'Monthly Cash Flow'!AX5='Inputs and Assumptions'!$L$6),MAX(0,AX112-AX115-AX116),IF(AND($D$116="Accrue",AX112&lt;0,AX120=0),AX112+AX120-AX124+AX109+AX113,IF($D$116="Accrue",AX112+AX120-AX124,AX112-AX116+AX120-AX124+AX109+AX113))))))))</f>
        <v>146909.93913460377</v>
      </c>
      <c r="AY129" s="435">
        <f>IF(AY5&gt;'Inputs and Assumptions'!$P$6,0,IF($E$115=0,AY112+AY120-AY124+AY109+AY113,IF(AND($D$116="Pay Down",AY112&lt;AY116),0+AY120-AY124,IF(AND($D$116="Pay Down",AY112&gt;AY116,AY5='Inputs and Assumptions'!$P$6),0+'Monthly Cash Flow'!AY120,IF(AND($D$116="Pay Down",AY112&gt;AY116),0,IF(AND($D$116="Accrue",AY112&gt;AY116,'Inputs and Assumptions'!$L$5="YES",'Monthly Cash Flow'!AY5='Inputs and Assumptions'!$L$6),MAX(0,AY112-AY115-AY116),IF(AND($D$116="Accrue",AY112&lt;0,AY120=0),AY112+AY120-AY124+AY109+AY113,IF($D$116="Accrue",AY112+AY120-AY124,AY112-AY116+AY120-AY124+AY109+AY113))))))))</f>
        <v>148228.18347291125</v>
      </c>
      <c r="AZ129" s="435">
        <f>IF(AZ5&gt;'Inputs and Assumptions'!$P$6,0,IF($E$115=0,AZ112+AZ120-AZ124+AZ109+AZ113,IF(AND($D$116="Pay Down",AZ112&lt;AZ116),0+AZ120-AZ124,IF(AND($D$116="Pay Down",AZ112&gt;AZ116,AZ5='Inputs and Assumptions'!$P$6),0+'Monthly Cash Flow'!AZ120,IF(AND($D$116="Pay Down",AZ112&gt;AZ116),0,IF(AND($D$116="Accrue",AZ112&gt;AZ116,'Inputs and Assumptions'!$L$5="YES",'Monthly Cash Flow'!AZ5='Inputs and Assumptions'!$L$6),MAX(0,AZ112-AZ115-AZ116),IF(AND($D$116="Accrue",AZ112&lt;0,AZ120=0),AZ112+AZ120-AZ124+AZ109+AZ113,IF($D$116="Accrue",AZ112+AZ120-AZ124,AZ112-AZ116+AZ120-AZ124+AZ109+AZ113))))))))</f>
        <v>29370228.452826262</v>
      </c>
      <c r="BA129" s="435">
        <f>IF(BA5&gt;'Inputs and Assumptions'!$P$6,0,IF($E$115=0,BA112+BA120-BA124+BA109+BA113,IF(AND($D$116="Pay Down",BA112&lt;BA116),0+BA120-BA124,IF(AND($D$116="Pay Down",BA112&gt;BA116,BA5='Inputs and Assumptions'!$P$6),0+'Monthly Cash Flow'!BA120,IF(AND($D$116="Pay Down",BA112&gt;BA116),0,IF(AND($D$116="Accrue",BA112&gt;BA116,'Inputs and Assumptions'!$L$5="YES",'Monthly Cash Flow'!BA5='Inputs and Assumptions'!$L$6),MAX(0,BA112-BA115-BA116),IF(AND($D$116="Accrue",BA112&lt;0,BA120=0),BA112+BA120-BA124+BA109+BA113,IF($D$116="Accrue",BA112+BA120-BA124,BA112-BA116+BA120-BA124+BA109+BA113))))))))</f>
        <v>0</v>
      </c>
      <c r="BB129" s="435">
        <f>IF(BB5&gt;'Inputs and Assumptions'!$P$6,0,IF($E$115=0,BB112+BB120-BB124+BB109+BB113,IF(AND($D$116="Pay Down",BB112&lt;BB116),0+BB120-BB124,IF(AND($D$116="Pay Down",BB112&gt;BB116,BB5='Inputs and Assumptions'!$P$6),0+'Monthly Cash Flow'!BB120,IF(AND($D$116="Pay Down",BB112&gt;BB116),0,IF(AND($D$116="Accrue",BB112&gt;BB116,'Inputs and Assumptions'!$L$5="YES",'Monthly Cash Flow'!BB5='Inputs and Assumptions'!$L$6),MAX(0,BB112-BB115-BB116),IF(AND($D$116="Accrue",BB112&lt;0,BB120=0),BB112+BB120-BB124+BB109+BB113,IF($D$116="Accrue",BB112+BB120-BB124,BB112-BB116+BB120-BB124+BB109+BB113))))))))</f>
        <v>0</v>
      </c>
      <c r="BC129" s="435">
        <f>IF(BC5&gt;'Inputs and Assumptions'!$P$6,0,IF($E$115=0,BC112+BC120-BC124+BC109+BC113,IF(AND($D$116="Pay Down",BC112&lt;BC116),0+BC120-BC124,IF(AND($D$116="Pay Down",BC112&gt;BC116,BC5='Inputs and Assumptions'!$P$6),0+'Monthly Cash Flow'!BC120,IF(AND($D$116="Pay Down",BC112&gt;BC116),0,IF(AND($D$116="Accrue",BC112&gt;BC116,'Inputs and Assumptions'!$L$5="YES",'Monthly Cash Flow'!BC5='Inputs and Assumptions'!$L$6),MAX(0,BC112-BC115-BC116),IF(AND($D$116="Accrue",BC112&lt;0,BC120=0),BC112+BC120-BC124+BC109+BC113,IF($D$116="Accrue",BC112+BC120-BC124,BC112-BC116+BC120-BC124+BC109+BC113))))))))</f>
        <v>0</v>
      </c>
      <c r="BD129" s="435">
        <f>IF(BD5&gt;'Inputs and Assumptions'!$P$6,0,IF($E$115=0,BD112+BD120-BD124+BD109+BD113,IF(AND($D$116="Pay Down",BD112&lt;BD116),0+BD120-BD124,IF(AND($D$116="Pay Down",BD112&gt;BD116,BD5='Inputs and Assumptions'!$P$6),0+'Monthly Cash Flow'!BD120,IF(AND($D$116="Pay Down",BD112&gt;BD116),0,IF(AND($D$116="Accrue",BD112&gt;BD116,'Inputs and Assumptions'!$L$5="YES",'Monthly Cash Flow'!BD5='Inputs and Assumptions'!$L$6),MAX(0,BD112-BD115-BD116),IF(AND($D$116="Accrue",BD112&lt;0,BD120=0),BD112+BD120-BD124+BD109+BD113,IF($D$116="Accrue",BD112+BD120-BD124,BD112-BD116+BD120-BD124+BD109+BD113))))))))</f>
        <v>0</v>
      </c>
      <c r="BE129" s="435">
        <f>IF(BE5&gt;'Inputs and Assumptions'!$P$6,0,IF($E$115=0,BE112+BE120-BE124+BE109+BE113,IF(AND($D$116="Pay Down",BE112&lt;BE116),0+BE120-BE124,IF(AND($D$116="Pay Down",BE112&gt;BE116,BE5='Inputs and Assumptions'!$P$6),0+'Monthly Cash Flow'!BE120,IF(AND($D$116="Pay Down",BE112&gt;BE116),0,IF(AND($D$116="Accrue",BE112&gt;BE116,'Inputs and Assumptions'!$L$5="YES",'Monthly Cash Flow'!BE5='Inputs and Assumptions'!$L$6),MAX(0,BE112-BE115-BE116),IF(AND($D$116="Accrue",BE112&lt;0,BE120=0),BE112+BE120-BE124+BE109+BE113,IF($D$116="Accrue",BE112+BE120-BE124,BE112-BE116+BE120-BE124+BE109+BE113))))))))</f>
        <v>0</v>
      </c>
      <c r="BF129" s="435">
        <f>IF(BF5&gt;'Inputs and Assumptions'!$P$6,0,IF($E$115=0,BF112+BF120-BF124+BF109+BF113,IF(AND($D$116="Pay Down",BF112&lt;BF116),0+BF120-BF124,IF(AND($D$116="Pay Down",BF112&gt;BF116,BF5='Inputs and Assumptions'!$P$6),0+'Monthly Cash Flow'!BF120,IF(AND($D$116="Pay Down",BF112&gt;BF116),0,IF(AND($D$116="Accrue",BF112&gt;BF116,'Inputs and Assumptions'!$L$5="YES",'Monthly Cash Flow'!BF5='Inputs and Assumptions'!$L$6),MAX(0,BF112-BF115-BF116),IF(AND($D$116="Accrue",BF112&lt;0,BF120=0),BF112+BF120-BF124+BF109+BF113,IF($D$116="Accrue",BF112+BF120-BF124,BF112-BF116+BF120-BF124+BF109+BF113))))))))</f>
        <v>0</v>
      </c>
      <c r="BG129" s="435">
        <f>IF(BG5&gt;'Inputs and Assumptions'!$P$6,0,IF($E$115=0,BG112+BG120-BG124+BG109+BG113,IF(AND($D$116="Pay Down",BG112&lt;BG116),0+BG120-BG124,IF(AND($D$116="Pay Down",BG112&gt;BG116,BG5='Inputs and Assumptions'!$P$6),0+'Monthly Cash Flow'!BG120,IF(AND($D$116="Pay Down",BG112&gt;BG116),0,IF(AND($D$116="Accrue",BG112&gt;BG116,'Inputs and Assumptions'!$L$5="YES",'Monthly Cash Flow'!BG5='Inputs and Assumptions'!$L$6),MAX(0,BG112-BG115-BG116),IF(AND($D$116="Accrue",BG112&lt;0,BG120=0),BG112+BG120-BG124+BG109+BG113,IF($D$116="Accrue",BG112+BG120-BG124,BG112-BG116+BG120-BG124+BG109+BG113))))))))</f>
        <v>0</v>
      </c>
      <c r="BH129" s="435">
        <f>IF(BH5&gt;'Inputs and Assumptions'!$P$6,0,IF($E$115=0,BH112+BH120-BH124+BH109+BH113,IF(AND($D$116="Pay Down",BH112&lt;BH116),0+BH120-BH124,IF(AND($D$116="Pay Down",BH112&gt;BH116,BH5='Inputs and Assumptions'!$P$6),0+'Monthly Cash Flow'!BH120,IF(AND($D$116="Pay Down",BH112&gt;BH116),0,IF(AND($D$116="Accrue",BH112&gt;BH116,'Inputs and Assumptions'!$L$5="YES",'Monthly Cash Flow'!BH5='Inputs and Assumptions'!$L$6),MAX(0,BH112-BH115-BH116),IF(AND($D$116="Accrue",BH112&lt;0,BH120=0),BH112+BH120-BH124+BH109+BH113,IF($D$116="Accrue",BH112+BH120-BH124,BH112-BH116+BH120-BH124+BH109+BH113))))))))</f>
        <v>0</v>
      </c>
      <c r="BI129" s="435">
        <f>IF(BI5&gt;'Inputs and Assumptions'!$P$6,0,IF($E$115=0,BI112+BI120-BI124+BI109+BI113,IF(AND($D$116="Pay Down",BI112&lt;BI116),0+BI120-BI124,IF(AND($D$116="Pay Down",BI112&gt;BI116,BI5='Inputs and Assumptions'!$P$6),0+'Monthly Cash Flow'!BI120,IF(AND($D$116="Pay Down",BI112&gt;BI116),0,IF(AND($D$116="Accrue",BI112&gt;BI116,'Inputs and Assumptions'!$L$5="YES",'Monthly Cash Flow'!BI5='Inputs and Assumptions'!$L$6),MAX(0,BI112-BI115-BI116),IF(AND($D$116="Accrue",BI112&lt;0,BI120=0),BI112+BI120-BI124+BI109+BI113,IF($D$116="Accrue",BI112+BI120-BI124,BI112-BI116+BI120-BI124+BI109+BI113))))))))</f>
        <v>0</v>
      </c>
      <c r="BJ129" s="435">
        <f>IF(BJ5&gt;'Inputs and Assumptions'!$P$6,0,IF($E$115=0,BJ112+BJ120-BJ124+BJ109+BJ113,IF(AND($D$116="Pay Down",BJ112&lt;BJ116),0+BJ120-BJ124,IF(AND($D$116="Pay Down",BJ112&gt;BJ116,BJ5='Inputs and Assumptions'!$P$6),0+'Monthly Cash Flow'!BJ120,IF(AND($D$116="Pay Down",BJ112&gt;BJ116),0,IF(AND($D$116="Accrue",BJ112&gt;BJ116,'Inputs and Assumptions'!$L$5="YES",'Monthly Cash Flow'!BJ5='Inputs and Assumptions'!$L$6),MAX(0,BJ112-BJ115-BJ116),IF(AND($D$116="Accrue",BJ112&lt;0,BJ120=0),BJ112+BJ120-BJ124+BJ109+BJ113,IF($D$116="Accrue",BJ112+BJ120-BJ124,BJ112-BJ116+BJ120-BJ124+BJ109+BJ113))))))))</f>
        <v>0</v>
      </c>
      <c r="BK129" s="435">
        <f>IF(BK5&gt;'Inputs and Assumptions'!$P$6,0,IF($E$115=0,BK112+BK120-BK124+BK109+BK113,IF(AND($D$116="Pay Down",BK112&lt;BK116),0+BK120-BK124,IF(AND($D$116="Pay Down",BK112&gt;BK116,BK5='Inputs and Assumptions'!$P$6),0+'Monthly Cash Flow'!BK120,IF(AND($D$116="Pay Down",BK112&gt;BK116),0,IF(AND($D$116="Accrue",BK112&gt;BK116,'Inputs and Assumptions'!$L$5="YES",'Monthly Cash Flow'!BK5='Inputs and Assumptions'!$L$6),MAX(0,BK112-BK115-BK116),IF(AND($D$116="Accrue",BK112&lt;0,BK120=0),BK112+BK120-BK124+BK109+BK113,IF($D$116="Accrue",BK112+BK120-BK124,BK112-BK116+BK120-BK124+BK109+BK113))))))))</f>
        <v>0</v>
      </c>
      <c r="BL129" s="435">
        <f>IF(BL5&gt;'Inputs and Assumptions'!$P$6,0,IF($E$115=0,BL112+BL120-BL124+BL109+BL113,IF(AND($D$116="Pay Down",BL112&lt;BL116),0+BL120-BL124,IF(AND($D$116="Pay Down",BL112&gt;BL116,BL5='Inputs and Assumptions'!$P$6),0+'Monthly Cash Flow'!BL120,IF(AND($D$116="Pay Down",BL112&gt;BL116),0,IF(AND($D$116="Accrue",BL112&gt;BL116,'Inputs and Assumptions'!$L$5="YES",'Monthly Cash Flow'!BL5='Inputs and Assumptions'!$L$6),MAX(0,BL112-BL115-BL116),IF(AND($D$116="Accrue",BL112&lt;0,BL120=0),BL112+BL120-BL124+BL109+BL113,IF($D$116="Accrue",BL112+BL120-BL124,BL112-BL116+BL120-BL124+BL109+BL113))))))))</f>
        <v>0</v>
      </c>
      <c r="BM129" s="435">
        <f>IF(BM5&gt;'Inputs and Assumptions'!$P$6,0,IF($E$115=0,BM112+BM120-BM124+BM109+BM113,IF(AND($D$116="Pay Down",BM112&lt;BM116),0+BM120-BM124,IF(AND($D$116="Pay Down",BM112&gt;BM116,BM5='Inputs and Assumptions'!$P$6),0+'Monthly Cash Flow'!BM120,IF(AND($D$116="Pay Down",BM112&gt;BM116),0,IF(AND($D$116="Accrue",BM112&gt;BM116,'Inputs and Assumptions'!$L$5="YES",'Monthly Cash Flow'!BM5='Inputs and Assumptions'!$L$6),MAX(0,BM112-BM115-BM116),IF(AND($D$116="Accrue",BM112&lt;0,BM120=0),BM112+BM120-BM124+BM109+BM113,IF($D$116="Accrue",BM112+BM120-BM124,BM112-BM116+BM120-BM124+BM109+BM113))))))))</f>
        <v>0</v>
      </c>
      <c r="BN129" s="435">
        <f>IF(BN5&gt;'Inputs and Assumptions'!$P$6,0,IF($E$115=0,BN112+BN120-BN124+BN109+BN113,IF(AND($D$116="Pay Down",BN112&lt;BN116),0+BN120-BN124,IF(AND($D$116="Pay Down",BN112&gt;BN116,BN5='Inputs and Assumptions'!$P$6),0+'Monthly Cash Flow'!BN120,IF(AND($D$116="Pay Down",BN112&gt;BN116),0,IF(AND($D$116="Accrue",BN112&gt;BN116,'Inputs and Assumptions'!$L$5="YES",'Monthly Cash Flow'!BN5='Inputs and Assumptions'!$L$6),MAX(0,BN112-BN115-BN116),IF(AND($D$116="Accrue",BN112&lt;0,BN120=0),BN112+BN120-BN124+BN109+BN113,IF($D$116="Accrue",BN112+BN120-BN124,BN112-BN116+BN120-BN124+BN109+BN113))))))))</f>
        <v>0</v>
      </c>
      <c r="BO129" s="435">
        <f>IF(BO5&gt;'Inputs and Assumptions'!$P$6,0,IF($E$115=0,BO112+BO120-BO124+BO109+BO113,IF(AND($D$116="Pay Down",BO112&lt;BO116),0+BO120-BO124,IF(AND($D$116="Pay Down",BO112&gt;BO116,BO5='Inputs and Assumptions'!$P$6),0+'Monthly Cash Flow'!BO120,IF(AND($D$116="Pay Down",BO112&gt;BO116),0,IF(AND($D$116="Accrue",BO112&gt;BO116,'Inputs and Assumptions'!$L$5="YES",'Monthly Cash Flow'!BO5='Inputs and Assumptions'!$L$6),MAX(0,BO112-BO115-BO116),IF(AND($D$116="Accrue",BO112&lt;0,BO120=0),BO112+BO120-BO124+BO109+BO113,IF($D$116="Accrue",BO112+BO120-BO124,BO112-BO116+BO120-BO124+BO109+BO113))))))))</f>
        <v>0</v>
      </c>
      <c r="BP129" s="435">
        <f>IF(BP5&gt;'Inputs and Assumptions'!$P$6,0,IF($E$115=0,BP112+BP120-BP124+BP109+BP113,IF(AND($D$116="Pay Down",BP112&lt;BP116),0+BP120-BP124,IF(AND($D$116="Pay Down",BP112&gt;BP116,BP5='Inputs and Assumptions'!$P$6),0+'Monthly Cash Flow'!BP120,IF(AND($D$116="Pay Down",BP112&gt;BP116),0,IF(AND($D$116="Accrue",BP112&gt;BP116,'Inputs and Assumptions'!$L$5="YES",'Monthly Cash Flow'!BP5='Inputs and Assumptions'!$L$6),MAX(0,BP112-BP115-BP116),IF(AND($D$116="Accrue",BP112&lt;0,BP120=0),BP112+BP120-BP124+BP109+BP113,IF($D$116="Accrue",BP112+BP120-BP124,BP112-BP116+BP120-BP124+BP109+BP113))))))))</f>
        <v>0</v>
      </c>
      <c r="BQ129" s="435">
        <f>IF(BQ5&gt;'Inputs and Assumptions'!$P$6,0,IF($E$115=0,BQ112+BQ120-BQ124+BQ109+BQ113,IF(AND($D$116="Pay Down",BQ112&lt;BQ116),0+BQ120-BQ124,IF(AND($D$116="Pay Down",BQ112&gt;BQ116,BQ5='Inputs and Assumptions'!$P$6),0+'Monthly Cash Flow'!BQ120,IF(AND($D$116="Pay Down",BQ112&gt;BQ116),0,IF(AND($D$116="Accrue",BQ112&gt;BQ116,'Inputs and Assumptions'!$L$5="YES",'Monthly Cash Flow'!BQ5='Inputs and Assumptions'!$L$6),MAX(0,BQ112-BQ115-BQ116),IF(AND($D$116="Accrue",BQ112&lt;0,BQ120=0),BQ112+BQ120-BQ124+BQ109+BQ113,IF($D$116="Accrue",BQ112+BQ120-BQ124,BQ112-BQ116+BQ120-BQ124+BQ109+BQ113))))))))</f>
        <v>0</v>
      </c>
      <c r="BR129" s="435">
        <f>IF(BR5&gt;'Inputs and Assumptions'!$P$6,0,IF($E$115=0,BR112+BR120-BR124+BR109+BR113,IF(AND($D$116="Pay Down",BR112&lt;BR116),0+BR120-BR124,IF(AND($D$116="Pay Down",BR112&gt;BR116,BR5='Inputs and Assumptions'!$P$6),0+'Monthly Cash Flow'!BR120,IF(AND($D$116="Pay Down",BR112&gt;BR116),0,IF(AND($D$116="Accrue",BR112&gt;BR116,'Inputs and Assumptions'!$L$5="YES",'Monthly Cash Flow'!BR5='Inputs and Assumptions'!$L$6),MAX(0,BR112-BR115-BR116),IF(AND($D$116="Accrue",BR112&lt;0,BR120=0),BR112+BR120-BR124+BR109+BR113,IF($D$116="Accrue",BR112+BR120-BR124,BR112-BR116+BR120-BR124+BR109+BR113))))))))</f>
        <v>0</v>
      </c>
      <c r="BS129" s="435">
        <f>IF(BS5&gt;'Inputs and Assumptions'!$P$6,0,IF($E$115=0,BS112+BS120-BS124+BS109+BS113,IF(AND($D$116="Pay Down",BS112&lt;BS116),0+BS120-BS124,IF(AND($D$116="Pay Down",BS112&gt;BS116,BS5='Inputs and Assumptions'!$P$6),0+'Monthly Cash Flow'!BS120,IF(AND($D$116="Pay Down",BS112&gt;BS116),0,IF(AND($D$116="Accrue",BS112&gt;BS116,'Inputs and Assumptions'!$L$5="YES",'Monthly Cash Flow'!BS5='Inputs and Assumptions'!$L$6),MAX(0,BS112-BS115-BS116),IF(AND($D$116="Accrue",BS112&lt;0,BS120=0),BS112+BS120-BS124+BS109+BS113,IF($D$116="Accrue",BS112+BS120-BS124,BS112-BS116+BS120-BS124+BS109+BS113))))))))</f>
        <v>0</v>
      </c>
      <c r="BT129" s="435">
        <f>IF(BT5&gt;'Inputs and Assumptions'!$P$6,0,IF($E$115=0,BT112+BT120-BT124+BT109+BT113,IF(AND($D$116="Pay Down",BT112&lt;BT116),0+BT120-BT124,IF(AND($D$116="Pay Down",BT112&gt;BT116,BT5='Inputs and Assumptions'!$P$6),0+'Monthly Cash Flow'!BT120,IF(AND($D$116="Pay Down",BT112&gt;BT116),0,IF(AND($D$116="Accrue",BT112&gt;BT116,'Inputs and Assumptions'!$L$5="YES",'Monthly Cash Flow'!BT5='Inputs and Assumptions'!$L$6),MAX(0,BT112-BT115-BT116),IF(AND($D$116="Accrue",BT112&lt;0,BT120=0),BT112+BT120-BT124+BT109+BT113,IF($D$116="Accrue",BT112+BT120-BT124,BT112-BT116+BT120-BT124+BT109+BT113))))))))</f>
        <v>0</v>
      </c>
      <c r="BU129" s="435">
        <f>IF(BU5&gt;'Inputs and Assumptions'!$P$6,0,IF($E$115=0,BU112+BU120-BU124+BU109+BU113,IF(AND($D$116="Pay Down",BU112&lt;BU116),0+BU120-BU124,IF(AND($D$116="Pay Down",BU112&gt;BU116,BU5='Inputs and Assumptions'!$P$6),0+'Monthly Cash Flow'!BU120,IF(AND($D$116="Pay Down",BU112&gt;BU116),0,IF(AND($D$116="Accrue",BU112&gt;BU116,'Inputs and Assumptions'!$L$5="YES",'Monthly Cash Flow'!BU5='Inputs and Assumptions'!$L$6),MAX(0,BU112-BU115-BU116),IF(AND($D$116="Accrue",BU112&lt;0,BU120=0),BU112+BU120-BU124+BU109+BU113,IF($D$116="Accrue",BU112+BU120-BU124,BU112-BU116+BU120-BU124+BU109+BU113))))))))</f>
        <v>0</v>
      </c>
      <c r="BV129" s="435">
        <f>IF(BV5&gt;'Inputs and Assumptions'!$P$6,0,IF($E$115=0,BV112+BV120-BV124+BV109+BV113,IF(AND($D$116="Pay Down",BV112&lt;BV116),0+BV120-BV124,IF(AND($D$116="Pay Down",BV112&gt;BV116,BV5='Inputs and Assumptions'!$P$6),0+'Monthly Cash Flow'!BV120,IF(AND($D$116="Pay Down",BV112&gt;BV116),0,IF(AND($D$116="Accrue",BV112&gt;BV116,'Inputs and Assumptions'!$L$5="YES",'Monthly Cash Flow'!BV5='Inputs and Assumptions'!$L$6),MAX(0,BV112-BV115-BV116),IF(AND($D$116="Accrue",BV112&lt;0,BV120=0),BV112+BV120-BV124+BV109+BV113,IF($D$116="Accrue",BV112+BV120-BV124,BV112-BV116+BV120-BV124+BV109+BV113))))))))</f>
        <v>0</v>
      </c>
      <c r="BW129" s="435">
        <f>IF(BW5&gt;'Inputs and Assumptions'!$P$6,0,IF($E$115=0,BW112+BW120-BW124+BW109+BW113,IF(AND($D$116="Pay Down",BW112&lt;BW116),0+BW120-BW124,IF(AND($D$116="Pay Down",BW112&gt;BW116,BW5='Inputs and Assumptions'!$P$6),0+'Monthly Cash Flow'!BW120,IF(AND($D$116="Pay Down",BW112&gt;BW116),0,IF(AND($D$116="Accrue",BW112&gt;BW116,'Inputs and Assumptions'!$L$5="YES",'Monthly Cash Flow'!BW5='Inputs and Assumptions'!$L$6),MAX(0,BW112-BW115-BW116),IF(AND($D$116="Accrue",BW112&lt;0,BW120=0),BW112+BW120-BW124+BW109+BW113,IF($D$116="Accrue",BW112+BW120-BW124,BW112-BW116+BW120-BW124+BW109+BW113))))))))</f>
        <v>0</v>
      </c>
      <c r="BX129" s="435">
        <f>IF(BX5&gt;'Inputs and Assumptions'!$P$6,0,IF($E$115=0,BX112+BX120-BX124+BX109+BX113,IF(AND($D$116="Pay Down",BX112&lt;BX116),0+BX120-BX124,IF(AND($D$116="Pay Down",BX112&gt;BX116,BX5='Inputs and Assumptions'!$P$6),0+'Monthly Cash Flow'!BX120,IF(AND($D$116="Pay Down",BX112&gt;BX116),0,IF(AND($D$116="Accrue",BX112&gt;BX116,'Inputs and Assumptions'!$L$5="YES",'Monthly Cash Flow'!BX5='Inputs and Assumptions'!$L$6),MAX(0,BX112-BX115-BX116),IF(AND($D$116="Accrue",BX112&lt;0,BX120=0),BX112+BX120-BX124+BX109+BX113,IF($D$116="Accrue",BX112+BX120-BX124,BX112-BX116+BX120-BX124+BX109+BX113))))))))</f>
        <v>0</v>
      </c>
      <c r="BY129" s="435">
        <f>IF(BY5&gt;'Inputs and Assumptions'!$P$6,0,IF($E$115=0,BY112+BY120-BY124+BY109+BY113,IF(AND($D$116="Pay Down",BY112&lt;BY116),0+BY120-BY124,IF(AND($D$116="Pay Down",BY112&gt;BY116,BY5='Inputs and Assumptions'!$P$6),0+'Monthly Cash Flow'!BY120,IF(AND($D$116="Pay Down",BY112&gt;BY116),0,IF(AND($D$116="Accrue",BY112&gt;BY116,'Inputs and Assumptions'!$L$5="YES",'Monthly Cash Flow'!BY5='Inputs and Assumptions'!$L$6),MAX(0,BY112-BY115-BY116),IF(AND($D$116="Accrue",BY112&lt;0,BY120=0),BY112+BY120-BY124+BY109+BY113,IF($D$116="Accrue",BY112+BY120-BY124,BY112-BY116+BY120-BY124+BY109+BY113))))))))</f>
        <v>0</v>
      </c>
      <c r="BZ129" s="435">
        <f>IF(BZ5&gt;'Inputs and Assumptions'!$P$6,0,IF($E$115=0,BZ112+BZ120-BZ124+BZ109+BZ113,IF(AND($D$116="Pay Down",BZ112&lt;BZ116),0+BZ120-BZ124,IF(AND($D$116="Pay Down",BZ112&gt;BZ116,BZ5='Inputs and Assumptions'!$P$6),0+'Monthly Cash Flow'!BZ120,IF(AND($D$116="Pay Down",BZ112&gt;BZ116),0,IF(AND($D$116="Accrue",BZ112&gt;BZ116,'Inputs and Assumptions'!$L$5="YES",'Monthly Cash Flow'!BZ5='Inputs and Assumptions'!$L$6),MAX(0,BZ112-BZ115-BZ116),IF(AND($D$116="Accrue",BZ112&lt;0,BZ120=0),BZ112+BZ120-BZ124+BZ109+BZ113,IF($D$116="Accrue",BZ112+BZ120-BZ124,BZ112-BZ116+BZ120-BZ124+BZ109+BZ113))))))))</f>
        <v>0</v>
      </c>
      <c r="CA129" s="435">
        <f>IF(CA5&gt;'Inputs and Assumptions'!$P$6,0,IF($E$115=0,CA112+CA120-CA124+CA109+CA113,IF(AND($D$116="Pay Down",CA112&lt;CA116),0+CA120-CA124,IF(AND($D$116="Pay Down",CA112&gt;CA116,CA5='Inputs and Assumptions'!$P$6),0+'Monthly Cash Flow'!CA120,IF(AND($D$116="Pay Down",CA112&gt;CA116),0,IF(AND($D$116="Accrue",CA112&gt;CA116,'Inputs and Assumptions'!$L$5="YES",'Monthly Cash Flow'!CA5='Inputs and Assumptions'!$L$6),MAX(0,CA112-CA115-CA116),IF(AND($D$116="Accrue",CA112&lt;0,CA120=0),CA112+CA120-CA124+CA109+CA113,IF($D$116="Accrue",CA112+CA120-CA124,CA112-CA116+CA120-CA124+CA109+CA113))))))))</f>
        <v>0</v>
      </c>
      <c r="CB129" s="435">
        <f>IF(CB5&gt;'Inputs and Assumptions'!$P$6,0,IF($E$115=0,CB112+CB120-CB124+CB109+CB113,IF(AND($D$116="Pay Down",CB112&lt;CB116),0+CB120-CB124,IF(AND($D$116="Pay Down",CB112&gt;CB116,CB5='Inputs and Assumptions'!$P$6),0+'Monthly Cash Flow'!CB120,IF(AND($D$116="Pay Down",CB112&gt;CB116),0,IF(AND($D$116="Accrue",CB112&gt;CB116,'Inputs and Assumptions'!$L$5="YES",'Monthly Cash Flow'!CB5='Inputs and Assumptions'!$L$6),MAX(0,CB112-CB115-CB116),IF(AND($D$116="Accrue",CB112&lt;0,CB120=0),CB112+CB120-CB124+CB109+CB113,IF($D$116="Accrue",CB112+CB120-CB124,CB112-CB116+CB120-CB124+CB109+CB113))))))))</f>
        <v>0</v>
      </c>
      <c r="CC129" s="435">
        <f>IF(CC5&gt;'Inputs and Assumptions'!$P$6,0,IF($E$115=0,CC112+CC120-CC124+CC109+CC113,IF(AND($D$116="Pay Down",CC112&lt;CC116),0+CC120-CC124,IF(AND($D$116="Pay Down",CC112&gt;CC116,CC5='Inputs and Assumptions'!$P$6),0+'Monthly Cash Flow'!CC120,IF(AND($D$116="Pay Down",CC112&gt;CC116),0,IF(AND($D$116="Accrue",CC112&gt;CC116,'Inputs and Assumptions'!$L$5="YES",'Monthly Cash Flow'!CC5='Inputs and Assumptions'!$L$6),MAX(0,CC112-CC115-CC116),IF(AND($D$116="Accrue",CC112&lt;0,CC120=0),CC112+CC120-CC124+CC109+CC113,IF($D$116="Accrue",CC112+CC120-CC124,CC112-CC116+CC120-CC124+CC109+CC113))))))))</f>
        <v>0</v>
      </c>
      <c r="CD129" s="435">
        <f>IF(CD5&gt;'Inputs and Assumptions'!$P$6,0,IF($E$115=0,CD112+CD120-CD124+CD109+CD113,IF(AND($D$116="Pay Down",CD112&lt;CD116),0+CD120-CD124,IF(AND($D$116="Pay Down",CD112&gt;CD116,CD5='Inputs and Assumptions'!$P$6),0+'Monthly Cash Flow'!CD120,IF(AND($D$116="Pay Down",CD112&gt;CD116),0,IF(AND($D$116="Accrue",CD112&gt;CD116,'Inputs and Assumptions'!$L$5="YES",'Monthly Cash Flow'!CD5='Inputs and Assumptions'!$L$6),MAX(0,CD112-CD115-CD116),IF(AND($D$116="Accrue",CD112&lt;0,CD120=0),CD112+CD120-CD124+CD109+CD113,IF($D$116="Accrue",CD112+CD120-CD124,CD112-CD116+CD120-CD124+CD109+CD113))))))))</f>
        <v>0</v>
      </c>
      <c r="CE129" s="435">
        <f>IF(CE5&gt;'Inputs and Assumptions'!$P$6,0,IF($E$115=0,CE112+CE120-CE124+CE109+CE113,IF(AND($D$116="Pay Down",CE112&lt;CE116),0+CE120-CE124,IF(AND($D$116="Pay Down",CE112&gt;CE116,CE5='Inputs and Assumptions'!$P$6),0+'Monthly Cash Flow'!CE120,IF(AND($D$116="Pay Down",CE112&gt;CE116),0,IF(AND($D$116="Accrue",CE112&gt;CE116,'Inputs and Assumptions'!$L$5="YES",'Monthly Cash Flow'!CE5='Inputs and Assumptions'!$L$6),MAX(0,CE112-CE115-CE116),IF(AND($D$116="Accrue",CE112&lt;0,CE120=0),CE112+CE120-CE124+CE109+CE113,IF($D$116="Accrue",CE112+CE120-CE124,CE112-CE116+CE120-CE124+CE109+CE113))))))))</f>
        <v>0</v>
      </c>
      <c r="CF129" s="435">
        <f>IF(CF5&gt;'Inputs and Assumptions'!$P$6,0,IF($E$115=0,CF112+CF120-CF124+CF109+CF113,IF(AND($D$116="Pay Down",CF112&lt;CF116),0+CF120-CF124,IF(AND($D$116="Pay Down",CF112&gt;CF116,CF5='Inputs and Assumptions'!$P$6),0+'Monthly Cash Flow'!CF120,IF(AND($D$116="Pay Down",CF112&gt;CF116),0,IF(AND($D$116="Accrue",CF112&gt;CF116,'Inputs and Assumptions'!$L$5="YES",'Monthly Cash Flow'!CF5='Inputs and Assumptions'!$L$6),MAX(0,CF112-CF115-CF116),IF(AND($D$116="Accrue",CF112&lt;0,CF120=0),CF112+CF120-CF124+CF109+CF113,IF($D$116="Accrue",CF112+CF120-CF124,CF112-CF116+CF120-CF124+CF109+CF113))))))))</f>
        <v>0</v>
      </c>
      <c r="CG129" s="435">
        <f>IF(CG5&gt;'Inputs and Assumptions'!$P$6,0,IF($E$115=0,CG112+CG120-CG124+CG109+CG113,IF(AND($D$116="Pay Down",CG112&lt;CG116),0+CG120-CG124,IF(AND($D$116="Pay Down",CG112&gt;CG116,CG5='Inputs and Assumptions'!$P$6),0+'Monthly Cash Flow'!CG120,IF(AND($D$116="Pay Down",CG112&gt;CG116),0,IF(AND($D$116="Accrue",CG112&gt;CG116,'Inputs and Assumptions'!$L$5="YES",'Monthly Cash Flow'!CG5='Inputs and Assumptions'!$L$6),MAX(0,CG112-CG115-CG116),IF(AND($D$116="Accrue",CG112&lt;0,CG120=0),CG112+CG120-CG124+CG109+CG113,IF($D$116="Accrue",CG112+CG120-CG124,CG112-CG116+CG120-CG124+CG109+CG113))))))))</f>
        <v>0</v>
      </c>
      <c r="CH129" s="435">
        <f>IF(CH5&gt;'Inputs and Assumptions'!$P$6,0,IF($E$115=0,CH112+CH120-CH124+CH109+CH113,IF(AND($D$116="Pay Down",CH112&lt;CH116),0+CH120-CH124,IF(AND($D$116="Pay Down",CH112&gt;CH116,CH5='Inputs and Assumptions'!$P$6),0+'Monthly Cash Flow'!CH120,IF(AND($D$116="Pay Down",CH112&gt;CH116),0,IF(AND($D$116="Accrue",CH112&gt;CH116,'Inputs and Assumptions'!$L$5="YES",'Monthly Cash Flow'!CH5='Inputs and Assumptions'!$L$6),MAX(0,CH112-CH115-CH116),IF(AND($D$116="Accrue",CH112&lt;0,CH120=0),CH112+CH120-CH124+CH109+CH113,IF($D$116="Accrue",CH112+CH120-CH124,CH112-CH116+CH120-CH124+CH109+CH113))))))))</f>
        <v>0</v>
      </c>
      <c r="CI129" s="435">
        <f>IF(CI5&gt;'Inputs and Assumptions'!$P$6,0,IF($E$115=0,CI112+CI120-CI124+CI109+CI113,IF(AND($D$116="Pay Down",CI112&lt;CI116),0+CI120-CI124,IF(AND($D$116="Pay Down",CI112&gt;CI116,CI5='Inputs and Assumptions'!$P$6),0+'Monthly Cash Flow'!CI120,IF(AND($D$116="Pay Down",CI112&gt;CI116),0,IF(AND($D$116="Accrue",CI112&gt;CI116,'Inputs and Assumptions'!$L$5="YES",'Monthly Cash Flow'!CI5='Inputs and Assumptions'!$L$6),MAX(0,CI112-CI115-CI116),IF(AND($D$116="Accrue",CI112&lt;0,CI120=0),CI112+CI120-CI124+CI109+CI113,IF($D$116="Accrue",CI112+CI120-CI124,CI112-CI116+CI120-CI124+CI109+CI113))))))))</f>
        <v>0</v>
      </c>
      <c r="CJ129" s="435">
        <f>IF(CJ5&gt;'Inputs and Assumptions'!$P$6,0,IF($E$115=0,CJ112+CJ120-CJ124+CJ109+CJ113,IF(AND($D$116="Pay Down",CJ112&lt;CJ116),0+CJ120-CJ124,IF(AND($D$116="Pay Down",CJ112&gt;CJ116,CJ5='Inputs and Assumptions'!$P$6),0+'Monthly Cash Flow'!CJ120,IF(AND($D$116="Pay Down",CJ112&gt;CJ116),0,IF(AND($D$116="Accrue",CJ112&gt;CJ116,'Inputs and Assumptions'!$L$5="YES",'Monthly Cash Flow'!CJ5='Inputs and Assumptions'!$L$6),MAX(0,CJ112-CJ115-CJ116),IF(AND($D$116="Accrue",CJ112&lt;0,CJ120=0),CJ112+CJ120-CJ124+CJ109+CJ113,IF($D$116="Accrue",CJ112+CJ120-CJ124,CJ112-CJ116+CJ120-CJ124+CJ109+CJ113))))))))</f>
        <v>0</v>
      </c>
      <c r="CK129" s="435">
        <f>IF(CK5&gt;'Inputs and Assumptions'!$P$6,0,IF($E$115=0,CK112+CK120-CK124+CK109+CK113,IF(AND($D$116="Pay Down",CK112&lt;CK116),0+CK120-CK124,IF(AND($D$116="Pay Down",CK112&gt;CK116,CK5='Inputs and Assumptions'!$P$6),0+'Monthly Cash Flow'!CK120,IF(AND($D$116="Pay Down",CK112&gt;CK116),0,IF(AND($D$116="Accrue",CK112&gt;CK116,'Inputs and Assumptions'!$L$5="YES",'Monthly Cash Flow'!CK5='Inputs and Assumptions'!$L$6),MAX(0,CK112-CK115-CK116),IF(AND($D$116="Accrue",CK112&lt;0,CK120=0),CK112+CK120-CK124+CK109+CK113,IF($D$116="Accrue",CK112+CK120-CK124,CK112-CK116+CK120-CK124+CK109+CK113))))))))</f>
        <v>0</v>
      </c>
      <c r="CL129" s="435">
        <f>IF(CL5&gt;'Inputs and Assumptions'!$P$6,0,IF($E$115=0,CL112+CL120-CL124+CL109+CL113,IF(AND($D$116="Pay Down",CL112&lt;CL116),0+CL120-CL124,IF(AND($D$116="Pay Down",CL112&gt;CL116,CL5='Inputs and Assumptions'!$P$6),0+'Monthly Cash Flow'!CL120,IF(AND($D$116="Pay Down",CL112&gt;CL116),0,IF(AND($D$116="Accrue",CL112&gt;CL116,'Inputs and Assumptions'!$L$5="YES",'Monthly Cash Flow'!CL5='Inputs and Assumptions'!$L$6),MAX(0,CL112-CL115-CL116),IF(AND($D$116="Accrue",CL112&lt;0,CL120=0),CL112+CL120-CL124+CL109+CL113,IF($D$116="Accrue",CL112+CL120-CL124,CL112-CL116+CL120-CL124+CL109+CL113))))))))</f>
        <v>0</v>
      </c>
      <c r="CM129" s="435">
        <f>IF(CM5&gt;'Inputs and Assumptions'!$P$6,0,IF($E$115=0,CM112+CM120-CM124+CM109+CM113,IF(AND($D$116="Pay Down",CM112&lt;CM116),0+CM120-CM124,IF(AND($D$116="Pay Down",CM112&gt;CM116,CM5='Inputs and Assumptions'!$P$6),0+'Monthly Cash Flow'!CM120,IF(AND($D$116="Pay Down",CM112&gt;CM116),0,IF(AND($D$116="Accrue",CM112&gt;CM116,'Inputs and Assumptions'!$L$5="YES",'Monthly Cash Flow'!CM5='Inputs and Assumptions'!$L$6),MAX(0,CM112-CM115-CM116),IF(AND($D$116="Accrue",CM112&lt;0,CM120=0),CM112+CM120-CM124+CM109+CM113,IF($D$116="Accrue",CM112+CM120-CM124,CM112-CM116+CM120-CM124+CM109+CM113))))))))</f>
        <v>0</v>
      </c>
      <c r="CN129" s="435">
        <f>IF(CN5&gt;'Inputs and Assumptions'!$P$6,0,IF($E$115=0,CN112+CN120-CN124+CN109+CN113,IF(AND($D$116="Pay Down",CN112&lt;CN116),0+CN120-CN124,IF(AND($D$116="Pay Down",CN112&gt;CN116,CN5='Inputs and Assumptions'!$P$6),0+'Monthly Cash Flow'!CN120,IF(AND($D$116="Pay Down",CN112&gt;CN116),0,IF(AND($D$116="Accrue",CN112&gt;CN116,'Inputs and Assumptions'!$L$5="YES",'Monthly Cash Flow'!CN5='Inputs and Assumptions'!$L$6),MAX(0,CN112-CN115-CN116),IF(AND($D$116="Accrue",CN112&lt;0,CN120=0),CN112+CN120-CN124+CN109+CN113,IF($D$116="Accrue",CN112+CN120-CN124,CN112-CN116+CN120-CN124+CN109+CN113))))))))</f>
        <v>0</v>
      </c>
      <c r="CO129" s="435">
        <f>IF(CO5&gt;'Inputs and Assumptions'!$P$6,0,IF($E$115=0,CO112+CO120-CO124+CO109+CO113,IF(AND($D$116="Pay Down",CO112&lt;CO116),0+CO120-CO124,IF(AND($D$116="Pay Down",CO112&gt;CO116,CO5='Inputs and Assumptions'!$P$6),0+'Monthly Cash Flow'!CO120,IF(AND($D$116="Pay Down",CO112&gt;CO116),0,IF(AND($D$116="Accrue",CO112&gt;CO116,'Inputs and Assumptions'!$L$5="YES",'Monthly Cash Flow'!CO5='Inputs and Assumptions'!$L$6),MAX(0,CO112-CO115-CO116),IF(AND($D$116="Accrue",CO112&lt;0,CO120=0),CO112+CO120-CO124+CO109+CO113,IF($D$116="Accrue",CO112+CO120-CO124,CO112-CO116+CO120-CO124+CO109+CO113))))))))</f>
        <v>0</v>
      </c>
      <c r="CP129" s="435">
        <f>IF(CP5&gt;'Inputs and Assumptions'!$P$6,0,IF($E$115=0,CP112+CP120-CP124+CP109+CP113,IF(AND($D$116="Pay Down",CP112&lt;CP116),0+CP120-CP124,IF(AND($D$116="Pay Down",CP112&gt;CP116,CP5='Inputs and Assumptions'!$P$6),0+'Monthly Cash Flow'!CP120,IF(AND($D$116="Pay Down",CP112&gt;CP116),0,IF(AND($D$116="Accrue",CP112&gt;CP116,'Inputs and Assumptions'!$L$5="YES",'Monthly Cash Flow'!CP5='Inputs and Assumptions'!$L$6),MAX(0,CP112-CP115-CP116),IF(AND($D$116="Accrue",CP112&lt;0,CP120=0),CP112+CP120-CP124+CP109+CP113,IF($D$116="Accrue",CP112+CP120-CP124,CP112-CP116+CP120-CP124+CP109+CP113))))))))</f>
        <v>0</v>
      </c>
      <c r="CQ129" s="435">
        <f>IF(CQ5&gt;'Inputs and Assumptions'!$P$6,0,IF($E$115=0,CQ112+CQ120-CQ124+CQ109+CQ113,IF(AND($D$116="Pay Down",CQ112&lt;CQ116),0+CQ120-CQ124,IF(AND($D$116="Pay Down",CQ112&gt;CQ116,CQ5='Inputs and Assumptions'!$P$6),0+'Monthly Cash Flow'!CQ120,IF(AND($D$116="Pay Down",CQ112&gt;CQ116),0,IF(AND($D$116="Accrue",CQ112&gt;CQ116,'Inputs and Assumptions'!$L$5="YES",'Monthly Cash Flow'!CQ5='Inputs and Assumptions'!$L$6),MAX(0,CQ112-CQ115-CQ116),IF(AND($D$116="Accrue",CQ112&lt;0,CQ120=0),CQ112+CQ120-CQ124+CQ109+CQ113,IF($D$116="Accrue",CQ112+CQ120-CQ124,CQ112-CQ116+CQ120-CQ124+CQ109+CQ113))))))))</f>
        <v>0</v>
      </c>
      <c r="CR129" s="435">
        <f>IF(CR5&gt;'Inputs and Assumptions'!$P$6,0,IF($E$115=0,CR112+CR120-CR124+CR109+CR113,IF(AND($D$116="Pay Down",CR112&lt;CR116),0+CR120-CR124,IF(AND($D$116="Pay Down",CR112&gt;CR116,CR5='Inputs and Assumptions'!$P$6),0+'Monthly Cash Flow'!CR120,IF(AND($D$116="Pay Down",CR112&gt;CR116),0,IF(AND($D$116="Accrue",CR112&gt;CR116,'Inputs and Assumptions'!$L$5="YES",'Monthly Cash Flow'!CR5='Inputs and Assumptions'!$L$6),MAX(0,CR112-CR115-CR116),IF(AND($D$116="Accrue",CR112&lt;0,CR120=0),CR112+CR120-CR124+CR109+CR113,IF($D$116="Accrue",CR112+CR120-CR124,CR112-CR116+CR120-CR124+CR109+CR113))))))))</f>
        <v>0</v>
      </c>
      <c r="CS129" s="435">
        <f>IF(CS5&gt;'Inputs and Assumptions'!$P$6,0,IF($E$115=0,CS112+CS120-CS124+CS109+CS113,IF(AND($D$116="Pay Down",CS112&lt;CS116),0+CS120-CS124,IF(AND($D$116="Pay Down",CS112&gt;CS116,CS5='Inputs and Assumptions'!$P$6),0+'Monthly Cash Flow'!CS120,IF(AND($D$116="Pay Down",CS112&gt;CS116),0,IF(AND($D$116="Accrue",CS112&gt;CS116,'Inputs and Assumptions'!$L$5="YES",'Monthly Cash Flow'!CS5='Inputs and Assumptions'!$L$6),MAX(0,CS112-CS115-CS116),IF(AND($D$116="Accrue",CS112&lt;0,CS120=0),CS112+CS120-CS124+CS109+CS113,IF($D$116="Accrue",CS112+CS120-CS124,CS112-CS116+CS120-CS124+CS109+CS113))))))))</f>
        <v>0</v>
      </c>
      <c r="CT129" s="435">
        <f>IF(CT5&gt;'Inputs and Assumptions'!$P$6,0,IF($E$115=0,CT112+CT120-CT124+CT109+CT113,IF(AND($D$116="Pay Down",CT112&lt;CT116),0+CT120-CT124,IF(AND($D$116="Pay Down",CT112&gt;CT116,CT5='Inputs and Assumptions'!$P$6),0+'Monthly Cash Flow'!CT120,IF(AND($D$116="Pay Down",CT112&gt;CT116),0,IF(AND($D$116="Accrue",CT112&gt;CT116,'Inputs and Assumptions'!$L$5="YES",'Monthly Cash Flow'!CT5='Inputs and Assumptions'!$L$6),MAX(0,CT112-CT115-CT116),IF(AND($D$116="Accrue",CT112&lt;0,CT120=0),CT112+CT120-CT124+CT109+CT113,IF($D$116="Accrue",CT112+CT120-CT124,CT112-CT116+CT120-CT124+CT109+CT113))))))))</f>
        <v>0</v>
      </c>
      <c r="CU129" s="435">
        <f>IF(CU5&gt;'Inputs and Assumptions'!$P$6,0,IF($E$115=0,CU112+CU120-CU124+CU109+CU113,IF(AND($D$116="Pay Down",CU112&lt;CU116),0+CU120-CU124,IF(AND($D$116="Pay Down",CU112&gt;CU116,CU5='Inputs and Assumptions'!$P$6),0+'Monthly Cash Flow'!CU120,IF(AND($D$116="Pay Down",CU112&gt;CU116),0,IF(AND($D$116="Accrue",CU112&gt;CU116,'Inputs and Assumptions'!$L$5="YES",'Monthly Cash Flow'!CU5='Inputs and Assumptions'!$L$6),MAX(0,CU112-CU115-CU116),IF(AND($D$116="Accrue",CU112&lt;0,CU120=0),CU112+CU120-CU124+CU109+CU113,IF($D$116="Accrue",CU112+CU120-CU124,CU112-CU116+CU120-CU124+CU109+CU113))))))))</f>
        <v>0</v>
      </c>
      <c r="CV129" s="435">
        <f>IF(CV5&gt;'Inputs and Assumptions'!$P$6,0,IF($E$115=0,CV112+CV120-CV124+CV109+CV113,IF(AND($D$116="Pay Down",CV112&lt;CV116),0+CV120-CV124,IF(AND($D$116="Pay Down",CV112&gt;CV116,CV5='Inputs and Assumptions'!$P$6),0+'Monthly Cash Flow'!CV120,IF(AND($D$116="Pay Down",CV112&gt;CV116),0,IF(AND($D$116="Accrue",CV112&gt;CV116,'Inputs and Assumptions'!$L$5="YES",'Monthly Cash Flow'!CV5='Inputs and Assumptions'!$L$6),MAX(0,CV112-CV115-CV116),IF(AND($D$116="Accrue",CV112&lt;0,CV120=0),CV112+CV120-CV124+CV109+CV113,IF($D$116="Accrue",CV112+CV120-CV124,CV112-CV116+CV120-CV124+CV109+CV113))))))))</f>
        <v>0</v>
      </c>
      <c r="CW129" s="435">
        <f>IF(CW5&gt;'Inputs and Assumptions'!$P$6,0,IF($E$115=0,CW112+CW120-CW124+CW109+CW113,IF(AND($D$116="Pay Down",CW112&lt;CW116),0+CW120-CW124,IF(AND($D$116="Pay Down",CW112&gt;CW116,CW5='Inputs and Assumptions'!$P$6),0+'Monthly Cash Flow'!CW120,IF(AND($D$116="Pay Down",CW112&gt;CW116),0,IF(AND($D$116="Accrue",CW112&gt;CW116,'Inputs and Assumptions'!$L$5="YES",'Monthly Cash Flow'!CW5='Inputs and Assumptions'!$L$6),MAX(0,CW112-CW115-CW116),IF(AND($D$116="Accrue",CW112&lt;0,CW120=0),CW112+CW120-CW124+CW109+CW113,IF($D$116="Accrue",CW112+CW120-CW124,CW112-CW116+CW120-CW124+CW109+CW113))))))))</f>
        <v>0</v>
      </c>
      <c r="CX129" s="435">
        <f>IF(CX5&gt;'Inputs and Assumptions'!$P$6,0,IF($E$115=0,CX112+CX120-CX124+CX109+CX113,IF(AND($D$116="Pay Down",CX112&lt;CX116),0+CX120-CX124,IF(AND($D$116="Pay Down",CX112&gt;CX116,CX5='Inputs and Assumptions'!$P$6),0+'Monthly Cash Flow'!CX120,IF(AND($D$116="Pay Down",CX112&gt;CX116),0,IF(AND($D$116="Accrue",CX112&gt;CX116,'Inputs and Assumptions'!$L$5="YES",'Monthly Cash Flow'!CX5='Inputs and Assumptions'!$L$6),MAX(0,CX112-CX115-CX116),IF(AND($D$116="Accrue",CX112&lt;0,CX120=0),CX112+CX120-CX124+CX109+CX113,IF($D$116="Accrue",CX112+CX120-CX124,CX112-CX116+CX120-CX124+CX109+CX113))))))))</f>
        <v>0</v>
      </c>
      <c r="CY129" s="435">
        <f>IF(CY5&gt;'Inputs and Assumptions'!$P$6,0,IF($E$115=0,CY112+CY120-CY124+CY109+CY113,IF(AND($D$116="Pay Down",CY112&lt;CY116),0+CY120-CY124,IF(AND($D$116="Pay Down",CY112&gt;CY116,CY5='Inputs and Assumptions'!$P$6),0+'Monthly Cash Flow'!CY120,IF(AND($D$116="Pay Down",CY112&gt;CY116),0,IF(AND($D$116="Accrue",CY112&gt;CY116,'Inputs and Assumptions'!$L$5="YES",'Monthly Cash Flow'!CY5='Inputs and Assumptions'!$L$6),MAX(0,CY112-CY115-CY116),IF(AND($D$116="Accrue",CY112&lt;0,CY120=0),CY112+CY120-CY124+CY109+CY113,IF($D$116="Accrue",CY112+CY120-CY124,CY112-CY116+CY120-CY124+CY109+CY113))))))))</f>
        <v>0</v>
      </c>
      <c r="CZ129" s="435">
        <f>IF(CZ5&gt;'Inputs and Assumptions'!$P$6,0,IF($E$115=0,CZ112+CZ120-CZ124+CZ109+CZ113,IF(AND($D$116="Pay Down",CZ112&lt;CZ116),0+CZ120-CZ124,IF(AND($D$116="Pay Down",CZ112&gt;CZ116,CZ5='Inputs and Assumptions'!$P$6),0+'Monthly Cash Flow'!CZ120,IF(AND($D$116="Pay Down",CZ112&gt;CZ116),0,IF(AND($D$116="Accrue",CZ112&gt;CZ116,'Inputs and Assumptions'!$L$5="YES",'Monthly Cash Flow'!CZ5='Inputs and Assumptions'!$L$6),MAX(0,CZ112-CZ115-CZ116),IF(AND($D$116="Accrue",CZ112&lt;0,CZ120=0),CZ112+CZ120-CZ124+CZ109+CZ113,IF($D$116="Accrue",CZ112+CZ120-CZ124,CZ112-CZ116+CZ120-CZ124+CZ109+CZ113))))))))</f>
        <v>0</v>
      </c>
      <c r="DA129" s="435">
        <f>IF(DA5&gt;'Inputs and Assumptions'!$P$6,0,IF($E$115=0,DA112+DA120-DA124+DA109+DA113,IF(AND($D$116="Pay Down",DA112&lt;DA116),0+DA120-DA124,IF(AND($D$116="Pay Down",DA112&gt;DA116,DA5='Inputs and Assumptions'!$P$6),0+'Monthly Cash Flow'!DA120,IF(AND($D$116="Pay Down",DA112&gt;DA116),0,IF(AND($D$116="Accrue",DA112&gt;DA116,'Inputs and Assumptions'!$L$5="YES",'Monthly Cash Flow'!DA5='Inputs and Assumptions'!$L$6),MAX(0,DA112-DA115-DA116),IF(AND($D$116="Accrue",DA112&lt;0,DA120=0),DA112+DA120-DA124+DA109+DA113,IF($D$116="Accrue",DA112+DA120-DA124,DA112-DA116+DA120-DA124+DA109+DA113))))))))</f>
        <v>0</v>
      </c>
      <c r="DB129" s="435">
        <f>IF(DB5&gt;'Inputs and Assumptions'!$P$6,0,IF($E$115=0,DB112+DB120-DB124+DB109+DB113,IF(AND($D$116="Pay Down",DB112&lt;DB116),0+DB120-DB124,IF(AND($D$116="Pay Down",DB112&gt;DB116,DB5='Inputs and Assumptions'!$P$6),0+'Monthly Cash Flow'!DB120,IF(AND($D$116="Pay Down",DB112&gt;DB116),0,IF(AND($D$116="Accrue",DB112&gt;DB116,'Inputs and Assumptions'!$L$5="YES",'Monthly Cash Flow'!DB5='Inputs and Assumptions'!$L$6),MAX(0,DB112-DB115-DB116),IF(AND($D$116="Accrue",DB112&lt;0,DB120=0),DB112+DB120-DB124+DB109+DB113,IF($D$116="Accrue",DB112+DB120-DB124,DB112-DB116+DB120-DB124+DB109+DB113))))))))</f>
        <v>0</v>
      </c>
      <c r="DC129" s="435">
        <f>IF(DC5&gt;'Inputs and Assumptions'!$P$6,0,IF($E$115=0,DC112+DC120-DC124+DC109+DC113,IF(AND($D$116="Pay Down",DC112&lt;DC116),0+DC120-DC124,IF(AND($D$116="Pay Down",DC112&gt;DC116,DC5='Inputs and Assumptions'!$P$6),0+'Monthly Cash Flow'!DC120,IF(AND($D$116="Pay Down",DC112&gt;DC116),0,IF(AND($D$116="Accrue",DC112&gt;DC116,'Inputs and Assumptions'!$L$5="YES",'Monthly Cash Flow'!DC5='Inputs and Assumptions'!$L$6),MAX(0,DC112-DC115-DC116),IF(AND($D$116="Accrue",DC112&lt;0,DC120=0),DC112+DC120-DC124+DC109+DC113,IF($D$116="Accrue",DC112+DC120-DC124,DC112-DC116+DC120-DC124+DC109+DC113))))))))</f>
        <v>0</v>
      </c>
      <c r="DD129" s="435">
        <f>IF(DD5&gt;'Inputs and Assumptions'!$P$6,0,IF($E$115=0,DD112+DD120-DD124+DD109+DD113,IF(AND($D$116="Pay Down",DD112&lt;DD116),0+DD120-DD124,IF(AND($D$116="Pay Down",DD112&gt;DD116,DD5='Inputs and Assumptions'!$P$6),0+'Monthly Cash Flow'!DD120,IF(AND($D$116="Pay Down",DD112&gt;DD116),0,IF(AND($D$116="Accrue",DD112&gt;DD116,'Inputs and Assumptions'!$L$5="YES",'Monthly Cash Flow'!DD5='Inputs and Assumptions'!$L$6),MAX(0,DD112-DD115-DD116),IF(AND($D$116="Accrue",DD112&lt;0,DD120=0),DD112+DD120-DD124+DD109+DD113,IF($D$116="Accrue",DD112+DD120-DD124,DD112-DD116+DD120-DD124+DD109+DD113))))))))</f>
        <v>0</v>
      </c>
      <c r="DE129" s="435">
        <f>IF(DE5&gt;'Inputs and Assumptions'!$P$6,0,IF($E$115=0,DE112+DE120-DE124+DE109+DE113,IF(AND($D$116="Pay Down",DE112&lt;DE116),0+DE120-DE124,IF(AND($D$116="Pay Down",DE112&gt;DE116,DE5='Inputs and Assumptions'!$P$6),0+'Monthly Cash Flow'!DE120,IF(AND($D$116="Pay Down",DE112&gt;DE116),0,IF(AND($D$116="Accrue",DE112&gt;DE116,'Inputs and Assumptions'!$L$5="YES",'Monthly Cash Flow'!DE5='Inputs and Assumptions'!$L$6),MAX(0,DE112-DE115-DE116),IF(AND($D$116="Accrue",DE112&lt;0,DE120=0),DE112+DE120-DE124+DE109+DE113,IF($D$116="Accrue",DE112+DE120-DE124,DE112-DE116+DE120-DE124+DE109+DE113))))))))</f>
        <v>0</v>
      </c>
      <c r="DF129" s="435">
        <f>IF(DF5&gt;'Inputs and Assumptions'!$P$6,0,IF($E$115=0,DF112+DF120-DF124+DF109+DF113,IF(AND($D$116="Pay Down",DF112&lt;DF116),0+DF120-DF124,IF(AND($D$116="Pay Down",DF112&gt;DF116,DF5='Inputs and Assumptions'!$P$6),0+'Monthly Cash Flow'!DF120,IF(AND($D$116="Pay Down",DF112&gt;DF116),0,IF(AND($D$116="Accrue",DF112&gt;DF116,'Inputs and Assumptions'!$L$5="YES",'Monthly Cash Flow'!DF5='Inputs and Assumptions'!$L$6),MAX(0,DF112-DF115-DF116),IF(AND($D$116="Accrue",DF112&lt;0,DF120=0),DF112+DF120-DF124+DF109+DF113,IF($D$116="Accrue",DF112+DF120-DF124,DF112-DF116+DF120-DF124+DF109+DF113))))))))</f>
        <v>0</v>
      </c>
      <c r="DG129" s="435">
        <f>IF(DG5&gt;'Inputs and Assumptions'!$P$6,0,IF($E$115=0,DG112+DG120-DG124+DG109+DG113,IF(AND($D$116="Pay Down",DG112&lt;DG116),0+DG120-DG124,IF(AND($D$116="Pay Down",DG112&gt;DG116,DG5='Inputs and Assumptions'!$P$6),0+'Monthly Cash Flow'!DG120,IF(AND($D$116="Pay Down",DG112&gt;DG116),0,IF(AND($D$116="Accrue",DG112&gt;DG116,'Inputs and Assumptions'!$L$5="YES",'Monthly Cash Flow'!DG5='Inputs and Assumptions'!$L$6),MAX(0,DG112-DG115-DG116),IF(AND($D$116="Accrue",DG112&lt;0,DG120=0),DG112+DG120-DG124+DG109+DG113,IF($D$116="Accrue",DG112+DG120-DG124,DG112-DG116+DG120-DG124+DG109+DG113))))))))</f>
        <v>0</v>
      </c>
      <c r="DH129" s="435">
        <f>IF(DH5&gt;'Inputs and Assumptions'!$P$6,0,IF($E$115=0,DH112+DH120-DH124+DH109+DH113,IF(AND($D$116="Pay Down",DH112&lt;DH116),0+DH120-DH124,IF(AND($D$116="Pay Down",DH112&gt;DH116,DH5='Inputs and Assumptions'!$P$6),0+'Monthly Cash Flow'!DH120,IF(AND($D$116="Pay Down",DH112&gt;DH116),0,IF(AND($D$116="Accrue",DH112&gt;DH116,'Inputs and Assumptions'!$L$5="YES",'Monthly Cash Flow'!DH5='Inputs and Assumptions'!$L$6),MAX(0,DH112-DH115-DH116),IF(AND($D$116="Accrue",DH112&lt;0,DH120=0),DH112+DH120-DH124+DH109+DH113,IF($D$116="Accrue",DH112+DH120-DH124,DH112-DH116+DH120-DH124+DH109+DH113))))))))</f>
        <v>0</v>
      </c>
      <c r="DI129" s="435">
        <f>IF(DI5&gt;'Inputs and Assumptions'!$P$6,0,IF($E$115=0,DI112+DI120-DI124+DI109+DI113,IF(AND($D$116="Pay Down",DI112&lt;DI116),0+DI120-DI124,IF(AND($D$116="Pay Down",DI112&gt;DI116,DI5='Inputs and Assumptions'!$P$6),0+'Monthly Cash Flow'!DI120,IF(AND($D$116="Pay Down",DI112&gt;DI116),0,IF(AND($D$116="Accrue",DI112&gt;DI116,'Inputs and Assumptions'!$L$5="YES",'Monthly Cash Flow'!DI5='Inputs and Assumptions'!$L$6),MAX(0,DI112-DI115-DI116),IF(AND($D$116="Accrue",DI112&lt;0,DI120=0),DI112+DI120-DI124+DI109+DI113,IF($D$116="Accrue",DI112+DI120-DI124,DI112-DI116+DI120-DI124+DI109+DI113))))))))</f>
        <v>0</v>
      </c>
      <c r="DJ129" s="435">
        <f>IF(DJ5&gt;'Inputs and Assumptions'!$P$6,0,IF($E$115=0,DJ112+DJ120-DJ124+DJ109+DJ113,IF(AND($D$116="Pay Down",DJ112&lt;DJ116),0+DJ120-DJ124,IF(AND($D$116="Pay Down",DJ112&gt;DJ116,DJ5='Inputs and Assumptions'!$P$6),0+'Monthly Cash Flow'!DJ120,IF(AND($D$116="Pay Down",DJ112&gt;DJ116),0,IF(AND($D$116="Accrue",DJ112&gt;DJ116,'Inputs and Assumptions'!$L$5="YES",'Monthly Cash Flow'!DJ5='Inputs and Assumptions'!$L$6),MAX(0,DJ112-DJ115-DJ116),IF(AND($D$116="Accrue",DJ112&lt;0,DJ120=0),DJ112+DJ120-DJ124+DJ109+DJ113,IF($D$116="Accrue",DJ112+DJ120-DJ124,DJ112-DJ116+DJ120-DJ124+DJ109+DJ113))))))))</f>
        <v>0</v>
      </c>
      <c r="DK129" s="435">
        <f>IF(DK5&gt;'Inputs and Assumptions'!$P$6,0,IF($E$115=0,DK112+DK120-DK124+DK109+DK113,IF(AND($D$116="Pay Down",DK112&lt;DK116),0+DK120-DK124,IF(AND($D$116="Pay Down",DK112&gt;DK116,DK5='Inputs and Assumptions'!$P$6),0+'Monthly Cash Flow'!DK120,IF(AND($D$116="Pay Down",DK112&gt;DK116),0,IF(AND($D$116="Accrue",DK112&gt;DK116,'Inputs and Assumptions'!$L$5="YES",'Monthly Cash Flow'!DK5='Inputs and Assumptions'!$L$6),MAX(0,DK112-DK115-DK116),IF(AND($D$116="Accrue",DK112&lt;0,DK120=0),DK112+DK120-DK124+DK109+DK113,IF($D$116="Accrue",DK112+DK120-DK124,DK112-DK116+DK120-DK124+DK109+DK113))))))))</f>
        <v>0</v>
      </c>
      <c r="DL129" s="435">
        <f>IF(DL5&gt;'Inputs and Assumptions'!$P$6,0,IF($E$115=0,DL112+DL120-DL124+DL109+DL113,IF(AND($D$116="Pay Down",DL112&lt;DL116),0+DL120-DL124,IF(AND($D$116="Pay Down",DL112&gt;DL116,DL5='Inputs and Assumptions'!$P$6),0+'Monthly Cash Flow'!DL120,IF(AND($D$116="Pay Down",DL112&gt;DL116),0,IF(AND($D$116="Accrue",DL112&gt;DL116,'Inputs and Assumptions'!$L$5="YES",'Monthly Cash Flow'!DL5='Inputs and Assumptions'!$L$6),MAX(0,DL112-DL115-DL116),IF(AND($D$116="Accrue",DL112&lt;0,DL120=0),DL112+DL120-DL124+DL109+DL113,IF($D$116="Accrue",DL112+DL120-DL124,DL112-DL116+DL120-DL124+DL109+DL113))))))))</f>
        <v>0</v>
      </c>
      <c r="DM129" s="435">
        <f>IF(DM5&gt;'Inputs and Assumptions'!$P$6,0,IF($E$115=0,DM112+DM120-DM124+DM109+DM113,IF(AND($D$116="Pay Down",DM112&lt;DM116),0+DM120-DM124,IF(AND($D$116="Pay Down",DM112&gt;DM116,DM5='Inputs and Assumptions'!$P$6),0+'Monthly Cash Flow'!DM120,IF(AND($D$116="Pay Down",DM112&gt;DM116),0,IF(AND($D$116="Accrue",DM112&gt;DM116,'Inputs and Assumptions'!$L$5="YES",'Monthly Cash Flow'!DM5='Inputs and Assumptions'!$L$6),MAX(0,DM112-DM115-DM116),IF(AND($D$116="Accrue",DM112&lt;0,DM120=0),DM112+DM120-DM124+DM109+DM113,IF($D$116="Accrue",DM112+DM120-DM124,DM112-DM116+DM120-DM124+DM109+DM113))))))))</f>
        <v>0</v>
      </c>
      <c r="DN129" s="435">
        <f>IF(DN5&gt;'Inputs and Assumptions'!$P$6,0,IF($E$115=0,DN112+DN120-DN124+DN109+DN113,IF(AND($D$116="Pay Down",DN112&lt;DN116),0+DN120-DN124,IF(AND($D$116="Pay Down",DN112&gt;DN116,DN5='Inputs and Assumptions'!$P$6),0+'Monthly Cash Flow'!DN120,IF(AND($D$116="Pay Down",DN112&gt;DN116),0,IF(AND($D$116="Accrue",DN112&gt;DN116,'Inputs and Assumptions'!$L$5="YES",'Monthly Cash Flow'!DN5='Inputs and Assumptions'!$L$6),MAX(0,DN112-DN115-DN116),IF(AND($D$116="Accrue",DN112&lt;0,DN120=0),DN112+DN120-DN124+DN109+DN113,IF($D$116="Accrue",DN112+DN120-DN124,DN112-DN116+DN120-DN124+DN109+DN113))))))))</f>
        <v>0</v>
      </c>
      <c r="DO129" s="435">
        <f>IF(DO5&gt;'Inputs and Assumptions'!$P$6,0,IF($E$115=0,DO112+DO120-DO124+DO109+DO113,IF(AND($D$116="Pay Down",DO112&lt;DO116),0+DO120-DO124,IF(AND($D$116="Pay Down",DO112&gt;DO116,DO5='Inputs and Assumptions'!$P$6),0+'Monthly Cash Flow'!DO120,IF(AND($D$116="Pay Down",DO112&gt;DO116),0,IF(AND($D$116="Accrue",DO112&gt;DO116,'Inputs and Assumptions'!$L$5="YES",'Monthly Cash Flow'!DO5='Inputs and Assumptions'!$L$6),MAX(0,DO112-DO115-DO116),IF(AND($D$116="Accrue",DO112&lt;0,DO120=0),DO112+DO120-DO124+DO109+DO113,IF($D$116="Accrue",DO112+DO120-DO124,DO112-DO116+DO120-DO124+DO109+DO113))))))))</f>
        <v>0</v>
      </c>
      <c r="DP129" s="435">
        <f>IF(DP5&gt;'Inputs and Assumptions'!$P$6,0,IF($E$115=0,DP112+DP120-DP124+DP109+DP113,IF(AND($D$116="Pay Down",DP112&lt;DP116),0+DP120-DP124,IF(AND($D$116="Pay Down",DP112&gt;DP116,DP5='Inputs and Assumptions'!$P$6),0+'Monthly Cash Flow'!DP120,IF(AND($D$116="Pay Down",DP112&gt;DP116),0,IF(AND($D$116="Accrue",DP112&gt;DP116,'Inputs and Assumptions'!$L$5="YES",'Monthly Cash Flow'!DP5='Inputs and Assumptions'!$L$6),MAX(0,DP112-DP115-DP116),IF(AND($D$116="Accrue",DP112&lt;0,DP120=0),DP112+DP120-DP124+DP109+DP113,IF($D$116="Accrue",DP112+DP120-DP124,DP112-DP116+DP120-DP124+DP109+DP113))))))))</f>
        <v>0</v>
      </c>
      <c r="DQ129" s="435">
        <f>IF(DQ5&gt;'Inputs and Assumptions'!$P$6,0,IF($E$115=0,DQ112+DQ120-DQ124+DQ109+DQ113,IF(AND($D$116="Pay Down",DQ112&lt;DQ116),0+DQ120-DQ124,IF(AND($D$116="Pay Down",DQ112&gt;DQ116,DQ5='Inputs and Assumptions'!$P$6),0+'Monthly Cash Flow'!DQ120,IF(AND($D$116="Pay Down",DQ112&gt;DQ116),0,IF(AND($D$116="Accrue",DQ112&gt;DQ116,'Inputs and Assumptions'!$L$5="YES",'Monthly Cash Flow'!DQ5='Inputs and Assumptions'!$L$6),MAX(0,DQ112-DQ115-DQ116),IF(AND($D$116="Accrue",DQ112&lt;0,DQ120=0),DQ112+DQ120-DQ124+DQ109+DQ113,IF($D$116="Accrue",DQ112+DQ120-DQ124,DQ112-DQ116+DQ120-DQ124+DQ109+DQ113))))))))</f>
        <v>0</v>
      </c>
      <c r="DR129" s="435">
        <f>IF(DR5&gt;'Inputs and Assumptions'!$P$6,0,IF($E$115=0,DR112+DR120-DR124+DR109+DR113,IF(AND($D$116="Pay Down",DR112&lt;DR116),0+DR120-DR124,IF(AND($D$116="Pay Down",DR112&gt;DR116,DR5='Inputs and Assumptions'!$P$6),0+'Monthly Cash Flow'!DR120,IF(AND($D$116="Pay Down",DR112&gt;DR116),0,IF(AND($D$116="Accrue",DR112&gt;DR116,'Inputs and Assumptions'!$L$5="YES",'Monthly Cash Flow'!DR5='Inputs and Assumptions'!$L$6),MAX(0,DR112-DR115-DR116),IF(AND($D$116="Accrue",DR112&lt;0,DR120=0),DR112+DR120-DR124+DR109+DR113,IF($D$116="Accrue",DR112+DR120-DR124,DR112-DR116+DR120-DR124+DR109+DR113))))))))</f>
        <v>0</v>
      </c>
      <c r="DS129" s="435">
        <f>IF(DS5&gt;'Inputs and Assumptions'!$P$6,0,IF($E$115=0,DS112+DS120-DS124+DS109+DS113,IF(AND($D$116="Pay Down",DS112&lt;DS116),0+DS120-DS124,IF(AND($D$116="Pay Down",DS112&gt;DS116,DS5='Inputs and Assumptions'!$P$6),0+'Monthly Cash Flow'!DS120,IF(AND($D$116="Pay Down",DS112&gt;DS116),0,IF(AND($D$116="Accrue",DS112&gt;DS116,'Inputs and Assumptions'!$L$5="YES",'Monthly Cash Flow'!DS5='Inputs and Assumptions'!$L$6),MAX(0,DS112-DS115-DS116),IF(AND($D$116="Accrue",DS112&lt;0,DS120=0),DS112+DS120-DS124+DS109+DS113,IF($D$116="Accrue",DS112+DS120-DS124,DS112-DS116+DS120-DS124+DS109+DS113))))))))</f>
        <v>0</v>
      </c>
      <c r="DT129" s="435">
        <f>IF(DT5&gt;'Inputs and Assumptions'!$P$6,0,IF($E$115=0,DT112+DT120-DT124+DT109+DT113,IF(AND($D$116="Pay Down",DT112&lt;DT116),0+DT120-DT124,IF(AND($D$116="Pay Down",DT112&gt;DT116,DT5='Inputs and Assumptions'!$P$6),0+'Monthly Cash Flow'!DT120,IF(AND($D$116="Pay Down",DT112&gt;DT116),0,IF(AND($D$116="Accrue",DT112&gt;DT116,'Inputs and Assumptions'!$L$5="YES",'Monthly Cash Flow'!DT5='Inputs and Assumptions'!$L$6),MAX(0,DT112-DT115-DT116),IF(AND($D$116="Accrue",DT112&lt;0,DT120=0),DT112+DT120-DT124+DT109+DT113,IF($D$116="Accrue",DT112+DT120-DT124,DT112-DT116+DT120-DT124+DT109+DT113))))))))</f>
        <v>0</v>
      </c>
      <c r="DU129" s="430" t="s">
        <v>557</v>
      </c>
    </row>
    <row r="130" spans="2:125" ht="17.5">
      <c r="D130" s="437"/>
      <c r="E130" s="468"/>
      <c r="F130" s="468"/>
      <c r="G130" s="468"/>
      <c r="H130" s="468"/>
      <c r="I130" s="468"/>
      <c r="J130" s="468"/>
      <c r="K130" s="468"/>
      <c r="L130" s="468"/>
      <c r="M130" s="468"/>
      <c r="N130" s="468"/>
      <c r="O130" s="468"/>
      <c r="P130" s="468"/>
      <c r="Q130" s="468"/>
      <c r="R130" s="468"/>
      <c r="S130" s="468"/>
      <c r="T130" s="468"/>
      <c r="U130" s="468"/>
      <c r="V130" s="468"/>
      <c r="W130" s="468"/>
      <c r="X130" s="468"/>
      <c r="Y130" s="468"/>
      <c r="Z130" s="468"/>
      <c r="AA130" s="468"/>
      <c r="AB130" s="468"/>
      <c r="AC130" s="468"/>
      <c r="AD130" s="468"/>
      <c r="AE130" s="468"/>
      <c r="AF130" s="468"/>
      <c r="AG130" s="468"/>
      <c r="AH130" s="468"/>
      <c r="AI130" s="468"/>
      <c r="AJ130" s="468"/>
      <c r="AK130" s="468"/>
      <c r="AL130" s="468"/>
      <c r="AM130" s="468"/>
      <c r="AN130" s="468"/>
      <c r="AO130" s="468"/>
      <c r="AP130" s="468"/>
      <c r="AQ130" s="468"/>
      <c r="AR130" s="468"/>
      <c r="AS130" s="468"/>
      <c r="AT130" s="468"/>
      <c r="AU130" s="468"/>
      <c r="AV130" s="468"/>
      <c r="AW130" s="468"/>
      <c r="AX130" s="468"/>
      <c r="AY130" s="468"/>
      <c r="AZ130" s="468"/>
      <c r="BA130" s="468"/>
      <c r="BB130" s="468"/>
      <c r="BC130" s="468"/>
      <c r="BD130" s="468"/>
      <c r="BE130" s="468"/>
      <c r="BF130" s="468"/>
      <c r="BG130" s="468"/>
      <c r="BH130" s="468"/>
      <c r="BI130" s="468"/>
      <c r="BJ130" s="468"/>
      <c r="BK130" s="468"/>
      <c r="BL130" s="468"/>
      <c r="BM130" s="468"/>
      <c r="BN130" s="468"/>
      <c r="BO130" s="468"/>
      <c r="BP130" s="468"/>
      <c r="BQ130" s="468"/>
      <c r="BR130" s="468"/>
      <c r="BS130" s="468"/>
      <c r="BT130" s="468"/>
      <c r="BU130" s="468"/>
      <c r="BV130" s="468"/>
      <c r="BW130" s="468"/>
      <c r="BX130" s="468"/>
      <c r="BY130" s="468"/>
      <c r="BZ130" s="468"/>
      <c r="CA130" s="468"/>
      <c r="CB130" s="468"/>
      <c r="CC130" s="468"/>
      <c r="CD130" s="468"/>
      <c r="CE130" s="468"/>
      <c r="CF130" s="468"/>
      <c r="CG130" s="468"/>
      <c r="CH130" s="468"/>
      <c r="CI130" s="468"/>
      <c r="CJ130" s="468"/>
      <c r="CK130" s="468"/>
      <c r="CL130" s="468"/>
      <c r="CM130" s="468"/>
      <c r="CN130" s="468"/>
      <c r="CO130" s="468"/>
      <c r="CP130" s="468"/>
      <c r="CQ130" s="468"/>
      <c r="CR130" s="468"/>
      <c r="CS130" s="468"/>
      <c r="CT130" s="468"/>
      <c r="CU130" s="468"/>
      <c r="CV130" s="468"/>
      <c r="CW130" s="468"/>
      <c r="CX130" s="468"/>
      <c r="CY130" s="468"/>
      <c r="CZ130" s="468"/>
      <c r="DA130" s="468"/>
      <c r="DB130" s="468"/>
      <c r="DC130" s="468"/>
      <c r="DD130" s="468"/>
      <c r="DE130" s="468"/>
      <c r="DF130" s="468"/>
      <c r="DG130" s="468"/>
      <c r="DH130" s="468"/>
      <c r="DI130" s="468"/>
      <c r="DJ130" s="468"/>
      <c r="DK130" s="468"/>
      <c r="DL130" s="468"/>
      <c r="DM130" s="468"/>
      <c r="DN130" s="468"/>
      <c r="DO130" s="468"/>
      <c r="DP130" s="468"/>
      <c r="DQ130" s="468"/>
      <c r="DR130" s="468"/>
      <c r="DS130" s="468"/>
      <c r="DT130" s="469"/>
      <c r="DU130" s="382" t="s">
        <v>557</v>
      </c>
    </row>
    <row r="131" spans="2:125" ht="19">
      <c r="B131" s="470" t="s">
        <v>1105</v>
      </c>
      <c r="C131" s="471">
        <f ca="1">XIRR(D129:DT129,$D$3:$DT$3,)</f>
        <v>0.15896270871162421</v>
      </c>
      <c r="D131" s="437"/>
      <c r="E131" s="437"/>
      <c r="F131" s="437"/>
      <c r="G131" s="437"/>
      <c r="H131" s="437"/>
      <c r="I131" s="437"/>
      <c r="J131" s="437"/>
      <c r="K131" s="437"/>
      <c r="L131" s="437"/>
      <c r="M131" s="437"/>
      <c r="N131" s="437"/>
      <c r="O131" s="437"/>
      <c r="P131" s="437"/>
      <c r="Q131" s="437"/>
      <c r="R131" s="437"/>
      <c r="S131" s="437"/>
      <c r="T131" s="437"/>
      <c r="U131" s="437"/>
      <c r="V131" s="437"/>
      <c r="W131" s="437"/>
      <c r="X131" s="437"/>
      <c r="Y131" s="437"/>
      <c r="Z131" s="437"/>
      <c r="AA131" s="437"/>
      <c r="AB131" s="437"/>
      <c r="AC131" s="437"/>
      <c r="AD131" s="437"/>
      <c r="AE131" s="437"/>
      <c r="AF131" s="437"/>
      <c r="AG131" s="437"/>
      <c r="AH131" s="437"/>
      <c r="AI131" s="437"/>
      <c r="AJ131" s="437"/>
      <c r="AK131" s="437"/>
      <c r="AL131" s="437"/>
      <c r="AM131" s="437"/>
      <c r="AN131" s="437"/>
      <c r="AP131" s="437"/>
      <c r="AQ131" s="437"/>
      <c r="AR131" s="437"/>
      <c r="AS131" s="437"/>
      <c r="AT131" s="437"/>
      <c r="AU131" s="437"/>
      <c r="AV131" s="437"/>
      <c r="AW131" s="437"/>
      <c r="AX131" s="437"/>
      <c r="AY131" s="437"/>
      <c r="AZ131" s="437"/>
      <c r="BA131" s="437"/>
      <c r="BB131" s="437"/>
      <c r="BC131" s="437"/>
      <c r="BD131" s="437"/>
      <c r="BE131" s="437"/>
      <c r="BF131" s="437"/>
      <c r="BG131" s="437"/>
      <c r="BH131" s="437"/>
      <c r="BI131" s="437"/>
      <c r="BJ131" s="437"/>
      <c r="BK131" s="437"/>
      <c r="BL131" s="437"/>
      <c r="BM131" s="437"/>
      <c r="BN131" s="437"/>
      <c r="BO131" s="437"/>
      <c r="BP131" s="437"/>
      <c r="BQ131" s="437"/>
      <c r="BR131" s="437"/>
      <c r="BS131" s="437"/>
      <c r="BT131" s="437"/>
      <c r="BU131" s="437"/>
      <c r="BV131" s="437"/>
      <c r="BW131" s="437"/>
      <c r="BX131" s="437"/>
      <c r="BY131" s="437"/>
      <c r="BZ131" s="437"/>
      <c r="CA131" s="437"/>
      <c r="CB131" s="437"/>
      <c r="CC131" s="437"/>
      <c r="CD131" s="437"/>
      <c r="CE131" s="437"/>
      <c r="CF131" s="437"/>
      <c r="CG131" s="437"/>
      <c r="CH131" s="437"/>
      <c r="CI131" s="437"/>
      <c r="CJ131" s="437"/>
      <c r="CK131" s="437"/>
      <c r="CL131" s="437"/>
      <c r="CM131" s="437"/>
      <c r="CN131" s="437"/>
      <c r="CO131" s="437"/>
      <c r="CP131" s="437"/>
      <c r="CQ131" s="437"/>
      <c r="CR131" s="437"/>
      <c r="CS131" s="437"/>
      <c r="CT131" s="437"/>
      <c r="CU131" s="437"/>
      <c r="CV131" s="437"/>
      <c r="CW131" s="437"/>
      <c r="CX131" s="437"/>
      <c r="CY131" s="437"/>
      <c r="CZ131" s="437"/>
      <c r="DA131" s="437"/>
      <c r="DB131" s="437"/>
      <c r="DC131" s="437"/>
      <c r="DD131" s="437"/>
      <c r="DE131" s="437"/>
      <c r="DF131" s="437"/>
      <c r="DG131" s="437"/>
      <c r="DH131" s="437"/>
      <c r="DI131" s="437"/>
      <c r="DJ131" s="437"/>
      <c r="DK131" s="437"/>
      <c r="DL131" s="437"/>
      <c r="DM131" s="437"/>
      <c r="DN131" s="437"/>
      <c r="DO131" s="437"/>
      <c r="DP131" s="437"/>
      <c r="DQ131" s="437"/>
      <c r="DR131" s="437"/>
      <c r="DS131" s="437"/>
      <c r="DT131" s="437"/>
      <c r="DU131" s="382" t="s">
        <v>557</v>
      </c>
    </row>
    <row r="132" spans="2:125" ht="19">
      <c r="B132" s="470" t="s">
        <v>1106</v>
      </c>
      <c r="C132" s="472">
        <f ca="1">C133/'Inputs and Assumptions'!G28+1</f>
        <v>1.7175438528726268</v>
      </c>
      <c r="AM132" s="473"/>
      <c r="DU132" s="382" t="s">
        <v>557</v>
      </c>
    </row>
    <row r="133" spans="2:125" ht="19">
      <c r="B133" s="470" t="s">
        <v>1107</v>
      </c>
      <c r="C133" s="474">
        <f ca="1">SUM(D129:DT129)</f>
        <v>14563270.037902832</v>
      </c>
      <c r="AM133" s="101"/>
      <c r="AN133" s="101"/>
      <c r="DU133" s="382" t="s">
        <v>557</v>
      </c>
    </row>
    <row r="134" spans="2:125" ht="17.5">
      <c r="AM134" s="101"/>
      <c r="AN134" s="101"/>
      <c r="DU134" s="382" t="s">
        <v>557</v>
      </c>
    </row>
    <row r="135" spans="2:125" ht="17.5">
      <c r="AM135" s="101"/>
      <c r="AN135" s="101"/>
      <c r="DU135" s="382" t="s">
        <v>557</v>
      </c>
    </row>
    <row r="136" spans="2:125" ht="19" outlineLevel="1">
      <c r="B136" s="475" t="s">
        <v>1108</v>
      </c>
      <c r="C136" s="476"/>
      <c r="D136" s="476"/>
      <c r="E136" s="476"/>
      <c r="F136" s="476"/>
      <c r="G136" s="476"/>
      <c r="H136" s="476"/>
      <c r="I136" s="476"/>
      <c r="J136" s="476"/>
      <c r="K136" s="476"/>
      <c r="L136" s="476"/>
      <c r="M136" s="476"/>
      <c r="N136" s="476"/>
      <c r="O136" s="476"/>
      <c r="P136" s="476"/>
      <c r="Q136" s="476"/>
      <c r="R136" s="476"/>
      <c r="S136" s="476"/>
      <c r="T136" s="476"/>
      <c r="U136" s="476"/>
      <c r="V136" s="476"/>
      <c r="W136" s="476"/>
      <c r="X136" s="476"/>
      <c r="Y136" s="476"/>
      <c r="Z136" s="476"/>
      <c r="AA136" s="476"/>
      <c r="AB136" s="476"/>
      <c r="AC136" s="476"/>
      <c r="AD136" s="476"/>
      <c r="AE136" s="476"/>
      <c r="AF136" s="476"/>
      <c r="AG136" s="476"/>
      <c r="AH136" s="476"/>
      <c r="AI136" s="476"/>
      <c r="AJ136" s="476"/>
      <c r="AK136" s="476"/>
      <c r="AL136" s="476"/>
      <c r="AM136" s="477"/>
      <c r="AN136" s="477"/>
      <c r="AO136" s="476"/>
      <c r="AP136" s="476"/>
      <c r="AQ136" s="476"/>
      <c r="AR136" s="476"/>
      <c r="AS136" s="476"/>
      <c r="AT136" s="476"/>
      <c r="AU136" s="476"/>
      <c r="AV136" s="476"/>
      <c r="AW136" s="476"/>
      <c r="AX136" s="476"/>
      <c r="AY136" s="476"/>
      <c r="AZ136" s="476"/>
      <c r="BA136" s="476"/>
      <c r="BB136" s="476"/>
      <c r="BC136" s="476"/>
      <c r="BD136" s="476"/>
      <c r="BE136" s="476"/>
      <c r="BF136" s="476"/>
      <c r="BG136" s="476"/>
      <c r="BH136" s="476"/>
      <c r="BI136" s="476"/>
      <c r="BJ136" s="476"/>
      <c r="BK136" s="476"/>
      <c r="BL136" s="476"/>
      <c r="BM136" s="476"/>
      <c r="BN136" s="476"/>
      <c r="BO136" s="476"/>
      <c r="BP136" s="476"/>
      <c r="BQ136" s="476"/>
      <c r="BR136" s="476"/>
      <c r="BS136" s="476"/>
      <c r="BT136" s="476"/>
      <c r="BU136" s="476"/>
      <c r="BV136" s="476"/>
      <c r="BW136" s="476"/>
      <c r="BX136" s="476"/>
      <c r="BY136" s="476"/>
      <c r="BZ136" s="476"/>
      <c r="CA136" s="476"/>
      <c r="CB136" s="476"/>
      <c r="CC136" s="476"/>
      <c r="CD136" s="476"/>
      <c r="CE136" s="476"/>
      <c r="CF136" s="476"/>
      <c r="CG136" s="476"/>
      <c r="CH136" s="476"/>
      <c r="CI136" s="476"/>
      <c r="CJ136" s="476"/>
      <c r="CK136" s="476"/>
      <c r="CL136" s="476"/>
      <c r="CM136" s="476"/>
      <c r="CN136" s="476"/>
      <c r="CO136" s="476"/>
      <c r="CP136" s="476"/>
      <c r="CQ136" s="476"/>
      <c r="CR136" s="476"/>
      <c r="CS136" s="476"/>
      <c r="CT136" s="476"/>
      <c r="CU136" s="476"/>
      <c r="CV136" s="476"/>
      <c r="CW136" s="476"/>
      <c r="CX136" s="476"/>
      <c r="CY136" s="476"/>
      <c r="CZ136" s="476"/>
      <c r="DA136" s="476"/>
      <c r="DB136" s="476"/>
      <c r="DC136" s="476"/>
      <c r="DD136" s="476"/>
      <c r="DE136" s="476"/>
      <c r="DF136" s="476"/>
      <c r="DG136" s="476"/>
      <c r="DH136" s="476"/>
      <c r="DI136" s="476"/>
      <c r="DJ136" s="476"/>
      <c r="DK136" s="476"/>
      <c r="DL136" s="476"/>
      <c r="DM136" s="476"/>
      <c r="DN136" s="476"/>
      <c r="DO136" s="476"/>
      <c r="DP136" s="476"/>
      <c r="DQ136" s="476"/>
      <c r="DR136" s="476"/>
      <c r="DS136" s="476"/>
      <c r="DT136" s="478"/>
      <c r="DU136" s="382" t="s">
        <v>557</v>
      </c>
    </row>
    <row r="137" spans="2:125" ht="19" outlineLevel="1">
      <c r="B137" s="185" t="s">
        <v>1109</v>
      </c>
      <c r="C137" s="479">
        <v>0</v>
      </c>
      <c r="D137" s="480">
        <f ca="1">$C137*-'Inputs and Assumptions'!$H$8</f>
        <v>0</v>
      </c>
      <c r="E137" s="480"/>
      <c r="F137" s="480"/>
      <c r="G137" s="480"/>
      <c r="H137" s="480"/>
      <c r="I137" s="480"/>
      <c r="J137" s="480"/>
      <c r="K137" s="480"/>
      <c r="L137" s="480"/>
      <c r="M137" s="480"/>
      <c r="N137" s="480"/>
      <c r="O137" s="480"/>
      <c r="P137" s="480"/>
      <c r="Q137" s="480"/>
      <c r="R137" s="480"/>
      <c r="S137" s="480"/>
      <c r="T137" s="480"/>
      <c r="U137" s="480"/>
      <c r="V137" s="480"/>
      <c r="W137" s="480"/>
      <c r="X137" s="480"/>
      <c r="Y137" s="480"/>
      <c r="Z137" s="480"/>
      <c r="AA137" s="480"/>
      <c r="AB137" s="480"/>
      <c r="AC137" s="480"/>
      <c r="AD137" s="480"/>
      <c r="AE137" s="480"/>
      <c r="AF137" s="480"/>
      <c r="AG137" s="480"/>
      <c r="AH137" s="480"/>
      <c r="AI137" s="480"/>
      <c r="AJ137" s="480"/>
      <c r="AK137" s="480"/>
      <c r="AL137" s="480"/>
      <c r="AM137" s="480"/>
      <c r="AN137" s="480"/>
      <c r="AO137" s="480"/>
      <c r="AP137" s="480"/>
      <c r="AQ137" s="480"/>
      <c r="AR137" s="480"/>
      <c r="AS137" s="480"/>
      <c r="AT137" s="480"/>
      <c r="AU137" s="480"/>
      <c r="AV137" s="480"/>
      <c r="AW137" s="480"/>
      <c r="AX137" s="480"/>
      <c r="AY137" s="480"/>
      <c r="AZ137" s="480"/>
      <c r="BA137" s="480"/>
      <c r="BB137" s="480"/>
      <c r="BC137" s="480"/>
      <c r="BD137" s="480"/>
      <c r="BE137" s="480"/>
      <c r="BF137" s="480"/>
      <c r="BG137" s="480"/>
      <c r="BH137" s="480"/>
      <c r="BI137" s="480"/>
      <c r="BJ137" s="480"/>
      <c r="BK137" s="480"/>
      <c r="BL137" s="480"/>
      <c r="BM137" s="480"/>
      <c r="BN137" s="480"/>
      <c r="BO137" s="480"/>
      <c r="BP137" s="480"/>
      <c r="BQ137" s="480"/>
      <c r="BR137" s="480"/>
      <c r="BS137" s="480"/>
      <c r="BT137" s="480"/>
      <c r="BU137" s="480"/>
      <c r="BV137" s="480"/>
      <c r="BW137" s="480"/>
      <c r="BX137" s="480"/>
      <c r="BY137" s="480"/>
      <c r="BZ137" s="480"/>
      <c r="CA137" s="480"/>
      <c r="CB137" s="480"/>
      <c r="CC137" s="480"/>
      <c r="CD137" s="480"/>
      <c r="CE137" s="480"/>
      <c r="CF137" s="480"/>
      <c r="CG137" s="480"/>
      <c r="CH137" s="480"/>
      <c r="CI137" s="480"/>
      <c r="CJ137" s="480"/>
      <c r="CK137" s="480"/>
      <c r="CL137" s="480"/>
      <c r="CM137" s="480"/>
      <c r="CN137" s="480"/>
      <c r="CO137" s="480"/>
      <c r="CP137" s="480"/>
      <c r="CQ137" s="480"/>
      <c r="CR137" s="480"/>
      <c r="CS137" s="480"/>
      <c r="CT137" s="480"/>
      <c r="CU137" s="480"/>
      <c r="CV137" s="480"/>
      <c r="CW137" s="480"/>
      <c r="CX137" s="480"/>
      <c r="CY137" s="480"/>
      <c r="CZ137" s="480"/>
      <c r="DA137" s="480"/>
      <c r="DB137" s="480"/>
      <c r="DC137" s="480"/>
      <c r="DD137" s="480"/>
      <c r="DE137" s="480"/>
      <c r="DF137" s="480"/>
      <c r="DG137" s="480"/>
      <c r="DH137" s="480"/>
      <c r="DI137" s="480"/>
      <c r="DJ137" s="480"/>
      <c r="DK137" s="480"/>
      <c r="DL137" s="480"/>
      <c r="DM137" s="480"/>
      <c r="DN137" s="480"/>
      <c r="DO137" s="480"/>
      <c r="DP137" s="480"/>
      <c r="DQ137" s="480"/>
      <c r="DR137" s="480"/>
      <c r="DS137" s="480"/>
      <c r="DT137" s="480"/>
      <c r="DU137" s="382" t="s">
        <v>557</v>
      </c>
    </row>
    <row r="138" spans="2:125" ht="19" outlineLevel="1">
      <c r="B138" s="185" t="s">
        <v>1110</v>
      </c>
      <c r="C138" s="481">
        <f>1-C137</f>
        <v>1</v>
      </c>
      <c r="D138" s="480">
        <f ca="1">$C138*-'Inputs and Assumptions'!$H$8</f>
        <v>-20296000</v>
      </c>
      <c r="E138" s="480"/>
      <c r="F138" s="480"/>
      <c r="G138" s="480"/>
      <c r="H138" s="480"/>
      <c r="I138" s="480"/>
      <c r="J138" s="480"/>
      <c r="K138" s="480"/>
      <c r="L138" s="480"/>
      <c r="M138" s="480"/>
      <c r="N138" s="480"/>
      <c r="O138" s="480"/>
      <c r="P138" s="480"/>
      <c r="Q138" s="480"/>
      <c r="R138" s="480"/>
      <c r="S138" s="480"/>
      <c r="T138" s="480"/>
      <c r="U138" s="480"/>
      <c r="V138" s="480"/>
      <c r="W138" s="480"/>
      <c r="X138" s="480"/>
      <c r="Y138" s="480"/>
      <c r="Z138" s="480"/>
      <c r="AA138" s="480"/>
      <c r="AB138" s="480"/>
      <c r="AC138" s="480"/>
      <c r="AD138" s="480"/>
      <c r="AE138" s="480"/>
      <c r="AF138" s="480"/>
      <c r="AG138" s="480"/>
      <c r="AH138" s="480"/>
      <c r="AI138" s="480"/>
      <c r="AJ138" s="480"/>
      <c r="AK138" s="480"/>
      <c r="AL138" s="480"/>
      <c r="AM138" s="480"/>
      <c r="AN138" s="480"/>
      <c r="AO138" s="480"/>
      <c r="AP138" s="480"/>
      <c r="AQ138" s="480"/>
      <c r="AR138" s="480"/>
      <c r="AS138" s="480"/>
      <c r="AT138" s="480"/>
      <c r="AU138" s="480"/>
      <c r="AV138" s="480"/>
      <c r="AW138" s="480"/>
      <c r="AX138" s="480"/>
      <c r="AY138" s="480"/>
      <c r="AZ138" s="480"/>
      <c r="BA138" s="480"/>
      <c r="BB138" s="480"/>
      <c r="BC138" s="480"/>
      <c r="BD138" s="480"/>
      <c r="BE138" s="480"/>
      <c r="BF138" s="480"/>
      <c r="BG138" s="480"/>
      <c r="BH138" s="480"/>
      <c r="BI138" s="480"/>
      <c r="BJ138" s="480"/>
      <c r="BK138" s="480"/>
      <c r="BL138" s="480"/>
      <c r="BM138" s="480"/>
      <c r="BN138" s="480"/>
      <c r="BO138" s="480"/>
      <c r="BP138" s="480"/>
      <c r="BQ138" s="480"/>
      <c r="BR138" s="480"/>
      <c r="BS138" s="480"/>
      <c r="BT138" s="480"/>
      <c r="BU138" s="480"/>
      <c r="BV138" s="480"/>
      <c r="BW138" s="480"/>
      <c r="BX138" s="480"/>
      <c r="BY138" s="480"/>
      <c r="BZ138" s="480"/>
      <c r="CA138" s="480"/>
      <c r="CB138" s="480"/>
      <c r="CC138" s="480"/>
      <c r="CD138" s="480"/>
      <c r="CE138" s="480"/>
      <c r="CF138" s="480"/>
      <c r="CG138" s="480"/>
      <c r="CH138" s="480"/>
      <c r="CI138" s="480"/>
      <c r="CJ138" s="480"/>
      <c r="CK138" s="480"/>
      <c r="CL138" s="480"/>
      <c r="CM138" s="480"/>
      <c r="CN138" s="480"/>
      <c r="CO138" s="480"/>
      <c r="CP138" s="480"/>
      <c r="CQ138" s="480"/>
      <c r="CR138" s="480"/>
      <c r="CS138" s="480"/>
      <c r="CT138" s="480"/>
      <c r="CU138" s="480"/>
      <c r="CV138" s="480"/>
      <c r="CW138" s="480"/>
      <c r="CX138" s="480"/>
      <c r="CY138" s="480"/>
      <c r="CZ138" s="480"/>
      <c r="DA138" s="480"/>
      <c r="DB138" s="480"/>
      <c r="DC138" s="480"/>
      <c r="DD138" s="480"/>
      <c r="DE138" s="480"/>
      <c r="DF138" s="480"/>
      <c r="DG138" s="480"/>
      <c r="DH138" s="480"/>
      <c r="DI138" s="480"/>
      <c r="DJ138" s="480"/>
      <c r="DK138" s="480"/>
      <c r="DL138" s="480"/>
      <c r="DM138" s="480"/>
      <c r="DN138" s="480"/>
      <c r="DO138" s="480"/>
      <c r="DP138" s="480"/>
      <c r="DQ138" s="480"/>
      <c r="DR138" s="480"/>
      <c r="DS138" s="480"/>
      <c r="DT138" s="480"/>
      <c r="DU138" s="382" t="s">
        <v>557</v>
      </c>
    </row>
    <row r="139" spans="2:125" ht="19" outlineLevel="1">
      <c r="B139" s="185"/>
      <c r="C139" s="185"/>
      <c r="D139" s="185"/>
      <c r="E139" s="185"/>
      <c r="F139" s="185"/>
      <c r="G139" s="185"/>
      <c r="H139" s="185"/>
      <c r="I139" s="185"/>
      <c r="J139" s="185"/>
      <c r="K139" s="185"/>
      <c r="L139" s="185"/>
      <c r="M139" s="185"/>
      <c r="N139" s="185"/>
      <c r="O139" s="185"/>
      <c r="P139" s="185"/>
      <c r="Q139" s="185"/>
      <c r="R139" s="185"/>
      <c r="S139" s="185"/>
      <c r="T139" s="185"/>
      <c r="U139" s="185"/>
      <c r="V139" s="185"/>
      <c r="W139" s="185"/>
      <c r="X139" s="185"/>
      <c r="Y139" s="185"/>
      <c r="Z139" s="185"/>
      <c r="AA139" s="185"/>
      <c r="AB139" s="185"/>
      <c r="AC139" s="185"/>
      <c r="AD139" s="185"/>
      <c r="AE139" s="185"/>
      <c r="AF139" s="185"/>
      <c r="AG139" s="185"/>
      <c r="AH139" s="185"/>
      <c r="AI139" s="185"/>
      <c r="AJ139" s="185"/>
      <c r="AK139" s="185"/>
      <c r="AL139" s="185"/>
      <c r="AM139" s="104"/>
      <c r="AN139" s="104"/>
      <c r="AO139" s="185"/>
      <c r="AP139" s="185"/>
      <c r="AQ139" s="185"/>
      <c r="AR139" s="185"/>
      <c r="AS139" s="185"/>
      <c r="AT139" s="185"/>
      <c r="AU139" s="185"/>
      <c r="AV139" s="185"/>
      <c r="AW139" s="185"/>
      <c r="AX139" s="185"/>
      <c r="AY139" s="185"/>
      <c r="AZ139" s="185"/>
      <c r="BA139" s="185"/>
      <c r="BB139" s="185"/>
      <c r="BC139" s="185"/>
      <c r="BD139" s="185"/>
      <c r="BE139" s="185"/>
      <c r="BF139" s="185"/>
      <c r="BG139" s="185"/>
      <c r="BH139" s="185"/>
      <c r="BI139" s="185"/>
      <c r="BJ139" s="185"/>
      <c r="BK139" s="185"/>
      <c r="BL139" s="185"/>
      <c r="BM139" s="185"/>
      <c r="BN139" s="185"/>
      <c r="BO139" s="185"/>
      <c r="BP139" s="185"/>
      <c r="BQ139" s="185"/>
      <c r="BR139" s="185"/>
      <c r="BS139" s="185"/>
      <c r="BT139" s="185"/>
      <c r="BU139" s="185"/>
      <c r="BV139" s="185"/>
      <c r="BW139" s="185"/>
      <c r="BX139" s="185"/>
      <c r="BY139" s="185"/>
      <c r="BZ139" s="185"/>
      <c r="CA139" s="185"/>
      <c r="CB139" s="185"/>
      <c r="CC139" s="185"/>
      <c r="CD139" s="185"/>
      <c r="CE139" s="185"/>
      <c r="CF139" s="185"/>
      <c r="CG139" s="185"/>
      <c r="CH139" s="185"/>
      <c r="CI139" s="185"/>
      <c r="CJ139" s="185"/>
      <c r="CK139" s="185"/>
      <c r="CL139" s="185"/>
      <c r="CM139" s="185"/>
      <c r="CN139" s="185"/>
      <c r="CO139" s="185"/>
      <c r="CP139" s="185"/>
      <c r="CQ139" s="185"/>
      <c r="CR139" s="185"/>
      <c r="CS139" s="185"/>
      <c r="CT139" s="185"/>
      <c r="CU139" s="185"/>
      <c r="CV139" s="185"/>
      <c r="CW139" s="185"/>
      <c r="CX139" s="185"/>
      <c r="CY139" s="185"/>
      <c r="CZ139" s="185"/>
      <c r="DA139" s="185"/>
      <c r="DB139" s="185"/>
      <c r="DC139" s="185"/>
      <c r="DD139" s="185"/>
      <c r="DE139" s="185"/>
      <c r="DF139" s="185"/>
      <c r="DG139" s="185"/>
      <c r="DH139" s="185"/>
      <c r="DI139" s="185"/>
      <c r="DJ139" s="185"/>
      <c r="DK139" s="185"/>
      <c r="DL139" s="185"/>
      <c r="DM139" s="185"/>
      <c r="DN139" s="185"/>
      <c r="DO139" s="185"/>
      <c r="DP139" s="185"/>
      <c r="DQ139" s="185"/>
      <c r="DR139" s="185"/>
      <c r="DS139" s="185"/>
      <c r="DT139" s="185"/>
      <c r="DU139" s="382" t="s">
        <v>557</v>
      </c>
    </row>
    <row r="140" spans="2:125" ht="19" outlineLevel="1">
      <c r="B140" s="185" t="s">
        <v>1111</v>
      </c>
      <c r="C140" s="479">
        <v>0.16</v>
      </c>
      <c r="D140" s="185"/>
      <c r="E140" s="480">
        <f>(E$129+E$123)*$C140</f>
        <v>12022.751907196136</v>
      </c>
      <c r="F140" s="480">
        <f t="shared" ref="F140:BQ141" si="304">(F$129+F$123)*$C140</f>
        <v>12360.923639910763</v>
      </c>
      <c r="G140" s="480">
        <f t="shared" si="304"/>
        <v>12701.3498508435</v>
      </c>
      <c r="H140" s="480">
        <f t="shared" si="304"/>
        <v>13044.045569849133</v>
      </c>
      <c r="I140" s="480">
        <f t="shared" si="304"/>
        <v>13389.02592698146</v>
      </c>
      <c r="J140" s="480">
        <f t="shared" si="304"/>
        <v>13736.306153161328</v>
      </c>
      <c r="K140" s="480">
        <f t="shared" si="304"/>
        <v>14085.901580849073</v>
      </c>
      <c r="L140" s="480">
        <f t="shared" si="304"/>
        <v>14437.827644721388</v>
      </c>
      <c r="M140" s="480">
        <f t="shared" si="304"/>
        <v>14792.099882352857</v>
      </c>
      <c r="N140" s="480">
        <f t="shared" si="304"/>
        <v>15148.73393490188</v>
      </c>
      <c r="O140" s="480">
        <f t="shared" si="304"/>
        <v>15507.745547801227</v>
      </c>
      <c r="P140" s="480">
        <f t="shared" si="304"/>
        <v>15869.150571453216</v>
      </c>
      <c r="Q140" s="480">
        <f t="shared" si="304"/>
        <v>15861.1603225248</v>
      </c>
      <c r="R140" s="480">
        <f t="shared" si="304"/>
        <v>16204.368038540597</v>
      </c>
      <c r="S140" s="480">
        <f t="shared" si="304"/>
        <v>16549.720802781478</v>
      </c>
      <c r="T140" s="480">
        <f t="shared" si="304"/>
        <v>16897.232021798864</v>
      </c>
      <c r="U140" s="480">
        <f t="shared" si="304"/>
        <v>17246.915185935104</v>
      </c>
      <c r="V140" s="480">
        <f t="shared" si="304"/>
        <v>17598.783869847226</v>
      </c>
      <c r="W140" s="480">
        <f t="shared" si="304"/>
        <v>17952.851733033771</v>
      </c>
      <c r="X140" s="480">
        <f t="shared" si="304"/>
        <v>18309.132520365223</v>
      </c>
      <c r="Y140" s="480">
        <f t="shared" si="304"/>
        <v>18667.640062617527</v>
      </c>
      <c r="Z140" s="480">
        <f t="shared" si="304"/>
        <v>19028.388277008882</v>
      </c>
      <c r="AA140" s="480">
        <f t="shared" si="304"/>
        <v>19391.391167740188</v>
      </c>
      <c r="AB140" s="480">
        <f t="shared" si="304"/>
        <v>19756.662826538577</v>
      </c>
      <c r="AC140" s="480">
        <f t="shared" si="304"/>
        <v>19597.022202893702</v>
      </c>
      <c r="AD140" s="480">
        <f t="shared" si="304"/>
        <v>19793.704756860694</v>
      </c>
      <c r="AE140" s="480">
        <f t="shared" si="304"/>
        <v>19991.0429193409</v>
      </c>
      <c r="AF140" s="480">
        <f t="shared" si="304"/>
        <v>20189.038875696035</v>
      </c>
      <c r="AG140" s="480">
        <f t="shared" si="304"/>
        <v>20387.694818572345</v>
      </c>
      <c r="AH140" s="480">
        <f t="shared" si="304"/>
        <v>20587.012947924944</v>
      </c>
      <c r="AI140" s="480">
        <f t="shared" si="304"/>
        <v>20786.995471042028</v>
      </c>
      <c r="AJ140" s="480">
        <f t="shared" si="304"/>
        <v>20987.644602569511</v>
      </c>
      <c r="AK140" s="480">
        <f t="shared" si="304"/>
        <v>21188.962564535403</v>
      </c>
      <c r="AL140" s="480">
        <f t="shared" si="304"/>
        <v>21390.95158637454</v>
      </c>
      <c r="AM140" s="480">
        <f t="shared" si="304"/>
        <v>21593.613904953105</v>
      </c>
      <c r="AN140" s="480">
        <f t="shared" si="304"/>
        <v>21796.951764593647</v>
      </c>
      <c r="AO140" s="480">
        <f t="shared" si="304"/>
        <v>21638.573427083615</v>
      </c>
      <c r="AP140" s="480">
        <f t="shared" si="304"/>
        <v>21843.269131764639</v>
      </c>
      <c r="AQ140" s="480">
        <f t="shared" si="304"/>
        <v>22048.647155461218</v>
      </c>
      <c r="AR140" s="480">
        <f t="shared" si="304"/>
        <v>22254.709772570161</v>
      </c>
      <c r="AS140" s="480">
        <f t="shared" si="304"/>
        <v>22461.459265069458</v>
      </c>
      <c r="AT140" s="480">
        <f t="shared" si="304"/>
        <v>22668.897922543725</v>
      </c>
      <c r="AU140" s="480">
        <f t="shared" si="304"/>
        <v>22877.028042209615</v>
      </c>
      <c r="AV140" s="480">
        <f t="shared" si="304"/>
        <v>23085.851928941029</v>
      </c>
      <c r="AW140" s="480">
        <f t="shared" si="304"/>
        <v>23295.371895294906</v>
      </c>
      <c r="AX140" s="480">
        <f t="shared" si="304"/>
        <v>23505.590261536603</v>
      </c>
      <c r="AY140" s="480">
        <f t="shared" si="304"/>
        <v>23716.509355665799</v>
      </c>
      <c r="AZ140" s="480">
        <f t="shared" si="304"/>
        <v>4699236.552452202</v>
      </c>
      <c r="BA140" s="480">
        <f t="shared" si="304"/>
        <v>0</v>
      </c>
      <c r="BB140" s="480">
        <f t="shared" si="304"/>
        <v>0</v>
      </c>
      <c r="BC140" s="480">
        <f t="shared" si="304"/>
        <v>0</v>
      </c>
      <c r="BD140" s="480">
        <f t="shared" si="304"/>
        <v>0</v>
      </c>
      <c r="BE140" s="480">
        <f t="shared" si="304"/>
        <v>0</v>
      </c>
      <c r="BF140" s="480">
        <f t="shared" si="304"/>
        <v>0</v>
      </c>
      <c r="BG140" s="480">
        <f t="shared" si="304"/>
        <v>0</v>
      </c>
      <c r="BH140" s="480">
        <f t="shared" si="304"/>
        <v>0</v>
      </c>
      <c r="BI140" s="480">
        <f t="shared" si="304"/>
        <v>0</v>
      </c>
      <c r="BJ140" s="480">
        <f t="shared" si="304"/>
        <v>0</v>
      </c>
      <c r="BK140" s="480">
        <f t="shared" si="304"/>
        <v>0</v>
      </c>
      <c r="BL140" s="480">
        <f t="shared" si="304"/>
        <v>0</v>
      </c>
      <c r="BM140" s="480">
        <f t="shared" si="304"/>
        <v>0</v>
      </c>
      <c r="BN140" s="480">
        <f t="shared" si="304"/>
        <v>0</v>
      </c>
      <c r="BO140" s="480">
        <f t="shared" si="304"/>
        <v>0</v>
      </c>
      <c r="BP140" s="480">
        <f t="shared" si="304"/>
        <v>0</v>
      </c>
      <c r="BQ140" s="480">
        <f t="shared" si="304"/>
        <v>0</v>
      </c>
      <c r="BR140" s="480">
        <f t="shared" ref="BR140:DT141" si="305">(BR$129+BR$123)*$C140</f>
        <v>0</v>
      </c>
      <c r="BS140" s="480">
        <f t="shared" si="305"/>
        <v>0</v>
      </c>
      <c r="BT140" s="480">
        <f t="shared" si="305"/>
        <v>0</v>
      </c>
      <c r="BU140" s="480">
        <f t="shared" si="305"/>
        <v>0</v>
      </c>
      <c r="BV140" s="480">
        <f t="shared" si="305"/>
        <v>0</v>
      </c>
      <c r="BW140" s="480">
        <f t="shared" si="305"/>
        <v>0</v>
      </c>
      <c r="BX140" s="480">
        <f t="shared" si="305"/>
        <v>0</v>
      </c>
      <c r="BY140" s="480">
        <f t="shared" si="305"/>
        <v>0</v>
      </c>
      <c r="BZ140" s="480">
        <f t="shared" si="305"/>
        <v>0</v>
      </c>
      <c r="CA140" s="480">
        <f t="shared" si="305"/>
        <v>0</v>
      </c>
      <c r="CB140" s="480">
        <f t="shared" si="305"/>
        <v>0</v>
      </c>
      <c r="CC140" s="480">
        <f t="shared" si="305"/>
        <v>0</v>
      </c>
      <c r="CD140" s="480">
        <f t="shared" si="305"/>
        <v>0</v>
      </c>
      <c r="CE140" s="480">
        <f t="shared" si="305"/>
        <v>0</v>
      </c>
      <c r="CF140" s="480">
        <f t="shared" si="305"/>
        <v>0</v>
      </c>
      <c r="CG140" s="480">
        <f t="shared" si="305"/>
        <v>0</v>
      </c>
      <c r="CH140" s="480">
        <f t="shared" si="305"/>
        <v>0</v>
      </c>
      <c r="CI140" s="480">
        <f t="shared" si="305"/>
        <v>0</v>
      </c>
      <c r="CJ140" s="480">
        <f t="shared" si="305"/>
        <v>0</v>
      </c>
      <c r="CK140" s="480">
        <f t="shared" si="305"/>
        <v>0</v>
      </c>
      <c r="CL140" s="480">
        <f t="shared" si="305"/>
        <v>0</v>
      </c>
      <c r="CM140" s="480">
        <f t="shared" si="305"/>
        <v>0</v>
      </c>
      <c r="CN140" s="480">
        <f t="shared" si="305"/>
        <v>0</v>
      </c>
      <c r="CO140" s="480">
        <f t="shared" si="305"/>
        <v>0</v>
      </c>
      <c r="CP140" s="480">
        <f t="shared" si="305"/>
        <v>0</v>
      </c>
      <c r="CQ140" s="480">
        <f t="shared" si="305"/>
        <v>0</v>
      </c>
      <c r="CR140" s="480">
        <f t="shared" si="305"/>
        <v>0</v>
      </c>
      <c r="CS140" s="480">
        <f t="shared" si="305"/>
        <v>0</v>
      </c>
      <c r="CT140" s="480">
        <f t="shared" si="305"/>
        <v>0</v>
      </c>
      <c r="CU140" s="480">
        <f t="shared" si="305"/>
        <v>0</v>
      </c>
      <c r="CV140" s="480">
        <f t="shared" si="305"/>
        <v>0</v>
      </c>
      <c r="CW140" s="480">
        <f t="shared" si="305"/>
        <v>0</v>
      </c>
      <c r="CX140" s="480">
        <f t="shared" si="305"/>
        <v>0</v>
      </c>
      <c r="CY140" s="480">
        <f t="shared" si="305"/>
        <v>0</v>
      </c>
      <c r="CZ140" s="480">
        <f t="shared" si="305"/>
        <v>0</v>
      </c>
      <c r="DA140" s="480">
        <f t="shared" si="305"/>
        <v>0</v>
      </c>
      <c r="DB140" s="480">
        <f t="shared" si="305"/>
        <v>0</v>
      </c>
      <c r="DC140" s="480">
        <f t="shared" si="305"/>
        <v>0</v>
      </c>
      <c r="DD140" s="480">
        <f t="shared" si="305"/>
        <v>0</v>
      </c>
      <c r="DE140" s="480">
        <f t="shared" si="305"/>
        <v>0</v>
      </c>
      <c r="DF140" s="480">
        <f t="shared" si="305"/>
        <v>0</v>
      </c>
      <c r="DG140" s="480">
        <f t="shared" si="305"/>
        <v>0</v>
      </c>
      <c r="DH140" s="480">
        <f t="shared" si="305"/>
        <v>0</v>
      </c>
      <c r="DI140" s="480">
        <f t="shared" si="305"/>
        <v>0</v>
      </c>
      <c r="DJ140" s="480">
        <f t="shared" si="305"/>
        <v>0</v>
      </c>
      <c r="DK140" s="480">
        <f t="shared" si="305"/>
        <v>0</v>
      </c>
      <c r="DL140" s="480">
        <f t="shared" si="305"/>
        <v>0</v>
      </c>
      <c r="DM140" s="480">
        <f t="shared" si="305"/>
        <v>0</v>
      </c>
      <c r="DN140" s="480">
        <f t="shared" si="305"/>
        <v>0</v>
      </c>
      <c r="DO140" s="480">
        <f t="shared" si="305"/>
        <v>0</v>
      </c>
      <c r="DP140" s="480">
        <f t="shared" si="305"/>
        <v>0</v>
      </c>
      <c r="DQ140" s="480">
        <f t="shared" si="305"/>
        <v>0</v>
      </c>
      <c r="DR140" s="480">
        <f t="shared" si="305"/>
        <v>0</v>
      </c>
      <c r="DS140" s="480">
        <f t="shared" si="305"/>
        <v>0</v>
      </c>
      <c r="DT140" s="480">
        <f t="shared" si="305"/>
        <v>0</v>
      </c>
      <c r="DU140" s="382" t="s">
        <v>557</v>
      </c>
    </row>
    <row r="141" spans="2:125" ht="19" outlineLevel="1">
      <c r="B141" s="185" t="s">
        <v>1112</v>
      </c>
      <c r="C141" s="481">
        <f>1-C140</f>
        <v>0.84</v>
      </c>
      <c r="D141" s="185"/>
      <c r="E141" s="480">
        <f>(E$129+E$123)*$C141</f>
        <v>63119.447512779712</v>
      </c>
      <c r="F141" s="480">
        <f t="shared" si="304"/>
        <v>64894.849109531504</v>
      </c>
      <c r="G141" s="480">
        <f t="shared" si="304"/>
        <v>66682.086716928374</v>
      </c>
      <c r="H141" s="480">
        <f t="shared" si="304"/>
        <v>68481.239241707939</v>
      </c>
      <c r="I141" s="480">
        <f t="shared" si="304"/>
        <v>70292.386116652662</v>
      </c>
      <c r="J141" s="480">
        <f t="shared" si="304"/>
        <v>72115.607304096964</v>
      </c>
      <c r="K141" s="480">
        <f t="shared" si="304"/>
        <v>73950.983299457628</v>
      </c>
      <c r="L141" s="480">
        <f t="shared" si="304"/>
        <v>75798.595134787291</v>
      </c>
      <c r="M141" s="480">
        <f t="shared" si="304"/>
        <v>77658.524382352494</v>
      </c>
      <c r="N141" s="480">
        <f t="shared" si="304"/>
        <v>79530.853158234866</v>
      </c>
      <c r="O141" s="480">
        <f t="shared" si="304"/>
        <v>81415.664125956435</v>
      </c>
      <c r="P141" s="480">
        <f t="shared" si="304"/>
        <v>83313.040500129369</v>
      </c>
      <c r="Q141" s="480">
        <f t="shared" si="304"/>
        <v>83271.091693255206</v>
      </c>
      <c r="R141" s="480">
        <f t="shared" si="304"/>
        <v>85072.932202338125</v>
      </c>
      <c r="S141" s="480">
        <f t="shared" si="304"/>
        <v>86886.034214602754</v>
      </c>
      <c r="T141" s="480">
        <f t="shared" si="304"/>
        <v>88710.468114444026</v>
      </c>
      <c r="U141" s="480">
        <f t="shared" si="304"/>
        <v>90546.304726159287</v>
      </c>
      <c r="V141" s="480">
        <f t="shared" si="304"/>
        <v>92393.61531669792</v>
      </c>
      <c r="W141" s="480">
        <f t="shared" si="304"/>
        <v>94252.471598427292</v>
      </c>
      <c r="X141" s="480">
        <f t="shared" si="304"/>
        <v>96122.945731917425</v>
      </c>
      <c r="Y141" s="480">
        <f t="shared" si="304"/>
        <v>98005.110328742012</v>
      </c>
      <c r="Z141" s="480">
        <f t="shared" si="304"/>
        <v>99899.03845429662</v>
      </c>
      <c r="AA141" s="480">
        <f t="shared" si="304"/>
        <v>101804.80363063597</v>
      </c>
      <c r="AB141" s="480">
        <f t="shared" si="304"/>
        <v>103722.47983932753</v>
      </c>
      <c r="AC141" s="480">
        <f t="shared" si="304"/>
        <v>102884.36656519193</v>
      </c>
      <c r="AD141" s="480">
        <f t="shared" si="304"/>
        <v>103916.94997351864</v>
      </c>
      <c r="AE141" s="480">
        <f t="shared" si="304"/>
        <v>104952.97532653972</v>
      </c>
      <c r="AF141" s="480">
        <f t="shared" si="304"/>
        <v>105992.45409740417</v>
      </c>
      <c r="AG141" s="480">
        <f t="shared" si="304"/>
        <v>107035.3977975048</v>
      </c>
      <c r="AH141" s="480">
        <f t="shared" si="304"/>
        <v>108081.81797660596</v>
      </c>
      <c r="AI141" s="480">
        <f t="shared" si="304"/>
        <v>109131.72622297065</v>
      </c>
      <c r="AJ141" s="480">
        <f t="shared" si="304"/>
        <v>110185.13416348991</v>
      </c>
      <c r="AK141" s="480">
        <f t="shared" si="304"/>
        <v>111242.05346381085</v>
      </c>
      <c r="AL141" s="480">
        <f t="shared" si="304"/>
        <v>112302.49582846632</v>
      </c>
      <c r="AM141" s="480">
        <f t="shared" si="304"/>
        <v>113366.4730010038</v>
      </c>
      <c r="AN141" s="480">
        <f t="shared" si="304"/>
        <v>114433.99676411664</v>
      </c>
      <c r="AO141" s="480">
        <f t="shared" si="304"/>
        <v>113602.51049218897</v>
      </c>
      <c r="AP141" s="480">
        <f t="shared" si="304"/>
        <v>114677.16294176436</v>
      </c>
      <c r="AQ141" s="480">
        <f t="shared" si="304"/>
        <v>115755.39756617139</v>
      </c>
      <c r="AR141" s="480">
        <f t="shared" si="304"/>
        <v>116837.22630599335</v>
      </c>
      <c r="AS141" s="480">
        <f t="shared" si="304"/>
        <v>117922.66114161465</v>
      </c>
      <c r="AT141" s="480">
        <f t="shared" si="304"/>
        <v>119011.71409335455</v>
      </c>
      <c r="AU141" s="480">
        <f t="shared" si="304"/>
        <v>120104.39722160046</v>
      </c>
      <c r="AV141" s="480">
        <f t="shared" si="304"/>
        <v>121200.72262694041</v>
      </c>
      <c r="AW141" s="480">
        <f t="shared" si="304"/>
        <v>122300.70245029825</v>
      </c>
      <c r="AX141" s="480">
        <f t="shared" si="304"/>
        <v>123404.34887306717</v>
      </c>
      <c r="AY141" s="480">
        <f t="shared" si="304"/>
        <v>124511.67411724543</v>
      </c>
      <c r="AZ141" s="480">
        <f t="shared" si="304"/>
        <v>24670991.900374059</v>
      </c>
      <c r="BA141" s="480">
        <f t="shared" si="304"/>
        <v>0</v>
      </c>
      <c r="BB141" s="480">
        <f t="shared" si="304"/>
        <v>0</v>
      </c>
      <c r="BC141" s="480">
        <f t="shared" si="304"/>
        <v>0</v>
      </c>
      <c r="BD141" s="480">
        <f t="shared" si="304"/>
        <v>0</v>
      </c>
      <c r="BE141" s="480">
        <f t="shared" si="304"/>
        <v>0</v>
      </c>
      <c r="BF141" s="480">
        <f t="shared" si="304"/>
        <v>0</v>
      </c>
      <c r="BG141" s="480">
        <f t="shared" si="304"/>
        <v>0</v>
      </c>
      <c r="BH141" s="480">
        <f t="shared" si="304"/>
        <v>0</v>
      </c>
      <c r="BI141" s="480">
        <f t="shared" si="304"/>
        <v>0</v>
      </c>
      <c r="BJ141" s="480">
        <f t="shared" si="304"/>
        <v>0</v>
      </c>
      <c r="BK141" s="480">
        <f t="shared" si="304"/>
        <v>0</v>
      </c>
      <c r="BL141" s="480">
        <f t="shared" si="304"/>
        <v>0</v>
      </c>
      <c r="BM141" s="480">
        <f t="shared" si="304"/>
        <v>0</v>
      </c>
      <c r="BN141" s="480">
        <f t="shared" si="304"/>
        <v>0</v>
      </c>
      <c r="BO141" s="480">
        <f t="shared" si="304"/>
        <v>0</v>
      </c>
      <c r="BP141" s="480">
        <f t="shared" si="304"/>
        <v>0</v>
      </c>
      <c r="BQ141" s="480">
        <f t="shared" si="304"/>
        <v>0</v>
      </c>
      <c r="BR141" s="480">
        <f t="shared" si="305"/>
        <v>0</v>
      </c>
      <c r="BS141" s="480">
        <f t="shared" si="305"/>
        <v>0</v>
      </c>
      <c r="BT141" s="480">
        <f t="shared" si="305"/>
        <v>0</v>
      </c>
      <c r="BU141" s="480">
        <f t="shared" si="305"/>
        <v>0</v>
      </c>
      <c r="BV141" s="480">
        <f t="shared" si="305"/>
        <v>0</v>
      </c>
      <c r="BW141" s="480">
        <f t="shared" si="305"/>
        <v>0</v>
      </c>
      <c r="BX141" s="480">
        <f t="shared" si="305"/>
        <v>0</v>
      </c>
      <c r="BY141" s="480">
        <f t="shared" si="305"/>
        <v>0</v>
      </c>
      <c r="BZ141" s="480">
        <f t="shared" si="305"/>
        <v>0</v>
      </c>
      <c r="CA141" s="480">
        <f t="shared" si="305"/>
        <v>0</v>
      </c>
      <c r="CB141" s="480">
        <f t="shared" si="305"/>
        <v>0</v>
      </c>
      <c r="CC141" s="480">
        <f t="shared" si="305"/>
        <v>0</v>
      </c>
      <c r="CD141" s="480">
        <f t="shared" si="305"/>
        <v>0</v>
      </c>
      <c r="CE141" s="480">
        <f t="shared" si="305"/>
        <v>0</v>
      </c>
      <c r="CF141" s="480">
        <f t="shared" si="305"/>
        <v>0</v>
      </c>
      <c r="CG141" s="480">
        <f t="shared" si="305"/>
        <v>0</v>
      </c>
      <c r="CH141" s="480">
        <f t="shared" si="305"/>
        <v>0</v>
      </c>
      <c r="CI141" s="480">
        <f t="shared" si="305"/>
        <v>0</v>
      </c>
      <c r="CJ141" s="480">
        <f t="shared" si="305"/>
        <v>0</v>
      </c>
      <c r="CK141" s="480">
        <f t="shared" si="305"/>
        <v>0</v>
      </c>
      <c r="CL141" s="480">
        <f t="shared" si="305"/>
        <v>0</v>
      </c>
      <c r="CM141" s="480">
        <f t="shared" si="305"/>
        <v>0</v>
      </c>
      <c r="CN141" s="480">
        <f t="shared" si="305"/>
        <v>0</v>
      </c>
      <c r="CO141" s="480">
        <f t="shared" si="305"/>
        <v>0</v>
      </c>
      <c r="CP141" s="480">
        <f t="shared" si="305"/>
        <v>0</v>
      </c>
      <c r="CQ141" s="480">
        <f t="shared" si="305"/>
        <v>0</v>
      </c>
      <c r="CR141" s="480">
        <f t="shared" si="305"/>
        <v>0</v>
      </c>
      <c r="CS141" s="480">
        <f t="shared" si="305"/>
        <v>0</v>
      </c>
      <c r="CT141" s="480">
        <f t="shared" si="305"/>
        <v>0</v>
      </c>
      <c r="CU141" s="480">
        <f t="shared" si="305"/>
        <v>0</v>
      </c>
      <c r="CV141" s="480">
        <f t="shared" si="305"/>
        <v>0</v>
      </c>
      <c r="CW141" s="480">
        <f t="shared" si="305"/>
        <v>0</v>
      </c>
      <c r="CX141" s="480">
        <f t="shared" si="305"/>
        <v>0</v>
      </c>
      <c r="CY141" s="480">
        <f t="shared" si="305"/>
        <v>0</v>
      </c>
      <c r="CZ141" s="480">
        <f t="shared" si="305"/>
        <v>0</v>
      </c>
      <c r="DA141" s="480">
        <f t="shared" si="305"/>
        <v>0</v>
      </c>
      <c r="DB141" s="480">
        <f t="shared" si="305"/>
        <v>0</v>
      </c>
      <c r="DC141" s="480">
        <f t="shared" si="305"/>
        <v>0</v>
      </c>
      <c r="DD141" s="480">
        <f t="shared" si="305"/>
        <v>0</v>
      </c>
      <c r="DE141" s="480">
        <f t="shared" si="305"/>
        <v>0</v>
      </c>
      <c r="DF141" s="480">
        <f t="shared" si="305"/>
        <v>0</v>
      </c>
      <c r="DG141" s="480">
        <f t="shared" si="305"/>
        <v>0</v>
      </c>
      <c r="DH141" s="480">
        <f t="shared" si="305"/>
        <v>0</v>
      </c>
      <c r="DI141" s="480">
        <f t="shared" si="305"/>
        <v>0</v>
      </c>
      <c r="DJ141" s="480">
        <f t="shared" si="305"/>
        <v>0</v>
      </c>
      <c r="DK141" s="480">
        <f t="shared" si="305"/>
        <v>0</v>
      </c>
      <c r="DL141" s="480">
        <f t="shared" si="305"/>
        <v>0</v>
      </c>
      <c r="DM141" s="480">
        <f t="shared" si="305"/>
        <v>0</v>
      </c>
      <c r="DN141" s="480">
        <f t="shared" si="305"/>
        <v>0</v>
      </c>
      <c r="DO141" s="480">
        <f t="shared" si="305"/>
        <v>0</v>
      </c>
      <c r="DP141" s="480">
        <f t="shared" si="305"/>
        <v>0</v>
      </c>
      <c r="DQ141" s="480">
        <f t="shared" si="305"/>
        <v>0</v>
      </c>
      <c r="DR141" s="480">
        <f t="shared" si="305"/>
        <v>0</v>
      </c>
      <c r="DS141" s="480">
        <f t="shared" si="305"/>
        <v>0</v>
      </c>
      <c r="DT141" s="480">
        <f t="shared" si="305"/>
        <v>0</v>
      </c>
      <c r="DU141" s="382" t="s">
        <v>557</v>
      </c>
    </row>
    <row r="142" spans="2:125" ht="19" outlineLevel="1">
      <c r="B142" s="185"/>
      <c r="C142" s="185"/>
      <c r="D142" s="185"/>
      <c r="E142" s="185"/>
      <c r="F142" s="185"/>
      <c r="G142" s="185"/>
      <c r="H142" s="185"/>
      <c r="I142" s="185"/>
      <c r="J142" s="185"/>
      <c r="K142" s="185"/>
      <c r="L142" s="185"/>
      <c r="M142" s="185"/>
      <c r="N142" s="185"/>
      <c r="O142" s="185"/>
      <c r="P142" s="185"/>
      <c r="Q142" s="185"/>
      <c r="R142" s="185"/>
      <c r="S142" s="185"/>
      <c r="T142" s="185"/>
      <c r="U142" s="185"/>
      <c r="V142" s="185"/>
      <c r="W142" s="185"/>
      <c r="X142" s="185"/>
      <c r="Y142" s="185"/>
      <c r="Z142" s="185"/>
      <c r="AA142" s="185"/>
      <c r="AB142" s="185"/>
      <c r="AC142" s="185"/>
      <c r="AD142" s="185"/>
      <c r="AE142" s="185"/>
      <c r="AF142" s="185"/>
      <c r="AG142" s="185"/>
      <c r="AH142" s="185"/>
      <c r="AI142" s="185"/>
      <c r="AJ142" s="185"/>
      <c r="AK142" s="185"/>
      <c r="AL142" s="185"/>
      <c r="AM142" s="104"/>
      <c r="AN142" s="104"/>
      <c r="AO142" s="185"/>
      <c r="AP142" s="185"/>
      <c r="AQ142" s="185"/>
      <c r="AR142" s="185"/>
      <c r="AS142" s="185"/>
      <c r="AT142" s="185"/>
      <c r="AU142" s="185"/>
      <c r="AV142" s="185"/>
      <c r="AW142" s="185"/>
      <c r="AX142" s="185"/>
      <c r="AY142" s="185"/>
      <c r="AZ142" s="185"/>
      <c r="BA142" s="185"/>
      <c r="BB142" s="185"/>
      <c r="BC142" s="185"/>
      <c r="BD142" s="185"/>
      <c r="BE142" s="185"/>
      <c r="BF142" s="185"/>
      <c r="BG142" s="185"/>
      <c r="BH142" s="185"/>
      <c r="BI142" s="185"/>
      <c r="BJ142" s="185"/>
      <c r="BK142" s="185"/>
      <c r="BL142" s="185"/>
      <c r="BM142" s="185"/>
      <c r="BN142" s="185"/>
      <c r="BO142" s="185"/>
      <c r="BP142" s="185"/>
      <c r="BQ142" s="185"/>
      <c r="BR142" s="185"/>
      <c r="BS142" s="185"/>
      <c r="BT142" s="185"/>
      <c r="BU142" s="185"/>
      <c r="BV142" s="185"/>
      <c r="BW142" s="185"/>
      <c r="BX142" s="185"/>
      <c r="BY142" s="185"/>
      <c r="BZ142" s="185"/>
      <c r="CA142" s="185"/>
      <c r="CB142" s="185"/>
      <c r="CC142" s="185"/>
      <c r="CD142" s="185"/>
      <c r="CE142" s="185"/>
      <c r="CF142" s="185"/>
      <c r="CG142" s="185"/>
      <c r="CH142" s="185"/>
      <c r="CI142" s="185"/>
      <c r="CJ142" s="185"/>
      <c r="CK142" s="185"/>
      <c r="CL142" s="185"/>
      <c r="CM142" s="185"/>
      <c r="CN142" s="185"/>
      <c r="CO142" s="185"/>
      <c r="CP142" s="185"/>
      <c r="CQ142" s="185"/>
      <c r="CR142" s="185"/>
      <c r="CS142" s="185"/>
      <c r="CT142" s="185"/>
      <c r="CU142" s="185"/>
      <c r="CV142" s="185"/>
      <c r="CW142" s="185"/>
      <c r="CX142" s="185"/>
      <c r="CY142" s="185"/>
      <c r="CZ142" s="185"/>
      <c r="DA142" s="185"/>
      <c r="DB142" s="185"/>
      <c r="DC142" s="185"/>
      <c r="DD142" s="185"/>
      <c r="DE142" s="185"/>
      <c r="DF142" s="185"/>
      <c r="DG142" s="185"/>
      <c r="DH142" s="185"/>
      <c r="DI142" s="185"/>
      <c r="DJ142" s="185"/>
      <c r="DK142" s="185"/>
      <c r="DL142" s="185"/>
      <c r="DM142" s="185"/>
      <c r="DN142" s="185"/>
      <c r="DO142" s="185"/>
      <c r="DP142" s="185"/>
      <c r="DQ142" s="185"/>
      <c r="DR142" s="185"/>
      <c r="DS142" s="185"/>
      <c r="DT142" s="185"/>
      <c r="DU142" s="382" t="s">
        <v>557</v>
      </c>
    </row>
    <row r="143" spans="2:125" ht="19" outlineLevel="1">
      <c r="B143" s="185" t="s">
        <v>1113</v>
      </c>
      <c r="C143" s="185"/>
      <c r="D143" s="480">
        <f ca="1">D137+D140</f>
        <v>0</v>
      </c>
      <c r="E143" s="480">
        <f t="shared" ref="E143:BP144" si="306">E137+E140</f>
        <v>12022.751907196136</v>
      </c>
      <c r="F143" s="480">
        <f t="shared" si="306"/>
        <v>12360.923639910763</v>
      </c>
      <c r="G143" s="480">
        <f t="shared" si="306"/>
        <v>12701.3498508435</v>
      </c>
      <c r="H143" s="480">
        <f t="shared" si="306"/>
        <v>13044.045569849133</v>
      </c>
      <c r="I143" s="480">
        <f t="shared" si="306"/>
        <v>13389.02592698146</v>
      </c>
      <c r="J143" s="480">
        <f t="shared" si="306"/>
        <v>13736.306153161328</v>
      </c>
      <c r="K143" s="480">
        <f t="shared" si="306"/>
        <v>14085.901580849073</v>
      </c>
      <c r="L143" s="480">
        <f t="shared" si="306"/>
        <v>14437.827644721388</v>
      </c>
      <c r="M143" s="480">
        <f t="shared" si="306"/>
        <v>14792.099882352857</v>
      </c>
      <c r="N143" s="480">
        <f t="shared" si="306"/>
        <v>15148.73393490188</v>
      </c>
      <c r="O143" s="480">
        <f t="shared" si="306"/>
        <v>15507.745547801227</v>
      </c>
      <c r="P143" s="480">
        <f t="shared" si="306"/>
        <v>15869.150571453216</v>
      </c>
      <c r="Q143" s="480">
        <f t="shared" si="306"/>
        <v>15861.1603225248</v>
      </c>
      <c r="R143" s="480">
        <f t="shared" si="306"/>
        <v>16204.368038540597</v>
      </c>
      <c r="S143" s="480">
        <f t="shared" si="306"/>
        <v>16549.720802781478</v>
      </c>
      <c r="T143" s="480">
        <f t="shared" si="306"/>
        <v>16897.232021798864</v>
      </c>
      <c r="U143" s="480">
        <f t="shared" si="306"/>
        <v>17246.915185935104</v>
      </c>
      <c r="V143" s="480">
        <f t="shared" si="306"/>
        <v>17598.783869847226</v>
      </c>
      <c r="W143" s="480">
        <f t="shared" si="306"/>
        <v>17952.851733033771</v>
      </c>
      <c r="X143" s="480">
        <f t="shared" si="306"/>
        <v>18309.132520365223</v>
      </c>
      <c r="Y143" s="480">
        <f t="shared" si="306"/>
        <v>18667.640062617527</v>
      </c>
      <c r="Z143" s="480">
        <f t="shared" si="306"/>
        <v>19028.388277008882</v>
      </c>
      <c r="AA143" s="480">
        <f t="shared" si="306"/>
        <v>19391.391167740188</v>
      </c>
      <c r="AB143" s="480">
        <f t="shared" si="306"/>
        <v>19756.662826538577</v>
      </c>
      <c r="AC143" s="480">
        <f t="shared" si="306"/>
        <v>19597.022202893702</v>
      </c>
      <c r="AD143" s="480">
        <f t="shared" si="306"/>
        <v>19793.704756860694</v>
      </c>
      <c r="AE143" s="480">
        <f t="shared" si="306"/>
        <v>19991.0429193409</v>
      </c>
      <c r="AF143" s="480">
        <f t="shared" si="306"/>
        <v>20189.038875696035</v>
      </c>
      <c r="AG143" s="480">
        <f t="shared" si="306"/>
        <v>20387.694818572345</v>
      </c>
      <c r="AH143" s="480">
        <f t="shared" si="306"/>
        <v>20587.012947924944</v>
      </c>
      <c r="AI143" s="480">
        <f t="shared" si="306"/>
        <v>20786.995471042028</v>
      </c>
      <c r="AJ143" s="480">
        <f t="shared" si="306"/>
        <v>20987.644602569511</v>
      </c>
      <c r="AK143" s="480">
        <f t="shared" si="306"/>
        <v>21188.962564535403</v>
      </c>
      <c r="AL143" s="480">
        <f t="shared" si="306"/>
        <v>21390.95158637454</v>
      </c>
      <c r="AM143" s="480">
        <f t="shared" si="306"/>
        <v>21593.613904953105</v>
      </c>
      <c r="AN143" s="480">
        <f t="shared" si="306"/>
        <v>21796.951764593647</v>
      </c>
      <c r="AO143" s="480">
        <f t="shared" si="306"/>
        <v>21638.573427083615</v>
      </c>
      <c r="AP143" s="480">
        <f t="shared" si="306"/>
        <v>21843.269131764639</v>
      </c>
      <c r="AQ143" s="480">
        <f t="shared" si="306"/>
        <v>22048.647155461218</v>
      </c>
      <c r="AR143" s="480">
        <f t="shared" si="306"/>
        <v>22254.709772570161</v>
      </c>
      <c r="AS143" s="480">
        <f t="shared" si="306"/>
        <v>22461.459265069458</v>
      </c>
      <c r="AT143" s="480">
        <f t="shared" si="306"/>
        <v>22668.897922543725</v>
      </c>
      <c r="AU143" s="480">
        <f t="shared" si="306"/>
        <v>22877.028042209615</v>
      </c>
      <c r="AV143" s="480">
        <f t="shared" si="306"/>
        <v>23085.851928941029</v>
      </c>
      <c r="AW143" s="480">
        <f t="shared" si="306"/>
        <v>23295.371895294906</v>
      </c>
      <c r="AX143" s="480">
        <f t="shared" si="306"/>
        <v>23505.590261536603</v>
      </c>
      <c r="AY143" s="480">
        <f t="shared" si="306"/>
        <v>23716.509355665799</v>
      </c>
      <c r="AZ143" s="480">
        <f t="shared" si="306"/>
        <v>4699236.552452202</v>
      </c>
      <c r="BA143" s="480">
        <f t="shared" si="306"/>
        <v>0</v>
      </c>
      <c r="BB143" s="480">
        <f t="shared" si="306"/>
        <v>0</v>
      </c>
      <c r="BC143" s="480">
        <f t="shared" si="306"/>
        <v>0</v>
      </c>
      <c r="BD143" s="480">
        <f t="shared" si="306"/>
        <v>0</v>
      </c>
      <c r="BE143" s="480">
        <f t="shared" si="306"/>
        <v>0</v>
      </c>
      <c r="BF143" s="480">
        <f t="shared" si="306"/>
        <v>0</v>
      </c>
      <c r="BG143" s="480">
        <f t="shared" si="306"/>
        <v>0</v>
      </c>
      <c r="BH143" s="480">
        <f t="shared" si="306"/>
        <v>0</v>
      </c>
      <c r="BI143" s="480">
        <f t="shared" si="306"/>
        <v>0</v>
      </c>
      <c r="BJ143" s="480">
        <f t="shared" si="306"/>
        <v>0</v>
      </c>
      <c r="BK143" s="480">
        <f t="shared" si="306"/>
        <v>0</v>
      </c>
      <c r="BL143" s="480">
        <f t="shared" si="306"/>
        <v>0</v>
      </c>
      <c r="BM143" s="480">
        <f t="shared" si="306"/>
        <v>0</v>
      </c>
      <c r="BN143" s="480">
        <f t="shared" si="306"/>
        <v>0</v>
      </c>
      <c r="BO143" s="480">
        <f t="shared" si="306"/>
        <v>0</v>
      </c>
      <c r="BP143" s="480">
        <f t="shared" si="306"/>
        <v>0</v>
      </c>
      <c r="BQ143" s="480">
        <f t="shared" ref="BQ143:DT144" si="307">BQ137+BQ140</f>
        <v>0</v>
      </c>
      <c r="BR143" s="480">
        <f t="shared" si="307"/>
        <v>0</v>
      </c>
      <c r="BS143" s="480">
        <f t="shared" si="307"/>
        <v>0</v>
      </c>
      <c r="BT143" s="480">
        <f t="shared" si="307"/>
        <v>0</v>
      </c>
      <c r="BU143" s="480">
        <f t="shared" si="307"/>
        <v>0</v>
      </c>
      <c r="BV143" s="480">
        <f t="shared" si="307"/>
        <v>0</v>
      </c>
      <c r="BW143" s="480">
        <f t="shared" si="307"/>
        <v>0</v>
      </c>
      <c r="BX143" s="480">
        <f t="shared" si="307"/>
        <v>0</v>
      </c>
      <c r="BY143" s="480">
        <f t="shared" si="307"/>
        <v>0</v>
      </c>
      <c r="BZ143" s="480">
        <f t="shared" si="307"/>
        <v>0</v>
      </c>
      <c r="CA143" s="480">
        <f t="shared" si="307"/>
        <v>0</v>
      </c>
      <c r="CB143" s="480">
        <f t="shared" si="307"/>
        <v>0</v>
      </c>
      <c r="CC143" s="480">
        <f t="shared" si="307"/>
        <v>0</v>
      </c>
      <c r="CD143" s="480">
        <f t="shared" si="307"/>
        <v>0</v>
      </c>
      <c r="CE143" s="480">
        <f t="shared" si="307"/>
        <v>0</v>
      </c>
      <c r="CF143" s="480">
        <f t="shared" si="307"/>
        <v>0</v>
      </c>
      <c r="CG143" s="480">
        <f t="shared" si="307"/>
        <v>0</v>
      </c>
      <c r="CH143" s="480">
        <f t="shared" si="307"/>
        <v>0</v>
      </c>
      <c r="CI143" s="480">
        <f t="shared" si="307"/>
        <v>0</v>
      </c>
      <c r="CJ143" s="480">
        <f t="shared" si="307"/>
        <v>0</v>
      </c>
      <c r="CK143" s="480">
        <f t="shared" si="307"/>
        <v>0</v>
      </c>
      <c r="CL143" s="480">
        <f t="shared" si="307"/>
        <v>0</v>
      </c>
      <c r="CM143" s="480">
        <f t="shared" si="307"/>
        <v>0</v>
      </c>
      <c r="CN143" s="480">
        <f t="shared" si="307"/>
        <v>0</v>
      </c>
      <c r="CO143" s="480">
        <f t="shared" si="307"/>
        <v>0</v>
      </c>
      <c r="CP143" s="480">
        <f t="shared" si="307"/>
        <v>0</v>
      </c>
      <c r="CQ143" s="480">
        <f t="shared" si="307"/>
        <v>0</v>
      </c>
      <c r="CR143" s="480">
        <f t="shared" si="307"/>
        <v>0</v>
      </c>
      <c r="CS143" s="480">
        <f t="shared" si="307"/>
        <v>0</v>
      </c>
      <c r="CT143" s="480">
        <f t="shared" si="307"/>
        <v>0</v>
      </c>
      <c r="CU143" s="480">
        <f t="shared" si="307"/>
        <v>0</v>
      </c>
      <c r="CV143" s="480">
        <f t="shared" si="307"/>
        <v>0</v>
      </c>
      <c r="CW143" s="480">
        <f t="shared" si="307"/>
        <v>0</v>
      </c>
      <c r="CX143" s="480">
        <f t="shared" si="307"/>
        <v>0</v>
      </c>
      <c r="CY143" s="480">
        <f t="shared" si="307"/>
        <v>0</v>
      </c>
      <c r="CZ143" s="480">
        <f t="shared" si="307"/>
        <v>0</v>
      </c>
      <c r="DA143" s="480">
        <f t="shared" si="307"/>
        <v>0</v>
      </c>
      <c r="DB143" s="480">
        <f t="shared" si="307"/>
        <v>0</v>
      </c>
      <c r="DC143" s="480">
        <f t="shared" si="307"/>
        <v>0</v>
      </c>
      <c r="DD143" s="480">
        <f t="shared" si="307"/>
        <v>0</v>
      </c>
      <c r="DE143" s="480">
        <f t="shared" si="307"/>
        <v>0</v>
      </c>
      <c r="DF143" s="480">
        <f t="shared" si="307"/>
        <v>0</v>
      </c>
      <c r="DG143" s="480">
        <f t="shared" si="307"/>
        <v>0</v>
      </c>
      <c r="DH143" s="480">
        <f t="shared" si="307"/>
        <v>0</v>
      </c>
      <c r="DI143" s="480">
        <f t="shared" si="307"/>
        <v>0</v>
      </c>
      <c r="DJ143" s="480">
        <f t="shared" si="307"/>
        <v>0</v>
      </c>
      <c r="DK143" s="480">
        <f t="shared" si="307"/>
        <v>0</v>
      </c>
      <c r="DL143" s="480">
        <f t="shared" si="307"/>
        <v>0</v>
      </c>
      <c r="DM143" s="480">
        <f t="shared" si="307"/>
        <v>0</v>
      </c>
      <c r="DN143" s="480">
        <f t="shared" si="307"/>
        <v>0</v>
      </c>
      <c r="DO143" s="480">
        <f t="shared" si="307"/>
        <v>0</v>
      </c>
      <c r="DP143" s="480">
        <f t="shared" si="307"/>
        <v>0</v>
      </c>
      <c r="DQ143" s="480">
        <f t="shared" si="307"/>
        <v>0</v>
      </c>
      <c r="DR143" s="480">
        <f t="shared" si="307"/>
        <v>0</v>
      </c>
      <c r="DS143" s="480">
        <f t="shared" si="307"/>
        <v>0</v>
      </c>
      <c r="DT143" s="480">
        <f t="shared" si="307"/>
        <v>0</v>
      </c>
      <c r="DU143" s="382" t="s">
        <v>557</v>
      </c>
    </row>
    <row r="144" spans="2:125" ht="19" outlineLevel="1">
      <c r="B144" s="185" t="s">
        <v>1114</v>
      </c>
      <c r="C144" s="185"/>
      <c r="D144" s="480">
        <f ca="1">D138+D141</f>
        <v>-20296000</v>
      </c>
      <c r="E144" s="480">
        <f t="shared" si="306"/>
        <v>63119.447512779712</v>
      </c>
      <c r="F144" s="480">
        <f t="shared" si="306"/>
        <v>64894.849109531504</v>
      </c>
      <c r="G144" s="480">
        <f t="shared" si="306"/>
        <v>66682.086716928374</v>
      </c>
      <c r="H144" s="480">
        <f t="shared" si="306"/>
        <v>68481.239241707939</v>
      </c>
      <c r="I144" s="480">
        <f t="shared" si="306"/>
        <v>70292.386116652662</v>
      </c>
      <c r="J144" s="480">
        <f t="shared" si="306"/>
        <v>72115.607304096964</v>
      </c>
      <c r="K144" s="480">
        <f t="shared" si="306"/>
        <v>73950.983299457628</v>
      </c>
      <c r="L144" s="480">
        <f t="shared" si="306"/>
        <v>75798.595134787291</v>
      </c>
      <c r="M144" s="480">
        <f t="shared" si="306"/>
        <v>77658.524382352494</v>
      </c>
      <c r="N144" s="480">
        <f t="shared" si="306"/>
        <v>79530.853158234866</v>
      </c>
      <c r="O144" s="480">
        <f t="shared" si="306"/>
        <v>81415.664125956435</v>
      </c>
      <c r="P144" s="480">
        <f t="shared" si="306"/>
        <v>83313.040500129369</v>
      </c>
      <c r="Q144" s="480">
        <f t="shared" si="306"/>
        <v>83271.091693255206</v>
      </c>
      <c r="R144" s="480">
        <f t="shared" si="306"/>
        <v>85072.932202338125</v>
      </c>
      <c r="S144" s="480">
        <f t="shared" si="306"/>
        <v>86886.034214602754</v>
      </c>
      <c r="T144" s="480">
        <f t="shared" si="306"/>
        <v>88710.468114444026</v>
      </c>
      <c r="U144" s="480">
        <f t="shared" si="306"/>
        <v>90546.304726159287</v>
      </c>
      <c r="V144" s="480">
        <f t="shared" si="306"/>
        <v>92393.61531669792</v>
      </c>
      <c r="W144" s="480">
        <f t="shared" si="306"/>
        <v>94252.471598427292</v>
      </c>
      <c r="X144" s="480">
        <f t="shared" si="306"/>
        <v>96122.945731917425</v>
      </c>
      <c r="Y144" s="480">
        <f t="shared" si="306"/>
        <v>98005.110328742012</v>
      </c>
      <c r="Z144" s="480">
        <f t="shared" si="306"/>
        <v>99899.03845429662</v>
      </c>
      <c r="AA144" s="480">
        <f t="shared" si="306"/>
        <v>101804.80363063597</v>
      </c>
      <c r="AB144" s="480">
        <f t="shared" si="306"/>
        <v>103722.47983932753</v>
      </c>
      <c r="AC144" s="480">
        <f t="shared" si="306"/>
        <v>102884.36656519193</v>
      </c>
      <c r="AD144" s="480">
        <f t="shared" si="306"/>
        <v>103916.94997351864</v>
      </c>
      <c r="AE144" s="480">
        <f t="shared" si="306"/>
        <v>104952.97532653972</v>
      </c>
      <c r="AF144" s="480">
        <f t="shared" si="306"/>
        <v>105992.45409740417</v>
      </c>
      <c r="AG144" s="480">
        <f t="shared" si="306"/>
        <v>107035.3977975048</v>
      </c>
      <c r="AH144" s="480">
        <f t="shared" si="306"/>
        <v>108081.81797660596</v>
      </c>
      <c r="AI144" s="480">
        <f t="shared" si="306"/>
        <v>109131.72622297065</v>
      </c>
      <c r="AJ144" s="480">
        <f t="shared" si="306"/>
        <v>110185.13416348991</v>
      </c>
      <c r="AK144" s="480">
        <f t="shared" si="306"/>
        <v>111242.05346381085</v>
      </c>
      <c r="AL144" s="480">
        <f t="shared" si="306"/>
        <v>112302.49582846632</v>
      </c>
      <c r="AM144" s="480">
        <f t="shared" si="306"/>
        <v>113366.4730010038</v>
      </c>
      <c r="AN144" s="480">
        <f t="shared" si="306"/>
        <v>114433.99676411664</v>
      </c>
      <c r="AO144" s="480">
        <f t="shared" si="306"/>
        <v>113602.51049218897</v>
      </c>
      <c r="AP144" s="480">
        <f t="shared" si="306"/>
        <v>114677.16294176436</v>
      </c>
      <c r="AQ144" s="480">
        <f t="shared" si="306"/>
        <v>115755.39756617139</v>
      </c>
      <c r="AR144" s="480">
        <f t="shared" si="306"/>
        <v>116837.22630599335</v>
      </c>
      <c r="AS144" s="480">
        <f t="shared" si="306"/>
        <v>117922.66114161465</v>
      </c>
      <c r="AT144" s="480">
        <f t="shared" si="306"/>
        <v>119011.71409335455</v>
      </c>
      <c r="AU144" s="480">
        <f t="shared" si="306"/>
        <v>120104.39722160046</v>
      </c>
      <c r="AV144" s="480">
        <f t="shared" si="306"/>
        <v>121200.72262694041</v>
      </c>
      <c r="AW144" s="480">
        <f t="shared" si="306"/>
        <v>122300.70245029825</v>
      </c>
      <c r="AX144" s="480">
        <f t="shared" si="306"/>
        <v>123404.34887306717</v>
      </c>
      <c r="AY144" s="480">
        <f t="shared" si="306"/>
        <v>124511.67411724543</v>
      </c>
      <c r="AZ144" s="480">
        <f t="shared" si="306"/>
        <v>24670991.900374059</v>
      </c>
      <c r="BA144" s="480">
        <f t="shared" si="306"/>
        <v>0</v>
      </c>
      <c r="BB144" s="480">
        <f t="shared" si="306"/>
        <v>0</v>
      </c>
      <c r="BC144" s="480">
        <f t="shared" si="306"/>
        <v>0</v>
      </c>
      <c r="BD144" s="480">
        <f t="shared" si="306"/>
        <v>0</v>
      </c>
      <c r="BE144" s="480">
        <f t="shared" si="306"/>
        <v>0</v>
      </c>
      <c r="BF144" s="480">
        <f t="shared" si="306"/>
        <v>0</v>
      </c>
      <c r="BG144" s="480">
        <f t="shared" si="306"/>
        <v>0</v>
      </c>
      <c r="BH144" s="480">
        <f t="shared" si="306"/>
        <v>0</v>
      </c>
      <c r="BI144" s="480">
        <f t="shared" si="306"/>
        <v>0</v>
      </c>
      <c r="BJ144" s="480">
        <f t="shared" si="306"/>
        <v>0</v>
      </c>
      <c r="BK144" s="480">
        <f t="shared" si="306"/>
        <v>0</v>
      </c>
      <c r="BL144" s="480">
        <f t="shared" si="306"/>
        <v>0</v>
      </c>
      <c r="BM144" s="480">
        <f t="shared" si="306"/>
        <v>0</v>
      </c>
      <c r="BN144" s="480">
        <f t="shared" si="306"/>
        <v>0</v>
      </c>
      <c r="BO144" s="480">
        <f t="shared" si="306"/>
        <v>0</v>
      </c>
      <c r="BP144" s="480">
        <f t="shared" si="306"/>
        <v>0</v>
      </c>
      <c r="BQ144" s="480">
        <f t="shared" si="307"/>
        <v>0</v>
      </c>
      <c r="BR144" s="480">
        <f t="shared" si="307"/>
        <v>0</v>
      </c>
      <c r="BS144" s="480">
        <f t="shared" si="307"/>
        <v>0</v>
      </c>
      <c r="BT144" s="480">
        <f t="shared" si="307"/>
        <v>0</v>
      </c>
      <c r="BU144" s="480">
        <f t="shared" si="307"/>
        <v>0</v>
      </c>
      <c r="BV144" s="480">
        <f t="shared" si="307"/>
        <v>0</v>
      </c>
      <c r="BW144" s="480">
        <f t="shared" si="307"/>
        <v>0</v>
      </c>
      <c r="BX144" s="480">
        <f t="shared" si="307"/>
        <v>0</v>
      </c>
      <c r="BY144" s="480">
        <f t="shared" si="307"/>
        <v>0</v>
      </c>
      <c r="BZ144" s="480">
        <f t="shared" si="307"/>
        <v>0</v>
      </c>
      <c r="CA144" s="480">
        <f t="shared" si="307"/>
        <v>0</v>
      </c>
      <c r="CB144" s="480">
        <f t="shared" si="307"/>
        <v>0</v>
      </c>
      <c r="CC144" s="480">
        <f t="shared" si="307"/>
        <v>0</v>
      </c>
      <c r="CD144" s="480">
        <f t="shared" si="307"/>
        <v>0</v>
      </c>
      <c r="CE144" s="480">
        <f t="shared" si="307"/>
        <v>0</v>
      </c>
      <c r="CF144" s="480">
        <f t="shared" si="307"/>
        <v>0</v>
      </c>
      <c r="CG144" s="480">
        <f t="shared" si="307"/>
        <v>0</v>
      </c>
      <c r="CH144" s="480">
        <f t="shared" si="307"/>
        <v>0</v>
      </c>
      <c r="CI144" s="480">
        <f t="shared" si="307"/>
        <v>0</v>
      </c>
      <c r="CJ144" s="480">
        <f t="shared" si="307"/>
        <v>0</v>
      </c>
      <c r="CK144" s="480">
        <f t="shared" si="307"/>
        <v>0</v>
      </c>
      <c r="CL144" s="480">
        <f t="shared" si="307"/>
        <v>0</v>
      </c>
      <c r="CM144" s="480">
        <f t="shared" si="307"/>
        <v>0</v>
      </c>
      <c r="CN144" s="480">
        <f t="shared" si="307"/>
        <v>0</v>
      </c>
      <c r="CO144" s="480">
        <f t="shared" si="307"/>
        <v>0</v>
      </c>
      <c r="CP144" s="480">
        <f t="shared" si="307"/>
        <v>0</v>
      </c>
      <c r="CQ144" s="480">
        <f t="shared" si="307"/>
        <v>0</v>
      </c>
      <c r="CR144" s="480">
        <f t="shared" si="307"/>
        <v>0</v>
      </c>
      <c r="CS144" s="480">
        <f t="shared" si="307"/>
        <v>0</v>
      </c>
      <c r="CT144" s="480">
        <f t="shared" si="307"/>
        <v>0</v>
      </c>
      <c r="CU144" s="480">
        <f t="shared" si="307"/>
        <v>0</v>
      </c>
      <c r="CV144" s="480">
        <f t="shared" si="307"/>
        <v>0</v>
      </c>
      <c r="CW144" s="480">
        <f t="shared" si="307"/>
        <v>0</v>
      </c>
      <c r="CX144" s="480">
        <f t="shared" si="307"/>
        <v>0</v>
      </c>
      <c r="CY144" s="480">
        <f t="shared" si="307"/>
        <v>0</v>
      </c>
      <c r="CZ144" s="480">
        <f t="shared" si="307"/>
        <v>0</v>
      </c>
      <c r="DA144" s="480">
        <f t="shared" si="307"/>
        <v>0</v>
      </c>
      <c r="DB144" s="480">
        <f t="shared" si="307"/>
        <v>0</v>
      </c>
      <c r="DC144" s="480">
        <f t="shared" si="307"/>
        <v>0</v>
      </c>
      <c r="DD144" s="480">
        <f t="shared" si="307"/>
        <v>0</v>
      </c>
      <c r="DE144" s="480">
        <f t="shared" si="307"/>
        <v>0</v>
      </c>
      <c r="DF144" s="480">
        <f t="shared" si="307"/>
        <v>0</v>
      </c>
      <c r="DG144" s="480">
        <f t="shared" si="307"/>
        <v>0</v>
      </c>
      <c r="DH144" s="480">
        <f t="shared" si="307"/>
        <v>0</v>
      </c>
      <c r="DI144" s="480">
        <f t="shared" si="307"/>
        <v>0</v>
      </c>
      <c r="DJ144" s="480">
        <f t="shared" si="307"/>
        <v>0</v>
      </c>
      <c r="DK144" s="480">
        <f t="shared" si="307"/>
        <v>0</v>
      </c>
      <c r="DL144" s="480">
        <f t="shared" si="307"/>
        <v>0</v>
      </c>
      <c r="DM144" s="480">
        <f t="shared" si="307"/>
        <v>0</v>
      </c>
      <c r="DN144" s="480">
        <f t="shared" si="307"/>
        <v>0</v>
      </c>
      <c r="DO144" s="480">
        <f t="shared" si="307"/>
        <v>0</v>
      </c>
      <c r="DP144" s="480">
        <f t="shared" si="307"/>
        <v>0</v>
      </c>
      <c r="DQ144" s="480">
        <f t="shared" si="307"/>
        <v>0</v>
      </c>
      <c r="DR144" s="480">
        <f t="shared" si="307"/>
        <v>0</v>
      </c>
      <c r="DS144" s="480">
        <f t="shared" si="307"/>
        <v>0</v>
      </c>
      <c r="DT144" s="480">
        <f t="shared" si="307"/>
        <v>0</v>
      </c>
      <c r="DU144" s="382" t="s">
        <v>557</v>
      </c>
    </row>
    <row r="145" spans="1:126" ht="19" outlineLevel="1">
      <c r="B145" s="185"/>
      <c r="C145" s="185"/>
      <c r="D145" s="185"/>
      <c r="E145" s="185"/>
      <c r="F145" s="185"/>
      <c r="G145" s="185"/>
      <c r="H145" s="185"/>
      <c r="I145" s="185"/>
      <c r="J145" s="185"/>
      <c r="K145" s="185"/>
      <c r="L145" s="185"/>
      <c r="M145" s="185"/>
      <c r="N145" s="185"/>
      <c r="O145" s="185"/>
      <c r="P145" s="185"/>
      <c r="Q145" s="185"/>
      <c r="R145" s="185"/>
      <c r="S145" s="185"/>
      <c r="T145" s="185"/>
      <c r="U145" s="185"/>
      <c r="V145" s="185"/>
      <c r="W145" s="185"/>
      <c r="X145" s="185"/>
      <c r="Y145" s="185"/>
      <c r="Z145" s="185"/>
      <c r="AA145" s="185"/>
      <c r="AB145" s="185"/>
      <c r="AC145" s="185"/>
      <c r="AD145" s="185"/>
      <c r="AE145" s="185"/>
      <c r="AF145" s="185"/>
      <c r="AG145" s="185"/>
      <c r="AH145" s="185"/>
      <c r="AI145" s="185"/>
      <c r="AJ145" s="185"/>
      <c r="AK145" s="185"/>
      <c r="AL145" s="185"/>
      <c r="AM145" s="104"/>
      <c r="AN145" s="104"/>
      <c r="AO145" s="185"/>
      <c r="AP145" s="185"/>
      <c r="AQ145" s="185"/>
      <c r="AR145" s="185"/>
      <c r="AS145" s="185"/>
      <c r="AT145" s="185"/>
      <c r="AU145" s="185"/>
      <c r="AV145" s="185"/>
      <c r="AW145" s="185"/>
      <c r="AX145" s="185"/>
      <c r="AY145" s="185"/>
      <c r="AZ145" s="185"/>
      <c r="BA145" s="185"/>
      <c r="BB145" s="185"/>
      <c r="BC145" s="185"/>
      <c r="BD145" s="185"/>
      <c r="BE145" s="185"/>
      <c r="BF145" s="185"/>
      <c r="BG145" s="185"/>
      <c r="BH145" s="185"/>
      <c r="BI145" s="185"/>
      <c r="BJ145" s="185"/>
      <c r="BK145" s="185"/>
      <c r="BL145" s="185"/>
      <c r="BM145" s="185"/>
      <c r="BN145" s="185"/>
      <c r="BO145" s="185"/>
      <c r="BP145" s="185"/>
      <c r="BQ145" s="185"/>
      <c r="BR145" s="185"/>
      <c r="BS145" s="185"/>
      <c r="BT145" s="185"/>
      <c r="BU145" s="185"/>
      <c r="BV145" s="185"/>
      <c r="BW145" s="185"/>
      <c r="BX145" s="185"/>
      <c r="BY145" s="185"/>
      <c r="BZ145" s="185"/>
      <c r="CA145" s="185"/>
      <c r="CB145" s="185"/>
      <c r="CC145" s="185"/>
      <c r="CD145" s="185"/>
      <c r="CE145" s="185"/>
      <c r="CF145" s="185"/>
      <c r="CG145" s="185"/>
      <c r="CH145" s="185"/>
      <c r="CI145" s="185"/>
      <c r="CJ145" s="185"/>
      <c r="CK145" s="185"/>
      <c r="CL145" s="185"/>
      <c r="CM145" s="185"/>
      <c r="CN145" s="185"/>
      <c r="CO145" s="185"/>
      <c r="CP145" s="185"/>
      <c r="CQ145" s="185"/>
      <c r="CR145" s="185"/>
      <c r="CS145" s="185"/>
      <c r="CT145" s="185"/>
      <c r="CU145" s="185"/>
      <c r="CV145" s="185"/>
      <c r="CW145" s="185"/>
      <c r="CX145" s="185"/>
      <c r="CY145" s="185"/>
      <c r="CZ145" s="185"/>
      <c r="DA145" s="185"/>
      <c r="DB145" s="185"/>
      <c r="DC145" s="185"/>
      <c r="DD145" s="185"/>
      <c r="DE145" s="185"/>
      <c r="DF145" s="185"/>
      <c r="DG145" s="185"/>
      <c r="DH145" s="185"/>
      <c r="DI145" s="185"/>
      <c r="DJ145" s="185"/>
      <c r="DK145" s="185"/>
      <c r="DL145" s="185"/>
      <c r="DM145" s="185"/>
      <c r="DN145" s="185"/>
      <c r="DO145" s="185"/>
      <c r="DP145" s="185"/>
      <c r="DQ145" s="185"/>
      <c r="DR145" s="185"/>
      <c r="DS145" s="185"/>
      <c r="DT145" s="185"/>
      <c r="DU145" s="382" t="s">
        <v>557</v>
      </c>
    </row>
    <row r="146" spans="1:126" ht="19" outlineLevel="1">
      <c r="B146" s="185" t="s">
        <v>153</v>
      </c>
      <c r="C146" s="471">
        <f ca="1">XIRR(D144:DT144,$D$3:$DT$3,)</f>
        <v>0.10460173487663271</v>
      </c>
      <c r="D146" s="185"/>
      <c r="E146" s="185"/>
      <c r="F146" s="185"/>
      <c r="G146" s="185"/>
      <c r="H146" s="185"/>
      <c r="I146" s="185"/>
      <c r="J146" s="185"/>
      <c r="K146" s="185"/>
      <c r="L146" s="185"/>
      <c r="M146" s="185"/>
      <c r="N146" s="185"/>
      <c r="O146" s="185"/>
      <c r="P146" s="185"/>
      <c r="Q146" s="185"/>
      <c r="R146" s="185"/>
      <c r="S146" s="185"/>
      <c r="T146" s="185"/>
      <c r="U146" s="185"/>
      <c r="V146" s="185"/>
      <c r="W146" s="185"/>
      <c r="X146" s="185"/>
      <c r="Y146" s="185"/>
      <c r="Z146" s="185"/>
      <c r="AA146" s="185"/>
      <c r="AB146" s="185"/>
      <c r="AC146" s="185"/>
      <c r="AD146" s="185"/>
      <c r="AE146" s="185"/>
      <c r="AF146" s="185"/>
      <c r="AG146" s="185"/>
      <c r="AH146" s="185"/>
      <c r="AI146" s="185"/>
      <c r="AJ146" s="185"/>
      <c r="AK146" s="185"/>
      <c r="AL146" s="185"/>
      <c r="AM146" s="185"/>
      <c r="AN146" s="185"/>
      <c r="AO146" s="185"/>
      <c r="AP146" s="185"/>
      <c r="AQ146" s="185"/>
      <c r="AR146" s="185"/>
      <c r="AS146" s="185"/>
      <c r="AT146" s="185"/>
      <c r="AU146" s="185"/>
      <c r="AV146" s="185"/>
      <c r="AW146" s="185"/>
      <c r="AX146" s="185"/>
      <c r="AY146" s="185"/>
      <c r="AZ146" s="185"/>
      <c r="BA146" s="185"/>
      <c r="BB146" s="185"/>
      <c r="BC146" s="185"/>
      <c r="BD146" s="185"/>
      <c r="BE146" s="185"/>
      <c r="BF146" s="185"/>
      <c r="BG146" s="185"/>
      <c r="BH146" s="185"/>
      <c r="BI146" s="185"/>
      <c r="BJ146" s="185"/>
      <c r="BK146" s="185"/>
      <c r="BL146" s="185"/>
      <c r="BM146" s="185"/>
      <c r="BN146" s="185"/>
      <c r="BO146" s="185"/>
      <c r="BP146" s="185"/>
      <c r="BQ146" s="185"/>
      <c r="BR146" s="185"/>
      <c r="BS146" s="185"/>
      <c r="BT146" s="185"/>
      <c r="BU146" s="185"/>
      <c r="BV146" s="185"/>
      <c r="BW146" s="185"/>
      <c r="BX146" s="185"/>
      <c r="BY146" s="185"/>
      <c r="BZ146" s="185"/>
      <c r="CA146" s="185"/>
      <c r="CB146" s="185"/>
      <c r="CC146" s="185"/>
      <c r="CD146" s="185"/>
      <c r="CE146" s="185"/>
      <c r="CF146" s="185"/>
      <c r="CG146" s="185"/>
      <c r="CH146" s="185"/>
      <c r="CI146" s="185"/>
      <c r="CJ146" s="185"/>
      <c r="CK146" s="185"/>
      <c r="CL146" s="185"/>
      <c r="CM146" s="185"/>
      <c r="CN146" s="185"/>
      <c r="CO146" s="185"/>
      <c r="CP146" s="185"/>
      <c r="CQ146" s="185"/>
      <c r="CR146" s="185"/>
      <c r="CS146" s="185"/>
      <c r="CT146" s="185"/>
      <c r="CU146" s="185"/>
      <c r="CV146" s="185"/>
      <c r="CW146" s="185"/>
      <c r="CX146" s="185"/>
      <c r="CY146" s="185"/>
      <c r="CZ146" s="185"/>
      <c r="DA146" s="185"/>
      <c r="DB146" s="185"/>
      <c r="DC146" s="185"/>
      <c r="DD146" s="185"/>
      <c r="DE146" s="185"/>
      <c r="DF146" s="185"/>
      <c r="DG146" s="185"/>
      <c r="DH146" s="185"/>
      <c r="DI146" s="185"/>
      <c r="DJ146" s="185"/>
      <c r="DK146" s="185"/>
      <c r="DL146" s="185"/>
      <c r="DM146" s="185"/>
      <c r="DN146" s="185"/>
      <c r="DO146" s="185"/>
      <c r="DP146" s="185"/>
      <c r="DQ146" s="185"/>
      <c r="DR146" s="185"/>
      <c r="DS146" s="185"/>
      <c r="DT146" s="185"/>
      <c r="DU146" s="382" t="s">
        <v>557</v>
      </c>
    </row>
    <row r="147" spans="1:126" ht="19" outlineLevel="1">
      <c r="B147" s="185" t="s">
        <v>155</v>
      </c>
      <c r="C147" s="472">
        <f ca="1">C148/-D138+1</f>
        <v>1.4427368364130067</v>
      </c>
      <c r="D147" s="185"/>
      <c r="E147" s="185"/>
      <c r="F147" s="185"/>
      <c r="G147" s="185"/>
      <c r="H147" s="185"/>
      <c r="I147" s="185"/>
      <c r="J147" s="185"/>
      <c r="K147" s="185"/>
      <c r="L147" s="185"/>
      <c r="M147" s="185"/>
      <c r="N147" s="185"/>
      <c r="O147" s="185"/>
      <c r="P147" s="185"/>
      <c r="Q147" s="185"/>
      <c r="R147" s="185"/>
      <c r="S147" s="185"/>
      <c r="T147" s="185"/>
      <c r="U147" s="185"/>
      <c r="V147" s="185"/>
      <c r="W147" s="185"/>
      <c r="X147" s="185"/>
      <c r="Y147" s="185"/>
      <c r="Z147" s="185"/>
      <c r="AA147" s="185"/>
      <c r="AB147" s="185"/>
      <c r="AC147" s="185"/>
      <c r="AD147" s="185"/>
      <c r="AE147" s="185"/>
      <c r="AF147" s="185"/>
      <c r="AG147" s="185"/>
      <c r="AH147" s="185"/>
      <c r="AI147" s="185"/>
      <c r="AJ147" s="185"/>
      <c r="AK147" s="185"/>
      <c r="AL147" s="185"/>
      <c r="AM147" s="185"/>
      <c r="AN147" s="185"/>
      <c r="AO147" s="185"/>
      <c r="AP147" s="185"/>
      <c r="AQ147" s="185"/>
      <c r="AR147" s="185"/>
      <c r="AS147" s="185"/>
      <c r="AT147" s="185"/>
      <c r="AU147" s="185"/>
      <c r="AV147" s="185"/>
      <c r="AW147" s="185"/>
      <c r="AX147" s="185"/>
      <c r="AY147" s="185"/>
      <c r="AZ147" s="185"/>
      <c r="BA147" s="185"/>
      <c r="BB147" s="185"/>
      <c r="BC147" s="185"/>
      <c r="BD147" s="185"/>
      <c r="BE147" s="185"/>
      <c r="BF147" s="185"/>
      <c r="BG147" s="185"/>
      <c r="BH147" s="185"/>
      <c r="BI147" s="185"/>
      <c r="BJ147" s="185"/>
      <c r="BK147" s="185"/>
      <c r="BL147" s="185"/>
      <c r="BM147" s="185"/>
      <c r="BN147" s="185"/>
      <c r="BO147" s="185"/>
      <c r="BP147" s="185"/>
      <c r="BQ147" s="185"/>
      <c r="BR147" s="185"/>
      <c r="BS147" s="185"/>
      <c r="BT147" s="185"/>
      <c r="BU147" s="185"/>
      <c r="BV147" s="185"/>
      <c r="BW147" s="185"/>
      <c r="BX147" s="185"/>
      <c r="BY147" s="185"/>
      <c r="BZ147" s="185"/>
      <c r="CA147" s="185"/>
      <c r="CB147" s="185"/>
      <c r="CC147" s="185"/>
      <c r="CD147" s="185"/>
      <c r="CE147" s="185"/>
      <c r="CF147" s="185"/>
      <c r="CG147" s="185"/>
      <c r="CH147" s="185"/>
      <c r="CI147" s="185"/>
      <c r="CJ147" s="185"/>
      <c r="CK147" s="185"/>
      <c r="CL147" s="185"/>
      <c r="CM147" s="185"/>
      <c r="CN147" s="185"/>
      <c r="CO147" s="185"/>
      <c r="CP147" s="185"/>
      <c r="CQ147" s="185"/>
      <c r="CR147" s="185"/>
      <c r="CS147" s="185"/>
      <c r="CT147" s="185"/>
      <c r="CU147" s="185"/>
      <c r="CV147" s="185"/>
      <c r="CW147" s="185"/>
      <c r="CX147" s="185"/>
      <c r="CY147" s="185"/>
      <c r="CZ147" s="185"/>
      <c r="DA147" s="185"/>
      <c r="DB147" s="185"/>
      <c r="DC147" s="185"/>
      <c r="DD147" s="185"/>
      <c r="DE147" s="185"/>
      <c r="DF147" s="185"/>
      <c r="DG147" s="185"/>
      <c r="DH147" s="185"/>
      <c r="DI147" s="185"/>
      <c r="DJ147" s="185"/>
      <c r="DK147" s="185"/>
      <c r="DL147" s="185"/>
      <c r="DM147" s="185"/>
      <c r="DN147" s="185"/>
      <c r="DO147" s="185"/>
      <c r="DP147" s="185"/>
      <c r="DQ147" s="185"/>
      <c r="DR147" s="185"/>
      <c r="DS147" s="185"/>
      <c r="DT147" s="185"/>
      <c r="DU147" s="382"/>
    </row>
    <row r="148" spans="1:126" ht="19" outlineLevel="1">
      <c r="B148" s="185" t="s">
        <v>1115</v>
      </c>
      <c r="C148" s="474">
        <f ca="1">SUM(D144:DT144)</f>
        <v>8985786.8318383824</v>
      </c>
      <c r="D148" s="185"/>
      <c r="E148" s="185"/>
      <c r="F148" s="185"/>
      <c r="G148" s="185"/>
      <c r="H148" s="185"/>
      <c r="I148" s="185"/>
      <c r="J148" s="185"/>
      <c r="K148" s="185"/>
      <c r="L148" s="185"/>
      <c r="M148" s="185"/>
      <c r="N148" s="185"/>
      <c r="O148" s="185"/>
      <c r="P148" s="185"/>
      <c r="Q148" s="185"/>
      <c r="R148" s="185"/>
      <c r="S148" s="185"/>
      <c r="T148" s="185"/>
      <c r="U148" s="185"/>
      <c r="V148" s="185"/>
      <c r="W148" s="185"/>
      <c r="X148" s="185"/>
      <c r="Y148" s="185"/>
      <c r="Z148" s="185"/>
      <c r="AA148" s="185"/>
      <c r="AB148" s="185"/>
      <c r="AC148" s="185"/>
      <c r="AD148" s="185"/>
      <c r="AE148" s="185"/>
      <c r="AF148" s="185"/>
      <c r="AG148" s="185"/>
      <c r="AH148" s="185"/>
      <c r="AI148" s="185"/>
      <c r="AJ148" s="185"/>
      <c r="AK148" s="185"/>
      <c r="AL148" s="185"/>
      <c r="AM148" s="185"/>
      <c r="AN148" s="185"/>
      <c r="AO148" s="185"/>
      <c r="AP148" s="185"/>
      <c r="AQ148" s="185"/>
      <c r="AR148" s="185"/>
      <c r="AS148" s="185"/>
      <c r="AT148" s="185"/>
      <c r="AU148" s="185"/>
      <c r="AV148" s="185"/>
      <c r="AW148" s="185"/>
      <c r="AX148" s="185"/>
      <c r="AY148" s="185"/>
      <c r="AZ148" s="185"/>
      <c r="BA148" s="185"/>
      <c r="BB148" s="185"/>
      <c r="BC148" s="185"/>
      <c r="BD148" s="185"/>
      <c r="BE148" s="185"/>
      <c r="BF148" s="185"/>
      <c r="BG148" s="185"/>
      <c r="BH148" s="185"/>
      <c r="BI148" s="185"/>
      <c r="BJ148" s="185"/>
      <c r="BK148" s="185"/>
      <c r="BL148" s="185"/>
      <c r="BM148" s="185"/>
      <c r="BN148" s="185"/>
      <c r="BO148" s="185"/>
      <c r="BP148" s="185"/>
      <c r="BQ148" s="185"/>
      <c r="BR148" s="185"/>
      <c r="BS148" s="185"/>
      <c r="BT148" s="185"/>
      <c r="BU148" s="185"/>
      <c r="BV148" s="185"/>
      <c r="BW148" s="185"/>
      <c r="BX148" s="185"/>
      <c r="BY148" s="185"/>
      <c r="BZ148" s="185"/>
      <c r="CA148" s="185"/>
      <c r="CB148" s="185"/>
      <c r="CC148" s="185"/>
      <c r="CD148" s="185"/>
      <c r="CE148" s="185"/>
      <c r="CF148" s="185"/>
      <c r="CG148" s="185"/>
      <c r="CH148" s="185"/>
      <c r="CI148" s="185"/>
      <c r="CJ148" s="185"/>
      <c r="CK148" s="185"/>
      <c r="CL148" s="185"/>
      <c r="CM148" s="185"/>
      <c r="CN148" s="185"/>
      <c r="CO148" s="185"/>
      <c r="CP148" s="185"/>
      <c r="CQ148" s="185"/>
      <c r="CR148" s="185"/>
      <c r="CS148" s="185"/>
      <c r="CT148" s="185"/>
      <c r="CU148" s="185"/>
      <c r="CV148" s="185"/>
      <c r="CW148" s="185"/>
      <c r="CX148" s="185"/>
      <c r="CY148" s="185"/>
      <c r="CZ148" s="185"/>
      <c r="DA148" s="185"/>
      <c r="DB148" s="185"/>
      <c r="DC148" s="185"/>
      <c r="DD148" s="185"/>
      <c r="DE148" s="185"/>
      <c r="DF148" s="185"/>
      <c r="DG148" s="185"/>
      <c r="DH148" s="185"/>
      <c r="DI148" s="185"/>
      <c r="DJ148" s="185"/>
      <c r="DK148" s="185"/>
      <c r="DL148" s="185"/>
      <c r="DM148" s="185"/>
      <c r="DN148" s="185"/>
      <c r="DO148" s="185"/>
      <c r="DP148" s="185"/>
      <c r="DQ148" s="185"/>
      <c r="DR148" s="185"/>
      <c r="DS148" s="185"/>
      <c r="DT148" s="185"/>
      <c r="DU148" s="382"/>
    </row>
    <row r="149" spans="1:126" s="2" customFormat="1" ht="19" outlineLevel="1">
      <c r="A149" s="294"/>
      <c r="B149" s="185" t="s">
        <v>1116</v>
      </c>
      <c r="C149" s="482">
        <f ca="1">SUMIF($E$4:$DT$4,1,$E$144:$DT$144)/-$D$138</f>
        <v>4.3222963963471389E-2</v>
      </c>
      <c r="D149" s="185"/>
      <c r="E149" s="185"/>
      <c r="F149" s="185"/>
      <c r="G149" s="185"/>
      <c r="H149" s="185"/>
      <c r="I149" s="185"/>
      <c r="J149" s="185"/>
      <c r="K149" s="185"/>
      <c r="L149" s="185"/>
      <c r="M149" s="185"/>
      <c r="N149" s="185"/>
      <c r="O149" s="185"/>
      <c r="P149" s="185"/>
      <c r="Q149" s="185"/>
      <c r="R149" s="185"/>
      <c r="S149" s="185"/>
      <c r="T149" s="185"/>
      <c r="U149" s="185"/>
      <c r="V149" s="185"/>
      <c r="W149" s="185"/>
      <c r="X149" s="185"/>
      <c r="Y149" s="185"/>
      <c r="Z149" s="185"/>
      <c r="AA149" s="185"/>
      <c r="AB149" s="185"/>
      <c r="AC149" s="185"/>
      <c r="AD149" s="185"/>
      <c r="AE149" s="185"/>
      <c r="AF149" s="185"/>
      <c r="AG149" s="185"/>
      <c r="AH149" s="185"/>
      <c r="AI149" s="185"/>
      <c r="AJ149" s="185"/>
      <c r="AK149" s="185"/>
      <c r="AL149" s="185"/>
      <c r="AM149" s="185"/>
      <c r="AN149" s="185"/>
      <c r="AO149" s="185"/>
      <c r="AP149" s="185"/>
      <c r="AQ149" s="185"/>
      <c r="AR149" s="185"/>
      <c r="AS149" s="185"/>
      <c r="AT149" s="185"/>
      <c r="AU149" s="185"/>
      <c r="AV149" s="185"/>
      <c r="AW149" s="185"/>
      <c r="AX149" s="185"/>
      <c r="AY149" s="185"/>
      <c r="AZ149" s="185"/>
      <c r="BA149" s="185"/>
      <c r="BB149" s="185"/>
      <c r="BC149" s="185"/>
      <c r="BD149" s="185"/>
      <c r="BE149" s="185"/>
      <c r="BF149" s="185"/>
      <c r="BG149" s="185"/>
      <c r="BH149" s="185"/>
      <c r="BI149" s="185"/>
      <c r="BJ149" s="185"/>
      <c r="BK149" s="185"/>
      <c r="BL149" s="185"/>
      <c r="BM149" s="185"/>
      <c r="BN149" s="185"/>
      <c r="BO149" s="185"/>
      <c r="BP149" s="185"/>
      <c r="BQ149" s="185"/>
      <c r="BR149" s="185"/>
      <c r="BS149" s="185"/>
      <c r="BT149" s="185"/>
      <c r="BU149" s="185"/>
      <c r="BV149" s="185"/>
      <c r="BW149" s="185"/>
      <c r="BX149" s="185"/>
      <c r="BY149" s="185"/>
      <c r="BZ149" s="185"/>
      <c r="CA149" s="185"/>
      <c r="CB149" s="185"/>
      <c r="CC149" s="185"/>
      <c r="CD149" s="185"/>
      <c r="CE149" s="185"/>
      <c r="CF149" s="185"/>
      <c r="CG149" s="185"/>
      <c r="CH149" s="185"/>
      <c r="CI149" s="185"/>
      <c r="CJ149" s="185"/>
      <c r="CK149" s="185"/>
      <c r="CL149" s="185"/>
      <c r="CM149" s="185"/>
      <c r="CN149" s="185"/>
      <c r="CO149" s="185"/>
      <c r="CP149" s="185"/>
      <c r="CQ149" s="185"/>
      <c r="CR149" s="185"/>
      <c r="CS149" s="185"/>
      <c r="CT149" s="185"/>
      <c r="CU149" s="185"/>
      <c r="CV149" s="185"/>
      <c r="CW149" s="185"/>
      <c r="CX149" s="185"/>
      <c r="CY149" s="185"/>
      <c r="CZ149" s="185"/>
      <c r="DA149" s="185"/>
      <c r="DB149" s="185"/>
      <c r="DC149" s="185"/>
      <c r="DD149" s="185"/>
      <c r="DE149" s="185"/>
      <c r="DF149" s="185"/>
      <c r="DG149" s="185"/>
      <c r="DH149" s="185"/>
      <c r="DI149" s="185"/>
      <c r="DJ149" s="185"/>
      <c r="DK149" s="185"/>
      <c r="DL149" s="185"/>
      <c r="DM149" s="185"/>
      <c r="DN149" s="185"/>
      <c r="DO149" s="185"/>
      <c r="DP149" s="185"/>
      <c r="DQ149" s="185"/>
      <c r="DR149" s="185"/>
      <c r="DS149" s="185"/>
      <c r="DT149" s="185"/>
      <c r="DU149" s="483"/>
      <c r="DV149" s="185"/>
    </row>
    <row r="150" spans="1:126" s="2" customFormat="1" ht="19" outlineLevel="1">
      <c r="A150" s="294"/>
      <c r="B150" s="185" t="s">
        <v>1117</v>
      </c>
      <c r="C150" s="482">
        <f ca="1">SUMIF($E$4:$DT$4,2,$E$144:$DT$144)/-$D$138</f>
        <v>5.5217150958358503E-2</v>
      </c>
      <c r="D150" s="185"/>
      <c r="E150" s="185"/>
      <c r="F150" s="185"/>
      <c r="G150" s="185"/>
      <c r="H150" s="185"/>
      <c r="I150" s="185"/>
      <c r="J150" s="185"/>
      <c r="K150" s="185"/>
      <c r="L150" s="185"/>
      <c r="M150" s="185"/>
      <c r="N150" s="185"/>
      <c r="O150" s="185"/>
      <c r="P150" s="185"/>
      <c r="Q150" s="185"/>
      <c r="R150" s="185"/>
      <c r="S150" s="185"/>
      <c r="T150" s="185"/>
      <c r="U150" s="185"/>
      <c r="V150" s="185"/>
      <c r="W150" s="185"/>
      <c r="X150" s="185"/>
      <c r="Y150" s="185"/>
      <c r="Z150" s="185"/>
      <c r="AA150" s="185"/>
      <c r="AB150" s="185"/>
      <c r="AC150" s="185"/>
      <c r="AD150" s="185"/>
      <c r="AE150" s="185"/>
      <c r="AF150" s="185"/>
      <c r="AG150" s="185"/>
      <c r="AH150" s="185"/>
      <c r="AI150" s="185"/>
      <c r="AJ150" s="185"/>
      <c r="AK150" s="185"/>
      <c r="AL150" s="185"/>
      <c r="AM150" s="484"/>
      <c r="AN150" s="185"/>
      <c r="AO150" s="185"/>
      <c r="AP150" s="185"/>
      <c r="AQ150" s="185"/>
      <c r="AR150" s="185"/>
      <c r="AS150" s="185"/>
      <c r="AT150" s="185"/>
      <c r="AU150" s="185"/>
      <c r="AV150" s="185"/>
      <c r="AW150" s="185"/>
      <c r="AX150" s="185"/>
      <c r="AY150" s="185"/>
      <c r="AZ150" s="185"/>
      <c r="BA150" s="185"/>
      <c r="BB150" s="185"/>
      <c r="BC150" s="185"/>
      <c r="BD150" s="185"/>
      <c r="BE150" s="185"/>
      <c r="BF150" s="185"/>
      <c r="BG150" s="185"/>
      <c r="BH150" s="185"/>
      <c r="BI150" s="185"/>
      <c r="BJ150" s="185"/>
      <c r="BK150" s="185"/>
      <c r="BL150" s="185"/>
      <c r="BM150" s="185"/>
      <c r="BN150" s="185"/>
      <c r="BO150" s="185"/>
      <c r="BP150" s="185"/>
      <c r="BQ150" s="185"/>
      <c r="BR150" s="185"/>
      <c r="BS150" s="185"/>
      <c r="BT150" s="185"/>
      <c r="BU150" s="185"/>
      <c r="BV150" s="185"/>
      <c r="BW150" s="185"/>
      <c r="BX150" s="185"/>
      <c r="BY150" s="185"/>
      <c r="BZ150" s="185"/>
      <c r="CA150" s="185"/>
      <c r="CB150" s="185"/>
      <c r="CC150" s="185"/>
      <c r="CD150" s="185"/>
      <c r="CE150" s="185"/>
      <c r="CF150" s="185"/>
      <c r="CG150" s="185"/>
      <c r="CH150" s="185"/>
      <c r="CI150" s="185"/>
      <c r="CJ150" s="185"/>
      <c r="CK150" s="185"/>
      <c r="CL150" s="185"/>
      <c r="CM150" s="185"/>
      <c r="CN150" s="185"/>
      <c r="CO150" s="185"/>
      <c r="CP150" s="185"/>
      <c r="CQ150" s="185"/>
      <c r="CR150" s="185"/>
      <c r="CS150" s="185"/>
      <c r="CT150" s="185"/>
      <c r="CU150" s="185"/>
      <c r="CV150" s="185"/>
      <c r="CW150" s="185"/>
      <c r="CX150" s="185"/>
      <c r="CY150" s="185"/>
      <c r="CZ150" s="185"/>
      <c r="DA150" s="185"/>
      <c r="DB150" s="185"/>
      <c r="DC150" s="185"/>
      <c r="DD150" s="185"/>
      <c r="DE150" s="185"/>
      <c r="DF150" s="185"/>
      <c r="DG150" s="185"/>
      <c r="DH150" s="185"/>
      <c r="DI150" s="185"/>
      <c r="DJ150" s="185"/>
      <c r="DK150" s="185"/>
      <c r="DL150" s="185"/>
      <c r="DM150" s="185"/>
      <c r="DN150" s="185"/>
      <c r="DO150" s="185"/>
      <c r="DP150" s="185"/>
      <c r="DQ150" s="185"/>
      <c r="DR150" s="185"/>
      <c r="DS150" s="185"/>
      <c r="DT150" s="185"/>
      <c r="DU150" s="483"/>
      <c r="DV150" s="185"/>
    </row>
    <row r="151" spans="1:126" s="2" customFormat="1" ht="19" outlineLevel="1">
      <c r="A151" s="294"/>
      <c r="B151" s="185" t="s">
        <v>1118</v>
      </c>
      <c r="C151" s="482">
        <f ca="1">SUMIF($E$4:$DT$4,3,$E$144:$DT$144)/-$D$138</f>
        <v>6.4225750945044499E-2</v>
      </c>
      <c r="D151" s="185"/>
      <c r="E151" s="185"/>
      <c r="F151" s="185"/>
      <c r="G151" s="185"/>
      <c r="H151" s="185"/>
      <c r="I151" s="185"/>
      <c r="J151" s="185"/>
      <c r="K151" s="185"/>
      <c r="L151" s="185"/>
      <c r="M151" s="185"/>
      <c r="N151" s="185"/>
      <c r="O151" s="185"/>
      <c r="P151" s="185"/>
      <c r="Q151" s="185"/>
      <c r="R151" s="185"/>
      <c r="S151" s="185"/>
      <c r="T151" s="185"/>
      <c r="U151" s="185"/>
      <c r="V151" s="185"/>
      <c r="W151" s="185"/>
      <c r="X151" s="185"/>
      <c r="Y151" s="185"/>
      <c r="Z151" s="185"/>
      <c r="AA151" s="185"/>
      <c r="AB151" s="185"/>
      <c r="AC151" s="185"/>
      <c r="AD151" s="185"/>
      <c r="AE151" s="185"/>
      <c r="AF151" s="185"/>
      <c r="AG151" s="185"/>
      <c r="AH151" s="185"/>
      <c r="AI151" s="185"/>
      <c r="AJ151" s="185"/>
      <c r="AK151" s="185"/>
      <c r="AL151" s="185"/>
      <c r="AM151" s="185"/>
      <c r="AN151" s="185"/>
      <c r="AO151" s="185"/>
      <c r="AP151" s="185"/>
      <c r="AQ151" s="185"/>
      <c r="AR151" s="185"/>
      <c r="AS151" s="185"/>
      <c r="AT151" s="185"/>
      <c r="AU151" s="185"/>
      <c r="AV151" s="185"/>
      <c r="AW151" s="185"/>
      <c r="AX151" s="185"/>
      <c r="AY151" s="185"/>
      <c r="AZ151" s="185"/>
      <c r="BA151" s="185"/>
      <c r="BB151" s="185"/>
      <c r="BC151" s="185"/>
      <c r="BD151" s="185"/>
      <c r="BE151" s="185"/>
      <c r="BF151" s="185"/>
      <c r="BG151" s="185"/>
      <c r="BH151" s="185"/>
      <c r="BI151" s="185"/>
      <c r="BJ151" s="185"/>
      <c r="BK151" s="185"/>
      <c r="BL151" s="185"/>
      <c r="BM151" s="185"/>
      <c r="BN151" s="185"/>
      <c r="BO151" s="185"/>
      <c r="BP151" s="185"/>
      <c r="BQ151" s="185"/>
      <c r="BR151" s="185"/>
      <c r="BS151" s="185"/>
      <c r="BT151" s="185"/>
      <c r="BU151" s="185"/>
      <c r="BV151" s="185"/>
      <c r="BW151" s="185"/>
      <c r="BX151" s="185"/>
      <c r="BY151" s="185"/>
      <c r="BZ151" s="185"/>
      <c r="CA151" s="185"/>
      <c r="CB151" s="185"/>
      <c r="CC151" s="185"/>
      <c r="CD151" s="185"/>
      <c r="CE151" s="185"/>
      <c r="CF151" s="185"/>
      <c r="CG151" s="185"/>
      <c r="CH151" s="185"/>
      <c r="CI151" s="185"/>
      <c r="CJ151" s="185"/>
      <c r="CK151" s="185"/>
      <c r="CL151" s="185"/>
      <c r="CM151" s="185"/>
      <c r="CN151" s="185"/>
      <c r="CO151" s="185"/>
      <c r="CP151" s="185"/>
      <c r="CQ151" s="185"/>
      <c r="CR151" s="185"/>
      <c r="CS151" s="185"/>
      <c r="CT151" s="185"/>
      <c r="CU151" s="185"/>
      <c r="CV151" s="185"/>
      <c r="CW151" s="185"/>
      <c r="CX151" s="185"/>
      <c r="CY151" s="185"/>
      <c r="CZ151" s="185"/>
      <c r="DA151" s="185"/>
      <c r="DB151" s="185"/>
      <c r="DC151" s="185"/>
      <c r="DD151" s="185"/>
      <c r="DE151" s="185"/>
      <c r="DF151" s="185"/>
      <c r="DG151" s="185"/>
      <c r="DH151" s="185"/>
      <c r="DI151" s="185"/>
      <c r="DJ151" s="185"/>
      <c r="DK151" s="185"/>
      <c r="DL151" s="185"/>
      <c r="DM151" s="185"/>
      <c r="DN151" s="185"/>
      <c r="DO151" s="185"/>
      <c r="DP151" s="185"/>
      <c r="DQ151" s="185"/>
      <c r="DR151" s="185"/>
      <c r="DS151" s="185"/>
      <c r="DT151" s="185"/>
      <c r="DU151" s="483"/>
      <c r="DV151" s="185"/>
    </row>
    <row r="152" spans="1:126" s="2" customFormat="1" ht="19" outlineLevel="1">
      <c r="A152" s="294"/>
      <c r="B152" s="185" t="s">
        <v>1119</v>
      </c>
      <c r="C152" s="482">
        <f ca="1">SUMIF($E$4:$DT$4,4,$E$144:$DT$144)/-$D$138</f>
        <v>1.2800709705461322</v>
      </c>
      <c r="D152" s="185"/>
      <c r="E152" s="185"/>
      <c r="F152" s="185"/>
      <c r="G152" s="185"/>
      <c r="H152" s="185"/>
      <c r="I152" s="185"/>
      <c r="J152" s="185"/>
      <c r="K152" s="185"/>
      <c r="L152" s="185"/>
      <c r="M152" s="185"/>
      <c r="N152" s="185"/>
      <c r="O152" s="185"/>
      <c r="P152" s="185"/>
      <c r="Q152" s="185"/>
      <c r="R152" s="185"/>
      <c r="S152" s="185"/>
      <c r="T152" s="185"/>
      <c r="U152" s="185"/>
      <c r="V152" s="185"/>
      <c r="W152" s="185"/>
      <c r="X152" s="185"/>
      <c r="Y152" s="185"/>
      <c r="Z152" s="185"/>
      <c r="AA152" s="185"/>
      <c r="AB152" s="185"/>
      <c r="AC152" s="185"/>
      <c r="AD152" s="185"/>
      <c r="AE152" s="185"/>
      <c r="AF152" s="185"/>
      <c r="AG152" s="185"/>
      <c r="AH152" s="185"/>
      <c r="AI152" s="185"/>
      <c r="AJ152" s="185"/>
      <c r="AK152" s="185"/>
      <c r="AL152" s="185"/>
      <c r="AM152" s="185"/>
      <c r="AN152" s="185"/>
      <c r="AO152" s="185"/>
      <c r="AP152" s="185"/>
      <c r="AQ152" s="185"/>
      <c r="AR152" s="185"/>
      <c r="AS152" s="185"/>
      <c r="AT152" s="185"/>
      <c r="AU152" s="185"/>
      <c r="AV152" s="185"/>
      <c r="AW152" s="185"/>
      <c r="AX152" s="185"/>
      <c r="AY152" s="185"/>
      <c r="AZ152" s="185"/>
      <c r="BA152" s="185"/>
      <c r="BB152" s="185"/>
      <c r="BC152" s="185"/>
      <c r="BD152" s="185"/>
      <c r="BE152" s="185"/>
      <c r="BF152" s="185"/>
      <c r="BG152" s="185"/>
      <c r="BH152" s="185"/>
      <c r="BI152" s="185"/>
      <c r="BJ152" s="185"/>
      <c r="BK152" s="185"/>
      <c r="BL152" s="185"/>
      <c r="BM152" s="185"/>
      <c r="BN152" s="185"/>
      <c r="BO152" s="185"/>
      <c r="BP152" s="185"/>
      <c r="BQ152" s="185"/>
      <c r="BR152" s="185"/>
      <c r="BS152" s="185"/>
      <c r="BT152" s="185"/>
      <c r="BU152" s="185"/>
      <c r="BV152" s="185"/>
      <c r="BW152" s="185"/>
      <c r="BX152" s="185"/>
      <c r="BY152" s="185"/>
      <c r="BZ152" s="185"/>
      <c r="CA152" s="185"/>
      <c r="CB152" s="185"/>
      <c r="CC152" s="185"/>
      <c r="CD152" s="185"/>
      <c r="CE152" s="185"/>
      <c r="CF152" s="185"/>
      <c r="CG152" s="185"/>
      <c r="CH152" s="185"/>
      <c r="CI152" s="185"/>
      <c r="CJ152" s="185"/>
      <c r="CK152" s="185"/>
      <c r="CL152" s="185"/>
      <c r="CM152" s="185"/>
      <c r="CN152" s="185"/>
      <c r="CO152" s="185"/>
      <c r="CP152" s="185"/>
      <c r="CQ152" s="185"/>
      <c r="CR152" s="185"/>
      <c r="CS152" s="185"/>
      <c r="CT152" s="185"/>
      <c r="CU152" s="185"/>
      <c r="CV152" s="185"/>
      <c r="CW152" s="185"/>
      <c r="CX152" s="185"/>
      <c r="CY152" s="185"/>
      <c r="CZ152" s="185"/>
      <c r="DA152" s="185"/>
      <c r="DB152" s="185"/>
      <c r="DC152" s="185"/>
      <c r="DD152" s="185"/>
      <c r="DE152" s="185"/>
      <c r="DF152" s="185"/>
      <c r="DG152" s="185"/>
      <c r="DH152" s="185"/>
      <c r="DI152" s="185"/>
      <c r="DJ152" s="185"/>
      <c r="DK152" s="185"/>
      <c r="DL152" s="185"/>
      <c r="DM152" s="185"/>
      <c r="DN152" s="185"/>
      <c r="DO152" s="185"/>
      <c r="DP152" s="185"/>
      <c r="DQ152" s="185"/>
      <c r="DR152" s="185"/>
      <c r="DS152" s="185"/>
      <c r="DT152" s="185"/>
      <c r="DU152" s="483"/>
      <c r="DV152" s="185"/>
    </row>
    <row r="153" spans="1:126" s="2" customFormat="1" ht="19" outlineLevel="1">
      <c r="A153" s="294"/>
      <c r="B153" s="185" t="s">
        <v>1120</v>
      </c>
      <c r="C153" s="482">
        <f ca="1">SUMIF($E$4:$DT$4,5,$E$144:$DT$144)/-$D$138</f>
        <v>0</v>
      </c>
      <c r="D153" s="185"/>
      <c r="E153" s="185"/>
      <c r="F153" s="185"/>
      <c r="G153" s="185"/>
      <c r="H153" s="185"/>
      <c r="I153" s="185"/>
      <c r="J153" s="185"/>
      <c r="K153" s="185"/>
      <c r="L153" s="185"/>
      <c r="M153" s="185"/>
      <c r="N153" s="185"/>
      <c r="O153" s="185"/>
      <c r="P153" s="185"/>
      <c r="Q153" s="185"/>
      <c r="R153" s="185"/>
      <c r="S153" s="185"/>
      <c r="T153" s="185"/>
      <c r="U153" s="185"/>
      <c r="V153" s="185"/>
      <c r="W153" s="185"/>
      <c r="X153" s="185"/>
      <c r="Y153" s="185"/>
      <c r="Z153" s="185"/>
      <c r="AA153" s="185"/>
      <c r="AB153" s="185"/>
      <c r="AC153" s="185"/>
      <c r="AD153" s="185"/>
      <c r="AE153" s="185"/>
      <c r="AF153" s="185"/>
      <c r="AG153" s="185"/>
      <c r="AH153" s="185"/>
      <c r="AI153" s="185"/>
      <c r="AJ153" s="185"/>
      <c r="AK153" s="185"/>
      <c r="AL153" s="185"/>
      <c r="AM153" s="185"/>
      <c r="AN153" s="185"/>
      <c r="AO153" s="185"/>
      <c r="AP153" s="185"/>
      <c r="AQ153" s="185"/>
      <c r="AR153" s="185"/>
      <c r="AS153" s="185"/>
      <c r="AT153" s="185"/>
      <c r="AU153" s="185"/>
      <c r="AV153" s="185"/>
      <c r="AW153" s="185"/>
      <c r="AX153" s="185"/>
      <c r="AY153" s="185"/>
      <c r="AZ153" s="185"/>
      <c r="BA153" s="185"/>
      <c r="BB153" s="185"/>
      <c r="BC153" s="185"/>
      <c r="BD153" s="185"/>
      <c r="BE153" s="185"/>
      <c r="BF153" s="185"/>
      <c r="BG153" s="185"/>
      <c r="BH153" s="185"/>
      <c r="BI153" s="185"/>
      <c r="BJ153" s="185"/>
      <c r="BK153" s="185"/>
      <c r="BL153" s="185"/>
      <c r="BM153" s="185"/>
      <c r="BN153" s="185"/>
      <c r="BO153" s="185"/>
      <c r="BP153" s="185"/>
      <c r="BQ153" s="185"/>
      <c r="BR153" s="185"/>
      <c r="BS153" s="185"/>
      <c r="BT153" s="185"/>
      <c r="BU153" s="185"/>
      <c r="BV153" s="185"/>
      <c r="BW153" s="185"/>
      <c r="BX153" s="185"/>
      <c r="BY153" s="185"/>
      <c r="BZ153" s="185"/>
      <c r="CA153" s="185"/>
      <c r="CB153" s="185"/>
      <c r="CC153" s="185"/>
      <c r="CD153" s="185"/>
      <c r="CE153" s="185"/>
      <c r="CF153" s="185"/>
      <c r="CG153" s="185"/>
      <c r="CH153" s="185"/>
      <c r="CI153" s="185"/>
      <c r="CJ153" s="185"/>
      <c r="CK153" s="185"/>
      <c r="CL153" s="185"/>
      <c r="CM153" s="185"/>
      <c r="CN153" s="185"/>
      <c r="CO153" s="185"/>
      <c r="CP153" s="185"/>
      <c r="CQ153" s="185"/>
      <c r="CR153" s="185"/>
      <c r="CS153" s="185"/>
      <c r="CT153" s="185"/>
      <c r="CU153" s="185"/>
      <c r="CV153" s="185"/>
      <c r="CW153" s="185"/>
      <c r="CX153" s="185"/>
      <c r="CY153" s="185"/>
      <c r="CZ153" s="185"/>
      <c r="DA153" s="185"/>
      <c r="DB153" s="185"/>
      <c r="DC153" s="185"/>
      <c r="DD153" s="185"/>
      <c r="DE153" s="185"/>
      <c r="DF153" s="185"/>
      <c r="DG153" s="185"/>
      <c r="DH153" s="185"/>
      <c r="DI153" s="185"/>
      <c r="DJ153" s="185"/>
      <c r="DK153" s="185"/>
      <c r="DL153" s="185"/>
      <c r="DM153" s="185"/>
      <c r="DN153" s="185"/>
      <c r="DO153" s="185"/>
      <c r="DP153" s="185"/>
      <c r="DQ153" s="185"/>
      <c r="DR153" s="185"/>
      <c r="DS153" s="185"/>
      <c r="DT153" s="185"/>
      <c r="DU153" s="483"/>
      <c r="DV153" s="185"/>
    </row>
    <row r="154" spans="1:126" s="2" customFormat="1" ht="19" outlineLevel="1">
      <c r="A154" s="294"/>
      <c r="B154" s="185" t="s">
        <v>1121</v>
      </c>
      <c r="C154" s="482">
        <f ca="1">SUMIF($E$4:$DT$4,6,$E$144:$DT$144)/-$D$138</f>
        <v>0</v>
      </c>
      <c r="D154" s="185"/>
      <c r="E154" s="185"/>
      <c r="F154" s="185"/>
      <c r="G154" s="185"/>
      <c r="H154" s="185"/>
      <c r="I154" s="185"/>
      <c r="J154" s="185"/>
      <c r="K154" s="185"/>
      <c r="L154" s="185"/>
      <c r="M154" s="185"/>
      <c r="N154" s="185"/>
      <c r="O154" s="185"/>
      <c r="P154" s="185"/>
      <c r="Q154" s="185"/>
      <c r="R154" s="185"/>
      <c r="S154" s="185"/>
      <c r="T154" s="185"/>
      <c r="U154" s="185"/>
      <c r="V154" s="185"/>
      <c r="W154" s="185"/>
      <c r="X154" s="185"/>
      <c r="Y154" s="185"/>
      <c r="Z154" s="185"/>
      <c r="AA154" s="185"/>
      <c r="AB154" s="185"/>
      <c r="AC154" s="185"/>
      <c r="AD154" s="185"/>
      <c r="AE154" s="185"/>
      <c r="AF154" s="185"/>
      <c r="AG154" s="185"/>
      <c r="AH154" s="185"/>
      <c r="AI154" s="185"/>
      <c r="AJ154" s="185"/>
      <c r="AK154" s="185"/>
      <c r="AL154" s="185"/>
      <c r="AM154" s="185"/>
      <c r="AN154" s="185"/>
      <c r="AO154" s="185"/>
      <c r="AP154" s="185"/>
      <c r="AQ154" s="185"/>
      <c r="AR154" s="185"/>
      <c r="AS154" s="185"/>
      <c r="AT154" s="185"/>
      <c r="AU154" s="185"/>
      <c r="AV154" s="185"/>
      <c r="AW154" s="185"/>
      <c r="AX154" s="185"/>
      <c r="AY154" s="185"/>
      <c r="AZ154" s="185"/>
      <c r="BA154" s="185"/>
      <c r="BB154" s="185"/>
      <c r="BC154" s="185"/>
      <c r="BD154" s="185"/>
      <c r="BE154" s="185"/>
      <c r="BF154" s="185"/>
      <c r="BG154" s="185"/>
      <c r="BH154" s="185"/>
      <c r="BI154" s="185"/>
      <c r="BJ154" s="185"/>
      <c r="BK154" s="185"/>
      <c r="BL154" s="185"/>
      <c r="BM154" s="185"/>
      <c r="BN154" s="185"/>
      <c r="BO154" s="185"/>
      <c r="BP154" s="185"/>
      <c r="BQ154" s="185"/>
      <c r="BR154" s="185"/>
      <c r="BS154" s="185"/>
      <c r="BT154" s="185"/>
      <c r="BU154" s="185"/>
      <c r="BV154" s="185"/>
      <c r="BW154" s="185"/>
      <c r="BX154" s="185"/>
      <c r="BY154" s="185"/>
      <c r="BZ154" s="185"/>
      <c r="CA154" s="185"/>
      <c r="CB154" s="185"/>
      <c r="CC154" s="185"/>
      <c r="CD154" s="185"/>
      <c r="CE154" s="185"/>
      <c r="CF154" s="185"/>
      <c r="CG154" s="185"/>
      <c r="CH154" s="185"/>
      <c r="CI154" s="185"/>
      <c r="CJ154" s="185"/>
      <c r="CK154" s="185"/>
      <c r="CL154" s="185"/>
      <c r="CM154" s="185"/>
      <c r="CN154" s="185"/>
      <c r="CO154" s="185"/>
      <c r="CP154" s="185"/>
      <c r="CQ154" s="185"/>
      <c r="CR154" s="185"/>
      <c r="CS154" s="185"/>
      <c r="CT154" s="185"/>
      <c r="CU154" s="185"/>
      <c r="CV154" s="185"/>
      <c r="CW154" s="185"/>
      <c r="CX154" s="185"/>
      <c r="CY154" s="185"/>
      <c r="CZ154" s="185"/>
      <c r="DA154" s="185"/>
      <c r="DB154" s="185"/>
      <c r="DC154" s="185"/>
      <c r="DD154" s="185"/>
      <c r="DE154" s="185"/>
      <c r="DF154" s="185"/>
      <c r="DG154" s="185"/>
      <c r="DH154" s="185"/>
      <c r="DI154" s="185"/>
      <c r="DJ154" s="185"/>
      <c r="DK154" s="185"/>
      <c r="DL154" s="185"/>
      <c r="DM154" s="185"/>
      <c r="DN154" s="185"/>
      <c r="DO154" s="185"/>
      <c r="DP154" s="185"/>
      <c r="DQ154" s="185"/>
      <c r="DR154" s="185"/>
      <c r="DS154" s="185"/>
      <c r="DT154" s="185"/>
      <c r="DU154" s="483"/>
      <c r="DV154" s="185"/>
    </row>
    <row r="155" spans="1:126" s="2" customFormat="1" ht="19" outlineLevel="1">
      <c r="A155" s="294"/>
      <c r="B155" s="185" t="s">
        <v>1122</v>
      </c>
      <c r="C155" s="482">
        <f ca="1">SUMIF($E$4:$DT$4,7,$E$144:$DT$144)/-$D$138</f>
        <v>0</v>
      </c>
      <c r="D155" s="185"/>
      <c r="E155" s="185"/>
      <c r="F155" s="185"/>
      <c r="G155" s="185"/>
      <c r="H155" s="185"/>
      <c r="I155" s="185"/>
      <c r="J155" s="185"/>
      <c r="K155" s="185"/>
      <c r="L155" s="185"/>
      <c r="M155" s="185"/>
      <c r="N155" s="185"/>
      <c r="O155" s="185"/>
      <c r="P155" s="185"/>
      <c r="Q155" s="185"/>
      <c r="R155" s="185"/>
      <c r="S155" s="185"/>
      <c r="T155" s="185"/>
      <c r="U155" s="185"/>
      <c r="V155" s="185"/>
      <c r="W155" s="185"/>
      <c r="X155" s="185"/>
      <c r="Y155" s="185"/>
      <c r="Z155" s="185"/>
      <c r="AA155" s="185"/>
      <c r="AB155" s="185"/>
      <c r="AC155" s="185"/>
      <c r="AD155" s="185"/>
      <c r="AE155" s="185"/>
      <c r="AF155" s="185"/>
      <c r="AG155" s="185"/>
      <c r="AH155" s="185"/>
      <c r="AI155" s="185"/>
      <c r="AJ155" s="185"/>
      <c r="AK155" s="185"/>
      <c r="AL155" s="185"/>
      <c r="AM155" s="185"/>
      <c r="AN155" s="185"/>
      <c r="AO155" s="185"/>
      <c r="AP155" s="185"/>
      <c r="AQ155" s="185"/>
      <c r="AR155" s="185"/>
      <c r="AS155" s="185"/>
      <c r="AT155" s="185"/>
      <c r="AU155" s="185"/>
      <c r="AV155" s="185"/>
      <c r="AW155" s="185"/>
      <c r="AX155" s="185"/>
      <c r="AY155" s="185"/>
      <c r="AZ155" s="185"/>
      <c r="BA155" s="185"/>
      <c r="BB155" s="185"/>
      <c r="BC155" s="185"/>
      <c r="BD155" s="185"/>
      <c r="BE155" s="185"/>
      <c r="BF155" s="185"/>
      <c r="BG155" s="185"/>
      <c r="BH155" s="185"/>
      <c r="BI155" s="185"/>
      <c r="BJ155" s="185"/>
      <c r="BK155" s="185"/>
      <c r="BL155" s="185"/>
      <c r="BM155" s="185"/>
      <c r="BN155" s="185"/>
      <c r="BO155" s="185"/>
      <c r="BP155" s="185"/>
      <c r="BQ155" s="185"/>
      <c r="BR155" s="185"/>
      <c r="BS155" s="185"/>
      <c r="BT155" s="185"/>
      <c r="BU155" s="185"/>
      <c r="BV155" s="185"/>
      <c r="BW155" s="185"/>
      <c r="BX155" s="185"/>
      <c r="BY155" s="185"/>
      <c r="BZ155" s="185"/>
      <c r="CA155" s="185"/>
      <c r="CB155" s="185"/>
      <c r="CC155" s="185"/>
      <c r="CD155" s="185"/>
      <c r="CE155" s="185"/>
      <c r="CF155" s="185"/>
      <c r="CG155" s="185"/>
      <c r="CH155" s="185"/>
      <c r="CI155" s="185"/>
      <c r="CJ155" s="185"/>
      <c r="CK155" s="185"/>
      <c r="CL155" s="185"/>
      <c r="CM155" s="185"/>
      <c r="CN155" s="185"/>
      <c r="CO155" s="185"/>
      <c r="CP155" s="185"/>
      <c r="CQ155" s="185"/>
      <c r="CR155" s="185"/>
      <c r="CS155" s="185"/>
      <c r="CT155" s="185"/>
      <c r="CU155" s="185"/>
      <c r="CV155" s="185"/>
      <c r="CW155" s="185"/>
      <c r="CX155" s="185"/>
      <c r="CY155" s="185"/>
      <c r="CZ155" s="185"/>
      <c r="DA155" s="185"/>
      <c r="DB155" s="185"/>
      <c r="DC155" s="185"/>
      <c r="DD155" s="185"/>
      <c r="DE155" s="185"/>
      <c r="DF155" s="185"/>
      <c r="DG155" s="185"/>
      <c r="DH155" s="185"/>
      <c r="DI155" s="185"/>
      <c r="DJ155" s="185"/>
      <c r="DK155" s="185"/>
      <c r="DL155" s="185"/>
      <c r="DM155" s="185"/>
      <c r="DN155" s="185"/>
      <c r="DO155" s="185"/>
      <c r="DP155" s="185"/>
      <c r="DQ155" s="185"/>
      <c r="DR155" s="185"/>
      <c r="DS155" s="185"/>
      <c r="DT155" s="185"/>
      <c r="DU155" s="483"/>
      <c r="DV155" s="185"/>
    </row>
    <row r="156" spans="1:126">
      <c r="C156" s="485"/>
    </row>
    <row r="157" spans="1:126">
      <c r="AM157" s="487"/>
    </row>
    <row r="163" spans="5:5">
      <c r="E163" s="473"/>
    </row>
  </sheetData>
  <pageMargins left="0.25" right="0.25" top="0.75" bottom="0.75" header="0.3" footer="0.3"/>
  <pageSetup paperSize="3" scale="39" orientation="landscape" r:id="rId1"/>
  <headerFooter>
    <oddHeader>&amp;R&amp;G</oddHeader>
  </headerFooter>
  <legacy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tabColor theme="3" tint="0.39997558519241921"/>
    <pageSetUpPr fitToPage="1"/>
  </sheetPr>
  <dimension ref="A1:AC125"/>
  <sheetViews>
    <sheetView showGridLines="0" topLeftCell="B1" zoomScale="40" zoomScaleNormal="40" workbookViewId="0">
      <selection activeCell="Q1" sqref="Q1"/>
    </sheetView>
  </sheetViews>
  <sheetFormatPr defaultColWidth="9.1796875" defaultRowHeight="15.5" outlineLevelRow="2" outlineLevelCol="1"/>
  <cols>
    <col min="1" max="1" width="20.54296875" style="294" customWidth="1"/>
    <col min="2" max="2" width="38.1796875" style="294" bestFit="1" customWidth="1"/>
    <col min="3" max="3" width="19.7265625" style="294" hidden="1" customWidth="1" outlineLevel="1"/>
    <col min="4" max="4" width="20" style="294" hidden="1" customWidth="1" outlineLevel="1"/>
    <col min="5" max="6" width="15.7265625" style="294" hidden="1" customWidth="1" outlineLevel="1"/>
    <col min="7" max="7" width="16.453125" style="486" hidden="1" customWidth="1" outlineLevel="1"/>
    <col min="8" max="8" width="15.7265625" style="493" hidden="1" customWidth="1" outlineLevel="1"/>
    <col min="9" max="9" width="17.7265625" style="486" customWidth="1" collapsed="1"/>
    <col min="10" max="10" width="17.7265625" style="493" customWidth="1"/>
    <col min="11" max="12" width="17.7265625" style="294" customWidth="1"/>
    <col min="13" max="13" width="17.7265625" style="486" customWidth="1"/>
    <col min="14" max="14" width="17.7265625" style="493" customWidth="1"/>
    <col min="15" max="15" width="17.7265625" style="486" customWidth="1"/>
    <col min="16" max="16" width="17.7265625" style="493" customWidth="1"/>
    <col min="17" max="17" width="17.7265625" style="486" customWidth="1"/>
    <col min="18" max="18" width="17.7265625" style="493" customWidth="1"/>
    <col min="19" max="19" width="17.7265625" style="294" customWidth="1" outlineLevel="1"/>
    <col min="20" max="20" width="17.7265625" style="493" customWidth="1" outlineLevel="1"/>
    <col min="21" max="21" width="17.7265625" style="486" customWidth="1" outlineLevel="1"/>
    <col min="22" max="22" width="17.7265625" style="493" customWidth="1" outlineLevel="1"/>
    <col min="23" max="23" width="17.7265625" style="486" customWidth="1" outlineLevel="1"/>
    <col min="24" max="24" width="17.7265625" style="493" customWidth="1" outlineLevel="1"/>
    <col min="25" max="25" width="17.7265625" style="486" customWidth="1" outlineLevel="1"/>
    <col min="26" max="26" width="17.7265625" style="493" customWidth="1" outlineLevel="1"/>
    <col min="27" max="27" width="17.7265625" style="486" customWidth="1" outlineLevel="1"/>
    <col min="28" max="28" width="17.7265625" style="493" customWidth="1" outlineLevel="1"/>
    <col min="29" max="29" width="9.1796875" style="12"/>
    <col min="30" max="16384" width="9.1796875" style="7"/>
  </cols>
  <sheetData>
    <row r="1" spans="1:29" s="1" customFormat="1" ht="28">
      <c r="A1" s="180"/>
      <c r="B1" s="759" t="str">
        <f>'Inputs and Assumptions'!property_name</f>
        <v>The Winchester</v>
      </c>
      <c r="C1" s="178"/>
      <c r="D1" s="178"/>
      <c r="E1" s="179"/>
      <c r="F1" s="179"/>
      <c r="G1" s="179"/>
      <c r="H1" s="179"/>
      <c r="I1" s="1874"/>
      <c r="J1" s="1874"/>
      <c r="K1" s="1874"/>
      <c r="L1" s="1874"/>
      <c r="M1" s="1874"/>
      <c r="N1" s="1858"/>
      <c r="O1" s="1858"/>
      <c r="P1" s="1858"/>
      <c r="Q1" s="1858"/>
      <c r="R1" s="1852"/>
      <c r="S1" s="179"/>
      <c r="T1" s="179"/>
      <c r="U1" s="179"/>
      <c r="V1" s="179"/>
      <c r="W1" s="179"/>
      <c r="X1" s="179"/>
      <c r="Y1" s="179"/>
      <c r="Z1" s="179"/>
      <c r="AA1" s="179"/>
      <c r="AB1" s="179"/>
    </row>
    <row r="2" spans="1:29" s="1" customFormat="1" ht="17.25" customHeight="1">
      <c r="A2" s="180"/>
      <c r="B2" s="760" t="s">
        <v>1123</v>
      </c>
      <c r="C2" s="182"/>
      <c r="D2" s="182"/>
      <c r="E2" s="179"/>
      <c r="F2" s="179"/>
      <c r="G2" s="179"/>
      <c r="H2" s="179"/>
      <c r="I2" s="2019"/>
      <c r="J2" s="1852"/>
      <c r="K2" s="2019"/>
      <c r="L2" s="1852"/>
      <c r="M2" s="2019"/>
      <c r="N2" s="1852"/>
      <c r="O2" s="2019"/>
      <c r="P2" s="1852"/>
      <c r="Q2" s="1852"/>
      <c r="R2" s="1852"/>
      <c r="S2" s="179"/>
      <c r="T2" s="179"/>
      <c r="U2" s="179"/>
      <c r="V2" s="179"/>
      <c r="W2" s="179"/>
      <c r="X2" s="179"/>
      <c r="Y2" s="179"/>
      <c r="Z2" s="179"/>
      <c r="AA2" s="179"/>
      <c r="AB2" s="179"/>
    </row>
    <row r="3" spans="1:29" s="82" customFormat="1" ht="35.15" customHeight="1">
      <c r="A3" s="187"/>
      <c r="B3" s="488" t="s">
        <v>598</v>
      </c>
      <c r="C3" s="372"/>
      <c r="D3" s="369"/>
      <c r="E3" s="1896">
        <f>'Debt Sizing'!B5</f>
        <v>45992</v>
      </c>
      <c r="F3" s="1897"/>
      <c r="G3" s="1894" t="s">
        <v>1124</v>
      </c>
      <c r="H3" s="1895"/>
      <c r="I3" s="2014">
        <v>1</v>
      </c>
      <c r="J3" s="2015"/>
      <c r="K3" s="2014">
        <v>2</v>
      </c>
      <c r="L3" s="2015"/>
      <c r="M3" s="2014">
        <v>3</v>
      </c>
      <c r="N3" s="2015"/>
      <c r="O3" s="2014">
        <v>4</v>
      </c>
      <c r="P3" s="2015"/>
      <c r="Q3" s="2014">
        <v>5</v>
      </c>
      <c r="R3" s="2016"/>
      <c r="S3" s="2014">
        <v>6</v>
      </c>
      <c r="T3" s="2015"/>
      <c r="U3" s="2014">
        <v>7</v>
      </c>
      <c r="V3" s="2015"/>
      <c r="W3" s="2014">
        <v>8</v>
      </c>
      <c r="X3" s="2015"/>
      <c r="Y3" s="2014">
        <v>9</v>
      </c>
      <c r="Z3" s="2015"/>
      <c r="AA3" s="2014">
        <v>10</v>
      </c>
      <c r="AB3" s="2015"/>
      <c r="AC3" s="83"/>
    </row>
    <row r="4" spans="1:29" s="84" customFormat="1" ht="15" customHeight="1">
      <c r="A4" s="489"/>
      <c r="B4" s="676"/>
      <c r="C4" s="677"/>
      <c r="D4" s="678"/>
      <c r="E4" s="679" t="s">
        <v>595</v>
      </c>
      <c r="F4" s="680" t="s">
        <v>600</v>
      </c>
      <c r="G4" s="679" t="s">
        <v>595</v>
      </c>
      <c r="H4" s="681" t="s">
        <v>600</v>
      </c>
      <c r="I4" s="679" t="s">
        <v>595</v>
      </c>
      <c r="J4" s="681" t="s">
        <v>600</v>
      </c>
      <c r="K4" s="679" t="s">
        <v>595</v>
      </c>
      <c r="L4" s="680" t="s">
        <v>600</v>
      </c>
      <c r="M4" s="679" t="s">
        <v>595</v>
      </c>
      <c r="N4" s="680" t="s">
        <v>600</v>
      </c>
      <c r="O4" s="679" t="s">
        <v>595</v>
      </c>
      <c r="P4" s="680" t="s">
        <v>600</v>
      </c>
      <c r="Q4" s="679" t="s">
        <v>595</v>
      </c>
      <c r="R4" s="681" t="s">
        <v>600</v>
      </c>
      <c r="S4" s="680" t="s">
        <v>595</v>
      </c>
      <c r="T4" s="681" t="s">
        <v>600</v>
      </c>
      <c r="U4" s="679" t="s">
        <v>595</v>
      </c>
      <c r="V4" s="681" t="s">
        <v>600</v>
      </c>
      <c r="W4" s="679" t="s">
        <v>595</v>
      </c>
      <c r="X4" s="681" t="s">
        <v>600</v>
      </c>
      <c r="Y4" s="679" t="s">
        <v>595</v>
      </c>
      <c r="Z4" s="681" t="s">
        <v>600</v>
      </c>
      <c r="AA4" s="679" t="s">
        <v>595</v>
      </c>
      <c r="AB4" s="681" t="s">
        <v>600</v>
      </c>
      <c r="AC4" s="85"/>
    </row>
    <row r="5" spans="1:29" s="87" customFormat="1" ht="19">
      <c r="A5" s="196"/>
      <c r="B5" s="682" t="s">
        <v>601</v>
      </c>
      <c r="C5" s="626"/>
      <c r="D5" s="683"/>
      <c r="E5" s="684"/>
      <c r="F5" s="685"/>
      <c r="G5" s="684"/>
      <c r="H5" s="686"/>
      <c r="I5" s="684"/>
      <c r="J5" s="686"/>
      <c r="K5" s="687"/>
      <c r="L5" s="686"/>
      <c r="M5" s="684"/>
      <c r="N5" s="686"/>
      <c r="O5" s="684"/>
      <c r="P5" s="686"/>
      <c r="Q5" s="684"/>
      <c r="R5" s="686"/>
      <c r="S5" s="687"/>
      <c r="T5" s="686"/>
      <c r="U5" s="684"/>
      <c r="V5" s="686"/>
      <c r="W5" s="684"/>
      <c r="X5" s="686"/>
      <c r="Y5" s="684"/>
      <c r="Z5" s="686"/>
      <c r="AA5" s="684"/>
      <c r="AB5" s="686"/>
      <c r="AC5" s="81" t="s">
        <v>557</v>
      </c>
    </row>
    <row r="6" spans="1:29" s="86" customFormat="1" ht="19">
      <c r="A6" s="396"/>
      <c r="B6" s="688" t="s">
        <v>635</v>
      </c>
      <c r="C6" s="629"/>
      <c r="D6" s="689"/>
      <c r="E6" s="690">
        <f>'Debt Sizing'!B8</f>
        <v>4204998</v>
      </c>
      <c r="F6" s="691">
        <f>'Debt Sizing'!C8</f>
        <v>1327.3352272727273</v>
      </c>
      <c r="G6" s="690">
        <f>'Debt Sizing'!N8</f>
        <v>4150512</v>
      </c>
      <c r="H6" s="691">
        <f>'Debt Sizing'!O8</f>
        <v>1310.1363636363637</v>
      </c>
      <c r="I6" s="690">
        <f>SUMIF('Monthly Cash Flow'!$E$4:$DT$4, 'Annual Summary'!I$3:J$3, 'Monthly Cash Flow'!$E$63:$DT$63)</f>
        <v>4389327.4071683483</v>
      </c>
      <c r="J6" s="691">
        <f>I6/units/12</f>
        <v>1385.520014888999</v>
      </c>
      <c r="K6" s="690">
        <f>SUMIF('Monthly Cash Flow'!$E$4:$DT$4, 'Annual Summary'!K$3:L$3, 'Monthly Cash Flow'!$E$63:$DT$63)</f>
        <v>4740714.23837764</v>
      </c>
      <c r="L6" s="691">
        <f>K6/units/12</f>
        <v>1496.4375752454671</v>
      </c>
      <c r="M6" s="690">
        <f>SUMIF('Monthly Cash Flow'!$E$4:$DT$4, 'Annual Summary'!M$3:N$3, 'Monthly Cash Flow'!$E$63:$DT$63)</f>
        <v>5012431.6640849467</v>
      </c>
      <c r="N6" s="691">
        <f>M6/units/12</f>
        <v>1582.2069646732787</v>
      </c>
      <c r="O6" s="690">
        <f>SUMIF('Monthly Cash Flow'!$E$4:$DT$4, 'Annual Summary'!O$3:P$3, 'Monthly Cash Flow'!$E$63:$DT$63)</f>
        <v>5216645.8638597811</v>
      </c>
      <c r="P6" s="691">
        <f>O6/units/12</f>
        <v>1646.6685176325066</v>
      </c>
      <c r="Q6" s="690">
        <f>SUMIF('Monthly Cash Flow'!$E$4:$DT$4, 'Annual Summary'!Q$3:R$3, 'Monthly Cash Flow'!$E$63:$DT$63)</f>
        <v>5429180.0652195709</v>
      </c>
      <c r="R6" s="691">
        <f>Q6/units/12</f>
        <v>1713.7563337182989</v>
      </c>
      <c r="S6" s="692">
        <f>SUMIF('Monthly Cash Flow'!$E$4:$DT$4, 'Annual Summary'!S$3:T$3, 'Monthly Cash Flow'!$E$63:$DT$63)</f>
        <v>5650373.2378659872</v>
      </c>
      <c r="T6" s="691">
        <f>S6/units/12</f>
        <v>1783.5774109425465</v>
      </c>
      <c r="U6" s="690">
        <f>SUMIF('Monthly Cash Flow'!$E$4:$DT$4, 'Annual Summary'!U$3:V$3, 'Monthly Cash Flow'!$E$63:$DT$63)</f>
        <v>5880578.1616493408</v>
      </c>
      <c r="V6" s="691">
        <f>U6/units/12</f>
        <v>1856.2431065812314</v>
      </c>
      <c r="W6" s="690">
        <f>SUMIF('Monthly Cash Flow'!$E$4:$DT$4, 'Annual Summary'!W$3:X$3, 'Monthly Cash Flow'!$E$63:$DT$63)</f>
        <v>6120161.9892153591</v>
      </c>
      <c r="X6" s="691">
        <f>W6/units/12</f>
        <v>1931.8693147775755</v>
      </c>
      <c r="Y6" s="690">
        <f>SUMIF('Monthly Cash Flow'!$E$4:$DT$4, 'Annual Summary'!Y$3:Z$3, 'Monthly Cash Flow'!$E$63:$DT$63)</f>
        <v>6369506.8315750472</v>
      </c>
      <c r="Z6" s="691">
        <f>Y6/units/12</f>
        <v>2010.5766513810124</v>
      </c>
      <c r="AA6" s="690">
        <f>SUMIF('Monthly Cash Flow'!$E$4:$DT$4, 'Annual Summary'!AA$3:AB$3, 'Monthly Cash Flow'!$E$63:$DT$63)</f>
        <v>6629010.3675315622</v>
      </c>
      <c r="AB6" s="691">
        <f>AA6/units/12</f>
        <v>2092.4906463167813</v>
      </c>
      <c r="AC6" s="81" t="s">
        <v>557</v>
      </c>
    </row>
    <row r="7" spans="1:29" s="86" customFormat="1" ht="19" outlineLevel="1">
      <c r="A7" s="396"/>
      <c r="B7" s="688" t="str">
        <f>'Debt Sizing'!A9</f>
        <v>Loss to Lease</v>
      </c>
      <c r="C7" s="629"/>
      <c r="D7" s="689"/>
      <c r="E7" s="690">
        <f>'Debt Sizing'!B9</f>
        <v>82987.729999999981</v>
      </c>
      <c r="F7" s="631">
        <f>'Debt Sizing'!C9</f>
        <v>-1.973549809060551E-2</v>
      </c>
      <c r="G7" s="690">
        <f>'Debt Sizing'!N9</f>
        <v>82987.729999999981</v>
      </c>
      <c r="H7" s="631">
        <f>'Debt Sizing'!O9</f>
        <v>-1.9994576572721627E-2</v>
      </c>
      <c r="I7" s="690">
        <f>SUMIF('Monthly Cash Flow'!$E$4:$DT$4, 'Annual Summary'!I$3:J$3, 'Monthly Cash Flow'!$E$64:$DT$64)</f>
        <v>0</v>
      </c>
      <c r="J7" s="632">
        <f t="shared" ref="J7:J11" si="0">-$I7/$I$6</f>
        <v>0</v>
      </c>
      <c r="K7" s="690">
        <f>SUMIF('Monthly Cash Flow'!$E$4:$DT$4, 'Annual Summary'!K$3:L$3, 'Monthly Cash Flow'!$E$64:$DT$64)</f>
        <v>0</v>
      </c>
      <c r="L7" s="632">
        <f t="shared" ref="L7:L11" si="1">-$K7/$K$6</f>
        <v>0</v>
      </c>
      <c r="M7" s="690">
        <f>SUMIF('Monthly Cash Flow'!$E$4:$DT$4, 'Annual Summary'!M$3:N$3, 'Monthly Cash Flow'!$E$64:$DT$64)</f>
        <v>0</v>
      </c>
      <c r="N7" s="632">
        <f t="shared" ref="N7:N11" si="2">-$M7/$M$6</f>
        <v>0</v>
      </c>
      <c r="O7" s="690">
        <f>SUMIF('Monthly Cash Flow'!$E$4:$DT$4, 'Annual Summary'!O$3:P$3, 'Monthly Cash Flow'!$E$64:$DT$64)</f>
        <v>0</v>
      </c>
      <c r="P7" s="632">
        <f t="shared" ref="P7:P11" si="3">-$O7/$O$6</f>
        <v>0</v>
      </c>
      <c r="Q7" s="690">
        <f>SUMIF('Monthly Cash Flow'!$E$4:$DT$4, 'Annual Summary'!Q$3:R$3, 'Monthly Cash Flow'!$E$64:$DT$64)</f>
        <v>0</v>
      </c>
      <c r="R7" s="632">
        <f t="shared" ref="R7:AB11" si="4">-$Q7/$Q$6</f>
        <v>0</v>
      </c>
      <c r="S7" s="692">
        <f>SUMIF('Monthly Cash Flow'!$E$4:$DT$4, 'Annual Summary'!S$3:T$3, 'Monthly Cash Flow'!$E$64:$DT$64)</f>
        <v>0</v>
      </c>
      <c r="T7" s="632">
        <f>-$S7/$S$6</f>
        <v>0</v>
      </c>
      <c r="U7" s="690">
        <f>SUMIF('Monthly Cash Flow'!$E$4:$DT$4, 'Annual Summary'!U$3:V$3, 'Monthly Cash Flow'!$E$64:$DT$64)</f>
        <v>0</v>
      </c>
      <c r="V7" s="632">
        <f>-$U7/$U$6</f>
        <v>0</v>
      </c>
      <c r="W7" s="690">
        <f>SUMIF('Monthly Cash Flow'!$E$4:$DT$4, 'Annual Summary'!W$3:X$3, 'Monthly Cash Flow'!$E$64:$DT$64)</f>
        <v>0</v>
      </c>
      <c r="X7" s="632">
        <f t="shared" si="4"/>
        <v>0</v>
      </c>
      <c r="Y7" s="690">
        <f>SUMIF('Monthly Cash Flow'!$E$4:$DT$4, 'Annual Summary'!Y$3:Z$3, 'Monthly Cash Flow'!$E$64:$DT$64)</f>
        <v>0</v>
      </c>
      <c r="Z7" s="632">
        <f t="shared" si="4"/>
        <v>0</v>
      </c>
      <c r="AA7" s="690">
        <f>SUMIF('Monthly Cash Flow'!$E$4:$DT$4, 'Annual Summary'!AA$3:AB$3, 'Monthly Cash Flow'!$E$64:$DT$64)</f>
        <v>0</v>
      </c>
      <c r="AB7" s="632">
        <f t="shared" si="4"/>
        <v>0</v>
      </c>
      <c r="AC7" s="81" t="s">
        <v>557</v>
      </c>
    </row>
    <row r="8" spans="1:29" s="86" customFormat="1" ht="19">
      <c r="A8" s="399">
        <v>2</v>
      </c>
      <c r="B8" s="688" t="str">
        <f>'Debt Sizing'!A10</f>
        <v>Vacancy</v>
      </c>
      <c r="C8" s="629"/>
      <c r="D8" s="689"/>
      <c r="E8" s="690">
        <f>'Debt Sizing'!B10</f>
        <v>-799229.20000000019</v>
      </c>
      <c r="F8" s="631">
        <f>'Debt Sizing'!C10</f>
        <v>0.19006648754648639</v>
      </c>
      <c r="G8" s="690">
        <f>'Debt Sizing'!N10</f>
        <v>-207525.6</v>
      </c>
      <c r="H8" s="631">
        <f>'Debt Sizing'!O10</f>
        <v>0.05</v>
      </c>
      <c r="I8" s="690">
        <f>SUMIF('Monthly Cash Flow'!$E$4:$DT$4, 'Annual Summary'!I$3:J$3, 'Monthly Cash Flow'!$E$65:$DT$65)</f>
        <v>-219466.37035841745</v>
      </c>
      <c r="J8" s="1315">
        <f>-$I8/$I$6</f>
        <v>5.000000000000001E-2</v>
      </c>
      <c r="K8" s="690">
        <f>SUMIF('Monthly Cash Flow'!$E$4:$DT$4, 'Annual Summary'!K$3:L$3, 'Monthly Cash Flow'!$E$65:$DT$65)</f>
        <v>-237035.71191888207</v>
      </c>
      <c r="L8" s="1315">
        <f>-$K8/$K$6</f>
        <v>5.0000000000000017E-2</v>
      </c>
      <c r="M8" s="690">
        <f>SUMIF('Monthly Cash Flow'!$E$4:$DT$4, 'Annual Summary'!M$3:N$3, 'Monthly Cash Flow'!$E$65:$DT$65)</f>
        <v>-250621.58320424738</v>
      </c>
      <c r="N8" s="1315">
        <f>-$M8/$M$6</f>
        <v>5.000000000000001E-2</v>
      </c>
      <c r="O8" s="690">
        <f>SUMIF('Monthly Cash Flow'!$E$4:$DT$4, 'Annual Summary'!O$3:P$3, 'Monthly Cash Flow'!$E$65:$DT$65)</f>
        <v>-260832.29319298902</v>
      </c>
      <c r="P8" s="1315">
        <f>-$O8/$O$6</f>
        <v>4.9999999999999996E-2</v>
      </c>
      <c r="Q8" s="690">
        <f>SUMIF('Monthly Cash Flow'!$E$4:$DT$4, 'Annual Summary'!Q$3:R$3, 'Monthly Cash Flow'!$E$65:$DT$65)</f>
        <v>-271459.00326097867</v>
      </c>
      <c r="R8" s="1315">
        <f>-$Q8/$Q$6</f>
        <v>5.0000000000000024E-2</v>
      </c>
      <c r="S8" s="692">
        <f>SUMIF('Monthly Cash Flow'!$E$4:$DT$4, 'Annual Summary'!S$3:T$3, 'Monthly Cash Flow'!$E$65:$DT$65)</f>
        <v>-282518.66189329937</v>
      </c>
      <c r="T8" s="1315">
        <f>-$Q8/$Q$6</f>
        <v>5.0000000000000024E-2</v>
      </c>
      <c r="U8" s="690">
        <f>SUMIF('Monthly Cash Flow'!$E$4:$DT$4, 'Annual Summary'!U$3:V$3, 'Monthly Cash Flow'!$E$65:$DT$65)</f>
        <v>-294028.90808246704</v>
      </c>
      <c r="V8" s="1315">
        <f>-$Q8/$Q$6</f>
        <v>5.0000000000000024E-2</v>
      </c>
      <c r="W8" s="690">
        <f>SUMIF('Monthly Cash Flow'!$E$4:$DT$4, 'Annual Summary'!W$3:X$3, 'Monthly Cash Flow'!$E$65:$DT$65)</f>
        <v>-306008.09946076799</v>
      </c>
      <c r="X8" s="1315">
        <f>-$Q8/$Q$6</f>
        <v>5.0000000000000024E-2</v>
      </c>
      <c r="Y8" s="690">
        <f>SUMIF('Monthly Cash Flow'!$E$4:$DT$4, 'Annual Summary'!Y$3:Z$3, 'Monthly Cash Flow'!$E$65:$DT$65)</f>
        <v>-318475.34157875238</v>
      </c>
      <c r="Z8" s="1315">
        <f>-$Q8/$Q$6</f>
        <v>5.0000000000000024E-2</v>
      </c>
      <c r="AA8" s="690">
        <f>SUMIF('Monthly Cash Flow'!$E$4:$DT$4, 'Annual Summary'!AA$3:AB$3, 'Monthly Cash Flow'!$E$65:$DT$65)</f>
        <v>-331450.51837657811</v>
      </c>
      <c r="AB8" s="1315">
        <f>-$Q8/$Q$6</f>
        <v>5.0000000000000024E-2</v>
      </c>
      <c r="AC8" s="81" t="s">
        <v>557</v>
      </c>
    </row>
    <row r="9" spans="1:29" s="86" customFormat="1" ht="19">
      <c r="A9" s="399">
        <v>3</v>
      </c>
      <c r="B9" s="688" t="str">
        <f>'Debt Sizing'!A11</f>
        <v>Concessions</v>
      </c>
      <c r="C9" s="629"/>
      <c r="D9" s="689"/>
      <c r="E9" s="690">
        <f>'Debt Sizing'!B11</f>
        <v>-385795.18</v>
      </c>
      <c r="F9" s="632">
        <f>'Debt Sizing'!C11</f>
        <v>9.1746816526428784E-2</v>
      </c>
      <c r="G9" s="690">
        <f>'Debt Sizing'!N11</f>
        <v>-385795.18</v>
      </c>
      <c r="H9" s="632">
        <f>'Debt Sizing'!O11</f>
        <v>9.2951226258350769E-2</v>
      </c>
      <c r="I9" s="690">
        <f>SUMIF('Monthly Cash Flow'!$E$4:$DT$4, 'Annual Summary'!I$3:J$3, 'Monthly Cash Flow'!$E$66:$DT$66)</f>
        <v>0</v>
      </c>
      <c r="J9" s="632">
        <f t="shared" si="0"/>
        <v>0</v>
      </c>
      <c r="K9" s="690">
        <f>SUMIF('Monthly Cash Flow'!$E$4:$DT$4, 'Annual Summary'!K$3:L$3, 'Monthly Cash Flow'!$E$66:$DT$66)</f>
        <v>0</v>
      </c>
      <c r="L9" s="632">
        <f t="shared" si="1"/>
        <v>0</v>
      </c>
      <c r="M9" s="690">
        <f>SUMIF('Monthly Cash Flow'!$E$4:$DT$4, 'Annual Summary'!M$3:N$3, 'Monthly Cash Flow'!$E$66:$DT$66)</f>
        <v>0</v>
      </c>
      <c r="N9" s="632">
        <f t="shared" si="2"/>
        <v>0</v>
      </c>
      <c r="O9" s="690">
        <f>SUMIF('Monthly Cash Flow'!$E$4:$DT$4, 'Annual Summary'!O$3:P$3, 'Monthly Cash Flow'!$E$66:$DT$66)</f>
        <v>0</v>
      </c>
      <c r="P9" s="632">
        <f t="shared" si="3"/>
        <v>0</v>
      </c>
      <c r="Q9" s="690">
        <f>SUMIF('Monthly Cash Flow'!$E$4:$DT$4, 'Annual Summary'!Q$3:R$3, 'Monthly Cash Flow'!$E$66:$DT$66)</f>
        <v>0</v>
      </c>
      <c r="R9" s="632">
        <f t="shared" si="4"/>
        <v>0</v>
      </c>
      <c r="S9" s="692">
        <f>SUMIF('Monthly Cash Flow'!$E$4:$DT$4, 'Annual Summary'!S$3:T$3, 'Monthly Cash Flow'!$E$66:$DT$66)</f>
        <v>0</v>
      </c>
      <c r="T9" s="632">
        <f t="shared" si="4"/>
        <v>0</v>
      </c>
      <c r="U9" s="690">
        <f>SUMIF('Monthly Cash Flow'!$E$4:$DT$4, 'Annual Summary'!U$3:V$3, 'Monthly Cash Flow'!$E$66:$DT$66)</f>
        <v>0</v>
      </c>
      <c r="V9" s="632">
        <f t="shared" si="4"/>
        <v>0</v>
      </c>
      <c r="W9" s="690">
        <f>SUMIF('Monthly Cash Flow'!$E$4:$DT$4, 'Annual Summary'!W$3:X$3, 'Monthly Cash Flow'!$E$66:$DT$66)</f>
        <v>0</v>
      </c>
      <c r="X9" s="632">
        <f t="shared" si="4"/>
        <v>0</v>
      </c>
      <c r="Y9" s="690">
        <f>SUMIF('Monthly Cash Flow'!$E$4:$DT$4, 'Annual Summary'!Y$3:Z$3, 'Monthly Cash Flow'!$E$66:$DT$66)</f>
        <v>0</v>
      </c>
      <c r="Z9" s="632">
        <f t="shared" si="4"/>
        <v>0</v>
      </c>
      <c r="AA9" s="690">
        <f>SUMIF('Monthly Cash Flow'!$E$4:$DT$4, 'Annual Summary'!AA$3:AB$3, 'Monthly Cash Flow'!$E$66:$DT$66)</f>
        <v>0</v>
      </c>
      <c r="AB9" s="632">
        <f t="shared" si="4"/>
        <v>0</v>
      </c>
      <c r="AC9" s="81" t="s">
        <v>557</v>
      </c>
    </row>
    <row r="10" spans="1:29" s="86" customFormat="1" ht="19">
      <c r="A10" s="399">
        <v>4</v>
      </c>
      <c r="B10" s="688" t="str">
        <f>'Debt Sizing'!A12</f>
        <v>Models/Non-Rev Units</v>
      </c>
      <c r="C10" s="629"/>
      <c r="D10" s="689"/>
      <c r="E10" s="690">
        <f>'Debt Sizing'!B12</f>
        <v>-36838.389999999992</v>
      </c>
      <c r="F10" s="632">
        <f>'Debt Sizing'!C12</f>
        <v>8.7606201001760274E-3</v>
      </c>
      <c r="G10" s="690">
        <f>'Debt Sizing'!N12</f>
        <v>-36838.389999999992</v>
      </c>
      <c r="H10" s="632">
        <f>'Debt Sizing'!O12</f>
        <v>8.8756254650028694E-3</v>
      </c>
      <c r="I10" s="690">
        <f>SUMIF('Monthly Cash Flow'!$E$4:$DT$4, 'Annual Summary'!I$3:J$3, 'Monthly Cash Flow'!$E$67:$DT$67)</f>
        <v>-16626.240178667987</v>
      </c>
      <c r="J10" s="632">
        <f t="shared" si="0"/>
        <v>3.7878787878787884E-3</v>
      </c>
      <c r="K10" s="690">
        <f>SUMIF('Monthly Cash Flow'!$E$4:$DT$4, 'Annual Summary'!K$3:L$3, 'Monthly Cash Flow'!$E$67:$DT$67)</f>
        <v>-17957.250902945609</v>
      </c>
      <c r="L10" s="632">
        <f t="shared" si="1"/>
        <v>3.7878787878787884E-3</v>
      </c>
      <c r="M10" s="690">
        <f>SUMIF('Monthly Cash Flow'!$E$4:$DT$4, 'Annual Summary'!M$3:N$3, 'Monthly Cash Flow'!$E$67:$DT$67)</f>
        <v>-18986.483576079343</v>
      </c>
      <c r="N10" s="632">
        <f t="shared" si="2"/>
        <v>3.7878787878787876E-3</v>
      </c>
      <c r="O10" s="690">
        <f>SUMIF('Monthly Cash Flow'!$E$4:$DT$4, 'Annual Summary'!O$3:P$3, 'Monthly Cash Flow'!$E$67:$DT$67)</f>
        <v>-19760.022211590083</v>
      </c>
      <c r="P10" s="632">
        <f t="shared" si="3"/>
        <v>3.7878787878787884E-3</v>
      </c>
      <c r="Q10" s="690">
        <f>SUMIF('Monthly Cash Flow'!$E$4:$DT$4, 'Annual Summary'!Q$3:R$3, 'Monthly Cash Flow'!$E$67:$DT$67)</f>
        <v>-20565.07600461959</v>
      </c>
      <c r="R10" s="632">
        <f t="shared" si="4"/>
        <v>3.7878787878787884E-3</v>
      </c>
      <c r="S10" s="692">
        <f>SUMIF('Monthly Cash Flow'!$E$4:$DT$4, 'Annual Summary'!S$3:T$3, 'Monthly Cash Flow'!$E$67:$DT$67)</f>
        <v>-21402.928931310555</v>
      </c>
      <c r="T10" s="632">
        <f t="shared" si="4"/>
        <v>3.7878787878787884E-3</v>
      </c>
      <c r="U10" s="690">
        <f>SUMIF('Monthly Cash Flow'!$E$4:$DT$4, 'Annual Summary'!U$3:V$3, 'Monthly Cash Flow'!$E$67:$DT$67)</f>
        <v>-22274.917278974775</v>
      </c>
      <c r="V10" s="632">
        <f t="shared" si="4"/>
        <v>3.7878787878787884E-3</v>
      </c>
      <c r="W10" s="690">
        <f>SUMIF('Monthly Cash Flow'!$E$4:$DT$4, 'Annual Summary'!W$3:X$3, 'Monthly Cash Flow'!$E$67:$DT$67)</f>
        <v>-23182.431777330909</v>
      </c>
      <c r="X10" s="632">
        <f t="shared" si="4"/>
        <v>3.7878787878787884E-3</v>
      </c>
      <c r="Y10" s="690">
        <f>SUMIF('Monthly Cash Flow'!$E$4:$DT$4, 'Annual Summary'!Y$3:Z$3, 'Monthly Cash Flow'!$E$67:$DT$67)</f>
        <v>-24126.919816572146</v>
      </c>
      <c r="Z10" s="632">
        <f t="shared" si="4"/>
        <v>3.7878787878787884E-3</v>
      </c>
      <c r="AA10" s="690">
        <f>SUMIF('Monthly Cash Flow'!$E$4:$DT$4, 'Annual Summary'!AA$3:AB$3, 'Monthly Cash Flow'!$E$67:$DT$67)</f>
        <v>-25109.88775580137</v>
      </c>
      <c r="AB10" s="632">
        <f t="shared" si="4"/>
        <v>3.7878787878787884E-3</v>
      </c>
      <c r="AC10" s="81" t="s">
        <v>557</v>
      </c>
    </row>
    <row r="11" spans="1:29" s="86" customFormat="1" ht="19">
      <c r="A11" s="399">
        <v>5</v>
      </c>
      <c r="B11" s="688" t="str">
        <f>'Debt Sizing'!A13</f>
        <v>Bad Debt</v>
      </c>
      <c r="C11" s="693"/>
      <c r="D11" s="689"/>
      <c r="E11" s="690">
        <f>'Debt Sizing'!B13</f>
        <v>-128985.43</v>
      </c>
      <c r="F11" s="632">
        <f>'Debt Sizing'!C13</f>
        <v>3.0674314232729715E-2</v>
      </c>
      <c r="G11" s="690">
        <f>'Debt Sizing'!N13</f>
        <v>-128985.43</v>
      </c>
      <c r="H11" s="632">
        <f>'Debt Sizing'!O13</f>
        <v>3.1076992428885879E-2</v>
      </c>
      <c r="I11" s="690">
        <f>SUMIF('Monthly Cash Flow'!$E$4:$DT$4, 'Annual Summary'!I$3:J$3, 'Monthly Cash Flow'!$E$68:$DT$68)</f>
        <v>-41698.610368099311</v>
      </c>
      <c r="J11" s="632">
        <f t="shared" si="0"/>
        <v>9.4999999999999998E-3</v>
      </c>
      <c r="K11" s="690">
        <f>SUMIF('Monthly Cash Flow'!$E$4:$DT$4, 'Annual Summary'!K$3:L$3, 'Monthly Cash Flow'!$E$68:$DT$68)</f>
        <v>-45036.785264587583</v>
      </c>
      <c r="L11" s="632">
        <f t="shared" si="1"/>
        <v>9.4999999999999998E-3</v>
      </c>
      <c r="M11" s="690">
        <f>SUMIF('Monthly Cash Flow'!$E$4:$DT$4, 'Annual Summary'!M$3:N$3, 'Monthly Cash Flow'!$E$68:$DT$68)</f>
        <v>-47618.100808806994</v>
      </c>
      <c r="N11" s="632">
        <f t="shared" si="2"/>
        <v>9.4999999999999998E-3</v>
      </c>
      <c r="O11" s="690">
        <f>SUMIF('Monthly Cash Flow'!$E$4:$DT$4, 'Annual Summary'!O$3:P$3, 'Monthly Cash Flow'!$E$68:$DT$68)</f>
        <v>-49558.135706667919</v>
      </c>
      <c r="P11" s="632">
        <f t="shared" si="3"/>
        <v>9.4999999999999998E-3</v>
      </c>
      <c r="Q11" s="690">
        <f>SUMIF('Monthly Cash Flow'!$E$4:$DT$4, 'Annual Summary'!Q$3:R$3, 'Monthly Cash Flow'!$E$68:$DT$68)</f>
        <v>-54291.800652195721</v>
      </c>
      <c r="R11" s="632">
        <f t="shared" si="4"/>
        <v>1.0000000000000002E-2</v>
      </c>
      <c r="S11" s="692">
        <f>SUMIF('Monthly Cash Flow'!$E$4:$DT$4, 'Annual Summary'!S$3:T$3, 'Monthly Cash Flow'!$E$68:$DT$68)</f>
        <v>-56503.732378659879</v>
      </c>
      <c r="T11" s="632">
        <f t="shared" si="4"/>
        <v>1.0000000000000002E-2</v>
      </c>
      <c r="U11" s="690">
        <f>SUMIF('Monthly Cash Flow'!$E$4:$DT$4, 'Annual Summary'!U$3:V$3, 'Monthly Cash Flow'!$E$68:$DT$68)</f>
        <v>-58805.781616493405</v>
      </c>
      <c r="V11" s="632">
        <f t="shared" si="4"/>
        <v>1.0000000000000002E-2</v>
      </c>
      <c r="W11" s="690">
        <f>SUMIF('Monthly Cash Flow'!$E$4:$DT$4, 'Annual Summary'!W$3:X$3, 'Monthly Cash Flow'!$E$68:$DT$68)</f>
        <v>-61201.619892153591</v>
      </c>
      <c r="X11" s="632">
        <f t="shared" si="4"/>
        <v>1.0000000000000002E-2</v>
      </c>
      <c r="Y11" s="690">
        <f>SUMIF('Monthly Cash Flow'!$E$4:$DT$4, 'Annual Summary'!Y$3:Z$3, 'Monthly Cash Flow'!$E$68:$DT$68)</f>
        <v>-63695.068315750483</v>
      </c>
      <c r="Z11" s="632">
        <f t="shared" si="4"/>
        <v>1.0000000000000002E-2</v>
      </c>
      <c r="AA11" s="690">
        <f>SUMIF('Monthly Cash Flow'!$E$4:$DT$4, 'Annual Summary'!AA$3:AB$3, 'Monthly Cash Flow'!$E$68:$DT$68)</f>
        <v>-66290.103675315608</v>
      </c>
      <c r="AB11" s="632">
        <f t="shared" si="4"/>
        <v>1.0000000000000002E-2</v>
      </c>
      <c r="AC11" s="81" t="s">
        <v>557</v>
      </c>
    </row>
    <row r="12" spans="1:29" s="87" customFormat="1" ht="19">
      <c r="A12" s="187"/>
      <c r="B12" s="694" t="s">
        <v>605</v>
      </c>
      <c r="C12" s="635"/>
      <c r="D12" s="695"/>
      <c r="E12" s="696">
        <f>SUM(E6:E11)</f>
        <v>2937137.53</v>
      </c>
      <c r="F12" s="1258">
        <f>SUM(F7:F11)</f>
        <v>0.30151274031521541</v>
      </c>
      <c r="G12" s="696">
        <f>SUM(G6:G11)</f>
        <v>3474355.13</v>
      </c>
      <c r="H12" s="1258">
        <f>SUM(H7:H11)</f>
        <v>0.16290926757951787</v>
      </c>
      <c r="I12" s="696">
        <f>SUM(I6:I11)</f>
        <v>4111536.1862631636</v>
      </c>
      <c r="J12" s="1452">
        <f>SUM(J7:J11)</f>
        <v>6.3287878787878796E-2</v>
      </c>
      <c r="K12" s="696">
        <f>SUM(K6:K11)</f>
        <v>4440684.4902912248</v>
      </c>
      <c r="L12" s="1452">
        <f>SUM(L7:L11)</f>
        <v>6.328787878787881E-2</v>
      </c>
      <c r="M12" s="696">
        <f>SUM(M6:M11)</f>
        <v>4695205.4964958141</v>
      </c>
      <c r="N12" s="1452">
        <f>SUM(N7:N11)</f>
        <v>6.3287878787878796E-2</v>
      </c>
      <c r="O12" s="696">
        <f>SUM(O6:O11)</f>
        <v>4886495.4127485342</v>
      </c>
      <c r="P12" s="1452">
        <f>SUM(P7:P11)</f>
        <v>6.3287878787878782E-2</v>
      </c>
      <c r="Q12" s="696">
        <f>SUM(Q6:Q11)</f>
        <v>5082864.185301777</v>
      </c>
      <c r="R12" s="1452">
        <f>SUM(R7:R11)</f>
        <v>6.378787878787881E-2</v>
      </c>
      <c r="S12" s="697">
        <f>SUM(S6:S11)</f>
        <v>5289947.9146627169</v>
      </c>
      <c r="T12" s="1452">
        <f>SUM(T7:T11)</f>
        <v>6.378787878787881E-2</v>
      </c>
      <c r="U12" s="696">
        <f>SUM(U6:U11)</f>
        <v>5505468.5546714067</v>
      </c>
      <c r="V12" s="1452">
        <f>SUM(V7:V11)</f>
        <v>6.378787878787881E-2</v>
      </c>
      <c r="W12" s="696">
        <f>SUM(W6:W11)</f>
        <v>5729769.8380851066</v>
      </c>
      <c r="X12" s="1452">
        <f>SUM(X7:X11)</f>
        <v>6.378787878787881E-2</v>
      </c>
      <c r="Y12" s="696">
        <f>SUM(Y6:Y11)</f>
        <v>5963209.5018639714</v>
      </c>
      <c r="Z12" s="1452">
        <f>SUM(Z7:Z11)</f>
        <v>6.378787878787881E-2</v>
      </c>
      <c r="AA12" s="696">
        <f>SUM(AA6:AA11)</f>
        <v>6206159.8577238685</v>
      </c>
      <c r="AB12" s="1452">
        <f>SUM(AB7:AB11)</f>
        <v>6.378787878787881E-2</v>
      </c>
      <c r="AC12" s="81" t="s">
        <v>557</v>
      </c>
    </row>
    <row r="13" spans="1:29" s="86" customFormat="1" ht="19">
      <c r="A13" s="399"/>
      <c r="B13" s="698" t="s">
        <v>606</v>
      </c>
      <c r="C13" s="638"/>
      <c r="D13" s="699"/>
      <c r="E13" s="700">
        <f t="shared" ref="E13:I13" si="5">E12/12</f>
        <v>244761.46083333332</v>
      </c>
      <c r="F13" s="701"/>
      <c r="G13" s="700">
        <f t="shared" ref="G13" si="6">G12/12</f>
        <v>289529.59416666668</v>
      </c>
      <c r="H13" s="702"/>
      <c r="I13" s="700">
        <f t="shared" si="5"/>
        <v>342628.0155219303</v>
      </c>
      <c r="J13" s="702"/>
      <c r="K13" s="700">
        <f t="shared" ref="K13:M13" si="7">K12/12</f>
        <v>370057.04085760209</v>
      </c>
      <c r="L13" s="701"/>
      <c r="M13" s="700">
        <f t="shared" si="7"/>
        <v>391267.12470798451</v>
      </c>
      <c r="N13" s="701"/>
      <c r="O13" s="700">
        <f t="shared" ref="O13:Q13" si="8">O12/12</f>
        <v>407207.95106237783</v>
      </c>
      <c r="P13" s="701"/>
      <c r="Q13" s="700">
        <f t="shared" si="8"/>
        <v>423572.01544181473</v>
      </c>
      <c r="R13" s="702"/>
      <c r="S13" s="701">
        <f t="shared" ref="S13" si="9">S12/12</f>
        <v>440828.99288855976</v>
      </c>
      <c r="T13" s="702"/>
      <c r="U13" s="700">
        <f t="shared" ref="U13" si="10">U12/12</f>
        <v>458789.04622261721</v>
      </c>
      <c r="V13" s="701"/>
      <c r="W13" s="700">
        <f t="shared" ref="W13" si="11">W12/12</f>
        <v>477480.81984042557</v>
      </c>
      <c r="X13" s="701"/>
      <c r="Y13" s="700">
        <f t="shared" ref="Y13" si="12">Y12/12</f>
        <v>496934.12515533093</v>
      </c>
      <c r="Z13" s="701"/>
      <c r="AA13" s="700">
        <f t="shared" ref="AA13" si="13">AA12/12</f>
        <v>517179.9881436557</v>
      </c>
      <c r="AB13" s="701"/>
      <c r="AC13" s="81" t="s">
        <v>557</v>
      </c>
    </row>
    <row r="14" spans="1:29" s="86" customFormat="1" ht="19">
      <c r="A14" s="399"/>
      <c r="B14" s="698"/>
      <c r="C14" s="640"/>
      <c r="D14" s="703"/>
      <c r="E14" s="704"/>
      <c r="F14" s="705"/>
      <c r="G14" s="704"/>
      <c r="H14" s="706"/>
      <c r="I14" s="704"/>
      <c r="J14" s="706"/>
      <c r="K14" s="704"/>
      <c r="L14" s="705"/>
      <c r="M14" s="704"/>
      <c r="N14" s="705"/>
      <c r="O14" s="704"/>
      <c r="P14" s="705"/>
      <c r="Q14" s="704"/>
      <c r="R14" s="706"/>
      <c r="S14" s="705"/>
      <c r="T14" s="706"/>
      <c r="U14" s="704"/>
      <c r="V14" s="705"/>
      <c r="W14" s="704"/>
      <c r="X14" s="705"/>
      <c r="Y14" s="704"/>
      <c r="Z14" s="705"/>
      <c r="AA14" s="704"/>
      <c r="AB14" s="705"/>
      <c r="AC14" s="81" t="s">
        <v>557</v>
      </c>
    </row>
    <row r="15" spans="1:29" s="86" customFormat="1" ht="19" hidden="1" outlineLevel="1">
      <c r="A15" s="399">
        <v>6</v>
      </c>
      <c r="B15" s="688" t="str">
        <f>'Debt Sizing'!A17</f>
        <v>Commercial Income</v>
      </c>
      <c r="C15" s="640"/>
      <c r="D15" s="699"/>
      <c r="E15" s="690">
        <f>'Debt Sizing'!B17</f>
        <v>0</v>
      </c>
      <c r="F15" s="705">
        <f>'Debt Sizing'!C17</f>
        <v>0</v>
      </c>
      <c r="G15" s="690">
        <f>'Debt Sizing'!N17</f>
        <v>0</v>
      </c>
      <c r="H15" s="706">
        <f>'Debt Sizing'!O17</f>
        <v>0</v>
      </c>
      <c r="I15" s="690">
        <f>SUMIF('Monthly Cash Flow'!$E$4:$DT$4, 'Annual Summary'!I$3:J$3, 'Monthly Cash Flow'!$E$72:$DT$72)</f>
        <v>0</v>
      </c>
      <c r="J15" s="706">
        <f>I15/units/12</f>
        <v>0</v>
      </c>
      <c r="K15" s="690">
        <f>SUMIF('Monthly Cash Flow'!$E$4:$DT$4, 'Annual Summary'!K$3:L$3, 'Monthly Cash Flow'!$E$72:$DT$72)</f>
        <v>0</v>
      </c>
      <c r="L15" s="705">
        <f>K15/units/12</f>
        <v>0</v>
      </c>
      <c r="M15" s="690">
        <f>SUMIF('Monthly Cash Flow'!$E$4:$DT$4, 'Annual Summary'!M$3:N$3, 'Monthly Cash Flow'!$E$72:$DT$72)</f>
        <v>0</v>
      </c>
      <c r="N15" s="705">
        <f>M15/units/12</f>
        <v>0</v>
      </c>
      <c r="O15" s="690">
        <f>SUMIF('Monthly Cash Flow'!$E$4:$DT$4, 'Annual Summary'!O$3:P$3, 'Monthly Cash Flow'!$E$72:$DT$72)</f>
        <v>0</v>
      </c>
      <c r="P15" s="705">
        <f>O15/units/12</f>
        <v>0</v>
      </c>
      <c r="Q15" s="690">
        <f>SUMIF('Monthly Cash Flow'!$E$4:$DT$4, 'Annual Summary'!Q$3:R$3, 'Monthly Cash Flow'!$E$72:$DT$72)</f>
        <v>0</v>
      </c>
      <c r="R15" s="706">
        <f>Q15/units/12</f>
        <v>0</v>
      </c>
      <c r="S15" s="692">
        <f>SUMIF('Monthly Cash Flow'!$E$4:$DT$4, 'Annual Summary'!S$3:T$3, 'Monthly Cash Flow'!$E$72:$DT$72)</f>
        <v>0</v>
      </c>
      <c r="T15" s="706">
        <f>S15/units/12</f>
        <v>0</v>
      </c>
      <c r="U15" s="690">
        <f>SUMIF('Monthly Cash Flow'!$E$4:$DT$4, 'Annual Summary'!U$3:V$3, 'Monthly Cash Flow'!$E$72:$DT$72)</f>
        <v>0</v>
      </c>
      <c r="V15" s="705">
        <f>U15/units/12</f>
        <v>0</v>
      </c>
      <c r="W15" s="690">
        <f>SUMIF('Monthly Cash Flow'!$E$4:$DT$4, 'Annual Summary'!W$3:X$3, 'Monthly Cash Flow'!$E$72:$DT$72)</f>
        <v>0</v>
      </c>
      <c r="X15" s="705">
        <f>W15/units/12</f>
        <v>0</v>
      </c>
      <c r="Y15" s="690">
        <f>SUMIF('Monthly Cash Flow'!$E$4:$DT$4, 'Annual Summary'!Y$3:Z$3, 'Monthly Cash Flow'!$E$72:$DT$72)</f>
        <v>0</v>
      </c>
      <c r="Z15" s="705">
        <f>Y15/units/12</f>
        <v>0</v>
      </c>
      <c r="AA15" s="690">
        <f>SUMIF('Monthly Cash Flow'!$E$4:$DT$4, 'Annual Summary'!AA$3:AB$3, 'Monthly Cash Flow'!$E$72:$DT$72)</f>
        <v>0</v>
      </c>
      <c r="AB15" s="705">
        <f>AA15/units/12</f>
        <v>0</v>
      </c>
      <c r="AC15" s="81" t="s">
        <v>557</v>
      </c>
    </row>
    <row r="16" spans="1:29" s="86" customFormat="1" ht="19" collapsed="1">
      <c r="A16" s="399">
        <v>7</v>
      </c>
      <c r="B16" s="688" t="str">
        <f>'Debt Sizing'!A18</f>
        <v>RUBS Income</v>
      </c>
      <c r="C16" s="629"/>
      <c r="D16" s="699"/>
      <c r="E16" s="690">
        <f>'Debt Sizing'!B18</f>
        <v>393202.91999999993</v>
      </c>
      <c r="F16" s="705">
        <f>'Debt Sizing'!C18</f>
        <v>124.11708333333331</v>
      </c>
      <c r="G16" s="690">
        <f>'Debt Sizing'!N18</f>
        <v>393202.91999999993</v>
      </c>
      <c r="H16" s="706">
        <f>'Debt Sizing'!O18</f>
        <v>124.11708333333331</v>
      </c>
      <c r="I16" s="690">
        <f>SUMIF('Monthly Cash Flow'!$E$4:$DT$4, 'Annual Summary'!I$3:J$3, 'Monthly Cash Flow'!$E$73:$DT$73)</f>
        <v>492468.99999999994</v>
      </c>
      <c r="J16" s="706">
        <f>I16/units/12</f>
        <v>155.45107323232321</v>
      </c>
      <c r="K16" s="690">
        <f>SUMIF('Monthly Cash Flow'!$E$4:$DT$4, 'Annual Summary'!K$3:L$3, 'Monthly Cash Flow'!$E$73:$DT$73)</f>
        <v>507243.07000000012</v>
      </c>
      <c r="L16" s="705">
        <f>K16/units/12</f>
        <v>160.11460542929296</v>
      </c>
      <c r="M16" s="690">
        <f>SUMIF('Monthly Cash Flow'!$E$4:$DT$4, 'Annual Summary'!M$3:N$3, 'Monthly Cash Flow'!$E$73:$DT$73)</f>
        <v>522460.36210000003</v>
      </c>
      <c r="N16" s="705">
        <f>M16/units/12</f>
        <v>164.91804359217173</v>
      </c>
      <c r="O16" s="690">
        <f>SUMIF('Monthly Cash Flow'!$E$4:$DT$4, 'Annual Summary'!O$3:P$3, 'Monthly Cash Flow'!$E$73:$DT$73)</f>
        <v>538134.17296300002</v>
      </c>
      <c r="P16" s="705">
        <f>O16/units/12</f>
        <v>169.86558489993686</v>
      </c>
      <c r="Q16" s="690">
        <f>SUMIF('Monthly Cash Flow'!$E$4:$DT$4, 'Annual Summary'!Q$3:R$3, 'Monthly Cash Flow'!$E$73:$DT$73)</f>
        <v>554278.19815189007</v>
      </c>
      <c r="R16" s="706">
        <f>Q16/units/12</f>
        <v>174.961552446935</v>
      </c>
      <c r="S16" s="692">
        <f>SUMIF('Monthly Cash Flow'!$E$4:$DT$4, 'Annual Summary'!S$3:T$3, 'Monthly Cash Flow'!$E$73:$DT$73)</f>
        <v>570906.54409644683</v>
      </c>
      <c r="T16" s="706">
        <f>S16/units/12</f>
        <v>180.21039902034306</v>
      </c>
      <c r="U16" s="690">
        <f>SUMIF('Monthly Cash Flow'!$E$4:$DT$4, 'Annual Summary'!U$3:V$3, 'Monthly Cash Flow'!$E$73:$DT$73)</f>
        <v>588033.7404193402</v>
      </c>
      <c r="V16" s="705">
        <f>U16/units/12</f>
        <v>185.61671099095335</v>
      </c>
      <c r="W16" s="690">
        <f>SUMIF('Monthly Cash Flow'!$E$4:$DT$4, 'Annual Summary'!W$3:X$3, 'Monthly Cash Flow'!$E$73:$DT$73)</f>
        <v>605674.75263192039</v>
      </c>
      <c r="X16" s="705">
        <f>W16/units/12</f>
        <v>191.18521232068193</v>
      </c>
      <c r="Y16" s="690">
        <f>SUMIF('Monthly Cash Flow'!$E$4:$DT$4, 'Annual Summary'!Y$3:Z$3, 'Monthly Cash Flow'!$E$73:$DT$73)</f>
        <v>623844.99521087797</v>
      </c>
      <c r="Z16" s="705">
        <f>Y16/units/12</f>
        <v>196.92076869030237</v>
      </c>
      <c r="AA16" s="690">
        <f>SUMIF('Monthly Cash Flow'!$E$4:$DT$4, 'Annual Summary'!AA$3:AB$3, 'Monthly Cash Flow'!$E$73:$DT$73)</f>
        <v>642560.34506720444</v>
      </c>
      <c r="AB16" s="705">
        <f>AA16/units/12</f>
        <v>202.82839175101151</v>
      </c>
      <c r="AC16" s="81" t="s">
        <v>557</v>
      </c>
    </row>
    <row r="17" spans="1:29" s="86" customFormat="1" ht="19">
      <c r="A17" s="399">
        <v>8</v>
      </c>
      <c r="B17" s="688" t="str">
        <f>'Debt Sizing'!A19</f>
        <v>Other Income</v>
      </c>
      <c r="C17" s="629"/>
      <c r="D17" s="699"/>
      <c r="E17" s="690">
        <f>'Debt Sizing'!B19</f>
        <v>264257.02999999985</v>
      </c>
      <c r="F17" s="705">
        <f>'Debt Sizing'!C19</f>
        <v>83.414466540403993</v>
      </c>
      <c r="G17" s="690">
        <f>'Debt Sizing'!N19</f>
        <v>264257.02999999985</v>
      </c>
      <c r="H17" s="706">
        <f>'Debt Sizing'!O19</f>
        <v>83.414466540403993</v>
      </c>
      <c r="I17" s="690">
        <f>SUMIF('Monthly Cash Flow'!$E$4:$DT$4, 'Annual Summary'!I$3:J$3, 'Monthly Cash Flow'!$E$74:$DT$74)</f>
        <v>227038.00000000003</v>
      </c>
      <c r="J17" s="706">
        <f>I17/units/12</f>
        <v>71.666035353535364</v>
      </c>
      <c r="K17" s="690">
        <f>SUMIF('Monthly Cash Flow'!$E$4:$DT$4, 'Annual Summary'!K$3:L$3, 'Monthly Cash Flow'!$E$74:$DT$74)</f>
        <v>233849.14000000004</v>
      </c>
      <c r="L17" s="705">
        <f>K17/units/12</f>
        <v>73.81601641414143</v>
      </c>
      <c r="M17" s="690">
        <f>SUMIF('Monthly Cash Flow'!$E$4:$DT$4, 'Annual Summary'!M$3:N$3, 'Monthly Cash Flow'!$E$74:$DT$74)</f>
        <v>240864.61419999998</v>
      </c>
      <c r="N17" s="705">
        <f>M17/units/12</f>
        <v>76.030496906565659</v>
      </c>
      <c r="O17" s="690">
        <f>SUMIF('Monthly Cash Flow'!$E$4:$DT$4, 'Annual Summary'!O$3:P$3, 'Monthly Cash Flow'!$E$74:$DT$74)</f>
        <v>248090.55262599999</v>
      </c>
      <c r="P17" s="705">
        <f>O17/units/12</f>
        <v>78.311411813762632</v>
      </c>
      <c r="Q17" s="690">
        <f>SUMIF('Monthly Cash Flow'!$E$4:$DT$4, 'Annual Summary'!Q$3:R$3, 'Monthly Cash Flow'!$E$74:$DT$74)</f>
        <v>255533.26920478002</v>
      </c>
      <c r="R17" s="706">
        <f>Q17/units/12</f>
        <v>80.660754168175515</v>
      </c>
      <c r="S17" s="692">
        <f>SUMIF('Monthly Cash Flow'!$E$4:$DT$4, 'Annual Summary'!S$3:T$3, 'Monthly Cash Flow'!$E$74:$DT$74)</f>
        <v>263199.26728092344</v>
      </c>
      <c r="T17" s="706">
        <f>S17/units/12</f>
        <v>83.080576793220786</v>
      </c>
      <c r="U17" s="690">
        <f>SUMIF('Monthly Cash Flow'!$E$4:$DT$4, 'Annual Summary'!U$3:V$3, 'Monthly Cash Flow'!$E$74:$DT$74)</f>
        <v>271095.24529935123</v>
      </c>
      <c r="V17" s="705">
        <f>U17/units/12</f>
        <v>85.572994097017428</v>
      </c>
      <c r="W17" s="690">
        <f>SUMIF('Monthly Cash Flow'!$E$4:$DT$4, 'Annual Summary'!W$3:X$3, 'Monthly Cash Flow'!$E$74:$DT$74)</f>
        <v>279228.10265833169</v>
      </c>
      <c r="X17" s="705">
        <f>W17/units/12</f>
        <v>88.140183919927935</v>
      </c>
      <c r="Y17" s="690">
        <f>SUMIF('Monthly Cash Flow'!$E$4:$DT$4, 'Annual Summary'!Y$3:Z$3, 'Monthly Cash Flow'!$E$74:$DT$74)</f>
        <v>287604.94573808165</v>
      </c>
      <c r="Z17" s="705">
        <f>Y17/units/12</f>
        <v>90.784389437525775</v>
      </c>
      <c r="AA17" s="690">
        <f>SUMIF('Monthly Cash Flow'!$E$4:$DT$4, 'Annual Summary'!AA$3:AB$3, 'Monthly Cash Flow'!$E$74:$DT$74)</f>
        <v>296233.09411022405</v>
      </c>
      <c r="AB17" s="705">
        <f>AA17/units/12</f>
        <v>93.507921120651531</v>
      </c>
      <c r="AC17" s="81" t="s">
        <v>557</v>
      </c>
    </row>
    <row r="18" spans="1:29" s="86" customFormat="1" ht="19">
      <c r="A18" s="399"/>
      <c r="B18" s="642" t="s">
        <v>608</v>
      </c>
      <c r="C18" s="643"/>
      <c r="D18" s="707"/>
      <c r="E18" s="708">
        <f t="shared" ref="E18:J18" si="14">SUM(E15:E17)</f>
        <v>657459.94999999972</v>
      </c>
      <c r="F18" s="709">
        <f t="shared" si="14"/>
        <v>207.5315498737373</v>
      </c>
      <c r="G18" s="708">
        <f t="shared" ref="G18:H18" si="15">SUM(G15:G17)</f>
        <v>657459.94999999972</v>
      </c>
      <c r="H18" s="710">
        <f t="shared" si="15"/>
        <v>207.5315498737373</v>
      </c>
      <c r="I18" s="708">
        <f t="shared" si="14"/>
        <v>719507</v>
      </c>
      <c r="J18" s="710">
        <f t="shared" si="14"/>
        <v>227.11710858585857</v>
      </c>
      <c r="K18" s="708">
        <f t="shared" ref="K18:N18" si="16">SUM(K15:K17)</f>
        <v>741092.2100000002</v>
      </c>
      <c r="L18" s="709">
        <f t="shared" si="16"/>
        <v>233.93062184343438</v>
      </c>
      <c r="M18" s="708">
        <f t="shared" si="16"/>
        <v>763324.97629999998</v>
      </c>
      <c r="N18" s="709">
        <f t="shared" si="16"/>
        <v>240.94854049873737</v>
      </c>
      <c r="O18" s="708">
        <f t="shared" ref="O18:R18" si="17">SUM(O15:O17)</f>
        <v>786224.72558900004</v>
      </c>
      <c r="P18" s="709">
        <f t="shared" si="17"/>
        <v>248.17699671369951</v>
      </c>
      <c r="Q18" s="708">
        <f t="shared" si="17"/>
        <v>809811.46735667007</v>
      </c>
      <c r="R18" s="710">
        <f t="shared" si="17"/>
        <v>255.62230661511052</v>
      </c>
      <c r="S18" s="709">
        <f t="shared" ref="S18:T18" si="18">SUM(S15:S17)</f>
        <v>834105.81137737026</v>
      </c>
      <c r="T18" s="710">
        <f t="shared" si="18"/>
        <v>263.29097581356382</v>
      </c>
      <c r="U18" s="708">
        <f t="shared" ref="U18:V18" si="19">SUM(U15:U17)</f>
        <v>859128.98571869149</v>
      </c>
      <c r="V18" s="709">
        <f t="shared" si="19"/>
        <v>271.18970508797076</v>
      </c>
      <c r="W18" s="708">
        <f t="shared" ref="W18:X18" si="20">SUM(W15:W17)</f>
        <v>884902.85529025202</v>
      </c>
      <c r="X18" s="709">
        <f t="shared" si="20"/>
        <v>279.32539624060985</v>
      </c>
      <c r="Y18" s="708">
        <f t="shared" ref="Y18:Z18" si="21">SUM(Y15:Y17)</f>
        <v>911449.94094895967</v>
      </c>
      <c r="Z18" s="709">
        <f t="shared" si="21"/>
        <v>287.70515812782816</v>
      </c>
      <c r="AA18" s="708">
        <f t="shared" ref="AA18:AB18" si="22">SUM(AA15:AA17)</f>
        <v>938793.43917742849</v>
      </c>
      <c r="AB18" s="710">
        <f t="shared" si="22"/>
        <v>296.33631287166304</v>
      </c>
      <c r="AC18" s="81" t="s">
        <v>557</v>
      </c>
    </row>
    <row r="19" spans="1:29" s="87" customFormat="1" ht="15" customHeight="1">
      <c r="A19" s="187"/>
      <c r="B19" s="656" t="s">
        <v>609</v>
      </c>
      <c r="C19" s="635"/>
      <c r="D19" s="695"/>
      <c r="E19" s="696">
        <f t="shared" ref="E19:J19" si="23">E18+E12</f>
        <v>3594597.4799999995</v>
      </c>
      <c r="F19" s="697">
        <f t="shared" si="23"/>
        <v>207.83306261405252</v>
      </c>
      <c r="G19" s="696">
        <f t="shared" ref="G19:H19" si="24">G18+G12</f>
        <v>4131815.0799999996</v>
      </c>
      <c r="H19" s="636">
        <f t="shared" si="24"/>
        <v>207.69445914131683</v>
      </c>
      <c r="I19" s="696">
        <f t="shared" si="23"/>
        <v>4831043.1862631636</v>
      </c>
      <c r="J19" s="636">
        <f t="shared" si="23"/>
        <v>227.18039646464646</v>
      </c>
      <c r="K19" s="696">
        <f t="shared" ref="K19:N19" si="25">K18+K12</f>
        <v>5181776.7002912248</v>
      </c>
      <c r="L19" s="697">
        <f t="shared" si="25"/>
        <v>233.99390972222227</v>
      </c>
      <c r="M19" s="696">
        <f t="shared" si="25"/>
        <v>5458530.4727958143</v>
      </c>
      <c r="N19" s="697">
        <f t="shared" si="25"/>
        <v>241.01182837752526</v>
      </c>
      <c r="O19" s="696">
        <f t="shared" ref="O19:R19" si="26">O18+O12</f>
        <v>5672720.1383375339</v>
      </c>
      <c r="P19" s="697">
        <f t="shared" si="26"/>
        <v>248.2402845924874</v>
      </c>
      <c r="Q19" s="696">
        <f t="shared" si="26"/>
        <v>5892675.6526584467</v>
      </c>
      <c r="R19" s="636">
        <f t="shared" si="26"/>
        <v>255.68609449389839</v>
      </c>
      <c r="S19" s="697">
        <f t="shared" ref="S19:T19" si="27">S18+S12</f>
        <v>6124053.7260400876</v>
      </c>
      <c r="T19" s="636">
        <f t="shared" si="27"/>
        <v>263.3547636923517</v>
      </c>
      <c r="U19" s="696">
        <f t="shared" ref="U19:V19" si="28">U18+U12</f>
        <v>6364597.5403900985</v>
      </c>
      <c r="V19" s="697">
        <f t="shared" si="28"/>
        <v>271.25349296675864</v>
      </c>
      <c r="W19" s="696">
        <f t="shared" ref="W19:X19" si="29">W18+W12</f>
        <v>6614672.6933753584</v>
      </c>
      <c r="X19" s="697">
        <f t="shared" si="29"/>
        <v>279.38918411939773</v>
      </c>
      <c r="Y19" s="696">
        <f t="shared" ref="Y19:Z19" si="30">Y18+Y12</f>
        <v>6874659.4428129308</v>
      </c>
      <c r="Z19" s="697">
        <f t="shared" si="30"/>
        <v>287.76894600661603</v>
      </c>
      <c r="AA19" s="696">
        <f t="shared" ref="AA19:AB19" si="31">AA18+AA12</f>
        <v>7144953.2969012968</v>
      </c>
      <c r="AB19" s="697">
        <f t="shared" si="31"/>
        <v>296.40010075045092</v>
      </c>
      <c r="AC19" s="81" t="s">
        <v>557</v>
      </c>
    </row>
    <row r="20" spans="1:29" s="86" customFormat="1" ht="15" customHeight="1">
      <c r="A20" s="399"/>
      <c r="B20" s="676"/>
      <c r="C20" s="648"/>
      <c r="D20" s="711"/>
      <c r="E20" s="712"/>
      <c r="F20" s="713"/>
      <c r="G20" s="712"/>
      <c r="H20" s="714"/>
      <c r="I20" s="712"/>
      <c r="J20" s="714"/>
      <c r="K20" s="712"/>
      <c r="L20" s="713"/>
      <c r="M20" s="712"/>
      <c r="N20" s="713"/>
      <c r="O20" s="712"/>
      <c r="P20" s="713"/>
      <c r="Q20" s="712"/>
      <c r="R20" s="714"/>
      <c r="S20" s="713"/>
      <c r="T20" s="714"/>
      <c r="U20" s="712"/>
      <c r="V20" s="713"/>
      <c r="W20" s="712"/>
      <c r="X20" s="713"/>
      <c r="Y20" s="712"/>
      <c r="Z20" s="713"/>
      <c r="AA20" s="712"/>
      <c r="AB20" s="713"/>
      <c r="AC20" s="81" t="s">
        <v>557</v>
      </c>
    </row>
    <row r="21" spans="1:29" s="87" customFormat="1" ht="15" customHeight="1">
      <c r="A21" s="187"/>
      <c r="B21" s="682" t="s">
        <v>610</v>
      </c>
      <c r="C21" s="650"/>
      <c r="D21" s="715"/>
      <c r="E21" s="716"/>
      <c r="F21" s="717" t="s">
        <v>79</v>
      </c>
      <c r="G21" s="716"/>
      <c r="H21" s="718" t="s">
        <v>79</v>
      </c>
      <c r="I21" s="716"/>
      <c r="J21" s="718" t="s">
        <v>79</v>
      </c>
      <c r="K21" s="716"/>
      <c r="L21" s="717" t="s">
        <v>79</v>
      </c>
      <c r="M21" s="716"/>
      <c r="N21" s="717" t="s">
        <v>79</v>
      </c>
      <c r="O21" s="716"/>
      <c r="P21" s="717" t="s">
        <v>79</v>
      </c>
      <c r="Q21" s="716"/>
      <c r="R21" s="718" t="s">
        <v>79</v>
      </c>
      <c r="S21" s="717"/>
      <c r="T21" s="718" t="s">
        <v>79</v>
      </c>
      <c r="U21" s="716"/>
      <c r="V21" s="717" t="s">
        <v>79</v>
      </c>
      <c r="W21" s="716"/>
      <c r="X21" s="717" t="s">
        <v>79</v>
      </c>
      <c r="Y21" s="716"/>
      <c r="Z21" s="717" t="s">
        <v>79</v>
      </c>
      <c r="AA21" s="716"/>
      <c r="AB21" s="717" t="s">
        <v>79</v>
      </c>
      <c r="AC21" s="81" t="s">
        <v>557</v>
      </c>
    </row>
    <row r="22" spans="1:29" s="86" customFormat="1" ht="15" customHeight="1">
      <c r="A22" s="399">
        <v>9</v>
      </c>
      <c r="B22" s="688" t="str">
        <f>'Debt Sizing'!A24</f>
        <v>Repairs &amp; Maint</v>
      </c>
      <c r="C22" s="629"/>
      <c r="D22" s="699"/>
      <c r="E22" s="690">
        <f>'Debt Sizing'!B24</f>
        <v>77136.06</v>
      </c>
      <c r="F22" s="705">
        <f>'Debt Sizing'!C24</f>
        <v>292.18204545454546</v>
      </c>
      <c r="G22" s="690">
        <f>'Debt Sizing'!N24</f>
        <v>73920</v>
      </c>
      <c r="H22" s="706">
        <f>'Debt Sizing'!O24</f>
        <v>280</v>
      </c>
      <c r="I22" s="690">
        <f>SUMIF('Monthly Cash Flow'!$E$4:$DT$4, 'Annual Summary'!I$3:J$3, 'Monthly Cash Flow'!$E$79:$DT$79)</f>
        <v>73920</v>
      </c>
      <c r="J22" s="706">
        <f t="shared" ref="J22:J28" si="32">I22/units</f>
        <v>280</v>
      </c>
      <c r="K22" s="690">
        <f>SUMIF('Monthly Cash Flow'!$E$4:$DT$4, 'Annual Summary'!K$3:L$3, 'Monthly Cash Flow'!$E$79:$DT$79)</f>
        <v>75398.39999999998</v>
      </c>
      <c r="L22" s="705">
        <f t="shared" ref="L22:L28" si="33">K22/units</f>
        <v>285.59999999999991</v>
      </c>
      <c r="M22" s="690">
        <f>SUMIF('Monthly Cash Flow'!$E$4:$DT$4, 'Annual Summary'!M$3:N$3, 'Monthly Cash Flow'!$E$79:$DT$79)</f>
        <v>76906.368000000002</v>
      </c>
      <c r="N22" s="705">
        <f t="shared" ref="N22:N28" si="34">M22/units</f>
        <v>291.31200000000001</v>
      </c>
      <c r="O22" s="690">
        <f>SUMIF('Monthly Cash Flow'!$E$4:$DT$4, 'Annual Summary'!O$3:P$3, 'Monthly Cash Flow'!$E$79:$DT$79)</f>
        <v>78444.495360000001</v>
      </c>
      <c r="P22" s="705">
        <f t="shared" ref="P22:P28" si="35">O22/units</f>
        <v>297.13824</v>
      </c>
      <c r="Q22" s="690">
        <f>SUMIF('Monthly Cash Flow'!$E$4:$DT$4, 'Annual Summary'!Q$3:R$3, 'Monthly Cash Flow'!$E$79:$DT$79)</f>
        <v>80013.385267200007</v>
      </c>
      <c r="R22" s="706">
        <f t="shared" ref="R22:R28" si="36">Q22/units</f>
        <v>303.08100480000002</v>
      </c>
      <c r="S22" s="692">
        <f>SUMIF('Monthly Cash Flow'!$E$4:$DT$4, 'Annual Summary'!S$3:T$3, 'Monthly Cash Flow'!$E$79:$DT$79)</f>
        <v>81613.652972543976</v>
      </c>
      <c r="T22" s="706">
        <f t="shared" ref="T22:T28" si="37">S22/units</f>
        <v>309.14262489599992</v>
      </c>
      <c r="U22" s="690">
        <f>SUMIF('Monthly Cash Flow'!$E$4:$DT$4, 'Annual Summary'!U$3:V$3, 'Monthly Cash Flow'!$E$79:$DT$79)</f>
        <v>83245.92603199491</v>
      </c>
      <c r="V22" s="705">
        <f t="shared" ref="V22:V28" si="38">U22/units</f>
        <v>315.3254773939201</v>
      </c>
      <c r="W22" s="690">
        <f>SUMIF('Monthly Cash Flow'!$E$4:$DT$4, 'Annual Summary'!W$3:X$3, 'Monthly Cash Flow'!$E$79:$DT$79)</f>
        <v>84910.844552634764</v>
      </c>
      <c r="X22" s="705">
        <f t="shared" ref="X22:X28" si="39">W22/units</f>
        <v>321.63198694179835</v>
      </c>
      <c r="Y22" s="690">
        <f>SUMIF('Monthly Cash Flow'!$E$4:$DT$4, 'Annual Summary'!Y$3:Z$3, 'Monthly Cash Flow'!$E$79:$DT$79)</f>
        <v>86609.061443687475</v>
      </c>
      <c r="Z22" s="705">
        <f t="shared" ref="Z22:Z28" si="40">Y22/units</f>
        <v>328.06462668063438</v>
      </c>
      <c r="AA22" s="690">
        <f>SUMIF('Monthly Cash Flow'!$E$4:$DT$4, 'Annual Summary'!AA$3:AB$3, 'Monthly Cash Flow'!$E$79:$DT$79)</f>
        <v>88341.24267256126</v>
      </c>
      <c r="AB22" s="705">
        <f t="shared" ref="AB22:AB28" si="41">AA22/units</f>
        <v>334.62591921424718</v>
      </c>
      <c r="AC22" s="81" t="s">
        <v>557</v>
      </c>
    </row>
    <row r="23" spans="1:29" s="86" customFormat="1" ht="15" customHeight="1">
      <c r="A23" s="399">
        <v>9</v>
      </c>
      <c r="B23" s="688" t="str">
        <f>'Debt Sizing'!A25</f>
        <v>Contract Services</v>
      </c>
      <c r="C23" s="629"/>
      <c r="D23" s="699"/>
      <c r="E23" s="690">
        <f>'Debt Sizing'!B25</f>
        <v>45632.900000000009</v>
      </c>
      <c r="F23" s="705">
        <f>'Debt Sizing'!C25</f>
        <v>172.85189393939396</v>
      </c>
      <c r="G23" s="690">
        <f>'Debt Sizing'!N25</f>
        <v>46728</v>
      </c>
      <c r="H23" s="706">
        <f>'Debt Sizing'!O25</f>
        <v>177</v>
      </c>
      <c r="I23" s="690">
        <f>SUMIF('Monthly Cash Flow'!$E$4:$DT$4, 'Annual Summary'!I$3:J$3, 'Monthly Cash Flow'!$E$80:$DT$80)</f>
        <v>46728</v>
      </c>
      <c r="J23" s="706">
        <f t="shared" si="32"/>
        <v>177</v>
      </c>
      <c r="K23" s="690">
        <f>SUMIF('Monthly Cash Flow'!$E$4:$DT$4, 'Annual Summary'!K$3:L$3, 'Monthly Cash Flow'!$E$80:$DT$80)</f>
        <v>47662.55999999999</v>
      </c>
      <c r="L23" s="705">
        <f t="shared" si="33"/>
        <v>180.53999999999996</v>
      </c>
      <c r="M23" s="690">
        <f>SUMIF('Monthly Cash Flow'!$E$4:$DT$4, 'Annual Summary'!M$3:N$3, 'Monthly Cash Flow'!$E$80:$DT$80)</f>
        <v>48615.811200000004</v>
      </c>
      <c r="N23" s="705">
        <f t="shared" si="34"/>
        <v>184.1508</v>
      </c>
      <c r="O23" s="690">
        <f>SUMIF('Monthly Cash Flow'!$E$4:$DT$4, 'Annual Summary'!O$3:P$3, 'Monthly Cash Flow'!$E$80:$DT$80)</f>
        <v>49588.127424000013</v>
      </c>
      <c r="P23" s="705">
        <f t="shared" si="35"/>
        <v>187.83381600000004</v>
      </c>
      <c r="Q23" s="690">
        <f>SUMIF('Monthly Cash Flow'!$E$4:$DT$4, 'Annual Summary'!Q$3:R$3, 'Monthly Cash Flow'!$E$80:$DT$80)</f>
        <v>50579.889972479992</v>
      </c>
      <c r="R23" s="706">
        <f t="shared" si="36"/>
        <v>191.59049231999998</v>
      </c>
      <c r="S23" s="692">
        <f>SUMIF('Monthly Cash Flow'!$E$4:$DT$4, 'Annual Summary'!S$3:T$3, 'Monthly Cash Flow'!$E$80:$DT$80)</f>
        <v>51591.487771929584</v>
      </c>
      <c r="T23" s="706">
        <f t="shared" si="37"/>
        <v>195.42230216639993</v>
      </c>
      <c r="U23" s="690">
        <f>SUMIF('Monthly Cash Flow'!$E$4:$DT$4, 'Annual Summary'!U$3:V$3, 'Monthly Cash Flow'!$E$80:$DT$80)</f>
        <v>52623.317527368206</v>
      </c>
      <c r="V23" s="705">
        <f t="shared" si="38"/>
        <v>199.33074820972806</v>
      </c>
      <c r="W23" s="690">
        <f>SUMIF('Monthly Cash Flow'!$E$4:$DT$4, 'Annual Summary'!W$3:X$3, 'Monthly Cash Flow'!$E$80:$DT$80)</f>
        <v>53675.78387791555</v>
      </c>
      <c r="X23" s="705">
        <f t="shared" si="39"/>
        <v>203.31736317392253</v>
      </c>
      <c r="Y23" s="690">
        <f>SUMIF('Monthly Cash Flow'!$E$4:$DT$4, 'Annual Summary'!Y$3:Z$3, 'Monthly Cash Flow'!$E$80:$DT$80)</f>
        <v>54749.299555473866</v>
      </c>
      <c r="Z23" s="705">
        <f t="shared" si="40"/>
        <v>207.38371043740102</v>
      </c>
      <c r="AA23" s="690">
        <f>SUMIF('Monthly Cash Flow'!$E$4:$DT$4, 'Annual Summary'!AA$3:AB$3, 'Monthly Cash Flow'!$E$80:$DT$80)</f>
        <v>55844.285546583349</v>
      </c>
      <c r="AB23" s="705">
        <f t="shared" si="41"/>
        <v>211.53138464614904</v>
      </c>
      <c r="AC23" s="81" t="s">
        <v>557</v>
      </c>
    </row>
    <row r="24" spans="1:29" s="86" customFormat="1" ht="15" customHeight="1" outlineLevel="1">
      <c r="A24" s="399">
        <v>9</v>
      </c>
      <c r="B24" s="688" t="str">
        <f>'Debt Sizing'!A26</f>
        <v>Turnover</v>
      </c>
      <c r="C24" s="629"/>
      <c r="D24" s="699"/>
      <c r="E24" s="690">
        <f>'Debt Sizing'!B26</f>
        <v>69162.34</v>
      </c>
      <c r="F24" s="705">
        <f>'Debt Sizing'!C26</f>
        <v>261.97856060606057</v>
      </c>
      <c r="G24" s="690">
        <f>'Debt Sizing'!N26</f>
        <v>82896</v>
      </c>
      <c r="H24" s="706">
        <f>'Debt Sizing'!O26</f>
        <v>314</v>
      </c>
      <c r="I24" s="690">
        <f>SUMIF('Monthly Cash Flow'!$E$4:$DT$4, 'Annual Summary'!I$3:J$3, 'Monthly Cash Flow'!$E$81:$DT$81)</f>
        <v>82896</v>
      </c>
      <c r="J24" s="706">
        <f t="shared" si="32"/>
        <v>314</v>
      </c>
      <c r="K24" s="690">
        <f>SUMIF('Monthly Cash Flow'!$E$4:$DT$4, 'Annual Summary'!K$3:L$3, 'Monthly Cash Flow'!$E$81:$DT$81)</f>
        <v>84553.920000000027</v>
      </c>
      <c r="L24" s="705">
        <f t="shared" si="33"/>
        <v>320.28000000000009</v>
      </c>
      <c r="M24" s="690">
        <f>SUMIF('Monthly Cash Flow'!$E$4:$DT$4, 'Annual Summary'!M$3:N$3, 'Monthly Cash Flow'!$E$81:$DT$81)</f>
        <v>86244.998399999982</v>
      </c>
      <c r="N24" s="705">
        <f t="shared" si="34"/>
        <v>326.68559999999991</v>
      </c>
      <c r="O24" s="690">
        <f>SUMIF('Monthly Cash Flow'!$E$4:$DT$4, 'Annual Summary'!O$3:P$3, 'Monthly Cash Flow'!$E$81:$DT$81)</f>
        <v>87969.89836799998</v>
      </c>
      <c r="P24" s="705">
        <f t="shared" si="35"/>
        <v>333.21931199999995</v>
      </c>
      <c r="Q24" s="690">
        <f>SUMIF('Monthly Cash Flow'!$E$4:$DT$4, 'Annual Summary'!Q$3:R$3, 'Monthly Cash Flow'!$E$81:$DT$81)</f>
        <v>89729.296335359992</v>
      </c>
      <c r="R24" s="706">
        <f t="shared" si="36"/>
        <v>339.88369823999994</v>
      </c>
      <c r="S24" s="692">
        <f>SUMIF('Monthly Cash Flow'!$E$4:$DT$4, 'Annual Summary'!S$3:T$3, 'Monthly Cash Flow'!$E$81:$DT$81)</f>
        <v>91523.882262067214</v>
      </c>
      <c r="T24" s="706">
        <f t="shared" si="37"/>
        <v>346.68137220480003</v>
      </c>
      <c r="U24" s="690">
        <f>SUMIF('Monthly Cash Flow'!$E$4:$DT$4, 'Annual Summary'!U$3:V$3, 'Monthly Cash Flow'!$E$81:$DT$81)</f>
        <v>93354.35990730855</v>
      </c>
      <c r="V24" s="705">
        <f t="shared" si="38"/>
        <v>353.614999648896</v>
      </c>
      <c r="W24" s="690">
        <f>SUMIF('Monthly Cash Flow'!$E$4:$DT$4, 'Annual Summary'!W$3:X$3, 'Monthly Cash Flow'!$E$81:$DT$81)</f>
        <v>95221.447105454703</v>
      </c>
      <c r="X24" s="705">
        <f t="shared" si="39"/>
        <v>360.68729964187389</v>
      </c>
      <c r="Y24" s="690">
        <f>SUMIF('Monthly Cash Flow'!$E$4:$DT$4, 'Annual Summary'!Y$3:Z$3, 'Monthly Cash Flow'!$E$81:$DT$81)</f>
        <v>97125.876047563841</v>
      </c>
      <c r="Z24" s="705">
        <f t="shared" si="40"/>
        <v>367.90104563471152</v>
      </c>
      <c r="AA24" s="690">
        <f>SUMIF('Monthly Cash Flow'!$E$4:$DT$4, 'Annual Summary'!AA$3:AB$3, 'Monthly Cash Flow'!$E$81:$DT$81)</f>
        <v>99068.393568515065</v>
      </c>
      <c r="AB24" s="705">
        <f t="shared" si="41"/>
        <v>375.25906654740555</v>
      </c>
      <c r="AC24" s="81" t="s">
        <v>557</v>
      </c>
    </row>
    <row r="25" spans="1:29" s="87" customFormat="1" ht="15" customHeight="1">
      <c r="A25" s="399">
        <v>9</v>
      </c>
      <c r="B25" s="688" t="str">
        <f>'Debt Sizing'!A27</f>
        <v>Payroll</v>
      </c>
      <c r="C25" s="629"/>
      <c r="D25" s="699"/>
      <c r="E25" s="690">
        <f>'Debt Sizing'!B27</f>
        <v>493485.87000000029</v>
      </c>
      <c r="F25" s="705">
        <f>'Debt Sizing'!C27</f>
        <v>1869.2646590909101</v>
      </c>
      <c r="G25" s="690">
        <f>'Debt Sizing'!N27</f>
        <v>537240</v>
      </c>
      <c r="H25" s="706">
        <f>'Debt Sizing'!O27</f>
        <v>2035</v>
      </c>
      <c r="I25" s="690">
        <f>SUMIF('Monthly Cash Flow'!$E$4:$DT$4, 'Annual Summary'!I$3:J$3, 'Monthly Cash Flow'!$E$82:$DT$82)</f>
        <v>537240</v>
      </c>
      <c r="J25" s="706">
        <f t="shared" si="32"/>
        <v>2035</v>
      </c>
      <c r="K25" s="690">
        <f>SUMIF('Monthly Cash Flow'!$E$4:$DT$4, 'Annual Summary'!K$3:L$3, 'Monthly Cash Flow'!$E$82:$DT$82)</f>
        <v>547984.80000000016</v>
      </c>
      <c r="L25" s="705">
        <f t="shared" si="33"/>
        <v>2075.7000000000007</v>
      </c>
      <c r="M25" s="690">
        <f>SUMIF('Monthly Cash Flow'!$E$4:$DT$4, 'Annual Summary'!M$3:N$3, 'Monthly Cash Flow'!$E$82:$DT$82)</f>
        <v>558944.49599999993</v>
      </c>
      <c r="N25" s="705">
        <f t="shared" si="34"/>
        <v>2117.2139999999999</v>
      </c>
      <c r="O25" s="690">
        <f>SUMIF('Monthly Cash Flow'!$E$4:$DT$4, 'Annual Summary'!O$3:P$3, 'Monthly Cash Flow'!$E$82:$DT$82)</f>
        <v>570123.38592000003</v>
      </c>
      <c r="P25" s="705">
        <f t="shared" si="35"/>
        <v>2159.5582800000002</v>
      </c>
      <c r="Q25" s="690">
        <f>SUMIF('Monthly Cash Flow'!$E$4:$DT$4, 'Annual Summary'!Q$3:R$3, 'Monthly Cash Flow'!$E$82:$DT$82)</f>
        <v>581525.85363840021</v>
      </c>
      <c r="R25" s="706">
        <f t="shared" si="36"/>
        <v>2202.7494456000009</v>
      </c>
      <c r="S25" s="692">
        <f>SUMIF('Monthly Cash Flow'!$E$4:$DT$4, 'Annual Summary'!S$3:T$3, 'Monthly Cash Flow'!$E$82:$DT$82)</f>
        <v>593156.37071116816</v>
      </c>
      <c r="T25" s="706">
        <f t="shared" si="37"/>
        <v>2246.8044345120006</v>
      </c>
      <c r="U25" s="690">
        <f>SUMIF('Monthly Cash Flow'!$E$4:$DT$4, 'Annual Summary'!U$3:V$3, 'Monthly Cash Flow'!$E$82:$DT$82)</f>
        <v>605019.49812539155</v>
      </c>
      <c r="V25" s="705">
        <f t="shared" si="38"/>
        <v>2291.7405232022406</v>
      </c>
      <c r="W25" s="690">
        <f>SUMIF('Monthly Cash Flow'!$E$4:$DT$4, 'Annual Summary'!W$3:X$3, 'Monthly Cash Flow'!$E$82:$DT$82)</f>
        <v>617119.88808789942</v>
      </c>
      <c r="X25" s="705">
        <f t="shared" si="39"/>
        <v>2337.5753336662856</v>
      </c>
      <c r="Y25" s="690">
        <f>SUMIF('Monthly Cash Flow'!$E$4:$DT$4, 'Annual Summary'!Y$3:Z$3, 'Monthly Cash Flow'!$E$82:$DT$82)</f>
        <v>629462.28584965738</v>
      </c>
      <c r="Z25" s="705">
        <f t="shared" si="40"/>
        <v>2384.3268403396114</v>
      </c>
      <c r="AA25" s="690">
        <f>SUMIF('Monthly Cash Flow'!$E$4:$DT$4, 'Annual Summary'!AA$3:AB$3, 'Monthly Cash Flow'!$E$82:$DT$82)</f>
        <v>642051.53156665049</v>
      </c>
      <c r="AB25" s="705">
        <f t="shared" si="41"/>
        <v>2432.0133771464034</v>
      </c>
      <c r="AC25" s="81" t="s">
        <v>557</v>
      </c>
    </row>
    <row r="26" spans="1:29" s="86" customFormat="1" ht="15" customHeight="1">
      <c r="A26" s="399">
        <v>9</v>
      </c>
      <c r="B26" s="688" t="str">
        <f>'Debt Sizing'!A28</f>
        <v>Marketing</v>
      </c>
      <c r="C26" s="629"/>
      <c r="D26" s="699"/>
      <c r="E26" s="690">
        <f>'Debt Sizing'!B28</f>
        <v>144095.60999999996</v>
      </c>
      <c r="F26" s="705">
        <f>'Debt Sizing'!C28</f>
        <v>545.8167045454544</v>
      </c>
      <c r="G26" s="690">
        <f>'Debt Sizing'!N28</f>
        <v>155496</v>
      </c>
      <c r="H26" s="706">
        <f>'Debt Sizing'!O28</f>
        <v>589</v>
      </c>
      <c r="I26" s="690">
        <f>SUMIF('Monthly Cash Flow'!$E$4:$DT$4, 'Annual Summary'!I$3:J$3, 'Monthly Cash Flow'!$E$83:$DT$83)</f>
        <v>155496</v>
      </c>
      <c r="J26" s="706">
        <f t="shared" si="32"/>
        <v>589</v>
      </c>
      <c r="K26" s="690">
        <f>SUMIF('Monthly Cash Flow'!$E$4:$DT$4, 'Annual Summary'!K$3:L$3, 'Monthly Cash Flow'!$E$83:$DT$83)</f>
        <v>158605.92000000001</v>
      </c>
      <c r="L26" s="705">
        <f t="shared" si="33"/>
        <v>600.78000000000009</v>
      </c>
      <c r="M26" s="690">
        <f>SUMIF('Monthly Cash Flow'!$E$4:$DT$4, 'Annual Summary'!M$3:N$3, 'Monthly Cash Flow'!$E$83:$DT$83)</f>
        <v>161778.03840000005</v>
      </c>
      <c r="N26" s="705">
        <f t="shared" si="34"/>
        <v>612.79560000000015</v>
      </c>
      <c r="O26" s="690">
        <f>SUMIF('Monthly Cash Flow'!$E$4:$DT$4, 'Annual Summary'!O$3:P$3, 'Monthly Cash Flow'!$E$83:$DT$83)</f>
        <v>165013.59916800002</v>
      </c>
      <c r="P26" s="705">
        <f t="shared" si="35"/>
        <v>625.051512</v>
      </c>
      <c r="Q26" s="690">
        <f>SUMIF('Monthly Cash Flow'!$E$4:$DT$4, 'Annual Summary'!Q$3:R$3, 'Monthly Cash Flow'!$E$83:$DT$83)</f>
        <v>168313.87115136007</v>
      </c>
      <c r="R26" s="706">
        <f t="shared" si="36"/>
        <v>637.55254224000032</v>
      </c>
      <c r="S26" s="692">
        <f>SUMIF('Monthly Cash Flow'!$E$4:$DT$4, 'Annual Summary'!S$3:T$3, 'Monthly Cash Flow'!$E$83:$DT$83)</f>
        <v>171680.14857438719</v>
      </c>
      <c r="T26" s="706">
        <f t="shared" si="37"/>
        <v>650.30359308480001</v>
      </c>
      <c r="U26" s="690">
        <f>SUMIF('Monthly Cash Flow'!$E$4:$DT$4, 'Annual Summary'!U$3:V$3, 'Monthly Cash Flow'!$E$83:$DT$83)</f>
        <v>175113.75154587498</v>
      </c>
      <c r="V26" s="705">
        <f t="shared" si="38"/>
        <v>663.30966494649613</v>
      </c>
      <c r="W26" s="690">
        <f>SUMIF('Monthly Cash Flow'!$E$4:$DT$4, 'Annual Summary'!W$3:X$3, 'Monthly Cash Flow'!$E$83:$DT$83)</f>
        <v>178616.02657679247</v>
      </c>
      <c r="X26" s="705">
        <f t="shared" si="39"/>
        <v>676.57585824542605</v>
      </c>
      <c r="Y26" s="690">
        <f>SUMIF('Monthly Cash Flow'!$E$4:$DT$4, 'Annual Summary'!Y$3:Z$3, 'Monthly Cash Flow'!$E$83:$DT$83)</f>
        <v>182188.34710832837</v>
      </c>
      <c r="Z26" s="705">
        <f t="shared" si="40"/>
        <v>690.10737541033473</v>
      </c>
      <c r="AA26" s="690">
        <f>SUMIF('Monthly Cash Flow'!$E$4:$DT$4, 'Annual Summary'!AA$3:AB$3, 'Monthly Cash Flow'!$E$83:$DT$83)</f>
        <v>185832.11405049489</v>
      </c>
      <c r="AB26" s="705">
        <f t="shared" si="41"/>
        <v>703.90952291854126</v>
      </c>
      <c r="AC26" s="81" t="s">
        <v>557</v>
      </c>
    </row>
    <row r="27" spans="1:29" s="86" customFormat="1" ht="15" customHeight="1">
      <c r="A27" s="399">
        <v>9</v>
      </c>
      <c r="B27" s="688" t="str">
        <f>'Debt Sizing'!A29</f>
        <v>General &amp; Admin</v>
      </c>
      <c r="C27" s="629"/>
      <c r="D27" s="699"/>
      <c r="E27" s="690">
        <f>'Debt Sizing'!B29</f>
        <v>153695.04999999999</v>
      </c>
      <c r="F27" s="705">
        <f>'Debt Sizing'!C29</f>
        <v>582.17821969696968</v>
      </c>
      <c r="G27" s="690">
        <f>'Debt Sizing'!N29</f>
        <v>149952</v>
      </c>
      <c r="H27" s="706">
        <f>'Debt Sizing'!O29</f>
        <v>568</v>
      </c>
      <c r="I27" s="690">
        <f>SUMIF('Monthly Cash Flow'!$E$4:$DT$4, 'Annual Summary'!I$3:J$3, 'Monthly Cash Flow'!$E$84:$DT$84)</f>
        <v>149952</v>
      </c>
      <c r="J27" s="706">
        <f t="shared" si="32"/>
        <v>568</v>
      </c>
      <c r="K27" s="690">
        <f>SUMIF('Monthly Cash Flow'!$E$4:$DT$4, 'Annual Summary'!K$3:L$3, 'Monthly Cash Flow'!$E$84:$DT$84)</f>
        <v>152951.04000000001</v>
      </c>
      <c r="L27" s="705">
        <f t="shared" si="33"/>
        <v>579.36</v>
      </c>
      <c r="M27" s="690">
        <f>SUMIF('Monthly Cash Flow'!$E$4:$DT$4, 'Annual Summary'!M$3:N$3, 'Monthly Cash Flow'!$E$84:$DT$84)</f>
        <v>156010.06080000004</v>
      </c>
      <c r="N27" s="705">
        <f t="shared" si="34"/>
        <v>590.94720000000018</v>
      </c>
      <c r="O27" s="690">
        <f>SUMIF('Monthly Cash Flow'!$E$4:$DT$4, 'Annual Summary'!O$3:P$3, 'Monthly Cash Flow'!$E$84:$DT$84)</f>
        <v>159130.26201600008</v>
      </c>
      <c r="P27" s="705">
        <f t="shared" si="35"/>
        <v>602.76614400000028</v>
      </c>
      <c r="Q27" s="690">
        <f>SUMIF('Monthly Cash Flow'!$E$4:$DT$4, 'Annual Summary'!Q$3:R$3, 'Monthly Cash Flow'!$E$84:$DT$84)</f>
        <v>162312.86725631999</v>
      </c>
      <c r="R27" s="706">
        <f t="shared" si="36"/>
        <v>614.82146688</v>
      </c>
      <c r="S27" s="692">
        <f>SUMIF('Monthly Cash Flow'!$E$4:$DT$4, 'Annual Summary'!S$3:T$3, 'Monthly Cash Flow'!$E$84:$DT$84)</f>
        <v>165559.12460144641</v>
      </c>
      <c r="T27" s="706">
        <f t="shared" si="37"/>
        <v>627.11789621759999</v>
      </c>
      <c r="U27" s="690">
        <f>SUMIF('Monthly Cash Flow'!$E$4:$DT$4, 'Annual Summary'!U$3:V$3, 'Monthly Cash Flow'!$E$84:$DT$84)</f>
        <v>168870.30709347533</v>
      </c>
      <c r="V27" s="705">
        <f t="shared" si="38"/>
        <v>639.66025414195201</v>
      </c>
      <c r="W27" s="690">
        <f>SUMIF('Monthly Cash Flow'!$E$4:$DT$4, 'Annual Summary'!W$3:X$3, 'Monthly Cash Flow'!$E$84:$DT$84)</f>
        <v>172247.71323534485</v>
      </c>
      <c r="X27" s="705">
        <f t="shared" si="39"/>
        <v>652.45345922479112</v>
      </c>
      <c r="Y27" s="690">
        <f>SUMIF('Monthly Cash Flow'!$E$4:$DT$4, 'Annual Summary'!Y$3:Z$3, 'Monthly Cash Flow'!$E$84:$DT$84)</f>
        <v>175692.66750005176</v>
      </c>
      <c r="Z27" s="705">
        <f t="shared" si="40"/>
        <v>665.50252840928692</v>
      </c>
      <c r="AA27" s="690">
        <f>SUMIF('Monthly Cash Flow'!$E$4:$DT$4, 'Annual Summary'!AA$3:AB$3, 'Monthly Cash Flow'!$E$84:$DT$84)</f>
        <v>179206.52085005282</v>
      </c>
      <c r="AB27" s="705">
        <f t="shared" si="41"/>
        <v>678.81257897747287</v>
      </c>
      <c r="AC27" s="81" t="s">
        <v>557</v>
      </c>
    </row>
    <row r="28" spans="1:29" s="86" customFormat="1" ht="19">
      <c r="A28" s="399">
        <v>9</v>
      </c>
      <c r="B28" s="688" t="str">
        <f>'Debt Sizing'!A30</f>
        <v>Utilities</v>
      </c>
      <c r="C28" s="629"/>
      <c r="D28" s="699"/>
      <c r="E28" s="690">
        <f>'Debt Sizing'!B30</f>
        <v>411474.28999999969</v>
      </c>
      <c r="F28" s="705">
        <f>'Debt Sizing'!C30</f>
        <v>1558.6147348484837</v>
      </c>
      <c r="G28" s="690">
        <f>'Debt Sizing'!N30</f>
        <v>404448</v>
      </c>
      <c r="H28" s="706">
        <f>'Debt Sizing'!O30</f>
        <v>1532</v>
      </c>
      <c r="I28" s="690">
        <f>SUMIF('Monthly Cash Flow'!$E$4:$DT$4, 'Annual Summary'!I$3:J$3, 'Monthly Cash Flow'!$E$85:$DT$85)</f>
        <v>404448</v>
      </c>
      <c r="J28" s="706">
        <f t="shared" si="32"/>
        <v>1532</v>
      </c>
      <c r="K28" s="690">
        <f>SUMIF('Monthly Cash Flow'!$E$4:$DT$4, 'Annual Summary'!K$3:L$3, 'Monthly Cash Flow'!$E$85:$DT$85)</f>
        <v>412536.96000000014</v>
      </c>
      <c r="L28" s="705">
        <f t="shared" si="33"/>
        <v>1562.6400000000006</v>
      </c>
      <c r="M28" s="690">
        <f>SUMIF('Monthly Cash Flow'!$E$4:$DT$4, 'Annual Summary'!M$3:N$3, 'Monthly Cash Flow'!$E$85:$DT$85)</f>
        <v>420787.69919999992</v>
      </c>
      <c r="N28" s="705">
        <f t="shared" si="34"/>
        <v>1593.8927999999996</v>
      </c>
      <c r="O28" s="690">
        <f>SUMIF('Monthly Cash Flow'!$E$4:$DT$4, 'Annual Summary'!O$3:P$3, 'Monthly Cash Flow'!$E$85:$DT$85)</f>
        <v>429203.45318400004</v>
      </c>
      <c r="P28" s="705">
        <f t="shared" si="35"/>
        <v>1625.7706560000001</v>
      </c>
      <c r="Q28" s="690">
        <f>SUMIF('Monthly Cash Flow'!$E$4:$DT$4, 'Annual Summary'!Q$3:R$3, 'Monthly Cash Flow'!$E$85:$DT$85)</f>
        <v>437787.52224768006</v>
      </c>
      <c r="R28" s="706">
        <f t="shared" si="36"/>
        <v>1658.2860691200003</v>
      </c>
      <c r="S28" s="692">
        <f>SUMIF('Monthly Cash Flow'!$E$4:$DT$4, 'Annual Summary'!S$3:T$3, 'Monthly Cash Flow'!$E$85:$DT$85)</f>
        <v>446543.27269263373</v>
      </c>
      <c r="T28" s="706">
        <f t="shared" si="37"/>
        <v>1691.4517905024004</v>
      </c>
      <c r="U28" s="690">
        <f>SUMIF('Monthly Cash Flow'!$E$4:$DT$4, 'Annual Summary'!U$3:V$3, 'Monthly Cash Flow'!$E$85:$DT$85)</f>
        <v>455474.13814648631</v>
      </c>
      <c r="V28" s="705">
        <f t="shared" si="38"/>
        <v>1725.2808263124482</v>
      </c>
      <c r="W28" s="690">
        <f>SUMIF('Monthly Cash Flow'!$E$4:$DT$4, 'Annual Summary'!W$3:X$3, 'Monthly Cash Flow'!$E$85:$DT$85)</f>
        <v>464583.62090941606</v>
      </c>
      <c r="X28" s="705">
        <f t="shared" si="39"/>
        <v>1759.7864428386972</v>
      </c>
      <c r="Y28" s="690">
        <f>SUMIF('Monthly Cash Flow'!$E$4:$DT$4, 'Annual Summary'!Y$3:Z$3, 'Monthly Cash Flow'!$E$85:$DT$85)</f>
        <v>473875.29332760436</v>
      </c>
      <c r="Z28" s="705">
        <f t="shared" si="40"/>
        <v>1794.9821716954712</v>
      </c>
      <c r="AA28" s="690">
        <f>SUMIF('Monthly Cash Flow'!$E$4:$DT$4, 'Annual Summary'!AA$3:AB$3, 'Monthly Cash Flow'!$E$85:$DT$85)</f>
        <v>483352.79919415648</v>
      </c>
      <c r="AB28" s="705">
        <f t="shared" si="41"/>
        <v>1830.8818151293806</v>
      </c>
      <c r="AC28" s="81" t="s">
        <v>557</v>
      </c>
    </row>
    <row r="29" spans="1:29" s="86" customFormat="1" ht="19">
      <c r="A29" s="399"/>
      <c r="B29" s="719" t="s">
        <v>611</v>
      </c>
      <c r="C29" s="653"/>
      <c r="D29" s="720"/>
      <c r="E29" s="721">
        <f t="shared" ref="E29:J29" si="42">SUM(E22:E28)</f>
        <v>1394682.12</v>
      </c>
      <c r="F29" s="722">
        <f t="shared" si="42"/>
        <v>5282.8868181818179</v>
      </c>
      <c r="G29" s="721">
        <f t="shared" ref="G29:H29" si="43">SUM(G22:G28)</f>
        <v>1450680</v>
      </c>
      <c r="H29" s="723">
        <f t="shared" si="43"/>
        <v>5495</v>
      </c>
      <c r="I29" s="721">
        <f t="shared" si="42"/>
        <v>1450680</v>
      </c>
      <c r="J29" s="723">
        <f t="shared" si="42"/>
        <v>5495</v>
      </c>
      <c r="K29" s="721">
        <f t="shared" ref="K29:N29" si="44">SUM(K22:K28)</f>
        <v>1479693.6000000003</v>
      </c>
      <c r="L29" s="722">
        <f t="shared" si="44"/>
        <v>5604.9000000000015</v>
      </c>
      <c r="M29" s="721">
        <f t="shared" si="44"/>
        <v>1509287.4719999998</v>
      </c>
      <c r="N29" s="722">
        <f t="shared" si="44"/>
        <v>5716.9980000000005</v>
      </c>
      <c r="O29" s="721">
        <f t="shared" ref="O29:R29" si="45">SUM(O22:O28)</f>
        <v>1539473.22144</v>
      </c>
      <c r="P29" s="722">
        <f t="shared" si="45"/>
        <v>5831.3379600000007</v>
      </c>
      <c r="Q29" s="721">
        <f t="shared" si="45"/>
        <v>1570262.6858688004</v>
      </c>
      <c r="R29" s="723">
        <f t="shared" si="45"/>
        <v>5947.964719200002</v>
      </c>
      <c r="S29" s="722">
        <f t="shared" ref="S29:T29" si="46">SUM(S22:S28)</f>
        <v>1601667.9395861763</v>
      </c>
      <c r="T29" s="723">
        <f t="shared" si="46"/>
        <v>6066.9240135840009</v>
      </c>
      <c r="U29" s="721">
        <f t="shared" ref="U29:V29" si="47">SUM(U22:U28)</f>
        <v>1633701.2983778999</v>
      </c>
      <c r="V29" s="722">
        <f t="shared" si="47"/>
        <v>6188.2624938556801</v>
      </c>
      <c r="W29" s="721">
        <f t="shared" ref="W29:X29" si="48">SUM(W22:W28)</f>
        <v>1666375.3243454578</v>
      </c>
      <c r="X29" s="722">
        <f t="shared" si="48"/>
        <v>6312.027743732795</v>
      </c>
      <c r="Y29" s="721">
        <f t="shared" ref="Y29:Z29" si="49">SUM(Y22:Y28)</f>
        <v>1699702.8308323668</v>
      </c>
      <c r="Z29" s="722">
        <f t="shared" si="49"/>
        <v>6438.2682986074515</v>
      </c>
      <c r="AA29" s="721">
        <f t="shared" ref="AA29:AB29" si="50">SUM(AA22:AA28)</f>
        <v>1733696.8874490145</v>
      </c>
      <c r="AB29" s="723">
        <f t="shared" si="50"/>
        <v>6567.0336645796006</v>
      </c>
      <c r="AC29" s="81" t="s">
        <v>557</v>
      </c>
    </row>
    <row r="30" spans="1:29" s="86" customFormat="1" ht="19">
      <c r="A30" s="399"/>
      <c r="B30" s="688"/>
      <c r="C30" s="629"/>
      <c r="D30" s="689"/>
      <c r="E30" s="724"/>
      <c r="F30" s="725"/>
      <c r="G30" s="724"/>
      <c r="H30" s="726"/>
      <c r="I30" s="724"/>
      <c r="J30" s="726"/>
      <c r="K30" s="724"/>
      <c r="L30" s="725"/>
      <c r="M30" s="724"/>
      <c r="N30" s="725"/>
      <c r="O30" s="724"/>
      <c r="P30" s="725"/>
      <c r="Q30" s="724"/>
      <c r="R30" s="726"/>
      <c r="S30" s="725"/>
      <c r="T30" s="726"/>
      <c r="U30" s="724"/>
      <c r="V30" s="725"/>
      <c r="W30" s="724"/>
      <c r="X30" s="725"/>
      <c r="Y30" s="724"/>
      <c r="Z30" s="725"/>
      <c r="AA30" s="724"/>
      <c r="AB30" s="725"/>
      <c r="AC30" s="81" t="s">
        <v>557</v>
      </c>
    </row>
    <row r="31" spans="1:29" s="86" customFormat="1" ht="15" customHeight="1">
      <c r="A31" s="399">
        <v>9</v>
      </c>
      <c r="B31" s="688" t="str">
        <f>'Debt Sizing'!A33</f>
        <v>Insurance</v>
      </c>
      <c r="C31" s="629"/>
      <c r="D31" s="699"/>
      <c r="E31" s="690">
        <f>'Debt Sizing'!B33</f>
        <v>133981.79</v>
      </c>
      <c r="F31" s="705">
        <f>'Debt Sizing'!C33</f>
        <v>507.50678030303033</v>
      </c>
      <c r="G31" s="690">
        <f>'Debt Sizing'!N33</f>
        <v>117480</v>
      </c>
      <c r="H31" s="706">
        <f>'Debt Sizing'!O33</f>
        <v>445</v>
      </c>
      <c r="I31" s="690">
        <f>SUMIF('Monthly Cash Flow'!$E$4:$DT$4, 'Annual Summary'!I$3:J$3, 'Monthly Cash Flow'!$E$88:$DT$88)</f>
        <v>117480</v>
      </c>
      <c r="J31" s="706">
        <f>I31/units</f>
        <v>445</v>
      </c>
      <c r="K31" s="690">
        <f>SUMIF('Monthly Cash Flow'!$E$4:$DT$4, 'Annual Summary'!K$3:L$3, 'Monthly Cash Flow'!$E$88:$DT$88)</f>
        <v>121004.39999999998</v>
      </c>
      <c r="L31" s="705">
        <f>K31/units</f>
        <v>458.34999999999991</v>
      </c>
      <c r="M31" s="690">
        <f>SUMIF('Monthly Cash Flow'!$E$4:$DT$4, 'Annual Summary'!M$3:N$3, 'Monthly Cash Flow'!$E$88:$DT$88)</f>
        <v>124634.53199999999</v>
      </c>
      <c r="N31" s="705">
        <f>M31/units</f>
        <v>472.10049999999995</v>
      </c>
      <c r="O31" s="690">
        <f>SUMIF('Monthly Cash Flow'!$E$4:$DT$4, 'Annual Summary'!O$3:P$3, 'Monthly Cash Flow'!$E$88:$DT$88)</f>
        <v>128373.56796000001</v>
      </c>
      <c r="P31" s="705">
        <f>O31/units</f>
        <v>486.26351500000004</v>
      </c>
      <c r="Q31" s="690">
        <f>SUMIF('Monthly Cash Flow'!$E$4:$DT$4, 'Annual Summary'!Q$3:R$3, 'Monthly Cash Flow'!$E$88:$DT$88)</f>
        <v>132224.77499879999</v>
      </c>
      <c r="R31" s="706">
        <f>Q31/units</f>
        <v>500.85142044999992</v>
      </c>
      <c r="S31" s="692">
        <f>SUMIF('Monthly Cash Flow'!$E$4:$DT$4, 'Annual Summary'!S$3:T$3, 'Monthly Cash Flow'!$E$88:$DT$88)</f>
        <v>136191.51824876407</v>
      </c>
      <c r="T31" s="706">
        <f>S31/units</f>
        <v>515.87696306350028</v>
      </c>
      <c r="U31" s="690">
        <f>SUMIF('Monthly Cash Flow'!$E$4:$DT$4, 'Annual Summary'!U$3:V$3, 'Monthly Cash Flow'!$E$88:$DT$88)</f>
        <v>140277.26379622697</v>
      </c>
      <c r="V31" s="705">
        <f>U31/units</f>
        <v>531.35327195540515</v>
      </c>
      <c r="W31" s="690">
        <f>SUMIF('Monthly Cash Flow'!$E$4:$DT$4, 'Annual Summary'!W$3:X$3, 'Monthly Cash Flow'!$E$88:$DT$88)</f>
        <v>144485.58171011377</v>
      </c>
      <c r="X31" s="705">
        <f>W31/units</f>
        <v>547.29387011406732</v>
      </c>
      <c r="Y31" s="690">
        <f>SUMIF('Monthly Cash Flow'!$E$4:$DT$4, 'Annual Summary'!Y$3:Z$3, 'Monthly Cash Flow'!$E$88:$DT$88)</f>
        <v>148820.14916141718</v>
      </c>
      <c r="Z31" s="705">
        <f>Y31/units</f>
        <v>563.71268621748936</v>
      </c>
      <c r="AA31" s="690">
        <f>SUMIF('Monthly Cash Flow'!$E$4:$DT$4, 'Annual Summary'!AA$3:AB$3, 'Monthly Cash Flow'!$E$88:$DT$88)</f>
        <v>153284.75363625967</v>
      </c>
      <c r="AB31" s="705">
        <f>AA31/units</f>
        <v>580.62406680401386</v>
      </c>
      <c r="AC31" s="81" t="s">
        <v>557</v>
      </c>
    </row>
    <row r="32" spans="1:29" s="86" customFormat="1" ht="15" customHeight="1">
      <c r="A32" s="399">
        <v>9</v>
      </c>
      <c r="B32" s="688" t="str">
        <f>'Debt Sizing'!A34</f>
        <v xml:space="preserve">Property Management </v>
      </c>
      <c r="C32" s="629"/>
      <c r="D32" s="699"/>
      <c r="E32" s="690">
        <f>'Debt Sizing'!B34</f>
        <v>114091.56000000001</v>
      </c>
      <c r="F32" s="666">
        <f>'Debt Sizing'!C34</f>
        <v>3.1739731815535584E-2</v>
      </c>
      <c r="G32" s="690">
        <f>'Debt Sizing'!N34</f>
        <v>123954.45239999998</v>
      </c>
      <c r="H32" s="666">
        <f>'Debt Sizing'!O34</f>
        <v>0.03</v>
      </c>
      <c r="I32" s="690">
        <f>SUMIF('Monthly Cash Flow'!$E$4:$DT$4, 'Annual Summary'!I$3:J$3, 'Monthly Cash Flow'!$E$89:$DT$89)</f>
        <v>144931.29558789489</v>
      </c>
      <c r="J32" s="666">
        <f>I32/I19</f>
        <v>2.9999999999999995E-2</v>
      </c>
      <c r="K32" s="690">
        <f>SUMIF('Monthly Cash Flow'!$E$4:$DT$4, 'Annual Summary'!K$3:L$3, 'Monthly Cash Flow'!$E$89:$DT$89)</f>
        <v>155453.30100873674</v>
      </c>
      <c r="L32" s="666">
        <f>K32/K19</f>
        <v>0.03</v>
      </c>
      <c r="M32" s="690">
        <f>SUMIF('Monthly Cash Flow'!$E$4:$DT$4, 'Annual Summary'!M$3:N$3, 'Monthly Cash Flow'!$E$89:$DT$89)</f>
        <v>163755.91418387441</v>
      </c>
      <c r="N32" s="666">
        <f>M32/M19</f>
        <v>2.9999999999999995E-2</v>
      </c>
      <c r="O32" s="690">
        <f>SUMIF('Monthly Cash Flow'!$E$4:$DT$4, 'Annual Summary'!O$3:P$3, 'Monthly Cash Flow'!$E$89:$DT$89)</f>
        <v>170181.60415012602</v>
      </c>
      <c r="P32" s="666">
        <f>O32/O19</f>
        <v>0.03</v>
      </c>
      <c r="Q32" s="690">
        <f>SUMIF('Monthly Cash Flow'!$E$4:$DT$4, 'Annual Summary'!Q$3:R$3, 'Monthly Cash Flow'!$E$89:$DT$89)</f>
        <v>176780.2695797534</v>
      </c>
      <c r="R32" s="666">
        <f>Q32/Q19</f>
        <v>0.03</v>
      </c>
      <c r="S32" s="692">
        <f>SUMIF('Monthly Cash Flow'!$E$4:$DT$4, 'Annual Summary'!S$3:T$3, 'Monthly Cash Flow'!$E$89:$DT$89)</f>
        <v>183721.61178120264</v>
      </c>
      <c r="T32" s="666">
        <f>S32/S19</f>
        <v>3.0000000000000002E-2</v>
      </c>
      <c r="U32" s="690">
        <f>SUMIF('Monthly Cash Flow'!$E$4:$DT$4, 'Annual Summary'!U$3:V$3, 'Monthly Cash Flow'!$E$89:$DT$89)</f>
        <v>190937.9262117029</v>
      </c>
      <c r="V32" s="666">
        <f>U32/U19</f>
        <v>2.9999999999999992E-2</v>
      </c>
      <c r="W32" s="690">
        <f>SUMIF('Monthly Cash Flow'!$E$4:$DT$4, 'Annual Summary'!W$3:X$3, 'Monthly Cash Flow'!$E$89:$DT$89)</f>
        <v>198440.18080126078</v>
      </c>
      <c r="X32" s="666">
        <f>W32/W19</f>
        <v>3.0000000000000006E-2</v>
      </c>
      <c r="Y32" s="690">
        <f>SUMIF('Monthly Cash Flow'!$E$4:$DT$4, 'Annual Summary'!Y$3:Z$3, 'Monthly Cash Flow'!$E$89:$DT$89)</f>
        <v>206239.78328438805</v>
      </c>
      <c r="Z32" s="666">
        <f>Y32/Y19</f>
        <v>3.0000000000000016E-2</v>
      </c>
      <c r="AA32" s="690">
        <f>SUMIF('Monthly Cash Flow'!$E$4:$DT$4, 'Annual Summary'!AA$3:AB$3, 'Monthly Cash Flow'!$E$89:$DT$89)</f>
        <v>214348.5989070388</v>
      </c>
      <c r="AB32" s="666">
        <f>AA32/AA19</f>
        <v>2.9999999999999985E-2</v>
      </c>
      <c r="AC32" s="81" t="s">
        <v>557</v>
      </c>
    </row>
    <row r="33" spans="1:29" s="86" customFormat="1" ht="19">
      <c r="A33" s="399">
        <v>9</v>
      </c>
      <c r="B33" s="688" t="str">
        <f>'Debt Sizing'!A35</f>
        <v>Real Estate Taxes</v>
      </c>
      <c r="C33" s="629"/>
      <c r="D33" s="699"/>
      <c r="E33" s="690">
        <f>'Debt Sizing'!B35</f>
        <v>623314.08999999985</v>
      </c>
      <c r="F33" s="705">
        <f>'Debt Sizing'!C35</f>
        <v>2361.038219696969</v>
      </c>
      <c r="G33" s="690">
        <f>'Debt Sizing'!N35</f>
        <v>478792.32</v>
      </c>
      <c r="H33" s="706">
        <f>'Debt Sizing'!O35</f>
        <v>1813.6072727272729</v>
      </c>
      <c r="I33" s="690">
        <f>SUMIF('Monthly Cash Flow'!$E$4:$DT$4, 'Annual Summary'!I$3:J$3, 'Monthly Cash Flow'!$E$90:$DT$90)</f>
        <v>478792.31999999989</v>
      </c>
      <c r="J33" s="706">
        <f>I33/units</f>
        <v>1813.6072727272724</v>
      </c>
      <c r="K33" s="690">
        <f>SUMIF('Monthly Cash Flow'!$E$4:$DT$4, 'Annual Summary'!K$3:L$3, 'Monthly Cash Flow'!$E$90:$DT$90)</f>
        <v>493156.08960000001</v>
      </c>
      <c r="L33" s="705">
        <f>K33/units</f>
        <v>1868.0154909090909</v>
      </c>
      <c r="M33" s="690">
        <f>SUMIF('Monthly Cash Flow'!$E$4:$DT$4, 'Annual Summary'!M$3:N$3, 'Monthly Cash Flow'!$E$90:$DT$90)</f>
        <v>507950.77228799992</v>
      </c>
      <c r="N33" s="705">
        <f>M33/units</f>
        <v>1924.0559556363633</v>
      </c>
      <c r="O33" s="690">
        <f>SUMIF('Monthly Cash Flow'!$E$4:$DT$4, 'Annual Summary'!O$3:P$3, 'Monthly Cash Flow'!$E$90:$DT$90)</f>
        <v>523189.2954566399</v>
      </c>
      <c r="P33" s="705">
        <f>O33/units</f>
        <v>1981.7776343054541</v>
      </c>
      <c r="Q33" s="690">
        <f>SUMIF('Monthly Cash Flow'!$E$4:$DT$4, 'Annual Summary'!Q$3:R$3, 'Monthly Cash Flow'!$E$90:$DT$90)</f>
        <v>536247.39840000006</v>
      </c>
      <c r="R33" s="706">
        <f>Q33/units</f>
        <v>2031.2401454545457</v>
      </c>
      <c r="S33" s="692">
        <f>SUMIF('Monthly Cash Flow'!$E$4:$DT$4, 'Annual Summary'!S$3:T$3, 'Monthly Cash Flow'!$E$90:$DT$90)</f>
        <v>536247.39840000006</v>
      </c>
      <c r="T33" s="706">
        <f>S33/units</f>
        <v>2031.2401454545457</v>
      </c>
      <c r="U33" s="690">
        <f>SUMIF('Monthly Cash Flow'!$E$4:$DT$4, 'Annual Summary'!U$3:V$3, 'Monthly Cash Flow'!$E$90:$DT$90)</f>
        <v>536247.39840000006</v>
      </c>
      <c r="V33" s="705">
        <f>U33/units</f>
        <v>2031.2401454545457</v>
      </c>
      <c r="W33" s="690">
        <f>SUMIF('Monthly Cash Flow'!$E$4:$DT$4, 'Annual Summary'!W$3:X$3, 'Monthly Cash Flow'!$E$90:$DT$90)</f>
        <v>536247.39840000006</v>
      </c>
      <c r="X33" s="705">
        <f>W33/units</f>
        <v>2031.2401454545457</v>
      </c>
      <c r="Y33" s="690">
        <f>SUMIF('Monthly Cash Flow'!$E$4:$DT$4, 'Annual Summary'!Y$3:Z$3, 'Monthly Cash Flow'!$E$90:$DT$90)</f>
        <v>536247.39840000006</v>
      </c>
      <c r="Z33" s="705">
        <f>Y33/units</f>
        <v>2031.2401454545457</v>
      </c>
      <c r="AA33" s="690">
        <f>SUMIF('Monthly Cash Flow'!$E$4:$DT$4, 'Annual Summary'!AA$3:AB$3, 'Monthly Cash Flow'!$E$90:$DT$90)</f>
        <v>536247.39840000006</v>
      </c>
      <c r="AB33" s="705">
        <f>AA33/units</f>
        <v>2031.2401454545457</v>
      </c>
      <c r="AC33" s="81" t="s">
        <v>557</v>
      </c>
    </row>
    <row r="34" spans="1:29" s="86" customFormat="1" ht="19" hidden="1" outlineLevel="1">
      <c r="A34" s="399">
        <v>9</v>
      </c>
      <c r="B34" s="688" t="str">
        <f>'Debt Sizing'!A36</f>
        <v>Franchise Taxes</v>
      </c>
      <c r="C34" s="629"/>
      <c r="D34" s="699"/>
      <c r="E34" s="690">
        <f>'Debt Sizing'!B36</f>
        <v>0</v>
      </c>
      <c r="F34" s="665">
        <f>'Debt Sizing'!C36</f>
        <v>0</v>
      </c>
      <c r="G34" s="690">
        <f>'Debt Sizing'!N36</f>
        <v>0</v>
      </c>
      <c r="H34" s="665">
        <f>'Debt Sizing'!O36</f>
        <v>0</v>
      </c>
      <c r="I34" s="690">
        <f>SUMIF('Monthly Cash Flow'!$E$4:$DT$4, 'Annual Summary'!I$3:J$3, 'Monthly Cash Flow'!$E$91:$DT$91)</f>
        <v>0</v>
      </c>
      <c r="J34" s="665">
        <f>I34/I19</f>
        <v>0</v>
      </c>
      <c r="K34" s="690">
        <f>SUMIF('Monthly Cash Flow'!$E$4:$DT$4, 'Annual Summary'!K$3:L$3, 'Monthly Cash Flow'!$E$91:$DT$91)</f>
        <v>0</v>
      </c>
      <c r="L34" s="665">
        <f>K34/K19</f>
        <v>0</v>
      </c>
      <c r="M34" s="690">
        <f>SUMIF('Monthly Cash Flow'!$E$4:$DT$4, 'Annual Summary'!M$3:N$3, 'Monthly Cash Flow'!$E$91:$DT$91)</f>
        <v>0</v>
      </c>
      <c r="N34" s="665">
        <f>M34/M19</f>
        <v>0</v>
      </c>
      <c r="O34" s="690">
        <f>SUMIF('Monthly Cash Flow'!$E$4:$DT$4, 'Annual Summary'!O$3:P$3, 'Monthly Cash Flow'!$E$91:$DT$91)</f>
        <v>0</v>
      </c>
      <c r="P34" s="665">
        <f>O34/O19</f>
        <v>0</v>
      </c>
      <c r="Q34" s="690">
        <f>SUMIF('Monthly Cash Flow'!$E$4:$DT$4, 'Annual Summary'!Q$3:R$3, 'Monthly Cash Flow'!$E$91:$DT$91)</f>
        <v>0</v>
      </c>
      <c r="R34" s="665">
        <f>Q34/Q19</f>
        <v>0</v>
      </c>
      <c r="S34" s="692">
        <f>SUMIF('Monthly Cash Flow'!$E$4:$DT$4, 'Annual Summary'!S$3:T$3, 'Monthly Cash Flow'!$E$91:$DT$91)</f>
        <v>0</v>
      </c>
      <c r="T34" s="665">
        <f>S34/S19</f>
        <v>0</v>
      </c>
      <c r="U34" s="690">
        <f>SUMIF('Monthly Cash Flow'!$E$4:$DT$4, 'Annual Summary'!U$3:V$3, 'Monthly Cash Flow'!$E$91:$DT$91)</f>
        <v>0</v>
      </c>
      <c r="V34" s="665">
        <f>U34/U19</f>
        <v>0</v>
      </c>
      <c r="W34" s="690">
        <f>SUMIF('Monthly Cash Flow'!$E$4:$DT$4, 'Annual Summary'!W$3:X$3, 'Monthly Cash Flow'!$E$91:$DT$91)</f>
        <v>0</v>
      </c>
      <c r="X34" s="665">
        <f>W34/W19</f>
        <v>0</v>
      </c>
      <c r="Y34" s="690">
        <f>SUMIF('Monthly Cash Flow'!$E$4:$DT$4, 'Annual Summary'!Y$3:Z$3, 'Monthly Cash Flow'!$E$91:$DT$91)</f>
        <v>0</v>
      </c>
      <c r="Z34" s="665">
        <f>Y34/Y19</f>
        <v>0</v>
      </c>
      <c r="AA34" s="690">
        <f>SUMIF('Monthly Cash Flow'!$E$4:$DT$4, 'Annual Summary'!AA$3:AB$3, 'Monthly Cash Flow'!$E$91:$DT$91)</f>
        <v>0</v>
      </c>
      <c r="AB34" s="665">
        <f>AA34/AA19</f>
        <v>0</v>
      </c>
      <c r="AC34" s="81" t="s">
        <v>557</v>
      </c>
    </row>
    <row r="35" spans="1:29" s="86" customFormat="1" ht="15" customHeight="1" collapsed="1">
      <c r="A35" s="399">
        <v>9</v>
      </c>
      <c r="B35" s="688" t="str">
        <f>'Debt Sizing'!A37</f>
        <v>Replacement Reserves</v>
      </c>
      <c r="C35" s="629"/>
      <c r="D35" s="699"/>
      <c r="E35" s="690">
        <f>'Debt Sizing'!B37</f>
        <v>0</v>
      </c>
      <c r="F35" s="705">
        <f>'Debt Sizing'!C37</f>
        <v>0</v>
      </c>
      <c r="G35" s="690">
        <f>'Debt Sizing'!N37</f>
        <v>66000</v>
      </c>
      <c r="H35" s="706">
        <f>'Debt Sizing'!O37</f>
        <v>250</v>
      </c>
      <c r="I35" s="690">
        <f>SUMIF('Monthly Cash Flow'!$E$4:$DT$4, 'Annual Summary'!I$3:J$3, 'Monthly Cash Flow'!$E$92:$DT$92)</f>
        <v>66000</v>
      </c>
      <c r="J35" s="706">
        <f>I35/units</f>
        <v>250</v>
      </c>
      <c r="K35" s="690">
        <f>SUMIF('Monthly Cash Flow'!$E$4:$DT$4, 'Annual Summary'!K$3:L$3, 'Monthly Cash Flow'!$E$92:$DT$92)</f>
        <v>66000</v>
      </c>
      <c r="L35" s="705">
        <f>K35/units</f>
        <v>250</v>
      </c>
      <c r="M35" s="690">
        <f>SUMIF('Monthly Cash Flow'!$E$4:$DT$4, 'Annual Summary'!M$3:N$3, 'Monthly Cash Flow'!$E$92:$DT$92)</f>
        <v>66000</v>
      </c>
      <c r="N35" s="705">
        <f>M35/units</f>
        <v>250</v>
      </c>
      <c r="O35" s="690">
        <f>SUMIF('Monthly Cash Flow'!$E$4:$DT$4, 'Annual Summary'!O$3:P$3, 'Monthly Cash Flow'!$E$92:$DT$92)</f>
        <v>66000</v>
      </c>
      <c r="P35" s="705">
        <f>O35/units</f>
        <v>250</v>
      </c>
      <c r="Q35" s="690">
        <f>SUMIF('Monthly Cash Flow'!$E$4:$DT$4, 'Annual Summary'!Q$3:R$3, 'Monthly Cash Flow'!$E$92:$DT$92)</f>
        <v>66000</v>
      </c>
      <c r="R35" s="706">
        <f>Q35/units</f>
        <v>250</v>
      </c>
      <c r="S35" s="692">
        <f>SUMIF('Monthly Cash Flow'!$E$4:$DT$4, 'Annual Summary'!S$3:T$3, 'Monthly Cash Flow'!$E$92:$DT$92)</f>
        <v>66000</v>
      </c>
      <c r="T35" s="706">
        <f>S35/units</f>
        <v>250</v>
      </c>
      <c r="U35" s="690">
        <f>SUMIF('Monthly Cash Flow'!$E$4:$DT$4, 'Annual Summary'!U$3:V$3, 'Monthly Cash Flow'!$E$92:$DT$92)</f>
        <v>66000</v>
      </c>
      <c r="V35" s="705">
        <f>U35/units</f>
        <v>250</v>
      </c>
      <c r="W35" s="690">
        <f>SUMIF('Monthly Cash Flow'!$E$4:$DT$4, 'Annual Summary'!W$3:X$3, 'Monthly Cash Flow'!$E$92:$DT$92)</f>
        <v>66000</v>
      </c>
      <c r="X35" s="705">
        <f>W35/units</f>
        <v>250</v>
      </c>
      <c r="Y35" s="690">
        <f>SUMIF('Monthly Cash Flow'!$E$4:$DT$4, 'Annual Summary'!Y$3:Z$3, 'Monthly Cash Flow'!$E$92:$DT$92)</f>
        <v>66000</v>
      </c>
      <c r="Z35" s="705">
        <f>Y35/units</f>
        <v>250</v>
      </c>
      <c r="AA35" s="690">
        <f>SUMIF('Monthly Cash Flow'!$E$4:$DT$4, 'Annual Summary'!AA$3:AB$3, 'Monthly Cash Flow'!$E$92:$DT$92)</f>
        <v>66000</v>
      </c>
      <c r="AB35" s="705">
        <f>AA35/units</f>
        <v>250</v>
      </c>
      <c r="AC35" s="81" t="s">
        <v>557</v>
      </c>
    </row>
    <row r="36" spans="1:29" s="86" customFormat="1" ht="15" customHeight="1">
      <c r="A36" s="196"/>
      <c r="B36" s="719" t="s">
        <v>612</v>
      </c>
      <c r="C36" s="653"/>
      <c r="D36" s="720"/>
      <c r="E36" s="721">
        <f t="shared" ref="E36:I36" si="51">SUM(E31:E35)</f>
        <v>871387.44</v>
      </c>
      <c r="F36" s="722">
        <f>E36/units</f>
        <v>3300.7099999999996</v>
      </c>
      <c r="G36" s="721">
        <f t="shared" ref="G36" si="52">SUM(G31:G35)</f>
        <v>786226.77240000002</v>
      </c>
      <c r="H36" s="723">
        <f>G36/units</f>
        <v>2978.1317136363637</v>
      </c>
      <c r="I36" s="721">
        <f t="shared" si="51"/>
        <v>807203.6155878948</v>
      </c>
      <c r="J36" s="723">
        <f>I36/units</f>
        <v>3057.58945298445</v>
      </c>
      <c r="K36" s="721">
        <f t="shared" ref="K36:M36" si="53">SUM(K31:K35)</f>
        <v>835613.79060873669</v>
      </c>
      <c r="L36" s="722">
        <f>K36/units</f>
        <v>3165.2037523058207</v>
      </c>
      <c r="M36" s="721">
        <f t="shared" si="53"/>
        <v>862341.21847187425</v>
      </c>
      <c r="N36" s="722">
        <f>M36/units</f>
        <v>3266.4440093631601</v>
      </c>
      <c r="O36" s="721">
        <f t="shared" ref="O36:Q36" si="54">SUM(O31:O35)</f>
        <v>887744.46756676584</v>
      </c>
      <c r="P36" s="722">
        <f>O36/units</f>
        <v>3362.6684377529009</v>
      </c>
      <c r="Q36" s="721">
        <f t="shared" si="54"/>
        <v>911252.44297855347</v>
      </c>
      <c r="R36" s="723">
        <f>Q36/units</f>
        <v>3451.7137991611876</v>
      </c>
      <c r="S36" s="722">
        <f t="shared" ref="S36" si="55">SUM(S31:S35)</f>
        <v>922160.52842996677</v>
      </c>
      <c r="T36" s="723">
        <f>S36/units</f>
        <v>3493.0323046589651</v>
      </c>
      <c r="U36" s="721">
        <f t="shared" ref="U36" si="56">SUM(U31:U35)</f>
        <v>933462.58840792999</v>
      </c>
      <c r="V36" s="722">
        <f>U36/units</f>
        <v>3535.8431379088256</v>
      </c>
      <c r="W36" s="721">
        <f t="shared" ref="W36" si="57">SUM(W31:W35)</f>
        <v>945173.16091137461</v>
      </c>
      <c r="X36" s="722">
        <f>W36/units</f>
        <v>3580.2013670885403</v>
      </c>
      <c r="Y36" s="721">
        <f t="shared" ref="Y36" si="58">SUM(Y31:Y35)</f>
        <v>957307.33084580535</v>
      </c>
      <c r="Z36" s="722">
        <f>Y36/units</f>
        <v>3626.1641319916871</v>
      </c>
      <c r="AA36" s="721">
        <f t="shared" ref="AA36" si="59">SUM(AA31:AA35)</f>
        <v>969880.75094329857</v>
      </c>
      <c r="AB36" s="723">
        <f>AA36/units</f>
        <v>3673.7907232700704</v>
      </c>
      <c r="AC36" s="81" t="s">
        <v>557</v>
      </c>
    </row>
    <row r="37" spans="1:29" s="87" customFormat="1" ht="15" customHeight="1">
      <c r="A37" s="202"/>
      <c r="B37" s="656" t="s">
        <v>40</v>
      </c>
      <c r="C37" s="657"/>
      <c r="D37" s="727"/>
      <c r="E37" s="728">
        <f t="shared" ref="E37:J37" si="60">E29+E36</f>
        <v>2266069.56</v>
      </c>
      <c r="F37" s="729">
        <f t="shared" si="60"/>
        <v>8583.5968181818171</v>
      </c>
      <c r="G37" s="728">
        <f t="shared" ref="G37:H37" si="61">G29+G36</f>
        <v>2236906.7724000001</v>
      </c>
      <c r="H37" s="730">
        <f t="shared" si="61"/>
        <v>8473.1317136363632</v>
      </c>
      <c r="I37" s="728">
        <f t="shared" si="60"/>
        <v>2257883.6155878948</v>
      </c>
      <c r="J37" s="730">
        <f t="shared" si="60"/>
        <v>8552.58945298445</v>
      </c>
      <c r="K37" s="728">
        <f t="shared" ref="K37:N37" si="62">K29+K36</f>
        <v>2315307.3906087372</v>
      </c>
      <c r="L37" s="729">
        <f t="shared" si="62"/>
        <v>8770.1037523058221</v>
      </c>
      <c r="M37" s="728">
        <f t="shared" si="62"/>
        <v>2371628.6904718741</v>
      </c>
      <c r="N37" s="729">
        <f t="shared" si="62"/>
        <v>8983.4420093631597</v>
      </c>
      <c r="O37" s="728">
        <f t="shared" ref="O37:R37" si="63">O29+O36</f>
        <v>2427217.6890067658</v>
      </c>
      <c r="P37" s="729">
        <f t="shared" si="63"/>
        <v>9194.0063977529026</v>
      </c>
      <c r="Q37" s="728">
        <f t="shared" si="63"/>
        <v>2481515.1288473541</v>
      </c>
      <c r="R37" s="730">
        <f t="shared" si="63"/>
        <v>9399.6785183611901</v>
      </c>
      <c r="S37" s="729">
        <f t="shared" ref="S37:T37" si="64">S29+S36</f>
        <v>2523828.468016143</v>
      </c>
      <c r="T37" s="730">
        <f t="shared" si="64"/>
        <v>9559.9563182429665</v>
      </c>
      <c r="U37" s="728">
        <f t="shared" ref="U37:V37" si="65">U29+U36</f>
        <v>2567163.8867858299</v>
      </c>
      <c r="V37" s="729">
        <f t="shared" si="65"/>
        <v>9724.1056317645052</v>
      </c>
      <c r="W37" s="728">
        <f t="shared" ref="W37:X37" si="66">W29+W36</f>
        <v>2611548.4852568326</v>
      </c>
      <c r="X37" s="729">
        <f t="shared" si="66"/>
        <v>9892.2291108213358</v>
      </c>
      <c r="Y37" s="728">
        <f t="shared" ref="Y37:Z37" si="67">Y29+Y36</f>
        <v>2657010.1616781722</v>
      </c>
      <c r="Z37" s="729">
        <f t="shared" si="67"/>
        <v>10064.432430599139</v>
      </c>
      <c r="AA37" s="728">
        <f t="shared" ref="AA37:AB37" si="68">AA29+AA36</f>
        <v>2703577.6383923129</v>
      </c>
      <c r="AB37" s="730">
        <f t="shared" si="68"/>
        <v>10240.824387849671</v>
      </c>
      <c r="AC37" s="81" t="s">
        <v>557</v>
      </c>
    </row>
    <row r="38" spans="1:29" s="86" customFormat="1" ht="15" customHeight="1">
      <c r="A38" s="196"/>
      <c r="B38" s="698" t="s">
        <v>42</v>
      </c>
      <c r="C38" s="731"/>
      <c r="D38" s="732"/>
      <c r="E38" s="733"/>
      <c r="F38" s="734">
        <f>E37/E19</f>
        <v>0.63040982268757406</v>
      </c>
      <c r="G38" s="733"/>
      <c r="H38" s="734">
        <f>G37/G19</f>
        <v>0.54138598390516557</v>
      </c>
      <c r="I38" s="733"/>
      <c r="J38" s="734">
        <f>I37/I19</f>
        <v>0.46736978506175997</v>
      </c>
      <c r="K38" s="733"/>
      <c r="L38" s="734">
        <f>K37/K19</f>
        <v>0.44681728382440966</v>
      </c>
      <c r="M38" s="733"/>
      <c r="N38" s="734">
        <f>M37/M19</f>
        <v>0.43448116710011614</v>
      </c>
      <c r="O38" s="733"/>
      <c r="P38" s="734">
        <f>O37/O19</f>
        <v>0.42787545125011123</v>
      </c>
      <c r="Q38" s="733"/>
      <c r="R38" s="734">
        <f>Q37/Q19</f>
        <v>0.42111856737403031</v>
      </c>
      <c r="S38" s="1710"/>
      <c r="T38" s="734">
        <f>S37/S19</f>
        <v>0.41211729696043853</v>
      </c>
      <c r="U38" s="733"/>
      <c r="V38" s="734">
        <f>U37/U19</f>
        <v>0.40335054502573991</v>
      </c>
      <c r="W38" s="733"/>
      <c r="X38" s="734">
        <f>W37/W19</f>
        <v>0.39481144514864913</v>
      </c>
      <c r="Y38" s="733"/>
      <c r="Z38" s="734">
        <f>Y37/Y19</f>
        <v>0.38649335051148265</v>
      </c>
      <c r="AA38" s="733"/>
      <c r="AB38" s="734">
        <f>AA37/AA19</f>
        <v>0.37838982650381081</v>
      </c>
      <c r="AC38" s="81" t="s">
        <v>557</v>
      </c>
    </row>
    <row r="39" spans="1:29" s="87" customFormat="1" ht="15" customHeight="1">
      <c r="A39" s="202"/>
      <c r="B39" s="656" t="s">
        <v>613</v>
      </c>
      <c r="C39" s="657"/>
      <c r="D39" s="735"/>
      <c r="E39" s="728">
        <f t="shared" ref="E39:I39" si="69">+E19-E37</f>
        <v>1328527.9199999995</v>
      </c>
      <c r="F39" s="729">
        <f>E39/units</f>
        <v>5032.302727272725</v>
      </c>
      <c r="G39" s="728">
        <f t="shared" ref="G39" si="70">+G19-G37</f>
        <v>1894908.3075999995</v>
      </c>
      <c r="H39" s="730">
        <f>G39/units</f>
        <v>7177.6829833333313</v>
      </c>
      <c r="I39" s="728">
        <f t="shared" si="69"/>
        <v>2573159.5706752688</v>
      </c>
      <c r="J39" s="730">
        <f>I39/units</f>
        <v>9746.8165555881387</v>
      </c>
      <c r="K39" s="728">
        <f t="shared" ref="K39:M39" si="71">+K19-K37</f>
        <v>2866469.3096824875</v>
      </c>
      <c r="L39" s="729">
        <f>K39/units</f>
        <v>10857.838294251847</v>
      </c>
      <c r="M39" s="728">
        <f t="shared" si="71"/>
        <v>3086901.7823239402</v>
      </c>
      <c r="N39" s="729">
        <f>M39/units</f>
        <v>11692.809781530077</v>
      </c>
      <c r="O39" s="728">
        <f t="shared" ref="O39:Q39" si="72">+O19-O37</f>
        <v>3245502.4493307681</v>
      </c>
      <c r="P39" s="729">
        <f>O39/units</f>
        <v>12293.569883828666</v>
      </c>
      <c r="Q39" s="728">
        <f t="shared" si="72"/>
        <v>3411160.5238110926</v>
      </c>
      <c r="R39" s="730">
        <f>Q39/units</f>
        <v>12921.062590193533</v>
      </c>
      <c r="S39" s="729">
        <f t="shared" ref="S39" si="73">+S19-S37</f>
        <v>3600225.2580239447</v>
      </c>
      <c r="T39" s="730">
        <f>S39/units</f>
        <v>13637.216886454336</v>
      </c>
      <c r="U39" s="728">
        <f t="shared" ref="U39" si="74">+U19-U37</f>
        <v>3797433.6536042686</v>
      </c>
      <c r="V39" s="729">
        <f>U39/units</f>
        <v>14384.218384864653</v>
      </c>
      <c r="W39" s="728">
        <f t="shared" ref="W39" si="75">+W19-W37</f>
        <v>4003124.2081185258</v>
      </c>
      <c r="X39" s="729">
        <f>W39/units</f>
        <v>15163.349273176234</v>
      </c>
      <c r="Y39" s="728">
        <f t="shared" ref="Y39" si="76">+Y19-Y37</f>
        <v>4217649.2811347581</v>
      </c>
      <c r="Z39" s="729">
        <f>Y39/units</f>
        <v>15975.944246722569</v>
      </c>
      <c r="AA39" s="728">
        <f t="shared" ref="AA39" si="77">+AA19-AA37</f>
        <v>4441375.6585089844</v>
      </c>
      <c r="AB39" s="729">
        <f>AA39/units</f>
        <v>16823.392645867367</v>
      </c>
      <c r="AC39" s="81" t="s">
        <v>557</v>
      </c>
    </row>
    <row r="40" spans="1:29" s="1" customFormat="1" ht="19" hidden="1" outlineLevel="1">
      <c r="A40" s="294"/>
      <c r="B40" s="736"/>
      <c r="C40" s="737"/>
      <c r="D40" s="738"/>
      <c r="E40" s="739"/>
      <c r="F40" s="740"/>
      <c r="G40" s="739"/>
      <c r="H40" s="741"/>
      <c r="I40" s="739"/>
      <c r="J40" s="741"/>
      <c r="K40" s="739"/>
      <c r="L40" s="740"/>
      <c r="M40" s="739"/>
      <c r="N40" s="740"/>
      <c r="O40" s="739"/>
      <c r="P40" s="740"/>
      <c r="Q40" s="739"/>
      <c r="R40" s="741"/>
      <c r="S40" s="740"/>
      <c r="T40" s="741"/>
      <c r="U40" s="739"/>
      <c r="V40" s="740"/>
      <c r="W40" s="739"/>
      <c r="X40" s="740"/>
      <c r="Y40" s="739"/>
      <c r="Z40" s="740"/>
      <c r="AA40" s="739"/>
      <c r="AB40" s="740"/>
      <c r="AC40" s="81" t="s">
        <v>557</v>
      </c>
    </row>
    <row r="41" spans="1:29" s="1" customFormat="1" ht="19" hidden="1" outlineLevel="1">
      <c r="A41" s="294"/>
      <c r="B41" s="688" t="str">
        <f>'Monthly Cash Flow'!B98</f>
        <v>Asset Management Fee</v>
      </c>
      <c r="C41" s="742" t="str">
        <f>'Monthly Cash Flow'!C98</f>
        <v>% of EGI</v>
      </c>
      <c r="D41" s="743">
        <f>'Inputs and Assumptions'!D13</f>
        <v>0.01</v>
      </c>
      <c r="E41" s="744">
        <f>IF($C$41="% of NOI",  E39*$D$41, E19*$D$41)</f>
        <v>35945.974799999996</v>
      </c>
      <c r="F41" s="745">
        <f>E41/units</f>
        <v>136.15899545454545</v>
      </c>
      <c r="G41" s="744">
        <f>IF($C$41="% of NOI",  G39*$D$41, G19*$D$41)</f>
        <v>41318.150799999996</v>
      </c>
      <c r="H41" s="746">
        <f>G41/units</f>
        <v>156.50814696969695</v>
      </c>
      <c r="I41" s="744">
        <f>IF($C$41="% of NOI",  I39*$D$41, I19*$D$41)</f>
        <v>48310.431862631638</v>
      </c>
      <c r="J41" s="746">
        <f>I41/units</f>
        <v>182.99406008572589</v>
      </c>
      <c r="K41" s="744">
        <f>IF($C$41="% of NOI",  K39*$D$41, K19*$D$41)</f>
        <v>51817.767002912246</v>
      </c>
      <c r="L41" s="745">
        <f>K41/units</f>
        <v>196.27942046557669</v>
      </c>
      <c r="M41" s="744">
        <f>IF($C$41="% of NOI",  M39*$D$41, M19*$D$41)</f>
        <v>54585.304727958144</v>
      </c>
      <c r="N41" s="745">
        <f>M41/units</f>
        <v>206.76251790893235</v>
      </c>
      <c r="O41" s="744">
        <f>IF($C$41="% of NOI",  O39*$D$41, O19*$D$41)</f>
        <v>56727.201383375337</v>
      </c>
      <c r="P41" s="745">
        <f>O41/units</f>
        <v>214.87576281581568</v>
      </c>
      <c r="Q41" s="744">
        <f>IF($C$41="% of NOI",  Q39*$D$41, Q19*$D$41)</f>
        <v>58926.756526584468</v>
      </c>
      <c r="R41" s="746">
        <f>Q41/units</f>
        <v>223.20741108554722</v>
      </c>
      <c r="S41" s="745">
        <f>IF($C$41="% of NOI",  S39*$D$41, S19*$D$41)</f>
        <v>61240.537260400881</v>
      </c>
      <c r="T41" s="746">
        <f>S41/units</f>
        <v>231.97173204697305</v>
      </c>
      <c r="U41" s="744">
        <f>IF($C$41="% of NOI",  U39*$D$41, U19*$D$41)</f>
        <v>63645.975403900986</v>
      </c>
      <c r="V41" s="745">
        <f>U41/units</f>
        <v>241.0832401662916</v>
      </c>
      <c r="W41" s="744">
        <f>IF($C$41="% of NOI",  W39*$D$41, W19*$D$41)</f>
        <v>66146.726933753584</v>
      </c>
      <c r="X41" s="745">
        <f>W41/units</f>
        <v>250.5557838399757</v>
      </c>
      <c r="Y41" s="744">
        <f>IF($C$41="% of NOI",  Y39*$D$41, Y19*$D$41)</f>
        <v>68746.594428129305</v>
      </c>
      <c r="Z41" s="745">
        <f>Y41/units</f>
        <v>260.40376677321706</v>
      </c>
      <c r="AA41" s="744">
        <f>IF($C$41="% of NOI",  AA39*$D$41, AA19*$D$41)</f>
        <v>71449.532969012973</v>
      </c>
      <c r="AB41" s="745">
        <f>AA41/units</f>
        <v>270.64217033717034</v>
      </c>
      <c r="AC41" s="81" t="s">
        <v>557</v>
      </c>
    </row>
    <row r="42" spans="1:29" s="1" customFormat="1" ht="19" hidden="1" outlineLevel="1">
      <c r="A42" s="494"/>
      <c r="B42" s="736"/>
      <c r="C42" s="737"/>
      <c r="D42" s="738"/>
      <c r="E42" s="739"/>
      <c r="F42" s="740"/>
      <c r="G42" s="739"/>
      <c r="H42" s="741"/>
      <c r="I42" s="739"/>
      <c r="J42" s="741"/>
      <c r="K42" s="739"/>
      <c r="L42" s="740"/>
      <c r="M42" s="739"/>
      <c r="N42" s="740"/>
      <c r="O42" s="739"/>
      <c r="P42" s="740"/>
      <c r="Q42" s="739"/>
      <c r="R42" s="741"/>
      <c r="S42" s="740"/>
      <c r="T42" s="741"/>
      <c r="U42" s="739"/>
      <c r="V42" s="740"/>
      <c r="W42" s="739"/>
      <c r="X42" s="740"/>
      <c r="Y42" s="739"/>
      <c r="Z42" s="740"/>
      <c r="AA42" s="739"/>
      <c r="AB42" s="740"/>
      <c r="AC42" s="81" t="s">
        <v>557</v>
      </c>
    </row>
    <row r="43" spans="1:29" s="1" customFormat="1" ht="19" hidden="1" outlineLevel="1">
      <c r="A43" s="494"/>
      <c r="B43" s="656" t="s">
        <v>1087</v>
      </c>
      <c r="C43" s="747"/>
      <c r="D43" s="748"/>
      <c r="E43" s="728">
        <f t="shared" ref="E43:J43" si="78">E39-E41</f>
        <v>1292581.9451999995</v>
      </c>
      <c r="F43" s="729">
        <f t="shared" si="78"/>
        <v>4896.1437318181797</v>
      </c>
      <c r="G43" s="728">
        <f t="shared" ref="G43:H43" si="79">G39-G41</f>
        <v>1853590.1567999995</v>
      </c>
      <c r="H43" s="730">
        <f t="shared" si="79"/>
        <v>7021.1748363636343</v>
      </c>
      <c r="I43" s="728">
        <f t="shared" si="78"/>
        <v>2524849.138812637</v>
      </c>
      <c r="J43" s="730">
        <f t="shared" si="78"/>
        <v>9563.8224955024125</v>
      </c>
      <c r="K43" s="728">
        <f t="shared" ref="K43:N43" si="80">K39-K41</f>
        <v>2814651.5426795753</v>
      </c>
      <c r="L43" s="729">
        <f t="shared" si="80"/>
        <v>10661.558873786271</v>
      </c>
      <c r="M43" s="728">
        <f t="shared" si="80"/>
        <v>3032316.4775959821</v>
      </c>
      <c r="N43" s="729">
        <f t="shared" si="80"/>
        <v>11486.047263621145</v>
      </c>
      <c r="O43" s="728">
        <f t="shared" ref="O43:R43" si="81">O39-O41</f>
        <v>3188775.2479473925</v>
      </c>
      <c r="P43" s="729">
        <f t="shared" si="81"/>
        <v>12078.69412101285</v>
      </c>
      <c r="Q43" s="728">
        <f t="shared" si="81"/>
        <v>3352233.7672845083</v>
      </c>
      <c r="R43" s="730">
        <f t="shared" si="81"/>
        <v>12697.855179107986</v>
      </c>
      <c r="S43" s="729">
        <f t="shared" ref="S43:T43" si="82">S39-S41</f>
        <v>3538984.7207635436</v>
      </c>
      <c r="T43" s="730">
        <f t="shared" si="82"/>
        <v>13405.245154407363</v>
      </c>
      <c r="U43" s="728">
        <f t="shared" ref="U43:V43" si="83">U39-U41</f>
        <v>3733787.6782003674</v>
      </c>
      <c r="V43" s="729">
        <f t="shared" si="83"/>
        <v>14143.135144698361</v>
      </c>
      <c r="W43" s="728">
        <f t="shared" ref="W43:X43" si="84">W39-W41</f>
        <v>3936977.4811847722</v>
      </c>
      <c r="X43" s="729">
        <f t="shared" si="84"/>
        <v>14912.793489336258</v>
      </c>
      <c r="Y43" s="728">
        <f t="shared" ref="Y43:Z43" si="85">Y39-Y41</f>
        <v>4148902.6867066287</v>
      </c>
      <c r="Z43" s="729">
        <f t="shared" si="85"/>
        <v>15715.540479949352</v>
      </c>
      <c r="AA43" s="728">
        <f t="shared" ref="AA43:AB43" si="86">AA39-AA41</f>
        <v>4369926.1255399715</v>
      </c>
      <c r="AB43" s="729">
        <f t="shared" si="86"/>
        <v>16552.750475530196</v>
      </c>
      <c r="AC43" s="81" t="s">
        <v>557</v>
      </c>
    </row>
    <row r="44" spans="1:29" s="1" customFormat="1" ht="19" hidden="1" outlineLevel="1">
      <c r="A44" s="494"/>
      <c r="B44" s="688" t="str">
        <f>'Monthly Cash Flow'!B103</f>
        <v>Lender Reserve Release</v>
      </c>
      <c r="C44" s="737"/>
      <c r="D44" s="738"/>
      <c r="E44" s="749"/>
      <c r="F44" s="750"/>
      <c r="G44" s="749"/>
      <c r="H44" s="751"/>
      <c r="I44" s="752">
        <f>SUMIF('Monthly Cash Flow'!$E$4:$DT$4, 'Annual Summary'!I$3:J$3, 'Monthly Cash Flow'!$E$103:$DT$103)</f>
        <v>0</v>
      </c>
      <c r="J44" s="751"/>
      <c r="K44" s="752">
        <f>SUMIF('Monthly Cash Flow'!$E$4:$DT$4, 'Annual Summary'!K$3:L$3, 'Monthly Cash Flow'!$E$103:$DT$103)</f>
        <v>0</v>
      </c>
      <c r="L44" s="750"/>
      <c r="M44" s="752">
        <f>SUMIF('Monthly Cash Flow'!$E$4:$DT$4, 'Annual Summary'!M$3:N$3, 'Monthly Cash Flow'!$E$103:$DT$103)</f>
        <v>0</v>
      </c>
      <c r="N44" s="750"/>
      <c r="O44" s="752">
        <f>SUMIF('Monthly Cash Flow'!$E$4:$DT$4, 'Annual Summary'!O$3:P$3, 'Monthly Cash Flow'!$E$103:$DT$103)</f>
        <v>0</v>
      </c>
      <c r="P44" s="750"/>
      <c r="Q44" s="752">
        <f>SUMIF('Monthly Cash Flow'!$E$4:$DT$4, 'Annual Summary'!Q$3:R$3, 'Monthly Cash Flow'!$E$103:$DT$103)</f>
        <v>0</v>
      </c>
      <c r="R44" s="751"/>
      <c r="S44" s="754">
        <f>SUMIF('Monthly Cash Flow'!$E$4:$DT$4, 'Annual Summary'!S$3:T$3, 'Monthly Cash Flow'!$E$103:$DT$103)</f>
        <v>0</v>
      </c>
      <c r="T44" s="751"/>
      <c r="U44" s="752">
        <f>SUMIF('Monthly Cash Flow'!$E$4:$DT$4, 'Annual Summary'!U$3:V$3, 'Monthly Cash Flow'!$E$103:$DT$103)</f>
        <v>0</v>
      </c>
      <c r="V44" s="750"/>
      <c r="W44" s="752">
        <f>SUMIF('Monthly Cash Flow'!$E$4:$DT$4, 'Annual Summary'!W$3:X$3, 'Monthly Cash Flow'!$E$103:$DT$103)</f>
        <v>0</v>
      </c>
      <c r="X44" s="750"/>
      <c r="Y44" s="752">
        <f>SUMIF('Monthly Cash Flow'!$E$4:$DT$4, 'Annual Summary'!Y$3:Z$3, 'Monthly Cash Flow'!$E$103:$DT$103)</f>
        <v>0</v>
      </c>
      <c r="Z44" s="750"/>
      <c r="AA44" s="752">
        <f>SUMIF('Monthly Cash Flow'!$E$4:$DT$4, 'Annual Summary'!AA$3:AB$3, 'Monthly Cash Flow'!$E$103:$DT$103)</f>
        <v>0</v>
      </c>
      <c r="AB44" s="750"/>
      <c r="AC44" s="81"/>
    </row>
    <row r="45" spans="1:29" s="1" customFormat="1" ht="19" hidden="1" outlineLevel="1">
      <c r="A45" s="494"/>
      <c r="B45" s="688" t="str">
        <f>'Monthly Cash Flow'!B104</f>
        <v>Proceeds From Refinance</v>
      </c>
      <c r="C45" s="737"/>
      <c r="D45" s="738"/>
      <c r="E45" s="749"/>
      <c r="F45" s="750"/>
      <c r="G45" s="749"/>
      <c r="H45" s="751"/>
      <c r="I45" s="752">
        <f>SUMIF('Monthly Cash Flow'!$E$4:$DT$4, 'Annual Summary'!I$3:J$3, 'Monthly Cash Flow'!$E$104:$DT$104)</f>
        <v>0</v>
      </c>
      <c r="J45" s="753"/>
      <c r="K45" s="752">
        <f>SUMIF('Monthly Cash Flow'!$E$4:$DT$4, 'Annual Summary'!K$3:L$3, 'Monthly Cash Flow'!$E$104:$DT$104)</f>
        <v>0</v>
      </c>
      <c r="L45" s="754"/>
      <c r="M45" s="752">
        <f>SUMIF('Monthly Cash Flow'!$E$4:$DT$4, 'Annual Summary'!M$3:N$3, 'Monthly Cash Flow'!$E$104:$DT$104)</f>
        <v>0</v>
      </c>
      <c r="N45" s="754"/>
      <c r="O45" s="752">
        <f>SUMIF('Monthly Cash Flow'!$E$4:$DT$4, 'Annual Summary'!O$3:P$3, 'Monthly Cash Flow'!$E$104:$DT$104)</f>
        <v>0</v>
      </c>
      <c r="P45" s="754"/>
      <c r="Q45" s="752">
        <f>SUMIF('Monthly Cash Flow'!$E$4:$DT$4, 'Annual Summary'!Q$3:R$3, 'Monthly Cash Flow'!$E$104:$DT$104)</f>
        <v>0</v>
      </c>
      <c r="R45" s="753"/>
      <c r="S45" s="754">
        <f>SUMIF('Monthly Cash Flow'!$E$4:$DT$4, 'Annual Summary'!S$3:T$3, 'Monthly Cash Flow'!$E$104:$DT$104)</f>
        <v>0</v>
      </c>
      <c r="T45" s="753"/>
      <c r="U45" s="752">
        <f>SUMIF('Monthly Cash Flow'!$E$4:$DT$4, 'Annual Summary'!U$3:V$3, 'Monthly Cash Flow'!$E$104:$DT$104)</f>
        <v>0</v>
      </c>
      <c r="V45" s="754"/>
      <c r="W45" s="752">
        <f>SUMIF('Monthly Cash Flow'!$E$4:$DT$4, 'Annual Summary'!W$3:X$3, 'Monthly Cash Flow'!$E$104:$DT$104)</f>
        <v>0</v>
      </c>
      <c r="X45" s="754"/>
      <c r="Y45" s="752">
        <f>SUMIF('Monthly Cash Flow'!$E$4:$DT$4, 'Annual Summary'!Y$3:Z$3, 'Monthly Cash Flow'!$E$104:$DT$104)</f>
        <v>0</v>
      </c>
      <c r="Z45" s="754"/>
      <c r="AA45" s="752">
        <f>SUMIF('Monthly Cash Flow'!$E$4:$DT$4, 'Annual Summary'!AA$3:AB$3, 'Monthly Cash Flow'!$E$104:$DT$104)</f>
        <v>0</v>
      </c>
      <c r="AB45" s="750"/>
      <c r="AC45" s="81"/>
    </row>
    <row r="46" spans="1:29" s="1" customFormat="1" ht="19" hidden="1" outlineLevel="1">
      <c r="A46" s="494"/>
      <c r="B46" s="688" t="str">
        <f>'Monthly Cash Flow'!B105</f>
        <v xml:space="preserve">Proceeds From Supplemental </v>
      </c>
      <c r="C46" s="737"/>
      <c r="D46" s="738"/>
      <c r="E46" s="749"/>
      <c r="F46" s="750"/>
      <c r="G46" s="749"/>
      <c r="H46" s="751"/>
      <c r="I46" s="752">
        <f>SUMIF('Monthly Cash Flow'!$E$4:$DT$4, 'Annual Summary'!I$3:J$3, 'Monthly Cash Flow'!$E$105:$DT$105)</f>
        <v>0</v>
      </c>
      <c r="J46" s="753"/>
      <c r="K46" s="752">
        <f>SUMIF('Monthly Cash Flow'!$E$4:$DT$4, 'Annual Summary'!K$3:L$3, 'Monthly Cash Flow'!$E$105:$DT$105)</f>
        <v>0</v>
      </c>
      <c r="L46" s="754"/>
      <c r="M46" s="752">
        <f>SUMIF('Monthly Cash Flow'!$E$4:$DT$4, 'Annual Summary'!M$3:N$3, 'Monthly Cash Flow'!$E$105:$DT$105)</f>
        <v>0</v>
      </c>
      <c r="N46" s="754"/>
      <c r="O46" s="752">
        <f>SUMIF('Monthly Cash Flow'!$E$4:$DT$4, 'Annual Summary'!O$3:P$3, 'Monthly Cash Flow'!$E$105:$DT$105)</f>
        <v>0</v>
      </c>
      <c r="P46" s="754"/>
      <c r="Q46" s="752">
        <f>SUMIF('Monthly Cash Flow'!$E$4:$DT$4, 'Annual Summary'!Q$3:R$3, 'Monthly Cash Flow'!$E$105:$DT$105)</f>
        <v>0</v>
      </c>
      <c r="R46" s="753"/>
      <c r="S46" s="754">
        <f>SUMIF('Monthly Cash Flow'!$E$4:$DT$4, 'Annual Summary'!S$3:T$3, 'Monthly Cash Flow'!$E$105:$DT$105)</f>
        <v>0</v>
      </c>
      <c r="T46" s="753"/>
      <c r="U46" s="752">
        <f>SUMIF('Monthly Cash Flow'!$E$4:$DT$4, 'Annual Summary'!U$3:V$3, 'Monthly Cash Flow'!$E$105:$DT$105)</f>
        <v>0</v>
      </c>
      <c r="V46" s="754"/>
      <c r="W46" s="752">
        <f>SUMIF('Monthly Cash Flow'!$E$4:$DT$4, 'Annual Summary'!W$3:X$3, 'Monthly Cash Flow'!$E$105:$DT$105)</f>
        <v>0</v>
      </c>
      <c r="X46" s="754"/>
      <c r="Y46" s="752">
        <f>SUMIF('Monthly Cash Flow'!$E$4:$DT$4, 'Annual Summary'!Y$3:Z$3, 'Monthly Cash Flow'!$E$105:$DT$105)</f>
        <v>0</v>
      </c>
      <c r="Z46" s="754"/>
      <c r="AA46" s="752">
        <f>SUMIF('Monthly Cash Flow'!$E$4:$DT$4, 'Annual Summary'!AA$3:AB$3, 'Monthly Cash Flow'!$E$105:$DT$105)</f>
        <v>0</v>
      </c>
      <c r="AB46" s="750"/>
      <c r="AC46" s="81"/>
    </row>
    <row r="47" spans="1:29" s="1" customFormat="1" ht="19" hidden="1" outlineLevel="1">
      <c r="A47" s="494"/>
      <c r="B47" s="688" t="str">
        <f>'Monthly Cash Flow'!B106</f>
        <v>Debt Service</v>
      </c>
      <c r="C47" s="737"/>
      <c r="D47" s="738"/>
      <c r="E47" s="739"/>
      <c r="F47" s="740"/>
      <c r="G47" s="739"/>
      <c r="H47" s="741"/>
      <c r="I47" s="739">
        <f>SUMIF('Monthly Cash Flow'!$E$4:$DT$4, 'Annual Summary'!I$3:J$3, 'Monthly Cash Flow'!$E$106:$DT$106)</f>
        <v>1480500.0000000002</v>
      </c>
      <c r="J47" s="741"/>
      <c r="K47" s="739">
        <f>SUMIF('Monthly Cash Flow'!$E$4:$DT$4, 'Annual Summary'!K$3:L$3, 'Monthly Cash Flow'!$E$106:$DT$106)</f>
        <v>1480500.0000000002</v>
      </c>
      <c r="L47" s="740"/>
      <c r="M47" s="739">
        <f>SUMIF('Monthly Cash Flow'!$E$4:$DT$4, 'Annual Summary'!M$3:N$3, 'Monthly Cash Flow'!$E$106:$DT$106)</f>
        <v>1480500.0000000002</v>
      </c>
      <c r="N47" s="740"/>
      <c r="O47" s="739">
        <f>SUMIF('Monthly Cash Flow'!$E$4:$DT$4, 'Annual Summary'!O$3:P$3, 'Monthly Cash Flow'!$E$106:$DT$106)</f>
        <v>1480500.0000000002</v>
      </c>
      <c r="P47" s="740"/>
      <c r="Q47" s="739">
        <f>SUMIF('Monthly Cash Flow'!$E$4:$DT$4, 'Annual Summary'!Q$3:R$3, 'Monthly Cash Flow'!$E$106:$DT$106)</f>
        <v>0</v>
      </c>
      <c r="R47" s="741"/>
      <c r="S47" s="740">
        <f>SUMIF('Monthly Cash Flow'!$E$4:$DT$4, 'Annual Summary'!S$3:T$3, 'Monthly Cash Flow'!$E$106:$DT$106)</f>
        <v>0</v>
      </c>
      <c r="T47" s="741"/>
      <c r="U47" s="739">
        <f>SUMIF('Monthly Cash Flow'!$E$4:$DT$4, 'Annual Summary'!U$3:V$3, 'Monthly Cash Flow'!$E$106:$DT$106)</f>
        <v>0</v>
      </c>
      <c r="V47" s="740"/>
      <c r="W47" s="739">
        <f>SUMIF('Monthly Cash Flow'!$E$4:$DT$4, 'Annual Summary'!W$3:X$3, 'Monthly Cash Flow'!$E$106:$DT$106)</f>
        <v>0</v>
      </c>
      <c r="X47" s="740"/>
      <c r="Y47" s="739">
        <f>SUMIF('Monthly Cash Flow'!$E$4:$DT$4, 'Annual Summary'!Y$3:Z$3, 'Monthly Cash Flow'!$E$106:$DT$106)</f>
        <v>0</v>
      </c>
      <c r="Z47" s="740"/>
      <c r="AA47" s="739">
        <f>SUMIF('Monthly Cash Flow'!$E$4:$DT$4, 'Annual Summary'!AA$3:AB$3, 'Monthly Cash Flow'!$E$106:$DT$106)</f>
        <v>0</v>
      </c>
      <c r="AB47" s="740"/>
      <c r="AC47" s="81" t="s">
        <v>557</v>
      </c>
    </row>
    <row r="48" spans="1:29" s="1" customFormat="1" ht="19" hidden="1" outlineLevel="1">
      <c r="A48" s="494"/>
      <c r="B48" s="688" t="str">
        <f>'Monthly Cash Flow'!B107</f>
        <v>Supplemental Debt Service</v>
      </c>
      <c r="C48" s="737"/>
      <c r="D48" s="738"/>
      <c r="E48" s="739"/>
      <c r="F48" s="740"/>
      <c r="G48" s="739"/>
      <c r="H48" s="741"/>
      <c r="I48" s="739">
        <f>SUMIF('Monthly Cash Flow'!$E$4:$DT$4, 'Annual Summary'!I$3:J$3, 'Monthly Cash Flow'!$E$107:$DT$107)</f>
        <v>0</v>
      </c>
      <c r="J48" s="741"/>
      <c r="K48" s="739">
        <f>SUMIF('Monthly Cash Flow'!$E$4:$DT$4, 'Annual Summary'!K$3:L$3, 'Monthly Cash Flow'!$E$107:$DT$107)</f>
        <v>0</v>
      </c>
      <c r="L48" s="740"/>
      <c r="M48" s="739">
        <f>SUMIF('Monthly Cash Flow'!$E$4:$DT$4, 'Annual Summary'!M$3:N$3, 'Monthly Cash Flow'!$E$107:$DT$107)</f>
        <v>0</v>
      </c>
      <c r="N48" s="740"/>
      <c r="O48" s="739">
        <f>SUMIF('Monthly Cash Flow'!$E$4:$DT$4, 'Annual Summary'!O$3:P$3, 'Monthly Cash Flow'!$E$107:$DT$107)</f>
        <v>0</v>
      </c>
      <c r="P48" s="740"/>
      <c r="Q48" s="739">
        <f>SUMIF('Monthly Cash Flow'!$E$4:$DT$4, 'Annual Summary'!Q$3:R$3, 'Monthly Cash Flow'!$E$107:$DT$107)</f>
        <v>0</v>
      </c>
      <c r="R48" s="741"/>
      <c r="S48" s="740">
        <f>SUMIF('Monthly Cash Flow'!$E$4:$DT$4, 'Annual Summary'!S$3:T$3, 'Monthly Cash Flow'!$E$107:$DT$107)</f>
        <v>0</v>
      </c>
      <c r="T48" s="741"/>
      <c r="U48" s="739">
        <f>SUMIF('Monthly Cash Flow'!$E$4:$DT$4, 'Annual Summary'!U$3:V$3, 'Monthly Cash Flow'!$E$107:$DT$107)</f>
        <v>0</v>
      </c>
      <c r="V48" s="740"/>
      <c r="W48" s="739">
        <f>SUMIF('Monthly Cash Flow'!$E$4:$DT$4, 'Annual Summary'!W$3:X$3, 'Monthly Cash Flow'!$E$107:$DT$107)</f>
        <v>0</v>
      </c>
      <c r="X48" s="740"/>
      <c r="Y48" s="739">
        <f>SUMIF('Monthly Cash Flow'!$E$4:$DT$4, 'Annual Summary'!Y$3:Z$3, 'Monthly Cash Flow'!$E$107:$DT$107)</f>
        <v>0</v>
      </c>
      <c r="Z48" s="740"/>
      <c r="AA48" s="739">
        <f>SUMIF('Monthly Cash Flow'!$E$4:$DT$4, 'Annual Summary'!AA$3:AB$3, 'Monthly Cash Flow'!$E$107:$DT$107)</f>
        <v>0</v>
      </c>
      <c r="AB48" s="740"/>
      <c r="AC48" s="81"/>
    </row>
    <row r="49" spans="1:29" s="1" customFormat="1" ht="19" hidden="1" outlineLevel="1">
      <c r="A49" s="494"/>
      <c r="B49" s="656" t="s">
        <v>705</v>
      </c>
      <c r="C49" s="747"/>
      <c r="D49" s="748"/>
      <c r="E49" s="728">
        <f>E43+E44+E45+E46-E47-E48</f>
        <v>1292581.9451999995</v>
      </c>
      <c r="F49" s="730"/>
      <c r="G49" s="728">
        <f>G43+G44+G45+G46-G47-G48</f>
        <v>1853590.1567999995</v>
      </c>
      <c r="H49" s="730"/>
      <c r="I49" s="728">
        <f>I43+I44+I45+I46-I47-I48</f>
        <v>1044349.1388126367</v>
      </c>
      <c r="J49" s="730"/>
      <c r="K49" s="728">
        <f>K43+K44+K45+K46-K47-K48</f>
        <v>1334151.542679575</v>
      </c>
      <c r="L49" s="730"/>
      <c r="M49" s="728">
        <f>M43+M44+M45+M46-M47-M48</f>
        <v>1551816.4775959819</v>
      </c>
      <c r="N49" s="730"/>
      <c r="O49" s="728">
        <f>O43+O44+O45+O46-O47-O48</f>
        <v>1708275.2479473923</v>
      </c>
      <c r="P49" s="730"/>
      <c r="Q49" s="728">
        <f>Q43+Q44+Q45+Q46-Q47-Q48</f>
        <v>3352233.7672845083</v>
      </c>
      <c r="R49" s="730"/>
      <c r="S49" s="729">
        <f>S43+S44+S45+S46-S47-S48</f>
        <v>3538984.7207635436</v>
      </c>
      <c r="T49" s="730"/>
      <c r="U49" s="728">
        <f>U43+U44+U45+U46-U47-U48</f>
        <v>3733787.6782003674</v>
      </c>
      <c r="V49" s="730"/>
      <c r="W49" s="728">
        <f>W43+W44+W45+W46-W47-W48</f>
        <v>3936977.4811847722</v>
      </c>
      <c r="X49" s="730"/>
      <c r="Y49" s="728">
        <f>Y43+Y44+Y45+Y46-Y47-Y48</f>
        <v>4148902.6867066287</v>
      </c>
      <c r="Z49" s="730"/>
      <c r="AA49" s="728">
        <f>AA43+AA44+AA45+AA46-AA47-AA48</f>
        <v>4369926.1255399715</v>
      </c>
      <c r="AB49" s="730"/>
      <c r="AC49" s="81" t="s">
        <v>557</v>
      </c>
    </row>
    <row r="50" spans="1:29" s="1" customFormat="1" ht="19" hidden="1" outlineLevel="1">
      <c r="A50" s="294"/>
      <c r="B50" s="736"/>
      <c r="C50" s="737"/>
      <c r="D50" s="738"/>
      <c r="E50" s="739"/>
      <c r="F50" s="740"/>
      <c r="G50" s="739"/>
      <c r="H50" s="741"/>
      <c r="I50" s="739"/>
      <c r="J50" s="741"/>
      <c r="K50" s="739"/>
      <c r="L50" s="740"/>
      <c r="M50" s="739"/>
      <c r="N50" s="740"/>
      <c r="O50" s="739"/>
      <c r="P50" s="740"/>
      <c r="Q50" s="739"/>
      <c r="R50" s="741"/>
      <c r="S50" s="740"/>
      <c r="T50" s="741"/>
      <c r="U50" s="739"/>
      <c r="V50" s="740"/>
      <c r="W50" s="739"/>
      <c r="X50" s="740"/>
      <c r="Y50" s="739"/>
      <c r="Z50" s="740"/>
      <c r="AA50" s="739"/>
      <c r="AB50" s="740"/>
      <c r="AC50" s="81" t="s">
        <v>557</v>
      </c>
    </row>
    <row r="51" spans="1:29" s="1" customFormat="1" ht="19" hidden="1" outlineLevel="1">
      <c r="A51" s="294"/>
      <c r="B51" s="688" t="str">
        <f>'Monthly Cash Flow'!B111</f>
        <v>Pref Current Pay</v>
      </c>
      <c r="C51" s="737"/>
      <c r="D51" s="738"/>
      <c r="E51" s="739"/>
      <c r="F51" s="740"/>
      <c r="G51" s="739"/>
      <c r="H51" s="741"/>
      <c r="I51" s="739">
        <f>SUMIF('Monthly Cash Flow'!$E$4:$DT$4, 'Annual Summary'!I$3:J$3, 'Monthly Cash Flow'!$E$111:$DT$111)</f>
        <v>0</v>
      </c>
      <c r="J51" s="741"/>
      <c r="K51" s="739">
        <f>SUMIF('Monthly Cash Flow'!$E$4:$DT$4, 'Annual Summary'!K$3:L$3, 'Monthly Cash Flow'!$E$111:$DT$111)</f>
        <v>0</v>
      </c>
      <c r="L51" s="740"/>
      <c r="M51" s="739">
        <f>SUMIF('Monthly Cash Flow'!$E$4:$DT$4, 'Annual Summary'!M$3:N$3, 'Monthly Cash Flow'!$E$111:$DT$111)</f>
        <v>0</v>
      </c>
      <c r="N51" s="740"/>
      <c r="O51" s="739">
        <f>SUMIF('Monthly Cash Flow'!$E$4:$DT$4, 'Annual Summary'!O$3:P$3, 'Monthly Cash Flow'!$E$111:$DT$111)</f>
        <v>0</v>
      </c>
      <c r="P51" s="740"/>
      <c r="Q51" s="739">
        <f>SUMIF('Monthly Cash Flow'!$E$4:$DT$4, 'Annual Summary'!Q$3:R$3, 'Monthly Cash Flow'!$E$111:$DT$111)</f>
        <v>0</v>
      </c>
      <c r="R51" s="741"/>
      <c r="S51" s="740">
        <f>SUMIF('Monthly Cash Flow'!$E$4:$DT$4, 'Annual Summary'!S$3:T$3, 'Monthly Cash Flow'!$E$111:$DT$111)</f>
        <v>0</v>
      </c>
      <c r="T51" s="741"/>
      <c r="U51" s="739">
        <f>SUMIF('Monthly Cash Flow'!$E$4:$DT$4, 'Annual Summary'!U$3:V$3, 'Monthly Cash Flow'!$E$111:$DT$111)</f>
        <v>0</v>
      </c>
      <c r="V51" s="740"/>
      <c r="W51" s="739">
        <f>SUMIF('Monthly Cash Flow'!$E$4:$DT$4, 'Annual Summary'!W$3:X$3, 'Monthly Cash Flow'!$E$111:$DT$111)</f>
        <v>0</v>
      </c>
      <c r="X51" s="740"/>
      <c r="Y51" s="739">
        <f>SUMIF('Monthly Cash Flow'!$E$4:$DT$4, 'Annual Summary'!Y$3:Z$3, 'Monthly Cash Flow'!$E$111:$DT$111)</f>
        <v>0</v>
      </c>
      <c r="Z51" s="740"/>
      <c r="AA51" s="739">
        <f>SUMIF('Monthly Cash Flow'!$E$4:$DT$4, 'Annual Summary'!AA$3:AB$3, 'Monthly Cash Flow'!$E$111:$DT$111)</f>
        <v>0</v>
      </c>
      <c r="AB51" s="740"/>
      <c r="AC51" s="81" t="s">
        <v>557</v>
      </c>
    </row>
    <row r="52" spans="1:29" s="1" customFormat="1" ht="19" hidden="1" outlineLevel="1">
      <c r="A52" s="294"/>
      <c r="B52" s="656" t="str">
        <f>'Monthly Cash Flow'!B112</f>
        <v>Cash Flow After Current Pref</v>
      </c>
      <c r="C52" s="747"/>
      <c r="D52" s="748"/>
      <c r="E52" s="728"/>
      <c r="F52" s="730"/>
      <c r="G52" s="728"/>
      <c r="H52" s="730"/>
      <c r="I52" s="728">
        <f>I49-I51</f>
        <v>1044349.1388126367</v>
      </c>
      <c r="J52" s="730"/>
      <c r="K52" s="728">
        <f>K49-K51</f>
        <v>1334151.542679575</v>
      </c>
      <c r="L52" s="730"/>
      <c r="M52" s="728">
        <f>M49-M51</f>
        <v>1551816.4775959819</v>
      </c>
      <c r="N52" s="730"/>
      <c r="O52" s="728">
        <f>O49-O51</f>
        <v>1708275.2479473923</v>
      </c>
      <c r="P52" s="730"/>
      <c r="Q52" s="728">
        <f>Q49-Q51</f>
        <v>3352233.7672845083</v>
      </c>
      <c r="R52" s="730"/>
      <c r="S52" s="729">
        <f>S49-S51</f>
        <v>3538984.7207635436</v>
      </c>
      <c r="T52" s="730"/>
      <c r="U52" s="728">
        <f>U49-U51</f>
        <v>3733787.6782003674</v>
      </c>
      <c r="V52" s="730"/>
      <c r="W52" s="728">
        <f>W49-W51</f>
        <v>3936977.4811847722</v>
      </c>
      <c r="X52" s="730"/>
      <c r="Y52" s="728">
        <f>Y49-Y51</f>
        <v>4148902.6867066287</v>
      </c>
      <c r="Z52" s="730"/>
      <c r="AA52" s="728">
        <f>AA49-AA51</f>
        <v>4369926.1255399715</v>
      </c>
      <c r="AB52" s="730"/>
      <c r="AC52" s="81" t="s">
        <v>557</v>
      </c>
    </row>
    <row r="53" spans="1:29" s="1" customFormat="1" ht="19" hidden="1" outlineLevel="2">
      <c r="A53" s="294"/>
      <c r="B53" s="688" t="str">
        <f>'Monthly Cash Flow'!B113</f>
        <v>Pref Interest Shortfall</v>
      </c>
      <c r="C53" s="737"/>
      <c r="D53" s="738"/>
      <c r="E53" s="739"/>
      <c r="F53" s="740"/>
      <c r="G53" s="739"/>
      <c r="H53" s="741"/>
      <c r="I53" s="739"/>
      <c r="J53" s="741"/>
      <c r="K53" s="739"/>
      <c r="L53" s="740"/>
      <c r="M53" s="739"/>
      <c r="N53" s="740"/>
      <c r="O53" s="739"/>
      <c r="P53" s="740"/>
      <c r="Q53" s="739"/>
      <c r="R53" s="741"/>
      <c r="S53" s="740"/>
      <c r="T53" s="741"/>
      <c r="U53" s="739"/>
      <c r="V53" s="740"/>
      <c r="W53" s="739"/>
      <c r="X53" s="740"/>
      <c r="Y53" s="739"/>
      <c r="Z53" s="740"/>
      <c r="AA53" s="739"/>
      <c r="AB53" s="740"/>
      <c r="AC53" s="81" t="s">
        <v>557</v>
      </c>
    </row>
    <row r="54" spans="1:29" s="1" customFormat="1" ht="19" hidden="1" outlineLevel="1" collapsed="1">
      <c r="A54" s="294"/>
      <c r="B54" s="688"/>
      <c r="C54" s="737"/>
      <c r="D54" s="738"/>
      <c r="E54" s="739"/>
      <c r="F54" s="740"/>
      <c r="G54" s="739"/>
      <c r="H54" s="741"/>
      <c r="I54" s="739"/>
      <c r="J54" s="741"/>
      <c r="K54" s="739"/>
      <c r="L54" s="740"/>
      <c r="M54" s="739"/>
      <c r="N54" s="740"/>
      <c r="O54" s="739"/>
      <c r="P54" s="740"/>
      <c r="Q54" s="739"/>
      <c r="R54" s="741"/>
      <c r="S54" s="740"/>
      <c r="T54" s="741"/>
      <c r="U54" s="739"/>
      <c r="V54" s="740"/>
      <c r="W54" s="739"/>
      <c r="X54" s="740"/>
      <c r="Y54" s="739"/>
      <c r="Z54" s="740"/>
      <c r="AA54" s="739"/>
      <c r="AB54" s="740"/>
      <c r="AC54" s="81"/>
    </row>
    <row r="55" spans="1:29" s="1" customFormat="1" ht="19" hidden="1" outlineLevel="1">
      <c r="A55" s="294"/>
      <c r="B55" s="688" t="str">
        <f>'Monthly Cash Flow'!B115</f>
        <v>Pref Accrual Starting Balance</v>
      </c>
      <c r="C55" s="737"/>
      <c r="D55" s="738"/>
      <c r="E55" s="739"/>
      <c r="F55" s="740"/>
      <c r="G55" s="739"/>
      <c r="H55" s="741"/>
      <c r="I55" s="739">
        <f>I57-I56</f>
        <v>0</v>
      </c>
      <c r="J55" s="741"/>
      <c r="K55" s="739">
        <f>I57</f>
        <v>0</v>
      </c>
      <c r="L55" s="740"/>
      <c r="M55" s="739">
        <f>K57</f>
        <v>0</v>
      </c>
      <c r="N55" s="740"/>
      <c r="O55" s="739">
        <f>M57</f>
        <v>0</v>
      </c>
      <c r="P55" s="740"/>
      <c r="Q55" s="739">
        <f>O57</f>
        <v>0</v>
      </c>
      <c r="R55" s="741"/>
      <c r="S55" s="740">
        <f>Q57</f>
        <v>0</v>
      </c>
      <c r="T55" s="741"/>
      <c r="U55" s="739">
        <f>S57</f>
        <v>0</v>
      </c>
      <c r="V55" s="740"/>
      <c r="W55" s="739">
        <f>U57</f>
        <v>0</v>
      </c>
      <c r="X55" s="740"/>
      <c r="Y55" s="739">
        <f>W57</f>
        <v>0</v>
      </c>
      <c r="Z55" s="740"/>
      <c r="AA55" s="739">
        <f>Y57</f>
        <v>0</v>
      </c>
      <c r="AB55" s="740"/>
      <c r="AC55" s="81"/>
    </row>
    <row r="56" spans="1:29" s="1" customFormat="1" ht="19" hidden="1" outlineLevel="1">
      <c r="A56" s="294"/>
      <c r="B56" s="688" t="str">
        <f>'Monthly Cash Flow'!B116</f>
        <v>Pref Accrual Interest Expense</v>
      </c>
      <c r="C56" s="737"/>
      <c r="D56" s="738"/>
      <c r="E56" s="739"/>
      <c r="F56" s="740"/>
      <c r="G56" s="739"/>
      <c r="H56" s="741"/>
      <c r="I56" s="739">
        <f>SUMIF('Monthly Cash Flow'!$E$4:$DT$4, 'Annual Summary'!I$3:J$3, 'Monthly Cash Flow'!$E$116:$DT$116)</f>
        <v>0</v>
      </c>
      <c r="J56" s="741"/>
      <c r="K56" s="739">
        <f>SUMIF('Monthly Cash Flow'!$E$4:$DT$4, 'Annual Summary'!K$3:L$3, 'Monthly Cash Flow'!$E$116:$DT$116)</f>
        <v>0</v>
      </c>
      <c r="L56" s="740"/>
      <c r="M56" s="739">
        <f>SUMIF('Monthly Cash Flow'!$E$4:$DT$4, 'Annual Summary'!M$3:N$3, 'Monthly Cash Flow'!$E$116:$DT$116)</f>
        <v>0</v>
      </c>
      <c r="N56" s="740"/>
      <c r="O56" s="739">
        <f>SUMIF('Monthly Cash Flow'!$E$4:$DT$4, 'Annual Summary'!O$3:P$3, 'Monthly Cash Flow'!$E$116:$DT$116)</f>
        <v>0</v>
      </c>
      <c r="P56" s="740"/>
      <c r="Q56" s="739">
        <f>SUMIF('Monthly Cash Flow'!$E$4:$DT$4, 'Annual Summary'!Q$3:R$3, 'Monthly Cash Flow'!$E$116:$DT$116)</f>
        <v>0</v>
      </c>
      <c r="R56" s="741"/>
      <c r="S56" s="740">
        <f>SUMIF('Monthly Cash Flow'!$E$4:$DT$4, 'Annual Summary'!S$3:T$3, 'Monthly Cash Flow'!$E$116:$DT$116)</f>
        <v>0</v>
      </c>
      <c r="T56" s="741"/>
      <c r="U56" s="739">
        <f>SUMIF('Monthly Cash Flow'!$E$4:$DT$4, 'Annual Summary'!U$3:V$3, 'Monthly Cash Flow'!$E$116:$DT$116)</f>
        <v>0</v>
      </c>
      <c r="V56" s="740"/>
      <c r="W56" s="739">
        <f>SUMIF('Monthly Cash Flow'!$E$4:$DT$4, 'Annual Summary'!W$3:X$3, 'Monthly Cash Flow'!$E$116:$DT$116)</f>
        <v>0</v>
      </c>
      <c r="X56" s="740"/>
      <c r="Y56" s="739">
        <f>SUMIF('Monthly Cash Flow'!$E$4:$DT$4, 'Annual Summary'!Y$3:Z$3, 'Monthly Cash Flow'!$E$116:$DT$116)</f>
        <v>0</v>
      </c>
      <c r="Z56" s="740"/>
      <c r="AA56" s="739">
        <f>SUMIF('Monthly Cash Flow'!$E$4:$DT$4, 'Annual Summary'!AA$3:AB$3, 'Monthly Cash Flow'!$E$116:$DT$116)</f>
        <v>0</v>
      </c>
      <c r="AB56" s="740"/>
      <c r="AC56" s="81"/>
    </row>
    <row r="57" spans="1:29" s="1" customFormat="1" ht="19" hidden="1" outlineLevel="1">
      <c r="A57" s="294"/>
      <c r="B57" s="656" t="str">
        <f>'Monthly Cash Flow'!B117</f>
        <v>Pref Accrual Ending Balance</v>
      </c>
      <c r="C57" s="747"/>
      <c r="D57" s="748"/>
      <c r="E57" s="728"/>
      <c r="F57" s="730"/>
      <c r="G57" s="728"/>
      <c r="H57" s="730"/>
      <c r="I57" s="728">
        <f>SUMIF('Monthly Cash Flow'!$E$5:$DT$5, ('Annual Summary'!I$3:J$3)*12, 'Monthly Cash Flow'!$E$117:$DT$117)</f>
        <v>0</v>
      </c>
      <c r="J57" s="730"/>
      <c r="K57" s="728">
        <f>SUMIF('Monthly Cash Flow'!$E$5:$DT$5, ('Annual Summary'!K$3:L$3)*12, 'Monthly Cash Flow'!$E$117:$DT$117)</f>
        <v>0</v>
      </c>
      <c r="L57" s="730"/>
      <c r="M57" s="728">
        <f>SUMIF('Monthly Cash Flow'!$E$5:$DT$5, ('Annual Summary'!M$3:N$3)*12, 'Monthly Cash Flow'!$E$117:$DT$117)</f>
        <v>0</v>
      </c>
      <c r="N57" s="730"/>
      <c r="O57" s="728">
        <f>SUMIF('Monthly Cash Flow'!$E$5:$DT$5, ('Annual Summary'!O$3:P$3)*12, 'Monthly Cash Flow'!$E$117:$DT$117)</f>
        <v>0</v>
      </c>
      <c r="P57" s="730"/>
      <c r="Q57" s="728">
        <f>SUMIF('Monthly Cash Flow'!$E$5:$DT$5, ('Annual Summary'!Q$3:R$3)*12, 'Monthly Cash Flow'!$E$117:$DT$117)</f>
        <v>0</v>
      </c>
      <c r="R57" s="730"/>
      <c r="S57" s="729">
        <f>SUMIF('Monthly Cash Flow'!$E$5:$DT$5, ('Annual Summary'!S$3:T$3)*12, 'Monthly Cash Flow'!$E$117:$DT$117)</f>
        <v>0</v>
      </c>
      <c r="T57" s="730"/>
      <c r="U57" s="728">
        <f>SUMIF('Monthly Cash Flow'!$E$5:$DT$5, ('Annual Summary'!U$3:V$3)*12, 'Monthly Cash Flow'!$E$117:$DT$117)</f>
        <v>0</v>
      </c>
      <c r="V57" s="730"/>
      <c r="W57" s="728">
        <f>SUMIF('Monthly Cash Flow'!$E$5:$DT$5, ('Annual Summary'!W$3:X$3)*12, 'Monthly Cash Flow'!$E$117:$DT$117)</f>
        <v>0</v>
      </c>
      <c r="X57" s="730"/>
      <c r="Y57" s="728">
        <f>SUMIF('Monthly Cash Flow'!$E$5:$DT$5, ('Annual Summary'!Y$3:Z$3)*12, 'Monthly Cash Flow'!$E$117:$DT$117)</f>
        <v>0</v>
      </c>
      <c r="Z57" s="730"/>
      <c r="AA57" s="728">
        <f>SUMIF('Monthly Cash Flow'!$E$5:$DT$5, ('Annual Summary'!AA$3:AB$3)*12, 'Monthly Cash Flow'!$E$117:$DT$117)</f>
        <v>0</v>
      </c>
      <c r="AB57" s="730"/>
      <c r="AC57" s="81" t="s">
        <v>557</v>
      </c>
    </row>
    <row r="58" spans="1:29" s="1" customFormat="1" ht="19" hidden="1" outlineLevel="1">
      <c r="A58" s="294"/>
      <c r="B58" s="736"/>
      <c r="C58" s="737"/>
      <c r="D58" s="738"/>
      <c r="E58" s="739"/>
      <c r="F58" s="740"/>
      <c r="G58" s="739"/>
      <c r="H58" s="741"/>
      <c r="I58" s="739"/>
      <c r="J58" s="741"/>
      <c r="K58" s="739"/>
      <c r="L58" s="740"/>
      <c r="M58" s="739"/>
      <c r="N58" s="740"/>
      <c r="O58" s="739"/>
      <c r="P58" s="740"/>
      <c r="Q58" s="739"/>
      <c r="R58" s="741"/>
      <c r="S58" s="740"/>
      <c r="T58" s="741"/>
      <c r="U58" s="739"/>
      <c r="V58" s="740"/>
      <c r="W58" s="739"/>
      <c r="X58" s="740"/>
      <c r="Y58" s="739"/>
      <c r="Z58" s="740"/>
      <c r="AA58" s="739"/>
      <c r="AB58" s="740"/>
      <c r="AC58" s="81" t="s">
        <v>557</v>
      </c>
    </row>
    <row r="59" spans="1:29" s="1" customFormat="1" ht="19" hidden="1" outlineLevel="1">
      <c r="A59" s="294"/>
      <c r="B59" s="682" t="s">
        <v>1100</v>
      </c>
      <c r="C59" s="737"/>
      <c r="D59" s="738"/>
      <c r="E59" s="739"/>
      <c r="F59" s="740"/>
      <c r="G59" s="739"/>
      <c r="H59" s="741"/>
      <c r="I59" s="739"/>
      <c r="J59" s="741"/>
      <c r="K59" s="739"/>
      <c r="L59" s="740"/>
      <c r="M59" s="739"/>
      <c r="N59" s="740"/>
      <c r="O59" s="739"/>
      <c r="P59" s="740"/>
      <c r="Q59" s="739"/>
      <c r="R59" s="741"/>
      <c r="S59" s="740"/>
      <c r="T59" s="741"/>
      <c r="U59" s="739"/>
      <c r="V59" s="740"/>
      <c r="W59" s="739"/>
      <c r="X59" s="740"/>
      <c r="Y59" s="739"/>
      <c r="Z59" s="740"/>
      <c r="AA59" s="739"/>
      <c r="AB59" s="740"/>
      <c r="AC59" s="81" t="s">
        <v>557</v>
      </c>
    </row>
    <row r="60" spans="1:29" s="1" customFormat="1" ht="19" hidden="1" outlineLevel="1">
      <c r="A60" s="294"/>
      <c r="B60" s="688" t="s">
        <v>1101</v>
      </c>
      <c r="C60" s="737"/>
      <c r="D60" s="738"/>
      <c r="E60" s="739"/>
      <c r="F60" s="740"/>
      <c r="G60" s="739"/>
      <c r="H60" s="741"/>
      <c r="I60" s="739">
        <f>SUMIF('Monthly Cash Flow'!$E$4:$DT$4, 'Annual Summary'!I$3:J$3, 'Monthly Cash Flow'!$E$120:$DT$120)</f>
        <v>0</v>
      </c>
      <c r="J60" s="741"/>
      <c r="K60" s="739">
        <f>SUMIF('Monthly Cash Flow'!$E$4:$DT$4, 'Annual Summary'!K$3:L$3, 'Monthly Cash Flow'!$E$120:$DT$120)</f>
        <v>0</v>
      </c>
      <c r="L60" s="740"/>
      <c r="M60" s="739">
        <f>SUMIF('Monthly Cash Flow'!$E$4:$DT$4, 'Annual Summary'!M$3:N$3, 'Monthly Cash Flow'!$E$120:$DT$120)</f>
        <v>0</v>
      </c>
      <c r="N60" s="740"/>
      <c r="O60" s="739">
        <f>SUMIF('Monthly Cash Flow'!$E$4:$DT$4, 'Annual Summary'!O$3:P$3, 'Monthly Cash Flow'!$E$120:$DT$120)</f>
        <v>29220677.63086725</v>
      </c>
      <c r="P60" s="740"/>
      <c r="Q60" s="739">
        <f>SUMIF('Monthly Cash Flow'!$E$4:$DT$4, 'Annual Summary'!Q$3:R$3, 'Monthly Cash Flow'!$E$120:$DT$120)</f>
        <v>0</v>
      </c>
      <c r="R60" s="741"/>
      <c r="S60" s="740">
        <f>SUMIF('Monthly Cash Flow'!$E$4:$DT$4, 'Annual Summary'!S$3:T$3, 'Monthly Cash Flow'!$E$120:$DT$120)</f>
        <v>0</v>
      </c>
      <c r="T60" s="741"/>
      <c r="U60" s="739">
        <f>SUMIF('Monthly Cash Flow'!$E$4:$DT$4, 'Annual Summary'!U$3:V$3, 'Monthly Cash Flow'!$E$120:$DT$120)</f>
        <v>0</v>
      </c>
      <c r="V60" s="740"/>
      <c r="W60" s="739">
        <f>SUMIF('Monthly Cash Flow'!$E$4:$DT$4, 'Annual Summary'!W$3:X$3, 'Monthly Cash Flow'!$E$120:$DT$120)</f>
        <v>0</v>
      </c>
      <c r="X60" s="740"/>
      <c r="Y60" s="739">
        <f>SUMIF('Monthly Cash Flow'!$E$4:$DT$4, 'Annual Summary'!Y$3:Z$3, 'Monthly Cash Flow'!$E$120:$DT$120)</f>
        <v>0</v>
      </c>
      <c r="Z60" s="740"/>
      <c r="AA60" s="739">
        <f>SUMIF('Monthly Cash Flow'!$E$4:$DT$4, 'Annual Summary'!AA$3:AB$3, 'Monthly Cash Flow'!$E$120:$DT$120)</f>
        <v>0</v>
      </c>
      <c r="AB60" s="740"/>
      <c r="AC60" s="81" t="s">
        <v>557</v>
      </c>
    </row>
    <row r="61" spans="1:29" s="1" customFormat="1" ht="19" hidden="1" outlineLevel="1">
      <c r="A61" s="294"/>
      <c r="B61" s="736"/>
      <c r="C61" s="737"/>
      <c r="D61" s="738"/>
      <c r="E61" s="739"/>
      <c r="F61" s="740"/>
      <c r="G61" s="739"/>
      <c r="H61" s="741"/>
      <c r="I61" s="739"/>
      <c r="J61" s="741"/>
      <c r="K61" s="739"/>
      <c r="L61" s="740"/>
      <c r="M61" s="739"/>
      <c r="N61" s="740"/>
      <c r="O61" s="739"/>
      <c r="P61" s="740"/>
      <c r="Q61" s="739"/>
      <c r="R61" s="741"/>
      <c r="S61" s="740"/>
      <c r="T61" s="741"/>
      <c r="U61" s="739"/>
      <c r="V61" s="740"/>
      <c r="W61" s="739"/>
      <c r="X61" s="740"/>
      <c r="Y61" s="739"/>
      <c r="Z61" s="740"/>
      <c r="AA61" s="739"/>
      <c r="AB61" s="740"/>
      <c r="AC61" s="81" t="s">
        <v>557</v>
      </c>
    </row>
    <row r="62" spans="1:29" s="1" customFormat="1" ht="19" hidden="1" outlineLevel="1">
      <c r="A62" s="294"/>
      <c r="B62" s="656" t="s">
        <v>1104</v>
      </c>
      <c r="C62" s="747"/>
      <c r="D62" s="755">
        <f ca="1">-'Inputs and Assumptions'!G28</f>
        <v>-20296000</v>
      </c>
      <c r="E62" s="728">
        <f>E49+E60</f>
        <v>1292581.9451999995</v>
      </c>
      <c r="F62" s="729"/>
      <c r="G62" s="728">
        <f>G49+G60</f>
        <v>1853590.1567999995</v>
      </c>
      <c r="H62" s="730"/>
      <c r="I62" s="728">
        <f>SUMIF('Monthly Cash Flow'!$E$4:$DT$4, 'Annual Summary'!I$3:J$3, 'Monthly Cash Flow'!$E$129:$DT$129)</f>
        <v>1044349.1388126372</v>
      </c>
      <c r="J62" s="730"/>
      <c r="K62" s="728">
        <f>SUMIF('Monthly Cash Flow'!$E$4:$DT$4, 'Annual Summary'!K$3:L$3, 'Monthly Cash Flow'!$E$129:$DT$129)</f>
        <v>1334151.5426795764</v>
      </c>
      <c r="L62" s="729"/>
      <c r="M62" s="728">
        <f>SUMIF('Monthly Cash Flow'!$E$4:$DT$4, 'Annual Summary'!M$3:N$3, 'Monthly Cash Flow'!$E$129:$DT$129)</f>
        <v>1551816.4775959803</v>
      </c>
      <c r="N62" s="729"/>
      <c r="O62" s="728">
        <f>SUMIF('Monthly Cash Flow'!$E$4:$DT$4, 'Annual Summary'!O$3:P$3, 'Monthly Cash Flow'!$E$129:$DT$129)</f>
        <v>30928952.878814641</v>
      </c>
      <c r="P62" s="729"/>
      <c r="Q62" s="728">
        <f>SUMIF('Monthly Cash Flow'!$E$4:$DT$4, 'Annual Summary'!Q$3:R$3, 'Monthly Cash Flow'!$E$129:$DT$129)</f>
        <v>0</v>
      </c>
      <c r="R62" s="730"/>
      <c r="S62" s="729">
        <f>SUMIF('Monthly Cash Flow'!$E$4:$DT$4, 'Annual Summary'!S$3:T$3, 'Monthly Cash Flow'!$E$129:$DT$129)</f>
        <v>0</v>
      </c>
      <c r="T62" s="730"/>
      <c r="U62" s="728">
        <f>SUMIF('Monthly Cash Flow'!$E$4:$DT$4, 'Annual Summary'!U$3:V$3, 'Monthly Cash Flow'!$E$129:$DT$129)</f>
        <v>0</v>
      </c>
      <c r="V62" s="729"/>
      <c r="W62" s="728">
        <f>SUMIF('Monthly Cash Flow'!$E$4:$DT$4, 'Annual Summary'!W$3:X$3, 'Monthly Cash Flow'!$E$129:$DT$129)</f>
        <v>0</v>
      </c>
      <c r="X62" s="729"/>
      <c r="Y62" s="728">
        <f>SUMIF('Monthly Cash Flow'!$E$4:$DT$4, 'Annual Summary'!Y$3:Z$3, 'Monthly Cash Flow'!$E$129:$DT$129)</f>
        <v>0</v>
      </c>
      <c r="Z62" s="729"/>
      <c r="AA62" s="728">
        <f>SUMIF('Monthly Cash Flow'!$E$4:$DT$4, 'Annual Summary'!AA$3:AB$3, 'Monthly Cash Flow'!$E$129:$DT$129)</f>
        <v>0</v>
      </c>
      <c r="AB62" s="729"/>
      <c r="AC62" s="81" t="s">
        <v>557</v>
      </c>
    </row>
    <row r="63" spans="1:29" s="1" customFormat="1" hidden="1" outlineLevel="1">
      <c r="A63" s="294"/>
      <c r="B63" s="736"/>
      <c r="C63" s="737"/>
      <c r="D63" s="738"/>
      <c r="E63" s="756"/>
      <c r="F63" s="757"/>
      <c r="G63" s="756"/>
      <c r="H63" s="758"/>
      <c r="I63" s="756"/>
      <c r="J63" s="758"/>
      <c r="K63" s="757"/>
      <c r="L63" s="758"/>
      <c r="M63" s="756"/>
      <c r="N63" s="758"/>
      <c r="O63" s="756"/>
      <c r="P63" s="758"/>
      <c r="Q63" s="756"/>
      <c r="R63" s="758"/>
      <c r="S63" s="757"/>
      <c r="T63" s="758"/>
      <c r="U63" s="756"/>
      <c r="V63" s="758"/>
      <c r="W63" s="756"/>
      <c r="X63" s="758"/>
      <c r="Y63" s="756"/>
      <c r="Z63" s="758"/>
      <c r="AA63" s="756"/>
      <c r="AB63" s="758"/>
      <c r="AC63" s="81" t="s">
        <v>557</v>
      </c>
    </row>
    <row r="64" spans="1:29" s="1" customFormat="1" ht="19" hidden="1" outlineLevel="1">
      <c r="A64" s="294"/>
      <c r="B64" s="495" t="s">
        <v>1125</v>
      </c>
      <c r="C64" s="496"/>
      <c r="D64" s="497"/>
      <c r="E64" s="498"/>
      <c r="F64" s="498"/>
      <c r="G64" s="499"/>
      <c r="H64" s="500"/>
      <c r="I64" s="501">
        <f>I39/'Inputs and Assumptions'!$D$11</f>
        <v>4.7651103160653123E-2</v>
      </c>
      <c r="J64" s="502"/>
      <c r="K64" s="501">
        <f>K39/'Inputs and Assumptions'!$D$11</f>
        <v>5.3082764994120138E-2</v>
      </c>
      <c r="L64" s="503"/>
      <c r="M64" s="501">
        <f>M39/'Inputs and Assumptions'!$D$11</f>
        <v>5.7164847820813706E-2</v>
      </c>
      <c r="N64" s="502"/>
      <c r="O64" s="501">
        <f>O39/'Inputs and Assumptions'!$D$11</f>
        <v>6.0101897209829037E-2</v>
      </c>
      <c r="P64" s="502"/>
      <c r="Q64" s="501">
        <f>Q39/'Inputs and Assumptions'!$D$11</f>
        <v>6.3169639329835048E-2</v>
      </c>
      <c r="R64" s="502"/>
      <c r="S64" s="1711">
        <f>S39/'Inputs and Assumptions'!$D$11</f>
        <v>6.6670838111554526E-2</v>
      </c>
      <c r="T64" s="502"/>
      <c r="U64" s="501">
        <f>U39/'Inputs and Assumptions'!$D$11</f>
        <v>7.0322845437116088E-2</v>
      </c>
      <c r="V64" s="502"/>
      <c r="W64" s="501">
        <f>W39/'Inputs and Assumptions'!$D$11</f>
        <v>7.4131929779972697E-2</v>
      </c>
      <c r="X64" s="502"/>
      <c r="Y64" s="501">
        <f>Y39/'Inputs and Assumptions'!$D$11</f>
        <v>7.8104616317310332E-2</v>
      </c>
      <c r="Z64" s="502"/>
      <c r="AA64" s="501">
        <f>AA39/'Inputs and Assumptions'!$D$11</f>
        <v>8.2247697379796009E-2</v>
      </c>
      <c r="AB64" s="500"/>
      <c r="AC64" s="81" t="s">
        <v>557</v>
      </c>
    </row>
    <row r="65" spans="1:29" s="1" customFormat="1" ht="19" hidden="1" outlineLevel="1">
      <c r="A65" s="294"/>
      <c r="B65" s="495" t="s">
        <v>1126</v>
      </c>
      <c r="C65" s="496"/>
      <c r="D65" s="497"/>
      <c r="E65" s="498"/>
      <c r="F65" s="498"/>
      <c r="G65" s="499"/>
      <c r="H65" s="500"/>
      <c r="I65" s="504">
        <f>I39/I47</f>
        <v>1.7380341578353722</v>
      </c>
      <c r="J65" s="500"/>
      <c r="K65" s="504">
        <f>K39/K47</f>
        <v>1.9361494830682116</v>
      </c>
      <c r="L65" s="498"/>
      <c r="M65" s="504">
        <f>M39/M47</f>
        <v>2.0850400420965483</v>
      </c>
      <c r="N65" s="500"/>
      <c r="O65" s="504">
        <f>O39/O47</f>
        <v>2.1921664635803899</v>
      </c>
      <c r="P65" s="500"/>
      <c r="Q65" s="504" t="e">
        <f>Q39/Q47</f>
        <v>#DIV/0!</v>
      </c>
      <c r="R65" s="500"/>
      <c r="S65" s="1712" t="e">
        <f>S39/S47</f>
        <v>#DIV/0!</v>
      </c>
      <c r="T65" s="500"/>
      <c r="U65" s="504" t="e">
        <f>U39/U47</f>
        <v>#DIV/0!</v>
      </c>
      <c r="V65" s="500"/>
      <c r="W65" s="504" t="e">
        <f>W39/W47</f>
        <v>#DIV/0!</v>
      </c>
      <c r="X65" s="500"/>
      <c r="Y65" s="504" t="e">
        <f>Y39/Y47</f>
        <v>#DIV/0!</v>
      </c>
      <c r="Z65" s="500"/>
      <c r="AA65" s="504" t="e">
        <f>AA39/AA47</f>
        <v>#DIV/0!</v>
      </c>
      <c r="AB65" s="500"/>
      <c r="AC65" s="81" t="s">
        <v>557</v>
      </c>
    </row>
    <row r="66" spans="1:29" s="1" customFormat="1" ht="19" hidden="1" outlineLevel="1">
      <c r="A66" s="294"/>
      <c r="B66" s="495" t="s">
        <v>1127</v>
      </c>
      <c r="C66" s="505"/>
      <c r="D66" s="506"/>
      <c r="E66" s="507"/>
      <c r="F66" s="507"/>
      <c r="G66" s="508"/>
      <c r="H66" s="509"/>
      <c r="I66" s="510">
        <f>I39/'Inputs and Assumptions'!$G$26</f>
        <v>7.3518844876436257E-2</v>
      </c>
      <c r="J66" s="509"/>
      <c r="K66" s="510">
        <f>K39/'Inputs and Assumptions'!$G$26</f>
        <v>8.1899123133785362E-2</v>
      </c>
      <c r="L66" s="507"/>
      <c r="M66" s="510">
        <f>M39/'Inputs and Assumptions'!$G$26</f>
        <v>8.8197193780684011E-2</v>
      </c>
      <c r="N66" s="509"/>
      <c r="O66" s="510">
        <f>O39/'Inputs and Assumptions'!$G$26</f>
        <v>9.2728641409450516E-2</v>
      </c>
      <c r="P66" s="509"/>
      <c r="Q66" s="510">
        <f>Q39/'Inputs and Assumptions'!$G$26</f>
        <v>9.7461729251745496E-2</v>
      </c>
      <c r="R66" s="509"/>
      <c r="S66" s="1713">
        <f>S39/'Inputs and Assumptions'!$G$26</f>
        <v>0.10286357880068413</v>
      </c>
      <c r="T66" s="509"/>
      <c r="U66" s="510">
        <f>U39/'Inputs and Assumptions'!$G$26</f>
        <v>0.10849810438869338</v>
      </c>
      <c r="V66" s="509"/>
      <c r="W66" s="510">
        <f>W39/'Inputs and Assumptions'!$G$26</f>
        <v>0.11437497737481503</v>
      </c>
      <c r="X66" s="509"/>
      <c r="Y66" s="510">
        <f>Y39/'Inputs and Assumptions'!$G$26</f>
        <v>0.1205042651752788</v>
      </c>
      <c r="Z66" s="509"/>
      <c r="AA66" s="510">
        <f>AA39/'Inputs and Assumptions'!$G$26</f>
        <v>0.12689644738597097</v>
      </c>
      <c r="AB66" s="509"/>
      <c r="AC66" s="81" t="s">
        <v>557</v>
      </c>
    </row>
    <row r="67" spans="1:29" s="1" customFormat="1" ht="19" hidden="1" outlineLevel="1">
      <c r="A67" s="294"/>
      <c r="B67" s="495" t="s">
        <v>1128</v>
      </c>
      <c r="C67" s="505"/>
      <c r="D67" s="506"/>
      <c r="E67" s="507"/>
      <c r="F67" s="507"/>
      <c r="G67" s="508"/>
      <c r="H67" s="509"/>
      <c r="I67" s="510">
        <f>I39/('Inputs and Assumptions'!$G$26+'Inputs and Assumptions'!$G$27)</f>
        <v>7.3518844876436257E-2</v>
      </c>
      <c r="J67" s="509"/>
      <c r="K67" s="510">
        <f>K39/('Inputs and Assumptions'!$G$26+'Inputs and Assumptions'!$G$27)</f>
        <v>8.1899123133785362E-2</v>
      </c>
      <c r="L67" s="507"/>
      <c r="M67" s="510">
        <f>M39/('Inputs and Assumptions'!$G$26+'Inputs and Assumptions'!$G$27)</f>
        <v>8.8197193780684011E-2</v>
      </c>
      <c r="N67" s="509"/>
      <c r="O67" s="510">
        <f>O39/('Inputs and Assumptions'!$G$26+'Inputs and Assumptions'!$G$27)</f>
        <v>9.2728641409450516E-2</v>
      </c>
      <c r="P67" s="509"/>
      <c r="Q67" s="510">
        <f>Q39/('Inputs and Assumptions'!$G$26+'Inputs and Assumptions'!$G$27)</f>
        <v>9.7461729251745496E-2</v>
      </c>
      <c r="R67" s="509"/>
      <c r="S67" s="1713">
        <f>S39/('Inputs and Assumptions'!$G$26+'Inputs and Assumptions'!$G$27)</f>
        <v>0.10286357880068413</v>
      </c>
      <c r="T67" s="509"/>
      <c r="U67" s="510">
        <f>U39/('Inputs and Assumptions'!$G$26+'Inputs and Assumptions'!$G$27)</f>
        <v>0.10849810438869338</v>
      </c>
      <c r="V67" s="509"/>
      <c r="W67" s="510">
        <f>W39/('Inputs and Assumptions'!$G$26+'Inputs and Assumptions'!$G$27)</f>
        <v>0.11437497737481503</v>
      </c>
      <c r="X67" s="509"/>
      <c r="Y67" s="510">
        <f>Y39/('Inputs and Assumptions'!$G$26+'Inputs and Assumptions'!$G$27)</f>
        <v>0.1205042651752788</v>
      </c>
      <c r="Z67" s="509"/>
      <c r="AA67" s="510">
        <f>AA39/('Inputs and Assumptions'!$G$26+'Inputs and Assumptions'!$G$27)</f>
        <v>0.12689644738597097</v>
      </c>
      <c r="AB67" s="509"/>
      <c r="AC67" s="81"/>
    </row>
    <row r="68" spans="1:29" s="1" customFormat="1" ht="19" hidden="1" outlineLevel="1">
      <c r="A68" s="294"/>
      <c r="B68" s="495" t="s">
        <v>1129</v>
      </c>
      <c r="C68" s="511"/>
      <c r="D68" s="506"/>
      <c r="E68" s="507"/>
      <c r="F68" s="507"/>
      <c r="G68" s="508"/>
      <c r="H68" s="509"/>
      <c r="I68" s="510" cm="1">
        <f t="array" aca="1" ref="I68:J68" ca="1">IF(AND(I60&gt;0,'Inputs and Assumptions'!$L$5="NO"),(('Annual Summary'!I62-'Annual Summary'!I60)+SUMIF('Monthly Cash Flow'!$E$4:$DT$4,'Annual Summary'!I3:J3,'Monthly Cash Flow'!$E$124:$DT$124))/'Inputs and Assumptions'!$H$8, IF(AND(I60=0,'Inputs and Assumptions'!$L$5="NO"),(I62+SUMIF('Monthly Cash Flow'!$E$4:$DT$4,'Annual Summary'!I3:J3,'Monthly Cash Flow'!$E$124:$DT$124))/'Inputs and Assumptions'!$H$8, IF(AND('Annual Summary'!I60&gt;0,'Inputs and Assumptions'!$L$5="YES",'Inputs and Assumptions'!$L$25&gt;0), (('Annual Summary'!I62-'Annual Summary'!I60)+SUMIF('Monthly Cash Flow'!$E$4:$DT$4,'Annual Summary'!I3:J3,'Monthly Cash Flow'!$E$124:$DT$124))/'Inputs and Assumptions'!$L$22, IF(I3&lt;INDEX('Monthly Cash Flow'!$E$4:$DT$4,,MATCH('Inputs and Assumptions'!$L$6,'Monthly Cash Flow'!$E$5:$DT$5,0)), ('Annual Summary'!I62+SUMIF('Monthly Cash Flow'!$E$4:$DT$4,'Annual Summary'!I3:J3,'Monthly Cash Flow'!$E$124:$DT$124))/'Inputs and Assumptions'!$H$8, IF(I3=INDEX('Monthly Cash Flow'!$E$4:$DT$4,,MATCH('Inputs and Assumptions'!$L$6,'Monthly Cash Flow'!$E$5:$DT$5,0)), ('Annual Summary'!I62+SUMIF('Monthly Cash Flow'!$E$4:$DT$4,'Annual Summary'!I3:J3,'Monthly Cash Flow'!$E$124:$DT$124)-INDEX('Monthly Cash Flow'!$E$129:$DT$129,,MATCH('Inputs and Assumptions'!$L$6,'Monthly Cash Flow'!$E$5:$DT$5,0)))/'Inputs and Assumptions'!$L$22, IF(AND(I60&gt;0,I3&gt;INDEX('Monthly Cash Flow'!$E$4:$DT$4,,MATCH('Inputs and Assumptions'!$L$6,'Monthly Cash Flow'!$E$5:$DT$5,0))),(I62-I60+SUMIF('Monthly Cash Flow'!$E$4:$DT$4,'Annual Summary'!I3:J3,'Monthly Cash Flow'!$E$124:$DT$124))/'Inputs and Assumptions'!$L$22, 'Annual Summary'!I62/'Inputs and Assumptions'!$L$22))))))</f>
        <v>5.1455909480323081E-2</v>
      </c>
      <c r="J68" s="512">
        <f ca="1"/>
        <v>5.1455909480323081E-2</v>
      </c>
      <c r="K68" s="510" cm="1">
        <f t="array" aca="1" ref="K68:L68" ca="1">IF(AND(K60&gt;0,'Inputs and Assumptions'!$L$5="NO"),(('Annual Summary'!K62-'Annual Summary'!K60)+SUMIF('Monthly Cash Flow'!$E$4:$DT$4,'Annual Summary'!K3:L3,'Monthly Cash Flow'!$E$124:$DT$124))/'Inputs and Assumptions'!$H$8, IF(AND(K60=0,'Inputs and Assumptions'!$L$5="NO"),(K62+SUMIF('Monthly Cash Flow'!$E$4:$DT$4,'Annual Summary'!K3:L3,'Monthly Cash Flow'!$E$124:$DT$124))/'Inputs and Assumptions'!$H$8, IF(AND('Annual Summary'!K60&gt;0,'Inputs and Assumptions'!$L$5="YES",'Inputs and Assumptions'!$L$25&gt;0), (('Annual Summary'!K62-'Annual Summary'!K60)+SUMIF('Monthly Cash Flow'!$E$4:$DT$4,'Annual Summary'!K3:L3,'Monthly Cash Flow'!$E$124:$DT$124))/'Inputs and Assumptions'!$L$22, IF(K3&lt;INDEX('Monthly Cash Flow'!$E$4:$DT$4,,MATCH('Inputs and Assumptions'!$L$6,'Monthly Cash Flow'!$E$5:$DT$5,0)), ('Annual Summary'!K62+SUMIF('Monthly Cash Flow'!$E$4:$DT$4,'Annual Summary'!K3:L3,'Monthly Cash Flow'!$E$124:$DT$124))/'Inputs and Assumptions'!$H$8, IF(K3=INDEX('Monthly Cash Flow'!$E$4:$DT$4,,MATCH('Inputs and Assumptions'!$L$6,'Monthly Cash Flow'!$E$5:$DT$5,0)), ('Annual Summary'!K62+SUMIF('Monthly Cash Flow'!$E$4:$DT$4,'Annual Summary'!K3:L3,'Monthly Cash Flow'!$E$124:$DT$124)-INDEX('Monthly Cash Flow'!$E$129:$DT$129,,MATCH('Inputs and Assumptions'!$L$6,'Monthly Cash Flow'!$E$5:$DT$5,0)))/'Inputs and Assumptions'!$L$22, IF(AND(K60&gt;0,K3&gt;INDEX('Monthly Cash Flow'!$E$4:$DT$4,,MATCH('Inputs and Assumptions'!$L$6,'Monthly Cash Flow'!$E$5:$DT$5,0))),(K62-K60+SUMIF('Monthly Cash Flow'!$E$4:$DT$4,'Annual Summary'!K3:L3,'Monthly Cash Flow'!$E$124:$DT$124))/'Inputs and Assumptions'!$L$22, 'Annual Summary'!K62/'Inputs and Assumptions'!$L$22))))))</f>
        <v>6.5734703521855356E-2</v>
      </c>
      <c r="L68" s="512">
        <f ca="1"/>
        <v>6.5734703521855356E-2</v>
      </c>
      <c r="M68" s="510" cm="1">
        <f t="array" aca="1" ref="M68:N68" ca="1">IF(AND(M60&gt;0,'Inputs and Assumptions'!$L$5="NO"),(('Annual Summary'!M62-'Annual Summary'!M60)+SUMIF('Monthly Cash Flow'!$E$4:$DT$4,'Annual Summary'!M3:N3,'Monthly Cash Flow'!$E$124:$DT$124))/'Inputs and Assumptions'!$H$8, IF(AND(M60=0,'Inputs and Assumptions'!$L$5="NO"),(M62+SUMIF('Monthly Cash Flow'!$E$4:$DT$4,'Annual Summary'!M3:N3,'Monthly Cash Flow'!$E$124:$DT$124))/'Inputs and Assumptions'!$H$8, IF(AND('Annual Summary'!M60&gt;0,'Inputs and Assumptions'!$L$5="YES",'Inputs and Assumptions'!$L$25&gt;0), (('Annual Summary'!M62-'Annual Summary'!M60)+SUMIF('Monthly Cash Flow'!$E$4:$DT$4,'Annual Summary'!M3:N3,'Monthly Cash Flow'!$E$124:$DT$124))/'Inputs and Assumptions'!$L$22, IF(M3&lt;INDEX('Monthly Cash Flow'!$E$4:$DT$4,,MATCH('Inputs and Assumptions'!$L$6,'Monthly Cash Flow'!$E$5:$DT$5,0)), ('Annual Summary'!M62+SUMIF('Monthly Cash Flow'!$E$4:$DT$4,'Annual Summary'!M3:N3,'Monthly Cash Flow'!$E$124:$DT$124))/'Inputs and Assumptions'!$H$8, IF(M3=INDEX('Monthly Cash Flow'!$E$4:$DT$4,,MATCH('Inputs and Assumptions'!$L$6,'Monthly Cash Flow'!$E$5:$DT$5,0)), ('Annual Summary'!M62+SUMIF('Monthly Cash Flow'!$E$4:$DT$4,'Annual Summary'!M3:N3,'Monthly Cash Flow'!$E$124:$DT$124)-INDEX('Monthly Cash Flow'!$E$129:$DT$129,,MATCH('Inputs and Assumptions'!$L$6,'Monthly Cash Flow'!$E$5:$DT$5,0)))/'Inputs and Assumptions'!$L$22, IF(AND(M60&gt;0,M3&gt;INDEX('Monthly Cash Flow'!$E$4:$DT$4,,MATCH('Inputs and Assumptions'!$L$6,'Monthly Cash Flow'!$E$5:$DT$5,0))),(M62-M60+SUMIF('Monthly Cash Flow'!$E$4:$DT$4,'Annual Summary'!M3:N3,'Monthly Cash Flow'!$E$124:$DT$124))/'Inputs and Assumptions'!$L$22, 'Annual Summary'!M62/'Inputs and Assumptions'!$L$22))))))</f>
        <v>7.6459227315529177E-2</v>
      </c>
      <c r="N68" s="512">
        <f ca="1"/>
        <v>7.6459227315529177E-2</v>
      </c>
      <c r="O68" s="510" cm="1">
        <f t="array" aca="1" ref="O68:P68" ca="1">IF(AND(O60&gt;0,'Inputs and Assumptions'!$L$5="NO"),(('Annual Summary'!O62-'Annual Summary'!O60)+SUMIF('Monthly Cash Flow'!$E$4:$DT$4,'Annual Summary'!O3:P3,'Monthly Cash Flow'!$E$124:$DT$124))/'Inputs and Assumptions'!$H$8, IF(AND(O60=0,'Inputs and Assumptions'!$L$5="NO"),(O62+SUMIF('Monthly Cash Flow'!$E$4:$DT$4,'Annual Summary'!O3:P3,'Monthly Cash Flow'!$E$124:$DT$124))/'Inputs and Assumptions'!$H$8, IF(AND('Annual Summary'!O60&gt;0,'Inputs and Assumptions'!$L$5="YES",'Inputs and Assumptions'!$L$25&gt;0), (('Annual Summary'!O62-'Annual Summary'!O60)+SUMIF('Monthly Cash Flow'!$E$4:$DT$4,'Annual Summary'!O3:P3,'Monthly Cash Flow'!$E$124:$DT$124))/'Inputs and Assumptions'!$L$22, IF(O3&lt;INDEX('Monthly Cash Flow'!$E$4:$DT$4,,MATCH('Inputs and Assumptions'!$L$6,'Monthly Cash Flow'!$E$5:$DT$5,0)), ('Annual Summary'!O62+SUMIF('Monthly Cash Flow'!$E$4:$DT$4,'Annual Summary'!O3:P3,'Monthly Cash Flow'!$E$124:$DT$124))/'Inputs and Assumptions'!$H$8, IF(O3=INDEX('Monthly Cash Flow'!$E$4:$DT$4,,MATCH('Inputs and Assumptions'!$L$6,'Monthly Cash Flow'!$E$5:$DT$5,0)), ('Annual Summary'!O62+SUMIF('Monthly Cash Flow'!$E$4:$DT$4,'Annual Summary'!O3:P3,'Monthly Cash Flow'!$E$124:$DT$124)-INDEX('Monthly Cash Flow'!$E$129:$DT$129,,MATCH('Inputs and Assumptions'!$L$6,'Monthly Cash Flow'!$E$5:$DT$5,0)))/'Inputs and Assumptions'!$L$22, IF(AND(O60&gt;0,O3&gt;INDEX('Monthly Cash Flow'!$E$4:$DT$4,,MATCH('Inputs and Assumptions'!$L$6,'Monthly Cash Flow'!$E$5:$DT$5,0))),(O62-O60+SUMIF('Monthly Cash Flow'!$E$4:$DT$4,'Annual Summary'!O3:P3,'Monthly Cash Flow'!$E$124:$DT$124))/'Inputs and Assumptions'!$L$22, 'Annual Summary'!O62/'Inputs and Assumptions'!$L$22))))))</f>
        <v>8.4168074889012179E-2</v>
      </c>
      <c r="P68" s="512">
        <f ca="1"/>
        <v>8.4168074889012179E-2</v>
      </c>
      <c r="Q68" s="510" cm="1">
        <f t="array" aca="1" ref="Q68:R68" ca="1">IF(AND(Q60&gt;0,'Inputs and Assumptions'!$L$5="NO"),(('Annual Summary'!Q62-'Annual Summary'!Q60)+SUMIF('Monthly Cash Flow'!$E$4:$DT$4,'Annual Summary'!Q3:R3,'Monthly Cash Flow'!$E$124:$DT$124))/'Inputs and Assumptions'!$H$8, IF(AND(Q60=0,'Inputs and Assumptions'!$L$5="NO"),(Q62+SUMIF('Monthly Cash Flow'!$E$4:$DT$4,'Annual Summary'!Q3:R3,'Monthly Cash Flow'!$E$124:$DT$124))/'Inputs and Assumptions'!$H$8, IF(AND('Annual Summary'!Q60&gt;0,'Inputs and Assumptions'!$L$5="YES",'Inputs and Assumptions'!$L$25&gt;0), (('Annual Summary'!Q62-'Annual Summary'!Q60)+SUMIF('Monthly Cash Flow'!$E$4:$DT$4,'Annual Summary'!Q3:R3,'Monthly Cash Flow'!$E$124:$DT$124))/'Inputs and Assumptions'!$L$22, IF(Q3&lt;INDEX('Monthly Cash Flow'!$E$4:$DT$4,,MATCH('Inputs and Assumptions'!$L$6,'Monthly Cash Flow'!$E$5:$DT$5,0)), ('Annual Summary'!Q62+SUMIF('Monthly Cash Flow'!$E$4:$DT$4,'Annual Summary'!Q3:R3,'Monthly Cash Flow'!$E$124:$DT$124))/'Inputs and Assumptions'!$H$8, IF(Q3=INDEX('Monthly Cash Flow'!$E$4:$DT$4,,MATCH('Inputs and Assumptions'!$L$6,'Monthly Cash Flow'!$E$5:$DT$5,0)), ('Annual Summary'!Q62+SUMIF('Monthly Cash Flow'!$E$4:$DT$4,'Annual Summary'!Q3:R3,'Monthly Cash Flow'!$E$124:$DT$124)-INDEX('Monthly Cash Flow'!$E$129:$DT$129,,MATCH('Inputs and Assumptions'!$L$6,'Monthly Cash Flow'!$E$5:$DT$5,0)))/'Inputs and Assumptions'!$L$22, IF(AND(Q60&gt;0,Q3&gt;INDEX('Monthly Cash Flow'!$E$4:$DT$4,,MATCH('Inputs and Assumptions'!$L$6,'Monthly Cash Flow'!$E$5:$DT$5,0))),(Q62-Q60+SUMIF('Monthly Cash Flow'!$E$4:$DT$4,'Annual Summary'!Q3:R3,'Monthly Cash Flow'!$E$124:$DT$124))/'Inputs and Assumptions'!$L$22, 'Annual Summary'!Q62/'Inputs and Assumptions'!$L$22))))))</f>
        <v>0</v>
      </c>
      <c r="R68" s="512">
        <f ca="1"/>
        <v>0</v>
      </c>
      <c r="S68" s="1713" cm="1">
        <f t="array" aca="1" ref="S68:T68" ca="1">IF(AND(S60&gt;0,'Inputs and Assumptions'!$L$5="NO"),(('Annual Summary'!S62-'Annual Summary'!S60)+SUMIF('Monthly Cash Flow'!$E$4:$DT$4,'Annual Summary'!S3:T3,'Monthly Cash Flow'!$E$124:$DT$124))/'Inputs and Assumptions'!$H$8, IF(AND(S60=0,'Inputs and Assumptions'!$L$5="NO"),(S62+SUMIF('Monthly Cash Flow'!$E$4:$DT$4,'Annual Summary'!S3:T3,'Monthly Cash Flow'!$E$124:$DT$124))/'Inputs and Assumptions'!$H$8, IF(AND('Annual Summary'!S60&gt;0,'Inputs and Assumptions'!$L$5="YES",'Inputs and Assumptions'!$L$25&gt;0), (('Annual Summary'!S62-'Annual Summary'!S60)+SUMIF('Monthly Cash Flow'!$E$4:$DT$4,'Annual Summary'!S3:T3,'Monthly Cash Flow'!$E$124:$DT$124))/'Inputs and Assumptions'!$L$22, IF(S3&lt;INDEX('Monthly Cash Flow'!$E$4:$DT$4,,MATCH('Inputs and Assumptions'!$L$6,'Monthly Cash Flow'!$E$5:$DT$5,0)), ('Annual Summary'!S62+SUMIF('Monthly Cash Flow'!$E$4:$DT$4,'Annual Summary'!S3:T3,'Monthly Cash Flow'!$E$124:$DT$124))/'Inputs and Assumptions'!$H$8, IF(S3=INDEX('Monthly Cash Flow'!$E$4:$DT$4,,MATCH('Inputs and Assumptions'!$L$6,'Monthly Cash Flow'!$E$5:$DT$5,0)), ('Annual Summary'!S62+SUMIF('Monthly Cash Flow'!$E$4:$DT$4,'Annual Summary'!S3:T3,'Monthly Cash Flow'!$E$124:$DT$124)-INDEX('Monthly Cash Flow'!$E$129:$DT$129,,MATCH('Inputs and Assumptions'!$L$6,'Monthly Cash Flow'!$E$5:$DT$5,0)))/'Inputs and Assumptions'!$L$22, IF(AND(S60&gt;0,S3&gt;INDEX('Monthly Cash Flow'!$E$4:$DT$4,,MATCH('Inputs and Assumptions'!$L$6,'Monthly Cash Flow'!$E$5:$DT$5,0))),(S62-S60+SUMIF('Monthly Cash Flow'!$E$4:$DT$4,'Annual Summary'!S3:T3,'Monthly Cash Flow'!$E$124:$DT$124))/'Inputs and Assumptions'!$L$22, 'Annual Summary'!S62/'Inputs and Assumptions'!$L$22))))))</f>
        <v>0</v>
      </c>
      <c r="T68" s="512">
        <f ca="1"/>
        <v>0</v>
      </c>
      <c r="U68" s="510" cm="1">
        <f t="array" aca="1" ref="U68:V68" ca="1">IF(AND(U60&gt;0,'Inputs and Assumptions'!$L$5="NO"),(('Annual Summary'!U62-'Annual Summary'!U60)+SUMIF('Monthly Cash Flow'!$E$4:$DT$4,'Annual Summary'!U3:V3,'Monthly Cash Flow'!$E$124:$DT$124))/'Inputs and Assumptions'!$H$8, IF(AND(U60=0,'Inputs and Assumptions'!$L$5="NO"),(U62+SUMIF('Monthly Cash Flow'!$E$4:$DT$4,'Annual Summary'!U3:V3,'Monthly Cash Flow'!$E$124:$DT$124))/'Inputs and Assumptions'!$H$8, IF(AND('Annual Summary'!U60&gt;0,'Inputs and Assumptions'!$L$5="YES",'Inputs and Assumptions'!$L$25&gt;0), (('Annual Summary'!U62-'Annual Summary'!U60)+SUMIF('Monthly Cash Flow'!$E$4:$DT$4,'Annual Summary'!U3:V3,'Monthly Cash Flow'!$E$124:$DT$124))/'Inputs and Assumptions'!$L$22, IF(U3&lt;INDEX('Monthly Cash Flow'!$E$4:$DT$4,,MATCH('Inputs and Assumptions'!$L$6,'Monthly Cash Flow'!$E$5:$DT$5,0)), ('Annual Summary'!U62+SUMIF('Monthly Cash Flow'!$E$4:$DT$4,'Annual Summary'!U3:V3,'Monthly Cash Flow'!$E$124:$DT$124))/'Inputs and Assumptions'!$H$8, IF(U3=INDEX('Monthly Cash Flow'!$E$4:$DT$4,,MATCH('Inputs and Assumptions'!$L$6,'Monthly Cash Flow'!$E$5:$DT$5,0)), ('Annual Summary'!U62+SUMIF('Monthly Cash Flow'!$E$4:$DT$4,'Annual Summary'!U3:V3,'Monthly Cash Flow'!$E$124:$DT$124)-INDEX('Monthly Cash Flow'!$E$129:$DT$129,,MATCH('Inputs and Assumptions'!$L$6,'Monthly Cash Flow'!$E$5:$DT$5,0)))/'Inputs and Assumptions'!$L$22, IF(AND(U60&gt;0,U3&gt;INDEX('Monthly Cash Flow'!$E$4:$DT$4,,MATCH('Inputs and Assumptions'!$L$6,'Monthly Cash Flow'!$E$5:$DT$5,0))),(U62-U60+SUMIF('Monthly Cash Flow'!$E$4:$DT$4,'Annual Summary'!U3:V3,'Monthly Cash Flow'!$E$124:$DT$124))/'Inputs and Assumptions'!$L$22, 'Annual Summary'!U62/'Inputs and Assumptions'!$L$22))))))</f>
        <v>0</v>
      </c>
      <c r="V68" s="512">
        <f ca="1"/>
        <v>0</v>
      </c>
      <c r="W68" s="510" cm="1">
        <f t="array" aca="1" ref="W68:X68" ca="1">IF(AND(W60&gt;0,'Inputs and Assumptions'!$L$5="NO"),(('Annual Summary'!W62-'Annual Summary'!W60)+SUMIF('Monthly Cash Flow'!$E$4:$DT$4,'Annual Summary'!W3:X3,'Monthly Cash Flow'!$E$124:$DT$124))/'Inputs and Assumptions'!$H$8, IF(AND(W60=0,'Inputs and Assumptions'!$L$5="NO"),(W62+SUMIF('Monthly Cash Flow'!$E$4:$DT$4,'Annual Summary'!W3:X3,'Monthly Cash Flow'!$E$124:$DT$124))/'Inputs and Assumptions'!$H$8, IF(AND('Annual Summary'!W60&gt;0,'Inputs and Assumptions'!$L$5="YES",'Inputs and Assumptions'!$L$25&gt;0), (('Annual Summary'!W62-'Annual Summary'!W60)+SUMIF('Monthly Cash Flow'!$E$4:$DT$4,'Annual Summary'!W3:X3,'Monthly Cash Flow'!$E$124:$DT$124))/'Inputs and Assumptions'!$L$22, IF(W3&lt;INDEX('Monthly Cash Flow'!$E$4:$DT$4,,MATCH('Inputs and Assumptions'!$L$6,'Monthly Cash Flow'!$E$5:$DT$5,0)), ('Annual Summary'!W62+SUMIF('Monthly Cash Flow'!$E$4:$DT$4,'Annual Summary'!W3:X3,'Monthly Cash Flow'!$E$124:$DT$124))/'Inputs and Assumptions'!$H$8, IF(W3=INDEX('Monthly Cash Flow'!$E$4:$DT$4,,MATCH('Inputs and Assumptions'!$L$6,'Monthly Cash Flow'!$E$5:$DT$5,0)), ('Annual Summary'!W62+SUMIF('Monthly Cash Flow'!$E$4:$DT$4,'Annual Summary'!W3:X3,'Monthly Cash Flow'!$E$124:$DT$124)-INDEX('Monthly Cash Flow'!$E$129:$DT$129,,MATCH('Inputs and Assumptions'!$L$6,'Monthly Cash Flow'!$E$5:$DT$5,0)))/'Inputs and Assumptions'!$L$22, IF(AND(W60&gt;0,W3&gt;INDEX('Monthly Cash Flow'!$E$4:$DT$4,,MATCH('Inputs and Assumptions'!$L$6,'Monthly Cash Flow'!$E$5:$DT$5,0))),(W62-W60+SUMIF('Monthly Cash Flow'!$E$4:$DT$4,'Annual Summary'!W3:X3,'Monthly Cash Flow'!$E$124:$DT$124))/'Inputs and Assumptions'!$L$22, 'Annual Summary'!W62/'Inputs and Assumptions'!$L$22))))))</f>
        <v>0</v>
      </c>
      <c r="X68" s="512">
        <f ca="1"/>
        <v>0</v>
      </c>
      <c r="Y68" s="510" cm="1">
        <f t="array" aca="1" ref="Y68:Z68" ca="1">IF(AND(Y60&gt;0,'Inputs and Assumptions'!$L$5="NO"),(('Annual Summary'!Y62-'Annual Summary'!Y60)+SUMIF('Monthly Cash Flow'!$E$4:$DT$4,'Annual Summary'!Y3:Z3,'Monthly Cash Flow'!$E$124:$DT$124))/'Inputs and Assumptions'!$H$8, IF(AND(Y60=0,'Inputs and Assumptions'!$L$5="NO"),(Y62+SUMIF('Monthly Cash Flow'!$E$4:$DT$4,'Annual Summary'!Y3:Z3,'Monthly Cash Flow'!$E$124:$DT$124))/'Inputs and Assumptions'!$H$8, IF(AND('Annual Summary'!Y60&gt;0,'Inputs and Assumptions'!$L$5="YES",'Inputs and Assumptions'!$L$25&gt;0), (('Annual Summary'!Y62-'Annual Summary'!Y60)+SUMIF('Monthly Cash Flow'!$E$4:$DT$4,'Annual Summary'!Y3:Z3,'Monthly Cash Flow'!$E$124:$DT$124))/'Inputs and Assumptions'!$L$22, IF(Y3&lt;INDEX('Monthly Cash Flow'!$E$4:$DT$4,,MATCH('Inputs and Assumptions'!$L$6,'Monthly Cash Flow'!$E$5:$DT$5,0)), ('Annual Summary'!Y62+SUMIF('Monthly Cash Flow'!$E$4:$DT$4,'Annual Summary'!Y3:Z3,'Monthly Cash Flow'!$E$124:$DT$124))/'Inputs and Assumptions'!$H$8, IF(Y3=INDEX('Monthly Cash Flow'!$E$4:$DT$4,,MATCH('Inputs and Assumptions'!$L$6,'Monthly Cash Flow'!$E$5:$DT$5,0)), ('Annual Summary'!Y62+SUMIF('Monthly Cash Flow'!$E$4:$DT$4,'Annual Summary'!Y3:Z3,'Monthly Cash Flow'!$E$124:$DT$124)-INDEX('Monthly Cash Flow'!$E$129:$DT$129,,MATCH('Inputs and Assumptions'!$L$6,'Monthly Cash Flow'!$E$5:$DT$5,0)))/'Inputs and Assumptions'!$L$22, IF(AND(Y60&gt;0,Y3&gt;INDEX('Monthly Cash Flow'!$E$4:$DT$4,,MATCH('Inputs and Assumptions'!$L$6,'Monthly Cash Flow'!$E$5:$DT$5,0))),(Y62-Y60+SUMIF('Monthly Cash Flow'!$E$4:$DT$4,'Annual Summary'!Y3:Z3,'Monthly Cash Flow'!$E$124:$DT$124))/'Inputs and Assumptions'!$L$22, 'Annual Summary'!Y62/'Inputs and Assumptions'!$L$22))))))</f>
        <v>0</v>
      </c>
      <c r="Z68" s="512">
        <f ca="1"/>
        <v>0</v>
      </c>
      <c r="AA68" s="510" cm="1">
        <f t="array" aca="1" ref="AA68:AB68" ca="1">IF(AND(AA60&gt;0,'Inputs and Assumptions'!$L$5="NO"),(('Annual Summary'!AA62-'Annual Summary'!AA60)+SUMIF('Monthly Cash Flow'!$E$4:$DT$4,'Annual Summary'!AA3:AB3,'Monthly Cash Flow'!$E$124:$DT$124))/'Inputs and Assumptions'!$H$8, IF(AND(AA60=0,'Inputs and Assumptions'!$L$5="NO"),(AA62+SUMIF('Monthly Cash Flow'!$E$4:$DT$4,'Annual Summary'!AA3:AB3,'Monthly Cash Flow'!$E$124:$DT$124))/'Inputs and Assumptions'!$H$8, IF(AND('Annual Summary'!AA60&gt;0,'Inputs and Assumptions'!$L$5="YES",'Inputs and Assumptions'!$L$25&gt;0), (('Annual Summary'!AA62-'Annual Summary'!AA60)+SUMIF('Monthly Cash Flow'!$E$4:$DT$4,'Annual Summary'!AA3:AB3,'Monthly Cash Flow'!$E$124:$DT$124))/'Inputs and Assumptions'!$L$22, IF(AA3&lt;INDEX('Monthly Cash Flow'!$E$4:$DT$4,,MATCH('Inputs and Assumptions'!$L$6,'Monthly Cash Flow'!$E$5:$DT$5,0)), ('Annual Summary'!AA62+SUMIF('Monthly Cash Flow'!$E$4:$DT$4,'Annual Summary'!AA3:AB3,'Monthly Cash Flow'!$E$124:$DT$124))/'Inputs and Assumptions'!$H$8, IF(AA3=INDEX('Monthly Cash Flow'!$E$4:$DT$4,,MATCH('Inputs and Assumptions'!$L$6,'Monthly Cash Flow'!$E$5:$DT$5,0)), ('Annual Summary'!AA62+SUMIF('Monthly Cash Flow'!$E$4:$DT$4,'Annual Summary'!AA3:AB3,'Monthly Cash Flow'!$E$124:$DT$124)-INDEX('Monthly Cash Flow'!$E$129:$DT$129,,MATCH('Inputs and Assumptions'!$L$6,'Monthly Cash Flow'!$E$5:$DT$5,0)))/'Inputs and Assumptions'!$L$22, IF(AND(AA60&gt;0,AA3&gt;INDEX('Monthly Cash Flow'!$E$4:$DT$4,,MATCH('Inputs and Assumptions'!$L$6,'Monthly Cash Flow'!$E$5:$DT$5,0))),(AA62-AA60+SUMIF('Monthly Cash Flow'!$E$4:$DT$4,'Annual Summary'!AA3:AB3,'Monthly Cash Flow'!$E$124:$DT$124))/'Inputs and Assumptions'!$L$22, 'Annual Summary'!AA62/'Inputs and Assumptions'!$L$22))))))</f>
        <v>0</v>
      </c>
      <c r="AB68" s="512">
        <f ca="1"/>
        <v>0</v>
      </c>
      <c r="AC68" s="81" t="s">
        <v>557</v>
      </c>
    </row>
    <row r="69" spans="1:29" ht="19" hidden="1" outlineLevel="1">
      <c r="B69" s="513" t="s">
        <v>1130</v>
      </c>
      <c r="C69" s="514"/>
      <c r="D69" s="515"/>
      <c r="E69" s="515"/>
      <c r="F69" s="515"/>
      <c r="G69" s="514"/>
      <c r="H69" s="516"/>
      <c r="I69" s="517">
        <f ca="1">AVERAGE(I68,K68,M68)</f>
        <v>6.45499467725692E-2</v>
      </c>
      <c r="J69" s="516"/>
      <c r="AC69" s="81" t="s">
        <v>557</v>
      </c>
    </row>
    <row r="70" spans="1:29" ht="19" hidden="1" outlineLevel="1">
      <c r="B70" s="513" t="s">
        <v>1131</v>
      </c>
      <c r="C70" s="514"/>
      <c r="D70" s="515"/>
      <c r="E70" s="515"/>
      <c r="F70" s="515"/>
      <c r="G70" s="514"/>
      <c r="H70" s="516"/>
      <c r="I70" s="517">
        <f ca="1">AVERAGE(I68,K68,M68,O68)</f>
        <v>6.9454478801679945E-2</v>
      </c>
      <c r="J70" s="516"/>
      <c r="AC70" s="13" t="s">
        <v>557</v>
      </c>
    </row>
    <row r="71" spans="1:29" ht="19" hidden="1" outlineLevel="1">
      <c r="B71" s="513" t="s">
        <v>1132</v>
      </c>
      <c r="C71" s="514"/>
      <c r="D71" s="515"/>
      <c r="E71" s="515"/>
      <c r="F71" s="515"/>
      <c r="G71" s="514"/>
      <c r="H71" s="516"/>
      <c r="I71" s="517">
        <f ca="1">AVERAGE(I68,K68,M68,O68,Q68)</f>
        <v>5.5563583041343956E-2</v>
      </c>
      <c r="J71" s="516"/>
    </row>
    <row r="72" spans="1:29" collapsed="1">
      <c r="B72" s="493"/>
      <c r="C72" s="486"/>
      <c r="Q72" s="1841"/>
    </row>
    <row r="73" spans="1:29">
      <c r="B73" s="493"/>
      <c r="C73" s="486"/>
      <c r="Q73" s="1841"/>
    </row>
    <row r="74" spans="1:29">
      <c r="B74" s="493"/>
      <c r="C74" s="486"/>
      <c r="Q74" s="1841"/>
    </row>
    <row r="75" spans="1:29">
      <c r="B75" s="493"/>
      <c r="C75" s="486"/>
    </row>
    <row r="76" spans="1:29">
      <c r="B76" s="493"/>
      <c r="C76" s="486"/>
    </row>
    <row r="77" spans="1:29">
      <c r="B77" s="493"/>
      <c r="C77" s="486"/>
    </row>
    <row r="78" spans="1:29">
      <c r="B78" s="493"/>
      <c r="C78" s="486"/>
    </row>
    <row r="79" spans="1:29">
      <c r="B79" s="493"/>
      <c r="C79" s="486"/>
    </row>
    <row r="80" spans="1:29">
      <c r="B80" s="493"/>
      <c r="C80" s="486"/>
    </row>
    <row r="81" spans="2:3">
      <c r="B81" s="493"/>
      <c r="C81" s="486"/>
    </row>
    <row r="82" spans="2:3">
      <c r="B82" s="493"/>
      <c r="C82" s="486"/>
    </row>
    <row r="83" spans="2:3">
      <c r="B83" s="493"/>
      <c r="C83" s="486"/>
    </row>
    <row r="84" spans="2:3">
      <c r="B84" s="493"/>
      <c r="C84" s="486"/>
    </row>
    <row r="85" spans="2:3">
      <c r="B85" s="493"/>
      <c r="C85" s="486"/>
    </row>
    <row r="86" spans="2:3">
      <c r="B86" s="493"/>
      <c r="C86" s="486"/>
    </row>
    <row r="87" spans="2:3">
      <c r="B87" s="493"/>
      <c r="C87" s="486"/>
    </row>
    <row r="88" spans="2:3">
      <c r="B88" s="493"/>
      <c r="C88" s="486"/>
    </row>
    <row r="89" spans="2:3">
      <c r="B89" s="493"/>
      <c r="C89" s="486"/>
    </row>
    <row r="90" spans="2:3">
      <c r="B90" s="493"/>
      <c r="C90" s="486"/>
    </row>
    <row r="91" spans="2:3">
      <c r="B91" s="493"/>
      <c r="C91" s="486"/>
    </row>
    <row r="92" spans="2:3">
      <c r="B92" s="493"/>
      <c r="C92" s="486"/>
    </row>
    <row r="93" spans="2:3">
      <c r="B93" s="493"/>
      <c r="C93" s="486"/>
    </row>
    <row r="94" spans="2:3">
      <c r="B94" s="493"/>
      <c r="C94" s="486"/>
    </row>
    <row r="95" spans="2:3">
      <c r="B95" s="493"/>
      <c r="C95" s="486"/>
    </row>
    <row r="96" spans="2:3">
      <c r="B96" s="493"/>
      <c r="C96" s="486"/>
    </row>
    <row r="97" spans="2:3">
      <c r="B97" s="493"/>
      <c r="C97" s="486"/>
    </row>
    <row r="98" spans="2:3">
      <c r="B98" s="493"/>
      <c r="C98" s="486"/>
    </row>
    <row r="99" spans="2:3">
      <c r="B99" s="493"/>
      <c r="C99" s="486"/>
    </row>
    <row r="100" spans="2:3">
      <c r="B100" s="493"/>
      <c r="C100" s="486"/>
    </row>
    <row r="101" spans="2:3">
      <c r="B101" s="493"/>
      <c r="C101" s="486"/>
    </row>
    <row r="102" spans="2:3">
      <c r="B102" s="493"/>
      <c r="C102" s="486"/>
    </row>
    <row r="103" spans="2:3">
      <c r="B103" s="493"/>
      <c r="C103" s="486"/>
    </row>
    <row r="104" spans="2:3">
      <c r="B104" s="493"/>
      <c r="C104" s="486"/>
    </row>
    <row r="105" spans="2:3">
      <c r="B105" s="493"/>
      <c r="C105" s="486"/>
    </row>
    <row r="106" spans="2:3">
      <c r="B106" s="493"/>
      <c r="C106" s="486"/>
    </row>
    <row r="107" spans="2:3">
      <c r="B107" s="493"/>
      <c r="C107" s="486"/>
    </row>
    <row r="108" spans="2:3">
      <c r="B108" s="493"/>
      <c r="C108" s="486"/>
    </row>
    <row r="109" spans="2:3">
      <c r="B109" s="493"/>
      <c r="C109" s="486"/>
    </row>
    <row r="110" spans="2:3">
      <c r="B110" s="493"/>
      <c r="C110" s="486"/>
    </row>
    <row r="111" spans="2:3">
      <c r="B111" s="493"/>
      <c r="C111" s="486"/>
    </row>
    <row r="112" spans="2:3">
      <c r="B112" s="493"/>
      <c r="C112" s="486"/>
    </row>
    <row r="113" spans="2:3">
      <c r="B113" s="493"/>
      <c r="C113" s="486"/>
    </row>
    <row r="114" spans="2:3">
      <c r="B114" s="493"/>
      <c r="C114" s="486"/>
    </row>
    <row r="115" spans="2:3">
      <c r="B115" s="493"/>
      <c r="C115" s="486"/>
    </row>
    <row r="116" spans="2:3">
      <c r="B116" s="493"/>
      <c r="C116" s="486"/>
    </row>
    <row r="117" spans="2:3">
      <c r="B117" s="493"/>
      <c r="C117" s="486"/>
    </row>
    <row r="118" spans="2:3">
      <c r="B118" s="493"/>
      <c r="C118" s="486"/>
    </row>
    <row r="119" spans="2:3">
      <c r="B119" s="493"/>
      <c r="C119" s="486"/>
    </row>
    <row r="120" spans="2:3">
      <c r="B120" s="493"/>
      <c r="C120" s="486"/>
    </row>
    <row r="121" spans="2:3">
      <c r="B121" s="493"/>
      <c r="C121" s="486"/>
    </row>
    <row r="122" spans="2:3">
      <c r="B122" s="493"/>
      <c r="C122" s="486"/>
    </row>
    <row r="123" spans="2:3">
      <c r="B123" s="493"/>
      <c r="C123" s="486"/>
    </row>
    <row r="124" spans="2:3">
      <c r="B124" s="493"/>
      <c r="C124" s="486"/>
    </row>
    <row r="125" spans="2:3">
      <c r="B125" s="493"/>
      <c r="C125" s="486"/>
    </row>
  </sheetData>
  <mergeCells count="12">
    <mergeCell ref="S3:T3"/>
    <mergeCell ref="U3:V3"/>
    <mergeCell ref="W3:X3"/>
    <mergeCell ref="Y3:Z3"/>
    <mergeCell ref="AA3:AB3"/>
    <mergeCell ref="O3:P3"/>
    <mergeCell ref="Q3:R3"/>
    <mergeCell ref="E3:F3"/>
    <mergeCell ref="K3:L3"/>
    <mergeCell ref="I3:J3"/>
    <mergeCell ref="G3:H3"/>
    <mergeCell ref="M3:N3"/>
  </mergeCells>
  <pageMargins left="0.25" right="0.25" top="0.75" bottom="0.75" header="0.3" footer="0.3"/>
  <pageSetup paperSize="3" orientation="landscape" r:id="rId1"/>
  <headerFooter>
    <oddHeader>&amp;R&amp;G</oddHeader>
  </headerFooter>
  <ignoredErrors>
    <ignoredError sqref="I14 I13 I63 I18:I20 I29:I30 I37 I36 I21" formula="1"/>
    <ignoredError sqref="I42:I43 I59 I39 I61 I40 J69:R69 R66 P66 N66 L66 J70:R70 R65 P65 N65 L65 J65 J66 Q21 O21 M21 K21 Q36 O36 M36 K36 J37:R37 J29:R30 J18:R20 J63:R63 J14:R14 L40:R40 J40 R60 P60 N60 L60 J60 J61:R61 R47 P47 N47 L47 Q39 O39 M39 K39 Q13 O13 M13 J59:R59 J47 J42:R43 K13 J50:R50 I50" evalError="1" formula="1"/>
    <ignoredError sqref="J8:AO8 J15:AO17 S14:AO14 J22:AO28 S18:AO20 J31:AO35 S29:AO30 J38:AO38 S37:AO37 J36 L36 N36 P36 R36:AO36 J21 L21 N21 P21 R21:AO21 K65:K66 J71:AO71 S70:AO70 M65:M66 O65:O66 Q65:Q66 S65:AB66 J45:AO45 S42:AO43 J49 K47 K60 J13 L13 N13 P13 R13:AO13 J41:AO41 J39 L39 N39 P39 R39:AO39 M47 O47 Q47 S47:AO47 J62 M60 O60 Q60 S59:AB61 L62 N62 P62 R62 K40 S40:AO40 L49 N49 P49 R49 T49 V49 X49 Z49 AB49:AO49 S50:AB50 S69:AB69 AD50:AO50 T62 V62 X62 Z62 AB62 AD59:AO63 S63:AB63 AD68:AO69 J6:AO6 AC12:AO12 J10:AO11 J9:Q9 S9:AO9 AD65:AO66" evalError="1"/>
  </ignoredErrors>
  <legacyDrawingHF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tabColor rgb="FF00B0F0"/>
  </sheetPr>
  <dimension ref="A2:EC136"/>
  <sheetViews>
    <sheetView showGridLines="0" workbookViewId="0">
      <selection activeCell="E18" sqref="E18"/>
    </sheetView>
  </sheetViews>
  <sheetFormatPr defaultColWidth="9.1796875" defaultRowHeight="17.5"/>
  <cols>
    <col min="1" max="1" width="3.453125" style="138" customWidth="1"/>
    <col min="2" max="2" width="23" style="138" bestFit="1" customWidth="1"/>
    <col min="3" max="3" width="16.7265625" style="138" bestFit="1" customWidth="1"/>
    <col min="4" max="4" width="14.81640625" style="138" bestFit="1" customWidth="1"/>
    <col min="5" max="5" width="16.7265625" style="138" bestFit="1" customWidth="1"/>
    <col min="6" max="6" width="3.81640625" style="138" customWidth="1"/>
    <col min="7" max="7" width="49.1796875" style="518" bestFit="1" customWidth="1"/>
    <col min="8" max="8" width="11.1796875" style="138" customWidth="1"/>
    <col min="9" max="9" width="12" style="138" customWidth="1"/>
    <col min="10" max="10" width="2.7265625" style="138" customWidth="1"/>
    <col min="11" max="131" width="15.7265625" style="138" customWidth="1"/>
    <col min="132" max="133" width="9.1796875" style="138"/>
    <col min="134" max="16384" width="9.1796875" style="16"/>
  </cols>
  <sheetData>
    <row r="2" spans="2:132" ht="19">
      <c r="K2" s="366">
        <f>'Monthly Cash Flow'!D3</f>
        <v>46082</v>
      </c>
      <c r="L2" s="366">
        <f>'Monthly Cash Flow'!E3</f>
        <v>46111</v>
      </c>
      <c r="M2" s="366">
        <f>'Monthly Cash Flow'!F3</f>
        <v>46142</v>
      </c>
      <c r="N2" s="366">
        <f>'Monthly Cash Flow'!G3</f>
        <v>46173</v>
      </c>
      <c r="O2" s="366">
        <f>'Monthly Cash Flow'!H3</f>
        <v>46203</v>
      </c>
      <c r="P2" s="366">
        <f>'Monthly Cash Flow'!I3</f>
        <v>46234</v>
      </c>
      <c r="Q2" s="366">
        <f>'Monthly Cash Flow'!J3</f>
        <v>46265</v>
      </c>
      <c r="R2" s="366">
        <f>'Monthly Cash Flow'!K3</f>
        <v>46295</v>
      </c>
      <c r="S2" s="366">
        <f>'Monthly Cash Flow'!L3</f>
        <v>46326</v>
      </c>
      <c r="T2" s="366">
        <f>'Monthly Cash Flow'!M3</f>
        <v>46356</v>
      </c>
      <c r="U2" s="366">
        <f>'Monthly Cash Flow'!N3</f>
        <v>46387</v>
      </c>
      <c r="V2" s="366">
        <f>'Monthly Cash Flow'!O3</f>
        <v>46418</v>
      </c>
      <c r="W2" s="366">
        <f>'Monthly Cash Flow'!P3</f>
        <v>46446</v>
      </c>
      <c r="X2" s="366">
        <f>'Monthly Cash Flow'!Q3</f>
        <v>46477</v>
      </c>
      <c r="Y2" s="366">
        <f>'Monthly Cash Flow'!R3</f>
        <v>46507</v>
      </c>
      <c r="Z2" s="366">
        <f>'Monthly Cash Flow'!S3</f>
        <v>46538</v>
      </c>
      <c r="AA2" s="366">
        <f>'Monthly Cash Flow'!T3</f>
        <v>46568</v>
      </c>
      <c r="AB2" s="366">
        <f>'Monthly Cash Flow'!U3</f>
        <v>46599</v>
      </c>
      <c r="AC2" s="366">
        <f>'Monthly Cash Flow'!V3</f>
        <v>46630</v>
      </c>
      <c r="AD2" s="366">
        <f>'Monthly Cash Flow'!W3</f>
        <v>46660</v>
      </c>
      <c r="AE2" s="366">
        <f>'Monthly Cash Flow'!X3</f>
        <v>46691</v>
      </c>
      <c r="AF2" s="366">
        <f>'Monthly Cash Flow'!Y3</f>
        <v>46721</v>
      </c>
      <c r="AG2" s="366">
        <f>'Monthly Cash Flow'!Z3</f>
        <v>46752</v>
      </c>
      <c r="AH2" s="366">
        <f>'Monthly Cash Flow'!AA3</f>
        <v>46783</v>
      </c>
      <c r="AI2" s="366">
        <f>'Monthly Cash Flow'!AB3</f>
        <v>46812</v>
      </c>
      <c r="AJ2" s="366">
        <f>'Monthly Cash Flow'!AC3</f>
        <v>46843</v>
      </c>
      <c r="AK2" s="366">
        <f>'Monthly Cash Flow'!AD3</f>
        <v>46873</v>
      </c>
      <c r="AL2" s="366">
        <f>'Monthly Cash Flow'!AE3</f>
        <v>46904</v>
      </c>
      <c r="AM2" s="366">
        <f>'Monthly Cash Flow'!AF3</f>
        <v>46934</v>
      </c>
      <c r="AN2" s="366">
        <f>'Monthly Cash Flow'!AG3</f>
        <v>46965</v>
      </c>
      <c r="AO2" s="366">
        <f>'Monthly Cash Flow'!AH3</f>
        <v>46996</v>
      </c>
      <c r="AP2" s="366">
        <f>'Monthly Cash Flow'!AI3</f>
        <v>47026</v>
      </c>
      <c r="AQ2" s="366">
        <f>'Monthly Cash Flow'!AJ3</f>
        <v>47057</v>
      </c>
      <c r="AR2" s="366">
        <f>'Monthly Cash Flow'!AK3</f>
        <v>47087</v>
      </c>
      <c r="AS2" s="366">
        <f>'Monthly Cash Flow'!AL3</f>
        <v>47118</v>
      </c>
      <c r="AT2" s="366">
        <f>'Monthly Cash Flow'!AM3</f>
        <v>47149</v>
      </c>
      <c r="AU2" s="366">
        <f>'Monthly Cash Flow'!AN3</f>
        <v>47177</v>
      </c>
      <c r="AV2" s="366">
        <f>'Monthly Cash Flow'!AO3</f>
        <v>47208</v>
      </c>
      <c r="AW2" s="366">
        <f>'Monthly Cash Flow'!AP3</f>
        <v>47238</v>
      </c>
      <c r="AX2" s="366">
        <f>'Monthly Cash Flow'!AQ3</f>
        <v>47269</v>
      </c>
      <c r="AY2" s="366">
        <f>'Monthly Cash Flow'!AR3</f>
        <v>47299</v>
      </c>
      <c r="AZ2" s="366">
        <f>'Monthly Cash Flow'!AS3</f>
        <v>47330</v>
      </c>
      <c r="BA2" s="366">
        <f>'Monthly Cash Flow'!AT3</f>
        <v>47361</v>
      </c>
      <c r="BB2" s="366">
        <f>'Monthly Cash Flow'!AU3</f>
        <v>47391</v>
      </c>
      <c r="BC2" s="366">
        <f>'Monthly Cash Flow'!AV3</f>
        <v>47422</v>
      </c>
      <c r="BD2" s="366">
        <f>'Monthly Cash Flow'!AW3</f>
        <v>47452</v>
      </c>
      <c r="BE2" s="366">
        <f>'Monthly Cash Flow'!AX3</f>
        <v>47483</v>
      </c>
      <c r="BF2" s="366">
        <f>'Monthly Cash Flow'!AY3</f>
        <v>47514</v>
      </c>
      <c r="BG2" s="366">
        <f>'Monthly Cash Flow'!AZ3</f>
        <v>47542</v>
      </c>
      <c r="BH2" s="366">
        <f>'Monthly Cash Flow'!BA3</f>
        <v>47573</v>
      </c>
      <c r="BI2" s="366">
        <f>'Monthly Cash Flow'!BB3</f>
        <v>47603</v>
      </c>
      <c r="BJ2" s="366">
        <f>'Monthly Cash Flow'!BC3</f>
        <v>47634</v>
      </c>
      <c r="BK2" s="366">
        <f>'Monthly Cash Flow'!BD3</f>
        <v>47664</v>
      </c>
      <c r="BL2" s="366">
        <f>'Monthly Cash Flow'!BE3</f>
        <v>47695</v>
      </c>
      <c r="BM2" s="366">
        <f>'Monthly Cash Flow'!BF3</f>
        <v>47726</v>
      </c>
      <c r="BN2" s="366">
        <f>'Monthly Cash Flow'!BG3</f>
        <v>47756</v>
      </c>
      <c r="BO2" s="366">
        <f>'Monthly Cash Flow'!BH3</f>
        <v>47787</v>
      </c>
      <c r="BP2" s="366">
        <f>'Monthly Cash Flow'!BI3</f>
        <v>47817</v>
      </c>
      <c r="BQ2" s="366">
        <f>'Monthly Cash Flow'!BJ3</f>
        <v>47848</v>
      </c>
      <c r="BR2" s="366">
        <f>'Monthly Cash Flow'!BK3</f>
        <v>47879</v>
      </c>
      <c r="BS2" s="366">
        <f>'Monthly Cash Flow'!BL3</f>
        <v>47907</v>
      </c>
      <c r="BT2" s="366">
        <f>'Monthly Cash Flow'!BM3</f>
        <v>47938</v>
      </c>
      <c r="BU2" s="366">
        <f>'Monthly Cash Flow'!BN3</f>
        <v>47968</v>
      </c>
      <c r="BV2" s="366">
        <f>'Monthly Cash Flow'!BO3</f>
        <v>47999</v>
      </c>
      <c r="BW2" s="366">
        <f>'Monthly Cash Flow'!BP3</f>
        <v>48029</v>
      </c>
      <c r="BX2" s="366">
        <f>'Monthly Cash Flow'!BQ3</f>
        <v>48060</v>
      </c>
      <c r="BY2" s="366">
        <f>'Monthly Cash Flow'!BR3</f>
        <v>48091</v>
      </c>
      <c r="BZ2" s="366">
        <f>'Monthly Cash Flow'!BS3</f>
        <v>48121</v>
      </c>
      <c r="CA2" s="366">
        <f>'Monthly Cash Flow'!BT3</f>
        <v>48152</v>
      </c>
      <c r="CB2" s="366">
        <f>'Monthly Cash Flow'!BU3</f>
        <v>48182</v>
      </c>
      <c r="CC2" s="366">
        <f>'Monthly Cash Flow'!BV3</f>
        <v>48213</v>
      </c>
      <c r="CD2" s="366">
        <f>'Monthly Cash Flow'!BW3</f>
        <v>48244</v>
      </c>
      <c r="CE2" s="366">
        <f>'Monthly Cash Flow'!BX3</f>
        <v>48273</v>
      </c>
      <c r="CF2" s="366">
        <f>'Monthly Cash Flow'!BY3</f>
        <v>48304</v>
      </c>
      <c r="CG2" s="366">
        <f>'Monthly Cash Flow'!BZ3</f>
        <v>48334</v>
      </c>
      <c r="CH2" s="366">
        <f>'Monthly Cash Flow'!CA3</f>
        <v>48365</v>
      </c>
      <c r="CI2" s="366">
        <f>'Monthly Cash Flow'!CB3</f>
        <v>48395</v>
      </c>
      <c r="CJ2" s="366">
        <f>'Monthly Cash Flow'!CC3</f>
        <v>48426</v>
      </c>
      <c r="CK2" s="366">
        <f>'Monthly Cash Flow'!CD3</f>
        <v>48457</v>
      </c>
      <c r="CL2" s="366">
        <f>'Monthly Cash Flow'!CE3</f>
        <v>48487</v>
      </c>
      <c r="CM2" s="366">
        <f>'Monthly Cash Flow'!CF3</f>
        <v>48518</v>
      </c>
      <c r="CN2" s="366">
        <f>'Monthly Cash Flow'!CG3</f>
        <v>48548</v>
      </c>
      <c r="CO2" s="366">
        <f>'Monthly Cash Flow'!CH3</f>
        <v>48579</v>
      </c>
      <c r="CP2" s="366">
        <f>'Monthly Cash Flow'!CI3</f>
        <v>48610</v>
      </c>
      <c r="CQ2" s="366">
        <f>'Monthly Cash Flow'!CJ3</f>
        <v>48638</v>
      </c>
      <c r="CR2" s="366">
        <f>'Monthly Cash Flow'!CK3</f>
        <v>48669</v>
      </c>
      <c r="CS2" s="366">
        <f>'Monthly Cash Flow'!CL3</f>
        <v>48699</v>
      </c>
      <c r="CT2" s="366">
        <f>'Monthly Cash Flow'!CM3</f>
        <v>48730</v>
      </c>
      <c r="CU2" s="366">
        <f>'Monthly Cash Flow'!CN3</f>
        <v>48760</v>
      </c>
      <c r="CV2" s="366">
        <f>'Monthly Cash Flow'!CO3</f>
        <v>48791</v>
      </c>
      <c r="CW2" s="366">
        <f>'Monthly Cash Flow'!CP3</f>
        <v>48822</v>
      </c>
      <c r="CX2" s="366">
        <f>'Monthly Cash Flow'!CQ3</f>
        <v>48852</v>
      </c>
      <c r="CY2" s="366">
        <f>'Monthly Cash Flow'!CR3</f>
        <v>48883</v>
      </c>
      <c r="CZ2" s="366">
        <f>'Monthly Cash Flow'!CS3</f>
        <v>48913</v>
      </c>
      <c r="DA2" s="366">
        <f>'Monthly Cash Flow'!CT3</f>
        <v>48944</v>
      </c>
      <c r="DB2" s="366">
        <f>'Monthly Cash Flow'!CU3</f>
        <v>48975</v>
      </c>
      <c r="DC2" s="366">
        <f>'Monthly Cash Flow'!CV3</f>
        <v>49003</v>
      </c>
      <c r="DD2" s="366">
        <f>'Monthly Cash Flow'!CW3</f>
        <v>49034</v>
      </c>
      <c r="DE2" s="366">
        <f>'Monthly Cash Flow'!CX3</f>
        <v>49064</v>
      </c>
      <c r="DF2" s="366">
        <f>'Monthly Cash Flow'!CY3</f>
        <v>49095</v>
      </c>
      <c r="DG2" s="366">
        <f>'Monthly Cash Flow'!CZ3</f>
        <v>49125</v>
      </c>
      <c r="DH2" s="366">
        <f>'Monthly Cash Flow'!DA3</f>
        <v>49156</v>
      </c>
      <c r="DI2" s="366">
        <f>'Monthly Cash Flow'!DB3</f>
        <v>49187</v>
      </c>
      <c r="DJ2" s="366">
        <f>'Monthly Cash Flow'!DC3</f>
        <v>49217</v>
      </c>
      <c r="DK2" s="366">
        <f>'Monthly Cash Flow'!DD3</f>
        <v>49248</v>
      </c>
      <c r="DL2" s="366">
        <f>'Monthly Cash Flow'!DE3</f>
        <v>49278</v>
      </c>
      <c r="DM2" s="366">
        <f>'Monthly Cash Flow'!DF3</f>
        <v>49309</v>
      </c>
      <c r="DN2" s="366">
        <f>'Monthly Cash Flow'!DG3</f>
        <v>49340</v>
      </c>
      <c r="DO2" s="366">
        <f>'Monthly Cash Flow'!DH3</f>
        <v>49368</v>
      </c>
      <c r="DP2" s="366">
        <f>'Monthly Cash Flow'!DI3</f>
        <v>49399</v>
      </c>
      <c r="DQ2" s="366">
        <f>'Monthly Cash Flow'!DJ3</f>
        <v>49429</v>
      </c>
      <c r="DR2" s="366">
        <f>'Monthly Cash Flow'!DK3</f>
        <v>49460</v>
      </c>
      <c r="DS2" s="366">
        <f>'Monthly Cash Flow'!DL3</f>
        <v>49490</v>
      </c>
      <c r="DT2" s="366">
        <f>'Monthly Cash Flow'!DM3</f>
        <v>49521</v>
      </c>
      <c r="DU2" s="366">
        <f>'Monthly Cash Flow'!DN3</f>
        <v>49552</v>
      </c>
      <c r="DV2" s="366">
        <f>'Monthly Cash Flow'!DO3</f>
        <v>49582</v>
      </c>
      <c r="DW2" s="366">
        <f>'Monthly Cash Flow'!DP3</f>
        <v>49613</v>
      </c>
      <c r="DX2" s="366">
        <f>'Monthly Cash Flow'!DQ3</f>
        <v>49643</v>
      </c>
      <c r="DY2" s="366">
        <f>'Monthly Cash Flow'!DR3</f>
        <v>49674</v>
      </c>
      <c r="DZ2" s="366">
        <f>'Monthly Cash Flow'!DS3</f>
        <v>49705</v>
      </c>
      <c r="EA2" s="366">
        <f>'Monthly Cash Flow'!DT3</f>
        <v>49734</v>
      </c>
      <c r="EB2" s="519" t="s">
        <v>557</v>
      </c>
    </row>
    <row r="3" spans="2:132" ht="19">
      <c r="K3" s="369">
        <f>'Monthly Cash Flow'!D4</f>
        <v>0</v>
      </c>
      <c r="L3" s="369">
        <f>'Monthly Cash Flow'!E4</f>
        <v>1</v>
      </c>
      <c r="M3" s="369">
        <f>'Monthly Cash Flow'!F4</f>
        <v>1</v>
      </c>
      <c r="N3" s="369">
        <f>'Monthly Cash Flow'!G4</f>
        <v>1</v>
      </c>
      <c r="O3" s="369">
        <f>'Monthly Cash Flow'!H4</f>
        <v>1</v>
      </c>
      <c r="P3" s="369">
        <f>'Monthly Cash Flow'!I4</f>
        <v>1</v>
      </c>
      <c r="Q3" s="369">
        <f>'Monthly Cash Flow'!J4</f>
        <v>1</v>
      </c>
      <c r="R3" s="369">
        <f>'Monthly Cash Flow'!K4</f>
        <v>1</v>
      </c>
      <c r="S3" s="369">
        <f>'Monthly Cash Flow'!L4</f>
        <v>1</v>
      </c>
      <c r="T3" s="369">
        <f>'Monthly Cash Flow'!M4</f>
        <v>1</v>
      </c>
      <c r="U3" s="369">
        <f>'Monthly Cash Flow'!N4</f>
        <v>1</v>
      </c>
      <c r="V3" s="369">
        <f>'Monthly Cash Flow'!O4</f>
        <v>1</v>
      </c>
      <c r="W3" s="369">
        <f>'Monthly Cash Flow'!P4</f>
        <v>1</v>
      </c>
      <c r="X3" s="369">
        <f>'Monthly Cash Flow'!Q4</f>
        <v>2</v>
      </c>
      <c r="Y3" s="369">
        <f>'Monthly Cash Flow'!R4</f>
        <v>2</v>
      </c>
      <c r="Z3" s="369">
        <f>'Monthly Cash Flow'!S4</f>
        <v>2</v>
      </c>
      <c r="AA3" s="369">
        <f>'Monthly Cash Flow'!T4</f>
        <v>2</v>
      </c>
      <c r="AB3" s="369">
        <f>'Monthly Cash Flow'!U4</f>
        <v>2</v>
      </c>
      <c r="AC3" s="369">
        <f>'Monthly Cash Flow'!V4</f>
        <v>2</v>
      </c>
      <c r="AD3" s="369">
        <f>'Monthly Cash Flow'!W4</f>
        <v>2</v>
      </c>
      <c r="AE3" s="369">
        <f>'Monthly Cash Flow'!X4</f>
        <v>2</v>
      </c>
      <c r="AF3" s="369">
        <f>'Monthly Cash Flow'!Y4</f>
        <v>2</v>
      </c>
      <c r="AG3" s="369">
        <f>'Monthly Cash Flow'!Z4</f>
        <v>2</v>
      </c>
      <c r="AH3" s="369">
        <f>'Monthly Cash Flow'!AA4</f>
        <v>2</v>
      </c>
      <c r="AI3" s="369">
        <f>'Monthly Cash Flow'!AB4</f>
        <v>2</v>
      </c>
      <c r="AJ3" s="369">
        <f>'Monthly Cash Flow'!AC4</f>
        <v>3</v>
      </c>
      <c r="AK3" s="369">
        <f>'Monthly Cash Flow'!AD4</f>
        <v>3</v>
      </c>
      <c r="AL3" s="369">
        <f>'Monthly Cash Flow'!AE4</f>
        <v>3</v>
      </c>
      <c r="AM3" s="369">
        <f>'Monthly Cash Flow'!AF4</f>
        <v>3</v>
      </c>
      <c r="AN3" s="369">
        <f>'Monthly Cash Flow'!AG4</f>
        <v>3</v>
      </c>
      <c r="AO3" s="369">
        <f>'Monthly Cash Flow'!AH4</f>
        <v>3</v>
      </c>
      <c r="AP3" s="369">
        <f>'Monthly Cash Flow'!AI4</f>
        <v>3</v>
      </c>
      <c r="AQ3" s="369">
        <f>'Monthly Cash Flow'!AJ4</f>
        <v>3</v>
      </c>
      <c r="AR3" s="369">
        <f>'Monthly Cash Flow'!AK4</f>
        <v>3</v>
      </c>
      <c r="AS3" s="369">
        <f>'Monthly Cash Flow'!AL4</f>
        <v>3</v>
      </c>
      <c r="AT3" s="369">
        <f>'Monthly Cash Flow'!AM4</f>
        <v>3</v>
      </c>
      <c r="AU3" s="369">
        <f>'Monthly Cash Flow'!AN4</f>
        <v>3</v>
      </c>
      <c r="AV3" s="369">
        <f>'Monthly Cash Flow'!AO4</f>
        <v>4</v>
      </c>
      <c r="AW3" s="369">
        <f>'Monthly Cash Flow'!AP4</f>
        <v>4</v>
      </c>
      <c r="AX3" s="369">
        <f>'Monthly Cash Flow'!AQ4</f>
        <v>4</v>
      </c>
      <c r="AY3" s="369">
        <f>'Monthly Cash Flow'!AR4</f>
        <v>4</v>
      </c>
      <c r="AZ3" s="369">
        <f>'Monthly Cash Flow'!AS4</f>
        <v>4</v>
      </c>
      <c r="BA3" s="369">
        <f>'Monthly Cash Flow'!AT4</f>
        <v>4</v>
      </c>
      <c r="BB3" s="369">
        <f>'Monthly Cash Flow'!AU4</f>
        <v>4</v>
      </c>
      <c r="BC3" s="369">
        <f>'Monthly Cash Flow'!AV4</f>
        <v>4</v>
      </c>
      <c r="BD3" s="369">
        <f>'Monthly Cash Flow'!AW4</f>
        <v>4</v>
      </c>
      <c r="BE3" s="369">
        <f>'Monthly Cash Flow'!AX4</f>
        <v>4</v>
      </c>
      <c r="BF3" s="369">
        <f>'Monthly Cash Flow'!AY4</f>
        <v>4</v>
      </c>
      <c r="BG3" s="369">
        <f>'Monthly Cash Flow'!AZ4</f>
        <v>4</v>
      </c>
      <c r="BH3" s="369">
        <f>'Monthly Cash Flow'!BA4</f>
        <v>5</v>
      </c>
      <c r="BI3" s="369">
        <f>'Monthly Cash Flow'!BB4</f>
        <v>5</v>
      </c>
      <c r="BJ3" s="369">
        <f>'Monthly Cash Flow'!BC4</f>
        <v>5</v>
      </c>
      <c r="BK3" s="369">
        <f>'Monthly Cash Flow'!BD4</f>
        <v>5</v>
      </c>
      <c r="BL3" s="369">
        <f>'Monthly Cash Flow'!BE4</f>
        <v>5</v>
      </c>
      <c r="BM3" s="369">
        <f>'Monthly Cash Flow'!BF4</f>
        <v>5</v>
      </c>
      <c r="BN3" s="369">
        <f>'Monthly Cash Flow'!BG4</f>
        <v>5</v>
      </c>
      <c r="BO3" s="369">
        <f>'Monthly Cash Flow'!BH4</f>
        <v>5</v>
      </c>
      <c r="BP3" s="369">
        <f>'Monthly Cash Flow'!BI4</f>
        <v>5</v>
      </c>
      <c r="BQ3" s="369">
        <f>'Monthly Cash Flow'!BJ4</f>
        <v>5</v>
      </c>
      <c r="BR3" s="369">
        <f>'Monthly Cash Flow'!BK4</f>
        <v>5</v>
      </c>
      <c r="BS3" s="369">
        <f>'Monthly Cash Flow'!BL4</f>
        <v>5</v>
      </c>
      <c r="BT3" s="369">
        <f>'Monthly Cash Flow'!BM4</f>
        <v>6</v>
      </c>
      <c r="BU3" s="369">
        <f>'Monthly Cash Flow'!BN4</f>
        <v>6</v>
      </c>
      <c r="BV3" s="369">
        <f>'Monthly Cash Flow'!BO4</f>
        <v>6</v>
      </c>
      <c r="BW3" s="369">
        <f>'Monthly Cash Flow'!BP4</f>
        <v>6</v>
      </c>
      <c r="BX3" s="369">
        <f>'Monthly Cash Flow'!BQ4</f>
        <v>6</v>
      </c>
      <c r="BY3" s="369">
        <f>'Monthly Cash Flow'!BR4</f>
        <v>6</v>
      </c>
      <c r="BZ3" s="369">
        <f>'Monthly Cash Flow'!BS4</f>
        <v>6</v>
      </c>
      <c r="CA3" s="369">
        <f>'Monthly Cash Flow'!BT4</f>
        <v>6</v>
      </c>
      <c r="CB3" s="369">
        <f>'Monthly Cash Flow'!BU4</f>
        <v>6</v>
      </c>
      <c r="CC3" s="369">
        <f>'Monthly Cash Flow'!BV4</f>
        <v>6</v>
      </c>
      <c r="CD3" s="369">
        <f>'Monthly Cash Flow'!BW4</f>
        <v>6</v>
      </c>
      <c r="CE3" s="369">
        <f>'Monthly Cash Flow'!BX4</f>
        <v>6</v>
      </c>
      <c r="CF3" s="369">
        <f>'Monthly Cash Flow'!BY4</f>
        <v>7</v>
      </c>
      <c r="CG3" s="369">
        <f>'Monthly Cash Flow'!BZ4</f>
        <v>7</v>
      </c>
      <c r="CH3" s="369">
        <f>'Monthly Cash Flow'!CA4</f>
        <v>7</v>
      </c>
      <c r="CI3" s="369">
        <f>'Monthly Cash Flow'!CB4</f>
        <v>7</v>
      </c>
      <c r="CJ3" s="369">
        <f>'Monthly Cash Flow'!CC4</f>
        <v>7</v>
      </c>
      <c r="CK3" s="369">
        <f>'Monthly Cash Flow'!CD4</f>
        <v>7</v>
      </c>
      <c r="CL3" s="369">
        <f>'Monthly Cash Flow'!CE4</f>
        <v>7</v>
      </c>
      <c r="CM3" s="369">
        <f>'Monthly Cash Flow'!CF4</f>
        <v>7</v>
      </c>
      <c r="CN3" s="369">
        <f>'Monthly Cash Flow'!CG4</f>
        <v>7</v>
      </c>
      <c r="CO3" s="369">
        <f>'Monthly Cash Flow'!CH4</f>
        <v>7</v>
      </c>
      <c r="CP3" s="369">
        <f>'Monthly Cash Flow'!CI4</f>
        <v>7</v>
      </c>
      <c r="CQ3" s="369">
        <f>'Monthly Cash Flow'!CJ4</f>
        <v>7</v>
      </c>
      <c r="CR3" s="369">
        <f>'Monthly Cash Flow'!CK4</f>
        <v>8</v>
      </c>
      <c r="CS3" s="369">
        <f>'Monthly Cash Flow'!CL4</f>
        <v>8</v>
      </c>
      <c r="CT3" s="369">
        <f>'Monthly Cash Flow'!CM4</f>
        <v>8</v>
      </c>
      <c r="CU3" s="369">
        <f>'Monthly Cash Flow'!CN4</f>
        <v>8</v>
      </c>
      <c r="CV3" s="369">
        <f>'Monthly Cash Flow'!CO4</f>
        <v>8</v>
      </c>
      <c r="CW3" s="369">
        <f>'Monthly Cash Flow'!CP4</f>
        <v>8</v>
      </c>
      <c r="CX3" s="369">
        <f>'Monthly Cash Flow'!CQ4</f>
        <v>8</v>
      </c>
      <c r="CY3" s="369">
        <f>'Monthly Cash Flow'!CR4</f>
        <v>8</v>
      </c>
      <c r="CZ3" s="369">
        <f>'Monthly Cash Flow'!CS4</f>
        <v>8</v>
      </c>
      <c r="DA3" s="369">
        <f>'Monthly Cash Flow'!CT4</f>
        <v>8</v>
      </c>
      <c r="DB3" s="369">
        <f>'Monthly Cash Flow'!CU4</f>
        <v>8</v>
      </c>
      <c r="DC3" s="369">
        <f>'Monthly Cash Flow'!CV4</f>
        <v>8</v>
      </c>
      <c r="DD3" s="369">
        <f>'Monthly Cash Flow'!CW4</f>
        <v>9</v>
      </c>
      <c r="DE3" s="369">
        <f>'Monthly Cash Flow'!CX4</f>
        <v>9</v>
      </c>
      <c r="DF3" s="369">
        <f>'Monthly Cash Flow'!CY4</f>
        <v>9</v>
      </c>
      <c r="DG3" s="369">
        <f>'Monthly Cash Flow'!CZ4</f>
        <v>9</v>
      </c>
      <c r="DH3" s="369">
        <f>'Monthly Cash Flow'!DA4</f>
        <v>9</v>
      </c>
      <c r="DI3" s="369">
        <f>'Monthly Cash Flow'!DB4</f>
        <v>9</v>
      </c>
      <c r="DJ3" s="369">
        <f>'Monthly Cash Flow'!DC4</f>
        <v>9</v>
      </c>
      <c r="DK3" s="369">
        <f>'Monthly Cash Flow'!DD4</f>
        <v>9</v>
      </c>
      <c r="DL3" s="369">
        <f>'Monthly Cash Flow'!DE4</f>
        <v>9</v>
      </c>
      <c r="DM3" s="369">
        <f>'Monthly Cash Flow'!DF4</f>
        <v>9</v>
      </c>
      <c r="DN3" s="369">
        <f>'Monthly Cash Flow'!DG4</f>
        <v>9</v>
      </c>
      <c r="DO3" s="369">
        <f>'Monthly Cash Flow'!DH4</f>
        <v>9</v>
      </c>
      <c r="DP3" s="369">
        <f>'Monthly Cash Flow'!DI4</f>
        <v>10</v>
      </c>
      <c r="DQ3" s="369">
        <f>'Monthly Cash Flow'!DJ4</f>
        <v>10</v>
      </c>
      <c r="DR3" s="369">
        <f>'Monthly Cash Flow'!DK4</f>
        <v>10</v>
      </c>
      <c r="DS3" s="369">
        <f>'Monthly Cash Flow'!DL4</f>
        <v>10</v>
      </c>
      <c r="DT3" s="369">
        <f>'Monthly Cash Flow'!DM4</f>
        <v>10</v>
      </c>
      <c r="DU3" s="369">
        <f>'Monthly Cash Flow'!DN4</f>
        <v>10</v>
      </c>
      <c r="DV3" s="369">
        <f>'Monthly Cash Flow'!DO4</f>
        <v>10</v>
      </c>
      <c r="DW3" s="369">
        <f>'Monthly Cash Flow'!DP4</f>
        <v>10</v>
      </c>
      <c r="DX3" s="369">
        <f>'Monthly Cash Flow'!DQ4</f>
        <v>10</v>
      </c>
      <c r="DY3" s="369">
        <f>'Monthly Cash Flow'!DR4</f>
        <v>10</v>
      </c>
      <c r="DZ3" s="369">
        <f>'Monthly Cash Flow'!DS4</f>
        <v>10</v>
      </c>
      <c r="EA3" s="369">
        <f>'Monthly Cash Flow'!DT4</f>
        <v>10</v>
      </c>
      <c r="EB3" s="376" t="s">
        <v>557</v>
      </c>
    </row>
    <row r="4" spans="2:132" ht="19">
      <c r="K4" s="369">
        <f>'Monthly Cash Flow'!D5</f>
        <v>0</v>
      </c>
      <c r="L4" s="369">
        <f>'Monthly Cash Flow'!E5</f>
        <v>1</v>
      </c>
      <c r="M4" s="369">
        <f>'Monthly Cash Flow'!F5</f>
        <v>2</v>
      </c>
      <c r="N4" s="369">
        <f>'Monthly Cash Flow'!G5</f>
        <v>3</v>
      </c>
      <c r="O4" s="369">
        <f>'Monthly Cash Flow'!H5</f>
        <v>4</v>
      </c>
      <c r="P4" s="369">
        <f>'Monthly Cash Flow'!I5</f>
        <v>5</v>
      </c>
      <c r="Q4" s="369">
        <f>'Monthly Cash Flow'!J5</f>
        <v>6</v>
      </c>
      <c r="R4" s="369">
        <f>'Monthly Cash Flow'!K5</f>
        <v>7</v>
      </c>
      <c r="S4" s="369">
        <f>'Monthly Cash Flow'!L5</f>
        <v>8</v>
      </c>
      <c r="T4" s="369">
        <f>'Monthly Cash Flow'!M5</f>
        <v>9</v>
      </c>
      <c r="U4" s="369">
        <f>'Monthly Cash Flow'!N5</f>
        <v>10</v>
      </c>
      <c r="V4" s="369">
        <f>'Monthly Cash Flow'!O5</f>
        <v>11</v>
      </c>
      <c r="W4" s="369">
        <f>'Monthly Cash Flow'!P5</f>
        <v>12</v>
      </c>
      <c r="X4" s="369">
        <f>'Monthly Cash Flow'!Q5</f>
        <v>13</v>
      </c>
      <c r="Y4" s="369">
        <f>'Monthly Cash Flow'!R5</f>
        <v>14</v>
      </c>
      <c r="Z4" s="369">
        <f>'Monthly Cash Flow'!S5</f>
        <v>15</v>
      </c>
      <c r="AA4" s="369">
        <f>'Monthly Cash Flow'!T5</f>
        <v>16</v>
      </c>
      <c r="AB4" s="369">
        <f>'Monthly Cash Flow'!U5</f>
        <v>17</v>
      </c>
      <c r="AC4" s="369">
        <f>'Monthly Cash Flow'!V5</f>
        <v>18</v>
      </c>
      <c r="AD4" s="369">
        <f>'Monthly Cash Flow'!W5</f>
        <v>19</v>
      </c>
      <c r="AE4" s="369">
        <f>'Monthly Cash Flow'!X5</f>
        <v>20</v>
      </c>
      <c r="AF4" s="369">
        <f>'Monthly Cash Flow'!Y5</f>
        <v>21</v>
      </c>
      <c r="AG4" s="369">
        <f>'Monthly Cash Flow'!Z5</f>
        <v>22</v>
      </c>
      <c r="AH4" s="369">
        <f>'Monthly Cash Flow'!AA5</f>
        <v>23</v>
      </c>
      <c r="AI4" s="369">
        <f>'Monthly Cash Flow'!AB5</f>
        <v>24</v>
      </c>
      <c r="AJ4" s="369">
        <f>'Monthly Cash Flow'!AC5</f>
        <v>25</v>
      </c>
      <c r="AK4" s="369">
        <f>'Monthly Cash Flow'!AD5</f>
        <v>26</v>
      </c>
      <c r="AL4" s="369">
        <f>'Monthly Cash Flow'!AE5</f>
        <v>27</v>
      </c>
      <c r="AM4" s="369">
        <f>'Monthly Cash Flow'!AF5</f>
        <v>28</v>
      </c>
      <c r="AN4" s="369">
        <f>'Monthly Cash Flow'!AG5</f>
        <v>29</v>
      </c>
      <c r="AO4" s="369">
        <f>'Monthly Cash Flow'!AH5</f>
        <v>30</v>
      </c>
      <c r="AP4" s="369">
        <f>'Monthly Cash Flow'!AI5</f>
        <v>31</v>
      </c>
      <c r="AQ4" s="369">
        <f>'Monthly Cash Flow'!AJ5</f>
        <v>32</v>
      </c>
      <c r="AR4" s="369">
        <f>'Monthly Cash Flow'!AK5</f>
        <v>33</v>
      </c>
      <c r="AS4" s="369">
        <f>'Monthly Cash Flow'!AL5</f>
        <v>34</v>
      </c>
      <c r="AT4" s="369">
        <f>'Monthly Cash Flow'!AM5</f>
        <v>35</v>
      </c>
      <c r="AU4" s="369">
        <f>'Monthly Cash Flow'!AN5</f>
        <v>36</v>
      </c>
      <c r="AV4" s="369">
        <f>'Monthly Cash Flow'!AO5</f>
        <v>37</v>
      </c>
      <c r="AW4" s="369">
        <f>'Monthly Cash Flow'!AP5</f>
        <v>38</v>
      </c>
      <c r="AX4" s="369">
        <f>'Monthly Cash Flow'!AQ5</f>
        <v>39</v>
      </c>
      <c r="AY4" s="369">
        <f>'Monthly Cash Flow'!AR5</f>
        <v>40</v>
      </c>
      <c r="AZ4" s="369">
        <f>'Monthly Cash Flow'!AS5</f>
        <v>41</v>
      </c>
      <c r="BA4" s="369">
        <f>'Monthly Cash Flow'!AT5</f>
        <v>42</v>
      </c>
      <c r="BB4" s="369">
        <f>'Monthly Cash Flow'!AU5</f>
        <v>43</v>
      </c>
      <c r="BC4" s="369">
        <f>'Monthly Cash Flow'!AV5</f>
        <v>44</v>
      </c>
      <c r="BD4" s="369">
        <f>'Monthly Cash Flow'!AW5</f>
        <v>45</v>
      </c>
      <c r="BE4" s="369">
        <f>'Monthly Cash Flow'!AX5</f>
        <v>46</v>
      </c>
      <c r="BF4" s="369">
        <f>'Monthly Cash Flow'!AY5</f>
        <v>47</v>
      </c>
      <c r="BG4" s="369">
        <f>'Monthly Cash Flow'!AZ5</f>
        <v>48</v>
      </c>
      <c r="BH4" s="369">
        <f>'Monthly Cash Flow'!BA5</f>
        <v>49</v>
      </c>
      <c r="BI4" s="369">
        <f>'Monthly Cash Flow'!BB5</f>
        <v>50</v>
      </c>
      <c r="BJ4" s="369">
        <f>'Monthly Cash Flow'!BC5</f>
        <v>51</v>
      </c>
      <c r="BK4" s="369">
        <f>'Monthly Cash Flow'!BD5</f>
        <v>52</v>
      </c>
      <c r="BL4" s="369">
        <f>'Monthly Cash Flow'!BE5</f>
        <v>53</v>
      </c>
      <c r="BM4" s="369">
        <f>'Monthly Cash Flow'!BF5</f>
        <v>54</v>
      </c>
      <c r="BN4" s="369">
        <f>'Monthly Cash Flow'!BG5</f>
        <v>55</v>
      </c>
      <c r="BO4" s="369">
        <f>'Monthly Cash Flow'!BH5</f>
        <v>56</v>
      </c>
      <c r="BP4" s="369">
        <f>'Monthly Cash Flow'!BI5</f>
        <v>57</v>
      </c>
      <c r="BQ4" s="369">
        <f>'Monthly Cash Flow'!BJ5</f>
        <v>58</v>
      </c>
      <c r="BR4" s="369">
        <f>'Monthly Cash Flow'!BK5</f>
        <v>59</v>
      </c>
      <c r="BS4" s="369">
        <f>'Monthly Cash Flow'!BL5</f>
        <v>60</v>
      </c>
      <c r="BT4" s="369">
        <f>'Monthly Cash Flow'!BM5</f>
        <v>61</v>
      </c>
      <c r="BU4" s="369">
        <f>'Monthly Cash Flow'!BN5</f>
        <v>62</v>
      </c>
      <c r="BV4" s="369">
        <f>'Monthly Cash Flow'!BO5</f>
        <v>63</v>
      </c>
      <c r="BW4" s="369">
        <f>'Monthly Cash Flow'!BP5</f>
        <v>64</v>
      </c>
      <c r="BX4" s="369">
        <f>'Monthly Cash Flow'!BQ5</f>
        <v>65</v>
      </c>
      <c r="BY4" s="369">
        <f>'Monthly Cash Flow'!BR5</f>
        <v>66</v>
      </c>
      <c r="BZ4" s="369">
        <f>'Monthly Cash Flow'!BS5</f>
        <v>67</v>
      </c>
      <c r="CA4" s="369">
        <f>'Monthly Cash Flow'!BT5</f>
        <v>68</v>
      </c>
      <c r="CB4" s="369">
        <f>'Monthly Cash Flow'!BU5</f>
        <v>69</v>
      </c>
      <c r="CC4" s="369">
        <f>'Monthly Cash Flow'!BV5</f>
        <v>70</v>
      </c>
      <c r="CD4" s="369">
        <f>'Monthly Cash Flow'!BW5</f>
        <v>71</v>
      </c>
      <c r="CE4" s="369">
        <f>'Monthly Cash Flow'!BX5</f>
        <v>72</v>
      </c>
      <c r="CF4" s="369">
        <f>'Monthly Cash Flow'!BY5</f>
        <v>73</v>
      </c>
      <c r="CG4" s="369">
        <f>'Monthly Cash Flow'!BZ5</f>
        <v>74</v>
      </c>
      <c r="CH4" s="369">
        <f>'Monthly Cash Flow'!CA5</f>
        <v>75</v>
      </c>
      <c r="CI4" s="369">
        <f>'Monthly Cash Flow'!CB5</f>
        <v>76</v>
      </c>
      <c r="CJ4" s="369">
        <f>'Monthly Cash Flow'!CC5</f>
        <v>77</v>
      </c>
      <c r="CK4" s="369">
        <f>'Monthly Cash Flow'!CD5</f>
        <v>78</v>
      </c>
      <c r="CL4" s="369">
        <f>'Monthly Cash Flow'!CE5</f>
        <v>79</v>
      </c>
      <c r="CM4" s="369">
        <f>'Monthly Cash Flow'!CF5</f>
        <v>80</v>
      </c>
      <c r="CN4" s="369">
        <f>'Monthly Cash Flow'!CG5</f>
        <v>81</v>
      </c>
      <c r="CO4" s="369">
        <f>'Monthly Cash Flow'!CH5</f>
        <v>82</v>
      </c>
      <c r="CP4" s="369">
        <f>'Monthly Cash Flow'!CI5</f>
        <v>83</v>
      </c>
      <c r="CQ4" s="369">
        <f>'Monthly Cash Flow'!CJ5</f>
        <v>84</v>
      </c>
      <c r="CR4" s="369">
        <f>'Monthly Cash Flow'!CK5</f>
        <v>85</v>
      </c>
      <c r="CS4" s="369">
        <f>'Monthly Cash Flow'!CL5</f>
        <v>86</v>
      </c>
      <c r="CT4" s="369">
        <f>'Monthly Cash Flow'!CM5</f>
        <v>87</v>
      </c>
      <c r="CU4" s="369">
        <f>'Monthly Cash Flow'!CN5</f>
        <v>88</v>
      </c>
      <c r="CV4" s="369">
        <f>'Monthly Cash Flow'!CO5</f>
        <v>89</v>
      </c>
      <c r="CW4" s="369">
        <f>'Monthly Cash Flow'!CP5</f>
        <v>90</v>
      </c>
      <c r="CX4" s="369">
        <f>'Monthly Cash Flow'!CQ5</f>
        <v>91</v>
      </c>
      <c r="CY4" s="369">
        <f>'Monthly Cash Flow'!CR5</f>
        <v>92</v>
      </c>
      <c r="CZ4" s="369">
        <f>'Monthly Cash Flow'!CS5</f>
        <v>93</v>
      </c>
      <c r="DA4" s="369">
        <f>'Monthly Cash Flow'!CT5</f>
        <v>94</v>
      </c>
      <c r="DB4" s="369">
        <f>'Monthly Cash Flow'!CU5</f>
        <v>95</v>
      </c>
      <c r="DC4" s="369">
        <f>'Monthly Cash Flow'!CV5</f>
        <v>96</v>
      </c>
      <c r="DD4" s="369">
        <f>'Monthly Cash Flow'!CW5</f>
        <v>97</v>
      </c>
      <c r="DE4" s="369">
        <f>'Monthly Cash Flow'!CX5</f>
        <v>98</v>
      </c>
      <c r="DF4" s="369">
        <f>'Monthly Cash Flow'!CY5</f>
        <v>99</v>
      </c>
      <c r="DG4" s="369">
        <f>'Monthly Cash Flow'!CZ5</f>
        <v>100</v>
      </c>
      <c r="DH4" s="369">
        <f>'Monthly Cash Flow'!DA5</f>
        <v>101</v>
      </c>
      <c r="DI4" s="369">
        <f>'Monthly Cash Flow'!DB5</f>
        <v>102</v>
      </c>
      <c r="DJ4" s="369">
        <f>'Monthly Cash Flow'!DC5</f>
        <v>103</v>
      </c>
      <c r="DK4" s="369">
        <f>'Monthly Cash Flow'!DD5</f>
        <v>104</v>
      </c>
      <c r="DL4" s="369">
        <f>'Monthly Cash Flow'!DE5</f>
        <v>105</v>
      </c>
      <c r="DM4" s="369">
        <f>'Monthly Cash Flow'!DF5</f>
        <v>106</v>
      </c>
      <c r="DN4" s="369">
        <f>'Monthly Cash Flow'!DG5</f>
        <v>107</v>
      </c>
      <c r="DO4" s="369">
        <f>'Monthly Cash Flow'!DH5</f>
        <v>108</v>
      </c>
      <c r="DP4" s="369">
        <f>'Monthly Cash Flow'!DI5</f>
        <v>109</v>
      </c>
      <c r="DQ4" s="369">
        <f>'Monthly Cash Flow'!DJ5</f>
        <v>110</v>
      </c>
      <c r="DR4" s="369">
        <f>'Monthly Cash Flow'!DK5</f>
        <v>111</v>
      </c>
      <c r="DS4" s="369">
        <f>'Monthly Cash Flow'!DL5</f>
        <v>112</v>
      </c>
      <c r="DT4" s="369">
        <f>'Monthly Cash Flow'!DM5</f>
        <v>113</v>
      </c>
      <c r="DU4" s="369">
        <f>'Monthly Cash Flow'!DN5</f>
        <v>114</v>
      </c>
      <c r="DV4" s="369">
        <f>'Monthly Cash Flow'!DO5</f>
        <v>115</v>
      </c>
      <c r="DW4" s="369">
        <f>'Monthly Cash Flow'!DP5</f>
        <v>116</v>
      </c>
      <c r="DX4" s="369">
        <f>'Monthly Cash Flow'!DQ5</f>
        <v>117</v>
      </c>
      <c r="DY4" s="369">
        <f>'Monthly Cash Flow'!DR5</f>
        <v>118</v>
      </c>
      <c r="DZ4" s="369">
        <f>'Monthly Cash Flow'!DS5</f>
        <v>119</v>
      </c>
      <c r="EA4" s="369">
        <f>'Monthly Cash Flow'!DT5</f>
        <v>120</v>
      </c>
      <c r="EB4" s="376" t="s">
        <v>557</v>
      </c>
    </row>
    <row r="5" spans="2:132" ht="19">
      <c r="B5" s="173" t="s">
        <v>1133</v>
      </c>
      <c r="C5" s="173"/>
      <c r="D5" s="173"/>
      <c r="E5" s="175"/>
      <c r="G5" s="520" t="s">
        <v>1134</v>
      </c>
      <c r="H5" s="521"/>
      <c r="I5" s="521"/>
      <c r="J5" s="521"/>
      <c r="K5" s="522">
        <f ca="1">'Monthly Cash Flow'!D129</f>
        <v>-20296000</v>
      </c>
      <c r="L5" s="522">
        <f>'Monthly Cash Flow'!E129</f>
        <v>75142.199419975848</v>
      </c>
      <c r="M5" s="522">
        <f>'Monthly Cash Flow'!F129</f>
        <v>77255.772749442272</v>
      </c>
      <c r="N5" s="522">
        <f>'Monthly Cash Flow'!G129</f>
        <v>79383.436567771874</v>
      </c>
      <c r="O5" s="522">
        <f>'Monthly Cash Flow'!H129</f>
        <v>81525.284811557081</v>
      </c>
      <c r="P5" s="522">
        <f>'Monthly Cash Flow'!I129</f>
        <v>83681.412043634118</v>
      </c>
      <c r="Q5" s="522">
        <f>'Monthly Cash Flow'!J129</f>
        <v>85851.913457258299</v>
      </c>
      <c r="R5" s="522">
        <f>'Monthly Cash Flow'!K129</f>
        <v>88036.884880306709</v>
      </c>
      <c r="S5" s="522">
        <f>'Monthly Cash Flow'!L129</f>
        <v>90236.422779508677</v>
      </c>
      <c r="T5" s="522">
        <f>'Monthly Cash Flow'!M129</f>
        <v>92450.624264705359</v>
      </c>
      <c r="U5" s="522">
        <f>'Monthly Cash Flow'!N129</f>
        <v>94679.587093136754</v>
      </c>
      <c r="V5" s="522">
        <f>'Monthly Cash Flow'!O129</f>
        <v>96923.409673757662</v>
      </c>
      <c r="W5" s="522">
        <f>'Monthly Cash Flow'!P129</f>
        <v>99182.191071582594</v>
      </c>
      <c r="X5" s="522">
        <f>'Monthly Cash Flow'!Q129</f>
        <v>99132.252015780003</v>
      </c>
      <c r="Y5" s="522">
        <f>'Monthly Cash Flow'!R129</f>
        <v>101277.30024087873</v>
      </c>
      <c r="Z5" s="522">
        <f>'Monthly Cash Flow'!S129</f>
        <v>103435.75501738423</v>
      </c>
      <c r="AA5" s="522">
        <f>'Monthly Cash Flow'!T129</f>
        <v>105607.70013624289</v>
      </c>
      <c r="AB5" s="522">
        <f>'Monthly Cash Flow'!U129</f>
        <v>107793.2199120944</v>
      </c>
      <c r="AC5" s="522">
        <f>'Monthly Cash Flow'!V129</f>
        <v>109992.39918654515</v>
      </c>
      <c r="AD5" s="522">
        <f>'Monthly Cash Flow'!W129</f>
        <v>112205.32333146107</v>
      </c>
      <c r="AE5" s="522">
        <f>'Monthly Cash Flow'!X129</f>
        <v>114432.07825228265</v>
      </c>
      <c r="AF5" s="522">
        <f>'Monthly Cash Flow'!Y129</f>
        <v>116672.75039135954</v>
      </c>
      <c r="AG5" s="522">
        <f>'Monthly Cash Flow'!Z129</f>
        <v>118927.4267313055</v>
      </c>
      <c r="AH5" s="522">
        <f>'Monthly Cash Flow'!AA129</f>
        <v>121196.19479837616</v>
      </c>
      <c r="AI5" s="522">
        <f>'Monthly Cash Flow'!AB129</f>
        <v>123479.14266586611</v>
      </c>
      <c r="AJ5" s="522">
        <f>'Monthly Cash Flow'!AC129</f>
        <v>122481.38876808564</v>
      </c>
      <c r="AK5" s="522">
        <f>'Monthly Cash Flow'!AD129</f>
        <v>123710.65473037933</v>
      </c>
      <c r="AL5" s="522">
        <f>'Monthly Cash Flow'!AE129</f>
        <v>124944.01824588062</v>
      </c>
      <c r="AM5" s="522">
        <f>'Monthly Cash Flow'!AF129</f>
        <v>126181.4929731002</v>
      </c>
      <c r="AN5" s="522">
        <f>'Monthly Cash Flow'!AG129</f>
        <v>127423.09261607715</v>
      </c>
      <c r="AO5" s="522">
        <f>'Monthly Cash Flow'!AH129</f>
        <v>128668.83092453091</v>
      </c>
      <c r="AP5" s="522">
        <f>'Monthly Cash Flow'!AI129</f>
        <v>129918.72169401268</v>
      </c>
      <c r="AQ5" s="522">
        <f>'Monthly Cash Flow'!AJ129</f>
        <v>131172.77876605943</v>
      </c>
      <c r="AR5" s="522">
        <f>'Monthly Cash Flow'!AK129</f>
        <v>132431.01602834626</v>
      </c>
      <c r="AS5" s="522">
        <f>'Monthly Cash Flow'!AL129</f>
        <v>133693.44741484086</v>
      </c>
      <c r="AT5" s="522">
        <f>'Monthly Cash Flow'!AM129</f>
        <v>134960.08690595691</v>
      </c>
      <c r="AU5" s="522">
        <f>'Monthly Cash Flow'!AN129</f>
        <v>136230.94852871029</v>
      </c>
      <c r="AV5" s="522">
        <f>'Monthly Cash Flow'!AO129</f>
        <v>135241.08391927258</v>
      </c>
      <c r="AW5" s="522">
        <f>'Monthly Cash Flow'!AP129</f>
        <v>136520.43207352899</v>
      </c>
      <c r="AX5" s="522">
        <f>'Monthly Cash Flow'!AQ129</f>
        <v>137804.04472163261</v>
      </c>
      <c r="AY5" s="522">
        <f>'Monthly Cash Flow'!AR129</f>
        <v>139091.93607856351</v>
      </c>
      <c r="AZ5" s="522">
        <f>'Monthly Cash Flow'!AS129</f>
        <v>140384.12040668412</v>
      </c>
      <c r="BA5" s="522">
        <f>'Monthly Cash Flow'!AT129</f>
        <v>141680.61201589828</v>
      </c>
      <c r="BB5" s="522">
        <f>'Monthly Cash Flow'!AU129</f>
        <v>142981.42526381009</v>
      </c>
      <c r="BC5" s="522">
        <f>'Monthly Cash Flow'!AV129</f>
        <v>144286.57455588144</v>
      </c>
      <c r="BD5" s="522">
        <f>'Monthly Cash Flow'!AW129</f>
        <v>145596.07434559317</v>
      </c>
      <c r="BE5" s="522">
        <f>'Monthly Cash Flow'!AX129</f>
        <v>146909.93913460377</v>
      </c>
      <c r="BF5" s="522">
        <f>'Monthly Cash Flow'!AY129</f>
        <v>148228.18347291125</v>
      </c>
      <c r="BG5" s="522">
        <f>'Monthly Cash Flow'!AZ129</f>
        <v>29370228.452826262</v>
      </c>
      <c r="BH5" s="522">
        <f>'Monthly Cash Flow'!BA129</f>
        <v>0</v>
      </c>
      <c r="BI5" s="522">
        <f>'Monthly Cash Flow'!BB129</f>
        <v>0</v>
      </c>
      <c r="BJ5" s="522">
        <f>'Monthly Cash Flow'!BC129</f>
        <v>0</v>
      </c>
      <c r="BK5" s="522">
        <f>'Monthly Cash Flow'!BD129</f>
        <v>0</v>
      </c>
      <c r="BL5" s="522">
        <f>'Monthly Cash Flow'!BE129</f>
        <v>0</v>
      </c>
      <c r="BM5" s="522">
        <f>'Monthly Cash Flow'!BF129</f>
        <v>0</v>
      </c>
      <c r="BN5" s="522">
        <f>'Monthly Cash Flow'!BG129</f>
        <v>0</v>
      </c>
      <c r="BO5" s="522">
        <f>'Monthly Cash Flow'!BH129</f>
        <v>0</v>
      </c>
      <c r="BP5" s="522">
        <f>'Monthly Cash Flow'!BI129</f>
        <v>0</v>
      </c>
      <c r="BQ5" s="522">
        <f>'Monthly Cash Flow'!BJ129</f>
        <v>0</v>
      </c>
      <c r="BR5" s="522">
        <f>'Monthly Cash Flow'!BK129</f>
        <v>0</v>
      </c>
      <c r="BS5" s="522">
        <f>'Monthly Cash Flow'!BL129</f>
        <v>0</v>
      </c>
      <c r="BT5" s="522">
        <f>'Monthly Cash Flow'!BM129</f>
        <v>0</v>
      </c>
      <c r="BU5" s="522">
        <f>'Monthly Cash Flow'!BN129</f>
        <v>0</v>
      </c>
      <c r="BV5" s="522">
        <f>'Monthly Cash Flow'!BO129</f>
        <v>0</v>
      </c>
      <c r="BW5" s="522">
        <f>'Monthly Cash Flow'!BP129</f>
        <v>0</v>
      </c>
      <c r="BX5" s="522">
        <f>'Monthly Cash Flow'!BQ129</f>
        <v>0</v>
      </c>
      <c r="BY5" s="522">
        <f>'Monthly Cash Flow'!BR129</f>
        <v>0</v>
      </c>
      <c r="BZ5" s="522">
        <f>'Monthly Cash Flow'!BS129</f>
        <v>0</v>
      </c>
      <c r="CA5" s="522">
        <f>'Monthly Cash Flow'!BT129</f>
        <v>0</v>
      </c>
      <c r="CB5" s="522">
        <f>'Monthly Cash Flow'!BU129</f>
        <v>0</v>
      </c>
      <c r="CC5" s="522">
        <f>'Monthly Cash Flow'!BV129</f>
        <v>0</v>
      </c>
      <c r="CD5" s="522">
        <f>'Monthly Cash Flow'!BW129</f>
        <v>0</v>
      </c>
      <c r="CE5" s="522">
        <f>'Monthly Cash Flow'!BX129</f>
        <v>0</v>
      </c>
      <c r="CF5" s="522">
        <f>'Monthly Cash Flow'!BY129</f>
        <v>0</v>
      </c>
      <c r="CG5" s="522">
        <f>'Monthly Cash Flow'!BZ129</f>
        <v>0</v>
      </c>
      <c r="CH5" s="522">
        <f>'Monthly Cash Flow'!CA129</f>
        <v>0</v>
      </c>
      <c r="CI5" s="522">
        <f>'Monthly Cash Flow'!CB129</f>
        <v>0</v>
      </c>
      <c r="CJ5" s="522">
        <f>'Monthly Cash Flow'!CC129</f>
        <v>0</v>
      </c>
      <c r="CK5" s="522">
        <f>'Monthly Cash Flow'!CD129</f>
        <v>0</v>
      </c>
      <c r="CL5" s="522">
        <f>'Monthly Cash Flow'!CE129</f>
        <v>0</v>
      </c>
      <c r="CM5" s="522">
        <f>'Monthly Cash Flow'!CF129</f>
        <v>0</v>
      </c>
      <c r="CN5" s="522">
        <f>'Monthly Cash Flow'!CG129</f>
        <v>0</v>
      </c>
      <c r="CO5" s="522">
        <f>'Monthly Cash Flow'!CH129</f>
        <v>0</v>
      </c>
      <c r="CP5" s="522">
        <f>'Monthly Cash Flow'!CI129</f>
        <v>0</v>
      </c>
      <c r="CQ5" s="522">
        <f>'Monthly Cash Flow'!CJ129</f>
        <v>0</v>
      </c>
      <c r="CR5" s="522">
        <f>'Monthly Cash Flow'!CK129</f>
        <v>0</v>
      </c>
      <c r="CS5" s="522">
        <f>'Monthly Cash Flow'!CL129</f>
        <v>0</v>
      </c>
      <c r="CT5" s="522">
        <f>'Monthly Cash Flow'!CM129</f>
        <v>0</v>
      </c>
      <c r="CU5" s="522">
        <f>'Monthly Cash Flow'!CN129</f>
        <v>0</v>
      </c>
      <c r="CV5" s="522">
        <f>'Monthly Cash Flow'!CO129</f>
        <v>0</v>
      </c>
      <c r="CW5" s="522">
        <f>'Monthly Cash Flow'!CP129</f>
        <v>0</v>
      </c>
      <c r="CX5" s="522">
        <f>'Monthly Cash Flow'!CQ129</f>
        <v>0</v>
      </c>
      <c r="CY5" s="522">
        <f>'Monthly Cash Flow'!CR129</f>
        <v>0</v>
      </c>
      <c r="CZ5" s="522">
        <f>'Monthly Cash Flow'!CS129</f>
        <v>0</v>
      </c>
      <c r="DA5" s="522">
        <f>'Monthly Cash Flow'!CT129</f>
        <v>0</v>
      </c>
      <c r="DB5" s="522">
        <f>'Monthly Cash Flow'!CU129</f>
        <v>0</v>
      </c>
      <c r="DC5" s="522">
        <f>'Monthly Cash Flow'!CV129</f>
        <v>0</v>
      </c>
      <c r="DD5" s="522">
        <f>'Monthly Cash Flow'!CW129</f>
        <v>0</v>
      </c>
      <c r="DE5" s="522">
        <f>'Monthly Cash Flow'!CX129</f>
        <v>0</v>
      </c>
      <c r="DF5" s="522">
        <f>'Monthly Cash Flow'!CY129</f>
        <v>0</v>
      </c>
      <c r="DG5" s="522">
        <f>'Monthly Cash Flow'!CZ129</f>
        <v>0</v>
      </c>
      <c r="DH5" s="522">
        <f>'Monthly Cash Flow'!DA129</f>
        <v>0</v>
      </c>
      <c r="DI5" s="522">
        <f>'Monthly Cash Flow'!DB129</f>
        <v>0</v>
      </c>
      <c r="DJ5" s="522">
        <f>'Monthly Cash Flow'!DC129</f>
        <v>0</v>
      </c>
      <c r="DK5" s="522">
        <f>'Monthly Cash Flow'!DD129</f>
        <v>0</v>
      </c>
      <c r="DL5" s="522">
        <f>'Monthly Cash Flow'!DE129</f>
        <v>0</v>
      </c>
      <c r="DM5" s="522">
        <f>'Monthly Cash Flow'!DF129</f>
        <v>0</v>
      </c>
      <c r="DN5" s="522">
        <f>'Monthly Cash Flow'!DG129</f>
        <v>0</v>
      </c>
      <c r="DO5" s="522">
        <f>'Monthly Cash Flow'!DH129</f>
        <v>0</v>
      </c>
      <c r="DP5" s="522">
        <f>'Monthly Cash Flow'!DI129</f>
        <v>0</v>
      </c>
      <c r="DQ5" s="522">
        <f>'Monthly Cash Flow'!DJ129</f>
        <v>0</v>
      </c>
      <c r="DR5" s="522">
        <f>'Monthly Cash Flow'!DK129</f>
        <v>0</v>
      </c>
      <c r="DS5" s="522">
        <f>'Monthly Cash Flow'!DL129</f>
        <v>0</v>
      </c>
      <c r="DT5" s="522">
        <f>'Monthly Cash Flow'!DM129</f>
        <v>0</v>
      </c>
      <c r="DU5" s="522">
        <f>'Monthly Cash Flow'!DN129</f>
        <v>0</v>
      </c>
      <c r="DV5" s="522">
        <f>'Monthly Cash Flow'!DO129</f>
        <v>0</v>
      </c>
      <c r="DW5" s="522">
        <f>'Monthly Cash Flow'!DP129</f>
        <v>0</v>
      </c>
      <c r="DX5" s="522">
        <f>'Monthly Cash Flow'!DQ129</f>
        <v>0</v>
      </c>
      <c r="DY5" s="522">
        <f>'Monthly Cash Flow'!DR129</f>
        <v>0</v>
      </c>
      <c r="DZ5" s="522">
        <f>'Monthly Cash Flow'!DS129</f>
        <v>0</v>
      </c>
      <c r="EA5" s="522">
        <f>'Monthly Cash Flow'!DT129</f>
        <v>0</v>
      </c>
      <c r="EB5" s="523" t="s">
        <v>557</v>
      </c>
    </row>
    <row r="6" spans="2:132" ht="19">
      <c r="B6" s="524"/>
      <c r="C6" s="525" t="s">
        <v>1135</v>
      </c>
      <c r="D6" s="525" t="s">
        <v>1136</v>
      </c>
      <c r="E6" s="525" t="s">
        <v>1137</v>
      </c>
      <c r="BT6" s="526"/>
      <c r="EB6" s="523" t="s">
        <v>557</v>
      </c>
    </row>
    <row r="7" spans="2:132" ht="19">
      <c r="B7" s="106" t="s">
        <v>1138</v>
      </c>
      <c r="C7" s="527">
        <f>'Inputs and Assumptions'!G6</f>
        <v>0</v>
      </c>
      <c r="D7" s="528">
        <f>1-C7</f>
        <v>1</v>
      </c>
      <c r="E7" s="528">
        <f>C7+D7</f>
        <v>1</v>
      </c>
      <c r="G7" s="173" t="s">
        <v>1139</v>
      </c>
      <c r="H7" s="529"/>
      <c r="I7" s="529"/>
      <c r="J7" s="530"/>
      <c r="K7" s="530"/>
      <c r="L7" s="530"/>
      <c r="M7" s="530"/>
      <c r="N7" s="530"/>
      <c r="O7" s="530"/>
      <c r="P7" s="530"/>
      <c r="Q7" s="530"/>
      <c r="R7" s="530"/>
      <c r="S7" s="530"/>
      <c r="T7" s="530"/>
      <c r="U7" s="530"/>
      <c r="V7" s="530"/>
      <c r="W7" s="530"/>
      <c r="X7" s="530"/>
      <c r="Y7" s="530"/>
      <c r="Z7" s="530"/>
      <c r="AA7" s="530"/>
      <c r="AB7" s="530"/>
      <c r="AC7" s="530"/>
      <c r="AD7" s="530"/>
      <c r="AE7" s="530"/>
      <c r="AF7" s="530"/>
      <c r="AG7" s="530"/>
      <c r="AH7" s="530"/>
      <c r="AI7" s="530"/>
      <c r="AJ7" s="530"/>
      <c r="AK7" s="530"/>
      <c r="AL7" s="530"/>
      <c r="AM7" s="530"/>
      <c r="AN7" s="530"/>
      <c r="AO7" s="530"/>
      <c r="AP7" s="530"/>
      <c r="AQ7" s="530"/>
      <c r="AR7" s="530"/>
      <c r="AS7" s="530"/>
      <c r="AT7" s="530"/>
      <c r="AU7" s="530"/>
      <c r="AV7" s="530"/>
      <c r="AW7" s="530"/>
      <c r="AX7" s="530"/>
      <c r="AY7" s="530"/>
      <c r="AZ7" s="530"/>
      <c r="BA7" s="530"/>
      <c r="BB7" s="530"/>
      <c r="BC7" s="530"/>
      <c r="BD7" s="530"/>
      <c r="BE7" s="530"/>
      <c r="BF7" s="530"/>
      <c r="BG7" s="530"/>
      <c r="BH7" s="530"/>
      <c r="BI7" s="530"/>
      <c r="BJ7" s="530"/>
      <c r="BK7" s="530"/>
      <c r="BL7" s="530"/>
      <c r="BM7" s="530"/>
      <c r="BN7" s="530"/>
      <c r="BO7" s="530"/>
      <c r="BP7" s="530"/>
      <c r="BQ7" s="530"/>
      <c r="BR7" s="530"/>
      <c r="BS7" s="530"/>
      <c r="BT7" s="530"/>
      <c r="BU7" s="530"/>
      <c r="BV7" s="530"/>
      <c r="BW7" s="530"/>
      <c r="BX7" s="530"/>
      <c r="BY7" s="530"/>
      <c r="BZ7" s="530"/>
      <c r="CA7" s="530"/>
      <c r="CB7" s="530"/>
      <c r="CC7" s="530"/>
      <c r="CD7" s="530"/>
      <c r="CE7" s="530"/>
      <c r="CF7" s="530"/>
      <c r="CG7" s="530"/>
      <c r="CH7" s="530"/>
      <c r="CI7" s="530"/>
      <c r="CJ7" s="530"/>
      <c r="CK7" s="530"/>
      <c r="CL7" s="530"/>
      <c r="CM7" s="530"/>
      <c r="CN7" s="530"/>
      <c r="CO7" s="530"/>
      <c r="CP7" s="530"/>
      <c r="CQ7" s="530"/>
      <c r="CR7" s="530"/>
      <c r="CS7" s="530"/>
      <c r="CT7" s="530"/>
      <c r="CU7" s="530"/>
      <c r="CV7" s="530"/>
      <c r="CW7" s="530"/>
      <c r="CX7" s="530"/>
      <c r="CY7" s="530"/>
      <c r="CZ7" s="530"/>
      <c r="DA7" s="530"/>
      <c r="DB7" s="530"/>
      <c r="DC7" s="530"/>
      <c r="DD7" s="530"/>
      <c r="DE7" s="530"/>
      <c r="DF7" s="530"/>
      <c r="DG7" s="530"/>
      <c r="DH7" s="530"/>
      <c r="DI7" s="530"/>
      <c r="DJ7" s="530"/>
      <c r="DK7" s="530"/>
      <c r="DL7" s="530"/>
      <c r="DM7" s="530"/>
      <c r="DN7" s="530"/>
      <c r="DO7" s="530"/>
      <c r="DP7" s="530"/>
      <c r="DQ7" s="530"/>
      <c r="DR7" s="530"/>
      <c r="DS7" s="530"/>
      <c r="DT7" s="530"/>
      <c r="DU7" s="530"/>
      <c r="DV7" s="530"/>
      <c r="DW7" s="530"/>
      <c r="DX7" s="530"/>
      <c r="DY7" s="530"/>
      <c r="DZ7" s="530"/>
      <c r="EA7" s="530"/>
      <c r="EB7" s="523" t="s">
        <v>557</v>
      </c>
    </row>
    <row r="8" spans="2:132" ht="19">
      <c r="B8" s="106" t="s">
        <v>1107</v>
      </c>
      <c r="C8" s="531">
        <f ca="1">I134</f>
        <v>1240859.0283729024</v>
      </c>
      <c r="D8" s="531">
        <f ca="1">I127</f>
        <v>13322411.009529933</v>
      </c>
      <c r="E8" s="532">
        <f ca="1">SUMIF(K5:EA5,"&gt;0")+(SUMIF(K5:EA5,"&lt;0"))</f>
        <v>14563270.037902832</v>
      </c>
      <c r="G8" s="520" t="s">
        <v>1136</v>
      </c>
      <c r="H8" s="533"/>
      <c r="I8" s="533"/>
      <c r="J8" s="521"/>
      <c r="K8" s="521"/>
      <c r="L8" s="521"/>
      <c r="M8" s="521"/>
      <c r="N8" s="521"/>
      <c r="O8" s="521"/>
      <c r="P8" s="521"/>
      <c r="Q8" s="521"/>
      <c r="R8" s="521"/>
      <c r="S8" s="521"/>
      <c r="T8" s="521"/>
      <c r="U8" s="521"/>
      <c r="V8" s="521"/>
      <c r="W8" s="521"/>
      <c r="X8" s="521"/>
      <c r="Y8" s="521"/>
      <c r="Z8" s="521"/>
      <c r="AA8" s="521"/>
      <c r="AB8" s="521"/>
      <c r="AC8" s="521"/>
      <c r="AD8" s="521"/>
      <c r="AE8" s="521"/>
      <c r="AF8" s="521"/>
      <c r="AG8" s="521"/>
      <c r="AH8" s="521"/>
      <c r="AI8" s="521"/>
      <c r="AJ8" s="521"/>
      <c r="AK8" s="521"/>
      <c r="AL8" s="521"/>
      <c r="AM8" s="521"/>
      <c r="AN8" s="521"/>
      <c r="AO8" s="521"/>
      <c r="AP8" s="521"/>
      <c r="AQ8" s="521"/>
      <c r="AR8" s="521"/>
      <c r="AS8" s="521"/>
      <c r="AT8" s="521"/>
      <c r="AU8" s="521"/>
      <c r="AV8" s="521"/>
      <c r="AW8" s="521"/>
      <c r="AX8" s="521"/>
      <c r="AY8" s="521"/>
      <c r="AZ8" s="521"/>
      <c r="BA8" s="521"/>
      <c r="BB8" s="521"/>
      <c r="BC8" s="521"/>
      <c r="BD8" s="521"/>
      <c r="BE8" s="521"/>
      <c r="BF8" s="521"/>
      <c r="BG8" s="521"/>
      <c r="BH8" s="521"/>
      <c r="BI8" s="521"/>
      <c r="BJ8" s="521"/>
      <c r="BK8" s="521"/>
      <c r="BL8" s="521"/>
      <c r="BM8" s="521"/>
      <c r="BN8" s="521"/>
      <c r="BO8" s="521"/>
      <c r="BP8" s="521"/>
      <c r="BQ8" s="521"/>
      <c r="BR8" s="521"/>
      <c r="BS8" s="521"/>
      <c r="BT8" s="521"/>
      <c r="BU8" s="521"/>
      <c r="BV8" s="521"/>
      <c r="BW8" s="521"/>
      <c r="BX8" s="521"/>
      <c r="BY8" s="521"/>
      <c r="BZ8" s="521"/>
      <c r="CA8" s="521"/>
      <c r="CB8" s="521"/>
      <c r="CC8" s="521"/>
      <c r="CD8" s="521"/>
      <c r="CE8" s="521"/>
      <c r="CF8" s="521"/>
      <c r="CG8" s="521"/>
      <c r="CH8" s="521"/>
      <c r="CI8" s="521"/>
      <c r="CJ8" s="521"/>
      <c r="CK8" s="521"/>
      <c r="CL8" s="521"/>
      <c r="CM8" s="521"/>
      <c r="CN8" s="521"/>
      <c r="CO8" s="521"/>
      <c r="CP8" s="521"/>
      <c r="CQ8" s="521"/>
      <c r="CR8" s="521"/>
      <c r="CS8" s="521"/>
      <c r="CT8" s="521"/>
      <c r="CU8" s="521"/>
      <c r="CV8" s="521"/>
      <c r="CW8" s="521"/>
      <c r="CX8" s="521"/>
      <c r="CY8" s="521"/>
      <c r="CZ8" s="521"/>
      <c r="DA8" s="521"/>
      <c r="DB8" s="521"/>
      <c r="DC8" s="521"/>
      <c r="DD8" s="521"/>
      <c r="DE8" s="521"/>
      <c r="DF8" s="521"/>
      <c r="DG8" s="521"/>
      <c r="DH8" s="521"/>
      <c r="DI8" s="521"/>
      <c r="DJ8" s="521"/>
      <c r="DK8" s="521"/>
      <c r="DL8" s="521"/>
      <c r="DM8" s="521"/>
      <c r="DN8" s="521"/>
      <c r="DO8" s="521"/>
      <c r="DP8" s="521"/>
      <c r="DQ8" s="521"/>
      <c r="DR8" s="521"/>
      <c r="DS8" s="521"/>
      <c r="DT8" s="521"/>
      <c r="DU8" s="521"/>
      <c r="DV8" s="521"/>
      <c r="DW8" s="521"/>
      <c r="DX8" s="521"/>
      <c r="DY8" s="521"/>
      <c r="DZ8" s="521"/>
      <c r="EA8" s="521"/>
      <c r="EB8" s="523" t="s">
        <v>557</v>
      </c>
    </row>
    <row r="9" spans="2:132" ht="19">
      <c r="B9" s="106" t="s">
        <v>1140</v>
      </c>
      <c r="C9" s="527" t="e">
        <f ca="1">H135</f>
        <v>#NUM!</v>
      </c>
      <c r="D9" s="527">
        <f ca="1">H128</f>
        <v>0.14791656136512762</v>
      </c>
      <c r="E9" s="528">
        <f ca="1">XIRR(K5:EA5,K2:EA2,)</f>
        <v>0.15896270871162421</v>
      </c>
      <c r="G9" s="518" t="s">
        <v>1141</v>
      </c>
      <c r="I9" s="534" t="s">
        <v>1142</v>
      </c>
      <c r="K9" s="526">
        <f>J13</f>
        <v>0</v>
      </c>
      <c r="L9" s="526">
        <f t="shared" ref="L9:BW9" ca="1" si="0">K13</f>
        <v>20296000</v>
      </c>
      <c r="M9" s="526">
        <f t="shared" ca="1" si="0"/>
        <v>20382700.954725057</v>
      </c>
      <c r="N9" s="526">
        <f t="shared" ca="1" si="0"/>
        <v>20467979.701708943</v>
      </c>
      <c r="O9" s="526">
        <f t="shared" ca="1" si="0"/>
        <v>20551810.809578549</v>
      </c>
      <c r="P9" s="526">
        <f t="shared" ca="1" si="0"/>
        <v>20634168.550230835</v>
      </c>
      <c r="Q9" s="526">
        <f t="shared" ca="1" si="0"/>
        <v>20715026.89584041</v>
      </c>
      <c r="R9" s="526">
        <f t="shared" ca="1" si="0"/>
        <v>20794359.5158391</v>
      </c>
      <c r="S9" s="526">
        <f t="shared" ca="1" si="0"/>
        <v>20872139.773867205</v>
      </c>
      <c r="T9" s="526">
        <f t="shared" ca="1" si="0"/>
        <v>20948340.724696223</v>
      </c>
      <c r="U9" s="526">
        <f t="shared" ca="1" si="0"/>
        <v>21022935.111122768</v>
      </c>
      <c r="V9" s="526">
        <f t="shared" ca="1" si="0"/>
        <v>21095895.360833455</v>
      </c>
      <c r="W9" s="526">
        <f t="shared" ca="1" si="0"/>
        <v>21167193.583240442</v>
      </c>
      <c r="X9" s="526">
        <f t="shared" ca="1" si="0"/>
        <v>21236801.56628741</v>
      </c>
      <c r="Y9" s="526">
        <f t="shared" ca="1" si="0"/>
        <v>21307014.552221969</v>
      </c>
      <c r="Z9" s="526">
        <f t="shared" ca="1" si="0"/>
        <v>21375642.378141206</v>
      </c>
      <c r="AA9" s="526">
        <f t="shared" ca="1" si="0"/>
        <v>21442658.997205146</v>
      </c>
      <c r="AB9" s="526">
        <f t="shared" ca="1" si="0"/>
        <v>21508038.071081713</v>
      </c>
      <c r="AC9" s="526">
        <f t="shared" ca="1" si="0"/>
        <v>21571752.967098635</v>
      </c>
      <c r="AD9" s="526">
        <f t="shared" ca="1" si="0"/>
        <v>21633776.755369358</v>
      </c>
      <c r="AE9" s="526">
        <f t="shared" ca="1" si="0"/>
        <v>21694082.205892768</v>
      </c>
      <c r="AF9" s="526">
        <f t="shared" ca="1" si="0"/>
        <v>21752641.785626456</v>
      </c>
      <c r="AG9" s="526">
        <f t="shared" ca="1" si="0"/>
        <v>21809427.655533321</v>
      </c>
      <c r="AH9" s="526">
        <f t="shared" ca="1" si="0"/>
        <v>21864411.667601254</v>
      </c>
      <c r="AI9" s="526">
        <f t="shared" ca="1" si="0"/>
        <v>21917565.361835692</v>
      </c>
      <c r="AJ9" s="526">
        <f t="shared" ca="1" si="0"/>
        <v>21968859.96322478</v>
      </c>
      <c r="AK9" s="526">
        <f t="shared" ca="1" si="0"/>
        <v>22021561.348866373</v>
      </c>
      <c r="AL9" s="526">
        <f t="shared" ca="1" si="0"/>
        <v>22073453.716795575</v>
      </c>
      <c r="AM9" s="526">
        <f t="shared" ca="1" si="0"/>
        <v>22124526.518238332</v>
      </c>
      <c r="AN9" s="526">
        <f t="shared" ca="1" si="0"/>
        <v>22174769.106644668</v>
      </c>
      <c r="AO9" s="526">
        <f t="shared" ca="1" si="0"/>
        <v>22224170.73686349</v>
      </c>
      <c r="AP9" s="526">
        <f t="shared" ca="1" si="0"/>
        <v>22272720.564310644</v>
      </c>
      <c r="AQ9" s="526">
        <f t="shared" ca="1" si="0"/>
        <v>22320407.644130178</v>
      </c>
      <c r="AR9" s="526">
        <f t="shared" ca="1" si="0"/>
        <v>22367220.930348791</v>
      </c>
      <c r="AS9" s="526">
        <f t="shared" ca="1" si="0"/>
        <v>22413149.275023364</v>
      </c>
      <c r="AT9" s="526">
        <f t="shared" ca="1" si="0"/>
        <v>22458181.427381542</v>
      </c>
      <c r="AU9" s="526">
        <f t="shared" ca="1" si="0"/>
        <v>22502306.032955322</v>
      </c>
      <c r="AV9" s="526">
        <f t="shared" ca="1" si="0"/>
        <v>22545511.632707566</v>
      </c>
      <c r="AW9" s="526">
        <f t="shared" ca="1" si="0"/>
        <v>22590051.624588989</v>
      </c>
      <c r="AX9" s="526">
        <f t="shared" ca="1" si="0"/>
        <v>22633667.436466116</v>
      </c>
      <c r="AY9" s="526">
        <f t="shared" ca="1" si="0"/>
        <v>22676347.434303969</v>
      </c>
      <c r="AZ9" s="526">
        <f t="shared" ca="1" si="0"/>
        <v>22718079.877081156</v>
      </c>
      <c r="BA9" s="526">
        <f t="shared" ca="1" si="0"/>
        <v>22758852.915889371</v>
      </c>
      <c r="BB9" s="526">
        <f t="shared" ca="1" si="0"/>
        <v>22798654.593025539</v>
      </c>
      <c r="BC9" s="526">
        <f t="shared" ca="1" si="0"/>
        <v>22837472.841076586</v>
      </c>
      <c r="BD9" s="526">
        <f t="shared" ca="1" si="0"/>
        <v>22875295.481996726</v>
      </c>
      <c r="BE9" s="526">
        <f t="shared" ca="1" si="0"/>
        <v>22912110.226177245</v>
      </c>
      <c r="BF9" s="526">
        <f t="shared" ca="1" si="0"/>
        <v>22947904.6715087</v>
      </c>
      <c r="BG9" s="526">
        <f t="shared" ca="1" si="0"/>
        <v>22982666.302435495</v>
      </c>
      <c r="BH9" s="526">
        <f t="shared" ca="1" si="0"/>
        <v>0</v>
      </c>
      <c r="BI9" s="526">
        <f t="shared" ca="1" si="0"/>
        <v>0</v>
      </c>
      <c r="BJ9" s="526">
        <f t="shared" ca="1" si="0"/>
        <v>0</v>
      </c>
      <c r="BK9" s="526">
        <f t="shared" ca="1" si="0"/>
        <v>0</v>
      </c>
      <c r="BL9" s="526">
        <f t="shared" ca="1" si="0"/>
        <v>0</v>
      </c>
      <c r="BM9" s="526">
        <f t="shared" ca="1" si="0"/>
        <v>0</v>
      </c>
      <c r="BN9" s="526">
        <f t="shared" ca="1" si="0"/>
        <v>0</v>
      </c>
      <c r="BO9" s="526">
        <f t="shared" ca="1" si="0"/>
        <v>0</v>
      </c>
      <c r="BP9" s="526">
        <f t="shared" ca="1" si="0"/>
        <v>0</v>
      </c>
      <c r="BQ9" s="526">
        <f t="shared" ca="1" si="0"/>
        <v>0</v>
      </c>
      <c r="BR9" s="526">
        <f t="shared" ca="1" si="0"/>
        <v>0</v>
      </c>
      <c r="BS9" s="526">
        <f t="shared" ca="1" si="0"/>
        <v>0</v>
      </c>
      <c r="BT9" s="526">
        <f t="shared" ca="1" si="0"/>
        <v>0</v>
      </c>
      <c r="BU9" s="526">
        <f t="shared" ca="1" si="0"/>
        <v>0</v>
      </c>
      <c r="BV9" s="526">
        <f t="shared" ca="1" si="0"/>
        <v>0</v>
      </c>
      <c r="BW9" s="526">
        <f t="shared" ca="1" si="0"/>
        <v>0</v>
      </c>
      <c r="BX9" s="526">
        <f t="shared" ref="BX9:DV9" ca="1" si="1">BW13</f>
        <v>0</v>
      </c>
      <c r="BY9" s="526">
        <f t="shared" ca="1" si="1"/>
        <v>0</v>
      </c>
      <c r="BZ9" s="526">
        <f t="shared" ca="1" si="1"/>
        <v>0</v>
      </c>
      <c r="CA9" s="526">
        <f t="shared" ca="1" si="1"/>
        <v>0</v>
      </c>
      <c r="CB9" s="526">
        <f t="shared" ca="1" si="1"/>
        <v>0</v>
      </c>
      <c r="CC9" s="526">
        <f t="shared" ca="1" si="1"/>
        <v>0</v>
      </c>
      <c r="CD9" s="526">
        <f t="shared" ca="1" si="1"/>
        <v>0</v>
      </c>
      <c r="CE9" s="526">
        <f t="shared" ca="1" si="1"/>
        <v>0</v>
      </c>
      <c r="CF9" s="526">
        <f t="shared" ca="1" si="1"/>
        <v>0</v>
      </c>
      <c r="CG9" s="526">
        <f t="shared" ca="1" si="1"/>
        <v>0</v>
      </c>
      <c r="CH9" s="526">
        <f t="shared" ca="1" si="1"/>
        <v>0</v>
      </c>
      <c r="CI9" s="526">
        <f t="shared" ca="1" si="1"/>
        <v>0</v>
      </c>
      <c r="CJ9" s="526">
        <f t="shared" ca="1" si="1"/>
        <v>0</v>
      </c>
      <c r="CK9" s="526">
        <f t="shared" ca="1" si="1"/>
        <v>0</v>
      </c>
      <c r="CL9" s="526">
        <f t="shared" ca="1" si="1"/>
        <v>0</v>
      </c>
      <c r="CM9" s="526">
        <f t="shared" ca="1" si="1"/>
        <v>0</v>
      </c>
      <c r="CN9" s="526">
        <f t="shared" ca="1" si="1"/>
        <v>0</v>
      </c>
      <c r="CO9" s="526">
        <f t="shared" ca="1" si="1"/>
        <v>0</v>
      </c>
      <c r="CP9" s="526">
        <f t="shared" ca="1" si="1"/>
        <v>0</v>
      </c>
      <c r="CQ9" s="526">
        <f t="shared" ca="1" si="1"/>
        <v>0</v>
      </c>
      <c r="CR9" s="526">
        <f t="shared" ca="1" si="1"/>
        <v>0</v>
      </c>
      <c r="CS9" s="526">
        <f t="shared" ca="1" si="1"/>
        <v>0</v>
      </c>
      <c r="CT9" s="526">
        <f t="shared" ca="1" si="1"/>
        <v>0</v>
      </c>
      <c r="CU9" s="526">
        <f t="shared" ca="1" si="1"/>
        <v>0</v>
      </c>
      <c r="CV9" s="526">
        <f t="shared" ca="1" si="1"/>
        <v>0</v>
      </c>
      <c r="CW9" s="526">
        <f t="shared" ca="1" si="1"/>
        <v>0</v>
      </c>
      <c r="CX9" s="526">
        <f t="shared" ca="1" si="1"/>
        <v>0</v>
      </c>
      <c r="CY9" s="526">
        <f t="shared" ca="1" si="1"/>
        <v>0</v>
      </c>
      <c r="CZ9" s="526">
        <f t="shared" ca="1" si="1"/>
        <v>0</v>
      </c>
      <c r="DA9" s="526">
        <f t="shared" ca="1" si="1"/>
        <v>0</v>
      </c>
      <c r="DB9" s="526">
        <f t="shared" ca="1" si="1"/>
        <v>0</v>
      </c>
      <c r="DC9" s="526">
        <f t="shared" ca="1" si="1"/>
        <v>0</v>
      </c>
      <c r="DD9" s="526">
        <f t="shared" ca="1" si="1"/>
        <v>0</v>
      </c>
      <c r="DE9" s="526">
        <f t="shared" ca="1" si="1"/>
        <v>0</v>
      </c>
      <c r="DF9" s="526">
        <f t="shared" ca="1" si="1"/>
        <v>0</v>
      </c>
      <c r="DG9" s="526">
        <f t="shared" ca="1" si="1"/>
        <v>0</v>
      </c>
      <c r="DH9" s="526">
        <f t="shared" ca="1" si="1"/>
        <v>0</v>
      </c>
      <c r="DI9" s="526">
        <f t="shared" ca="1" si="1"/>
        <v>0</v>
      </c>
      <c r="DJ9" s="526">
        <f t="shared" ca="1" si="1"/>
        <v>0</v>
      </c>
      <c r="DK9" s="526">
        <f t="shared" ca="1" si="1"/>
        <v>0</v>
      </c>
      <c r="DL9" s="526">
        <f t="shared" ca="1" si="1"/>
        <v>0</v>
      </c>
      <c r="DM9" s="526">
        <f t="shared" ca="1" si="1"/>
        <v>0</v>
      </c>
      <c r="DN9" s="526">
        <f t="shared" ca="1" si="1"/>
        <v>0</v>
      </c>
      <c r="DO9" s="526">
        <f t="shared" ca="1" si="1"/>
        <v>0</v>
      </c>
      <c r="DP9" s="526">
        <f t="shared" ca="1" si="1"/>
        <v>0</v>
      </c>
      <c r="DQ9" s="526">
        <f t="shared" ca="1" si="1"/>
        <v>0</v>
      </c>
      <c r="DR9" s="526">
        <f t="shared" ca="1" si="1"/>
        <v>0</v>
      </c>
      <c r="DS9" s="526">
        <f t="shared" ca="1" si="1"/>
        <v>0</v>
      </c>
      <c r="DT9" s="526">
        <f t="shared" ca="1" si="1"/>
        <v>0</v>
      </c>
      <c r="DU9" s="526">
        <f t="shared" ca="1" si="1"/>
        <v>0</v>
      </c>
      <c r="DV9" s="526">
        <f t="shared" ca="1" si="1"/>
        <v>0</v>
      </c>
      <c r="DW9" s="526">
        <f ca="1">DV13</f>
        <v>0</v>
      </c>
      <c r="DX9" s="526">
        <f ca="1">DW13</f>
        <v>0</v>
      </c>
      <c r="DY9" s="526">
        <f ca="1">DX13</f>
        <v>0</v>
      </c>
      <c r="DZ9" s="526">
        <f ca="1">DY13</f>
        <v>0</v>
      </c>
      <c r="EA9" s="526">
        <f ca="1">DZ13</f>
        <v>0</v>
      </c>
      <c r="EB9" s="523" t="s">
        <v>557</v>
      </c>
    </row>
    <row r="10" spans="2:132" ht="19.5" thickBot="1">
      <c r="B10" s="141" t="s">
        <v>1143</v>
      </c>
      <c r="C10" s="535" t="e">
        <f ca="1">H136</f>
        <v>#DIV/0!</v>
      </c>
      <c r="D10" s="535">
        <f ca="1">H129</f>
        <v>1.6564057454439265</v>
      </c>
      <c r="E10" s="536">
        <f ca="1">SUMIF(K5:EA5,"&gt;0")/-SUMIF(K5:EA5,"&lt;0")</f>
        <v>1.7175438528726268</v>
      </c>
      <c r="G10" s="518" t="s">
        <v>1144</v>
      </c>
      <c r="H10" s="537">
        <f>E14</f>
        <v>0.1</v>
      </c>
      <c r="I10" s="538">
        <f>((H10+1)^(1/12)-1)</f>
        <v>7.9741404289037643E-3</v>
      </c>
      <c r="K10" s="526">
        <f>K9*$I10</f>
        <v>0</v>
      </c>
      <c r="L10" s="526">
        <f t="shared" ref="L10:BW10" ca="1" si="2">L9*$I10</f>
        <v>161843.1541450308</v>
      </c>
      <c r="M10" s="526">
        <f t="shared" ca="1" si="2"/>
        <v>162534.51973332843</v>
      </c>
      <c r="N10" s="526">
        <f t="shared" ca="1" si="2"/>
        <v>163214.54443737888</v>
      </c>
      <c r="O10" s="526">
        <f t="shared" ca="1" si="2"/>
        <v>163883.02546384171</v>
      </c>
      <c r="P10" s="526">
        <f t="shared" ca="1" si="2"/>
        <v>164539.75765321028</v>
      </c>
      <c r="Q10" s="526">
        <f t="shared" ca="1" si="2"/>
        <v>165184.53345594986</v>
      </c>
      <c r="R10" s="526">
        <f t="shared" ca="1" si="2"/>
        <v>165817.14290841226</v>
      </c>
      <c r="S10" s="526">
        <f t="shared" ca="1" si="2"/>
        <v>166437.37360852474</v>
      </c>
      <c r="T10" s="526">
        <f t="shared" ca="1" si="2"/>
        <v>167045.01069125134</v>
      </c>
      <c r="U10" s="526">
        <f t="shared" ca="1" si="2"/>
        <v>167639.83680382452</v>
      </c>
      <c r="V10" s="526">
        <f t="shared" ca="1" si="2"/>
        <v>168221.63208074542</v>
      </c>
      <c r="W10" s="526">
        <f t="shared" ca="1" si="2"/>
        <v>168790.17411854994</v>
      </c>
      <c r="X10" s="526">
        <f t="shared" ca="1" si="2"/>
        <v>169345.23795033921</v>
      </c>
      <c r="Y10" s="526">
        <f t="shared" ca="1" si="2"/>
        <v>169905.12616011404</v>
      </c>
      <c r="Z10" s="526">
        <f t="shared" ca="1" si="2"/>
        <v>170452.37408132441</v>
      </c>
      <c r="AA10" s="526">
        <f t="shared" ca="1" si="2"/>
        <v>170986.77401281061</v>
      </c>
      <c r="AB10" s="526">
        <f t="shared" ca="1" si="2"/>
        <v>171508.11592901402</v>
      </c>
      <c r="AC10" s="526">
        <f t="shared" ca="1" si="2"/>
        <v>172016.18745726594</v>
      </c>
      <c r="AD10" s="526">
        <f t="shared" ca="1" si="2"/>
        <v>172510.7738548693</v>
      </c>
      <c r="AE10" s="526">
        <f t="shared" ca="1" si="2"/>
        <v>172991.65798597128</v>
      </c>
      <c r="AF10" s="526">
        <f t="shared" ca="1" si="2"/>
        <v>173458.62029822529</v>
      </c>
      <c r="AG10" s="526">
        <f t="shared" ca="1" si="2"/>
        <v>173911.4387992401</v>
      </c>
      <c r="AH10" s="526">
        <f t="shared" ca="1" si="2"/>
        <v>174349.88903281433</v>
      </c>
      <c r="AI10" s="526">
        <f t="shared" ca="1" si="2"/>
        <v>174773.74405495476</v>
      </c>
      <c r="AJ10" s="526">
        <f t="shared" ca="1" si="2"/>
        <v>175182.77440967597</v>
      </c>
      <c r="AK10" s="526">
        <f t="shared" ca="1" si="2"/>
        <v>175603.02265957987</v>
      </c>
      <c r="AL10" s="526">
        <f t="shared" ca="1" si="2"/>
        <v>176016.81968863565</v>
      </c>
      <c r="AM10" s="526">
        <f t="shared" ca="1" si="2"/>
        <v>176424.08137943773</v>
      </c>
      <c r="AN10" s="526">
        <f t="shared" ca="1" si="2"/>
        <v>176824.72283490145</v>
      </c>
      <c r="AO10" s="526">
        <f t="shared" ca="1" si="2"/>
        <v>177218.65837168312</v>
      </c>
      <c r="AP10" s="526">
        <f t="shared" ca="1" si="2"/>
        <v>177605.80151354577</v>
      </c>
      <c r="AQ10" s="526">
        <f t="shared" ca="1" si="2"/>
        <v>177986.06498467107</v>
      </c>
      <c r="AR10" s="526">
        <f t="shared" ca="1" si="2"/>
        <v>178359.36070291678</v>
      </c>
      <c r="AS10" s="526">
        <f t="shared" ca="1" si="2"/>
        <v>178725.59977301891</v>
      </c>
      <c r="AT10" s="526">
        <f t="shared" ca="1" si="2"/>
        <v>179084.69247973879</v>
      </c>
      <c r="AU10" s="526">
        <f t="shared" ca="1" si="2"/>
        <v>179436.54828095413</v>
      </c>
      <c r="AV10" s="526">
        <f t="shared" ca="1" si="2"/>
        <v>179781.07580069351</v>
      </c>
      <c r="AW10" s="526">
        <f t="shared" ca="1" si="2"/>
        <v>180136.24395065822</v>
      </c>
      <c r="AX10" s="526">
        <f t="shared" ca="1" si="2"/>
        <v>180484.04255948708</v>
      </c>
      <c r="AY10" s="526">
        <f t="shared" ca="1" si="2"/>
        <v>180824.37885575142</v>
      </c>
      <c r="AZ10" s="526">
        <f t="shared" ca="1" si="2"/>
        <v>181157.1592148979</v>
      </c>
      <c r="BA10" s="526">
        <f t="shared" ca="1" si="2"/>
        <v>181482.28915206777</v>
      </c>
      <c r="BB10" s="526">
        <f t="shared" ca="1" si="2"/>
        <v>181799.67331485744</v>
      </c>
      <c r="BC10" s="526">
        <f t="shared" ca="1" si="2"/>
        <v>182109.21547602053</v>
      </c>
      <c r="BD10" s="526">
        <f t="shared" ca="1" si="2"/>
        <v>182410.81852610971</v>
      </c>
      <c r="BE10" s="526">
        <f t="shared" ca="1" si="2"/>
        <v>182704.38446605933</v>
      </c>
      <c r="BF10" s="526">
        <f t="shared" ca="1" si="2"/>
        <v>182989.81439970707</v>
      </c>
      <c r="BG10" s="526">
        <f t="shared" ca="1" si="2"/>
        <v>183267.00852625506</v>
      </c>
      <c r="BH10" s="526">
        <f t="shared" ca="1" si="2"/>
        <v>0</v>
      </c>
      <c r="BI10" s="526">
        <f t="shared" ca="1" si="2"/>
        <v>0</v>
      </c>
      <c r="BJ10" s="526">
        <f t="shared" ca="1" si="2"/>
        <v>0</v>
      </c>
      <c r="BK10" s="526">
        <f t="shared" ca="1" si="2"/>
        <v>0</v>
      </c>
      <c r="BL10" s="526">
        <f t="shared" ca="1" si="2"/>
        <v>0</v>
      </c>
      <c r="BM10" s="526">
        <f t="shared" ca="1" si="2"/>
        <v>0</v>
      </c>
      <c r="BN10" s="526">
        <f t="shared" ca="1" si="2"/>
        <v>0</v>
      </c>
      <c r="BO10" s="526">
        <f t="shared" ca="1" si="2"/>
        <v>0</v>
      </c>
      <c r="BP10" s="526">
        <f t="shared" ca="1" si="2"/>
        <v>0</v>
      </c>
      <c r="BQ10" s="526">
        <f t="shared" ca="1" si="2"/>
        <v>0</v>
      </c>
      <c r="BR10" s="526">
        <f t="shared" ca="1" si="2"/>
        <v>0</v>
      </c>
      <c r="BS10" s="526">
        <f t="shared" ca="1" si="2"/>
        <v>0</v>
      </c>
      <c r="BT10" s="526">
        <f t="shared" ca="1" si="2"/>
        <v>0</v>
      </c>
      <c r="BU10" s="526">
        <f t="shared" ca="1" si="2"/>
        <v>0</v>
      </c>
      <c r="BV10" s="526">
        <f t="shared" ca="1" si="2"/>
        <v>0</v>
      </c>
      <c r="BW10" s="526">
        <f t="shared" ca="1" si="2"/>
        <v>0</v>
      </c>
      <c r="BX10" s="526">
        <f t="shared" ref="BX10:EA10" ca="1" si="3">BX9*$I10</f>
        <v>0</v>
      </c>
      <c r="BY10" s="526">
        <f t="shared" ca="1" si="3"/>
        <v>0</v>
      </c>
      <c r="BZ10" s="526">
        <f t="shared" ca="1" si="3"/>
        <v>0</v>
      </c>
      <c r="CA10" s="526">
        <f t="shared" ca="1" si="3"/>
        <v>0</v>
      </c>
      <c r="CB10" s="526">
        <f t="shared" ca="1" si="3"/>
        <v>0</v>
      </c>
      <c r="CC10" s="526">
        <f t="shared" ca="1" si="3"/>
        <v>0</v>
      </c>
      <c r="CD10" s="526">
        <f t="shared" ca="1" si="3"/>
        <v>0</v>
      </c>
      <c r="CE10" s="526">
        <f t="shared" ca="1" si="3"/>
        <v>0</v>
      </c>
      <c r="CF10" s="526">
        <f t="shared" ca="1" si="3"/>
        <v>0</v>
      </c>
      <c r="CG10" s="526">
        <f t="shared" ca="1" si="3"/>
        <v>0</v>
      </c>
      <c r="CH10" s="526">
        <f t="shared" ca="1" si="3"/>
        <v>0</v>
      </c>
      <c r="CI10" s="526">
        <f t="shared" ca="1" si="3"/>
        <v>0</v>
      </c>
      <c r="CJ10" s="526">
        <f t="shared" ca="1" si="3"/>
        <v>0</v>
      </c>
      <c r="CK10" s="526">
        <f t="shared" ca="1" si="3"/>
        <v>0</v>
      </c>
      <c r="CL10" s="526">
        <f t="shared" ca="1" si="3"/>
        <v>0</v>
      </c>
      <c r="CM10" s="526">
        <f t="shared" ca="1" si="3"/>
        <v>0</v>
      </c>
      <c r="CN10" s="526">
        <f t="shared" ca="1" si="3"/>
        <v>0</v>
      </c>
      <c r="CO10" s="526">
        <f t="shared" ca="1" si="3"/>
        <v>0</v>
      </c>
      <c r="CP10" s="526">
        <f t="shared" ca="1" si="3"/>
        <v>0</v>
      </c>
      <c r="CQ10" s="526">
        <f t="shared" ca="1" si="3"/>
        <v>0</v>
      </c>
      <c r="CR10" s="526">
        <f t="shared" ca="1" si="3"/>
        <v>0</v>
      </c>
      <c r="CS10" s="526">
        <f t="shared" ca="1" si="3"/>
        <v>0</v>
      </c>
      <c r="CT10" s="526">
        <f t="shared" ca="1" si="3"/>
        <v>0</v>
      </c>
      <c r="CU10" s="526">
        <f t="shared" ca="1" si="3"/>
        <v>0</v>
      </c>
      <c r="CV10" s="526">
        <f t="shared" ca="1" si="3"/>
        <v>0</v>
      </c>
      <c r="CW10" s="526">
        <f t="shared" ca="1" si="3"/>
        <v>0</v>
      </c>
      <c r="CX10" s="526">
        <f t="shared" ca="1" si="3"/>
        <v>0</v>
      </c>
      <c r="CY10" s="526">
        <f t="shared" ca="1" si="3"/>
        <v>0</v>
      </c>
      <c r="CZ10" s="526">
        <f t="shared" ca="1" si="3"/>
        <v>0</v>
      </c>
      <c r="DA10" s="526">
        <f t="shared" ca="1" si="3"/>
        <v>0</v>
      </c>
      <c r="DB10" s="526">
        <f t="shared" ca="1" si="3"/>
        <v>0</v>
      </c>
      <c r="DC10" s="526">
        <f t="shared" ca="1" si="3"/>
        <v>0</v>
      </c>
      <c r="DD10" s="526">
        <f t="shared" ca="1" si="3"/>
        <v>0</v>
      </c>
      <c r="DE10" s="526">
        <f t="shared" ca="1" si="3"/>
        <v>0</v>
      </c>
      <c r="DF10" s="526">
        <f t="shared" ca="1" si="3"/>
        <v>0</v>
      </c>
      <c r="DG10" s="526">
        <f t="shared" ca="1" si="3"/>
        <v>0</v>
      </c>
      <c r="DH10" s="526">
        <f t="shared" ca="1" si="3"/>
        <v>0</v>
      </c>
      <c r="DI10" s="526">
        <f t="shared" ca="1" si="3"/>
        <v>0</v>
      </c>
      <c r="DJ10" s="526">
        <f t="shared" ca="1" si="3"/>
        <v>0</v>
      </c>
      <c r="DK10" s="526">
        <f t="shared" ca="1" si="3"/>
        <v>0</v>
      </c>
      <c r="DL10" s="526">
        <f t="shared" ca="1" si="3"/>
        <v>0</v>
      </c>
      <c r="DM10" s="526">
        <f t="shared" ca="1" si="3"/>
        <v>0</v>
      </c>
      <c r="DN10" s="526">
        <f t="shared" ca="1" si="3"/>
        <v>0</v>
      </c>
      <c r="DO10" s="526">
        <f t="shared" ca="1" si="3"/>
        <v>0</v>
      </c>
      <c r="DP10" s="526">
        <f t="shared" ca="1" si="3"/>
        <v>0</v>
      </c>
      <c r="DQ10" s="526">
        <f t="shared" ca="1" si="3"/>
        <v>0</v>
      </c>
      <c r="DR10" s="526">
        <f t="shared" ca="1" si="3"/>
        <v>0</v>
      </c>
      <c r="DS10" s="526">
        <f t="shared" ca="1" si="3"/>
        <v>0</v>
      </c>
      <c r="DT10" s="526">
        <f t="shared" ca="1" si="3"/>
        <v>0</v>
      </c>
      <c r="DU10" s="526">
        <f t="shared" ca="1" si="3"/>
        <v>0</v>
      </c>
      <c r="DV10" s="526">
        <f t="shared" ca="1" si="3"/>
        <v>0</v>
      </c>
      <c r="DW10" s="526">
        <f t="shared" ca="1" si="3"/>
        <v>0</v>
      </c>
      <c r="DX10" s="526">
        <f t="shared" ca="1" si="3"/>
        <v>0</v>
      </c>
      <c r="DY10" s="526">
        <f t="shared" ca="1" si="3"/>
        <v>0</v>
      </c>
      <c r="DZ10" s="526">
        <f t="shared" ca="1" si="3"/>
        <v>0</v>
      </c>
      <c r="EA10" s="526">
        <f t="shared" ca="1" si="3"/>
        <v>0</v>
      </c>
      <c r="EB10" s="523" t="s">
        <v>557</v>
      </c>
    </row>
    <row r="11" spans="2:132">
      <c r="G11" s="518" t="s">
        <v>1145</v>
      </c>
      <c r="H11" s="539">
        <f>D7</f>
        <v>1</v>
      </c>
      <c r="I11" s="540"/>
      <c r="K11" s="526">
        <f ca="1">-MIN(K5,0)*$H11</f>
        <v>20296000</v>
      </c>
      <c r="L11" s="526">
        <f t="shared" ref="L11:BW11" si="4">-MIN(L5,0)*$H11</f>
        <v>0</v>
      </c>
      <c r="M11" s="526">
        <f t="shared" si="4"/>
        <v>0</v>
      </c>
      <c r="N11" s="526">
        <f t="shared" si="4"/>
        <v>0</v>
      </c>
      <c r="O11" s="526">
        <f t="shared" si="4"/>
        <v>0</v>
      </c>
      <c r="P11" s="526">
        <f t="shared" si="4"/>
        <v>0</v>
      </c>
      <c r="Q11" s="526">
        <f t="shared" si="4"/>
        <v>0</v>
      </c>
      <c r="R11" s="526">
        <f t="shared" si="4"/>
        <v>0</v>
      </c>
      <c r="S11" s="526">
        <f t="shared" si="4"/>
        <v>0</v>
      </c>
      <c r="T11" s="526">
        <f t="shared" si="4"/>
        <v>0</v>
      </c>
      <c r="U11" s="526">
        <f t="shared" si="4"/>
        <v>0</v>
      </c>
      <c r="V11" s="526">
        <f t="shared" si="4"/>
        <v>0</v>
      </c>
      <c r="W11" s="526">
        <f t="shared" si="4"/>
        <v>0</v>
      </c>
      <c r="X11" s="526">
        <f t="shared" si="4"/>
        <v>0</v>
      </c>
      <c r="Y11" s="526">
        <f t="shared" si="4"/>
        <v>0</v>
      </c>
      <c r="Z11" s="526">
        <f t="shared" si="4"/>
        <v>0</v>
      </c>
      <c r="AA11" s="526">
        <f t="shared" si="4"/>
        <v>0</v>
      </c>
      <c r="AB11" s="526">
        <f t="shared" si="4"/>
        <v>0</v>
      </c>
      <c r="AC11" s="526">
        <f t="shared" si="4"/>
        <v>0</v>
      </c>
      <c r="AD11" s="526">
        <f t="shared" si="4"/>
        <v>0</v>
      </c>
      <c r="AE11" s="526">
        <f t="shared" si="4"/>
        <v>0</v>
      </c>
      <c r="AF11" s="526">
        <f t="shared" si="4"/>
        <v>0</v>
      </c>
      <c r="AG11" s="526">
        <f t="shared" si="4"/>
        <v>0</v>
      </c>
      <c r="AH11" s="526">
        <f t="shared" si="4"/>
        <v>0</v>
      </c>
      <c r="AI11" s="526">
        <f t="shared" si="4"/>
        <v>0</v>
      </c>
      <c r="AJ11" s="526">
        <f t="shared" si="4"/>
        <v>0</v>
      </c>
      <c r="AK11" s="526">
        <f t="shared" si="4"/>
        <v>0</v>
      </c>
      <c r="AL11" s="526">
        <f t="shared" si="4"/>
        <v>0</v>
      </c>
      <c r="AM11" s="526">
        <f t="shared" si="4"/>
        <v>0</v>
      </c>
      <c r="AN11" s="526">
        <f t="shared" si="4"/>
        <v>0</v>
      </c>
      <c r="AO11" s="526">
        <f t="shared" si="4"/>
        <v>0</v>
      </c>
      <c r="AP11" s="526">
        <f t="shared" si="4"/>
        <v>0</v>
      </c>
      <c r="AQ11" s="526">
        <f t="shared" si="4"/>
        <v>0</v>
      </c>
      <c r="AR11" s="526">
        <f t="shared" si="4"/>
        <v>0</v>
      </c>
      <c r="AS11" s="526">
        <f t="shared" si="4"/>
        <v>0</v>
      </c>
      <c r="AT11" s="526">
        <f t="shared" si="4"/>
        <v>0</v>
      </c>
      <c r="AU11" s="526">
        <f t="shared" si="4"/>
        <v>0</v>
      </c>
      <c r="AV11" s="526">
        <f t="shared" si="4"/>
        <v>0</v>
      </c>
      <c r="AW11" s="526">
        <f t="shared" si="4"/>
        <v>0</v>
      </c>
      <c r="AX11" s="526">
        <f t="shared" si="4"/>
        <v>0</v>
      </c>
      <c r="AY11" s="526">
        <f t="shared" si="4"/>
        <v>0</v>
      </c>
      <c r="AZ11" s="526">
        <f t="shared" si="4"/>
        <v>0</v>
      </c>
      <c r="BA11" s="526">
        <f t="shared" si="4"/>
        <v>0</v>
      </c>
      <c r="BB11" s="526">
        <f t="shared" si="4"/>
        <v>0</v>
      </c>
      <c r="BC11" s="526">
        <f t="shared" si="4"/>
        <v>0</v>
      </c>
      <c r="BD11" s="526">
        <f t="shared" si="4"/>
        <v>0</v>
      </c>
      <c r="BE11" s="526">
        <f t="shared" si="4"/>
        <v>0</v>
      </c>
      <c r="BF11" s="526">
        <f t="shared" si="4"/>
        <v>0</v>
      </c>
      <c r="BG11" s="526">
        <f t="shared" si="4"/>
        <v>0</v>
      </c>
      <c r="BH11" s="526">
        <f t="shared" si="4"/>
        <v>0</v>
      </c>
      <c r="BI11" s="526">
        <f t="shared" si="4"/>
        <v>0</v>
      </c>
      <c r="BJ11" s="526">
        <f t="shared" si="4"/>
        <v>0</v>
      </c>
      <c r="BK11" s="526">
        <f t="shared" si="4"/>
        <v>0</v>
      </c>
      <c r="BL11" s="526">
        <f t="shared" si="4"/>
        <v>0</v>
      </c>
      <c r="BM11" s="526">
        <f t="shared" si="4"/>
        <v>0</v>
      </c>
      <c r="BN11" s="526">
        <f t="shared" si="4"/>
        <v>0</v>
      </c>
      <c r="BO11" s="526">
        <f t="shared" si="4"/>
        <v>0</v>
      </c>
      <c r="BP11" s="526">
        <f t="shared" si="4"/>
        <v>0</v>
      </c>
      <c r="BQ11" s="526">
        <f t="shared" si="4"/>
        <v>0</v>
      </c>
      <c r="BR11" s="526">
        <f t="shared" si="4"/>
        <v>0</v>
      </c>
      <c r="BS11" s="526">
        <f t="shared" si="4"/>
        <v>0</v>
      </c>
      <c r="BT11" s="526">
        <f t="shared" si="4"/>
        <v>0</v>
      </c>
      <c r="BU11" s="526">
        <f t="shared" si="4"/>
        <v>0</v>
      </c>
      <c r="BV11" s="526">
        <f t="shared" si="4"/>
        <v>0</v>
      </c>
      <c r="BW11" s="526">
        <f t="shared" si="4"/>
        <v>0</v>
      </c>
      <c r="BX11" s="526">
        <f t="shared" ref="BX11:EA11" si="5">-MIN(BX5,0)*$H11</f>
        <v>0</v>
      </c>
      <c r="BY11" s="526">
        <f t="shared" si="5"/>
        <v>0</v>
      </c>
      <c r="BZ11" s="526">
        <f t="shared" si="5"/>
        <v>0</v>
      </c>
      <c r="CA11" s="526">
        <f t="shared" si="5"/>
        <v>0</v>
      </c>
      <c r="CB11" s="526">
        <f t="shared" si="5"/>
        <v>0</v>
      </c>
      <c r="CC11" s="526">
        <f t="shared" si="5"/>
        <v>0</v>
      </c>
      <c r="CD11" s="526">
        <f t="shared" si="5"/>
        <v>0</v>
      </c>
      <c r="CE11" s="526">
        <f t="shared" si="5"/>
        <v>0</v>
      </c>
      <c r="CF11" s="526">
        <f t="shared" si="5"/>
        <v>0</v>
      </c>
      <c r="CG11" s="526">
        <f t="shared" si="5"/>
        <v>0</v>
      </c>
      <c r="CH11" s="526">
        <f t="shared" si="5"/>
        <v>0</v>
      </c>
      <c r="CI11" s="526">
        <f t="shared" si="5"/>
        <v>0</v>
      </c>
      <c r="CJ11" s="526">
        <f t="shared" si="5"/>
        <v>0</v>
      </c>
      <c r="CK11" s="526">
        <f t="shared" si="5"/>
        <v>0</v>
      </c>
      <c r="CL11" s="526">
        <f t="shared" si="5"/>
        <v>0</v>
      </c>
      <c r="CM11" s="526">
        <f t="shared" si="5"/>
        <v>0</v>
      </c>
      <c r="CN11" s="526">
        <f t="shared" si="5"/>
        <v>0</v>
      </c>
      <c r="CO11" s="526">
        <f t="shared" si="5"/>
        <v>0</v>
      </c>
      <c r="CP11" s="526">
        <f t="shared" si="5"/>
        <v>0</v>
      </c>
      <c r="CQ11" s="526">
        <f t="shared" si="5"/>
        <v>0</v>
      </c>
      <c r="CR11" s="526">
        <f t="shared" si="5"/>
        <v>0</v>
      </c>
      <c r="CS11" s="526">
        <f t="shared" si="5"/>
        <v>0</v>
      </c>
      <c r="CT11" s="526">
        <f t="shared" si="5"/>
        <v>0</v>
      </c>
      <c r="CU11" s="526">
        <f t="shared" si="5"/>
        <v>0</v>
      </c>
      <c r="CV11" s="526">
        <f t="shared" si="5"/>
        <v>0</v>
      </c>
      <c r="CW11" s="526">
        <f t="shared" si="5"/>
        <v>0</v>
      </c>
      <c r="CX11" s="526">
        <f t="shared" si="5"/>
        <v>0</v>
      </c>
      <c r="CY11" s="526">
        <f t="shared" si="5"/>
        <v>0</v>
      </c>
      <c r="CZ11" s="526">
        <f t="shared" si="5"/>
        <v>0</v>
      </c>
      <c r="DA11" s="526">
        <f t="shared" si="5"/>
        <v>0</v>
      </c>
      <c r="DB11" s="526">
        <f t="shared" si="5"/>
        <v>0</v>
      </c>
      <c r="DC11" s="526">
        <f t="shared" si="5"/>
        <v>0</v>
      </c>
      <c r="DD11" s="526">
        <f t="shared" si="5"/>
        <v>0</v>
      </c>
      <c r="DE11" s="526">
        <f t="shared" si="5"/>
        <v>0</v>
      </c>
      <c r="DF11" s="526">
        <f t="shared" si="5"/>
        <v>0</v>
      </c>
      <c r="DG11" s="526">
        <f t="shared" si="5"/>
        <v>0</v>
      </c>
      <c r="DH11" s="526">
        <f t="shared" si="5"/>
        <v>0</v>
      </c>
      <c r="DI11" s="526">
        <f t="shared" si="5"/>
        <v>0</v>
      </c>
      <c r="DJ11" s="526">
        <f t="shared" si="5"/>
        <v>0</v>
      </c>
      <c r="DK11" s="526">
        <f t="shared" si="5"/>
        <v>0</v>
      </c>
      <c r="DL11" s="526">
        <f t="shared" si="5"/>
        <v>0</v>
      </c>
      <c r="DM11" s="526">
        <f t="shared" si="5"/>
        <v>0</v>
      </c>
      <c r="DN11" s="526">
        <f t="shared" si="5"/>
        <v>0</v>
      </c>
      <c r="DO11" s="526">
        <f t="shared" si="5"/>
        <v>0</v>
      </c>
      <c r="DP11" s="526">
        <f t="shared" si="5"/>
        <v>0</v>
      </c>
      <c r="DQ11" s="526">
        <f t="shared" si="5"/>
        <v>0</v>
      </c>
      <c r="DR11" s="526">
        <f t="shared" si="5"/>
        <v>0</v>
      </c>
      <c r="DS11" s="526">
        <f t="shared" si="5"/>
        <v>0</v>
      </c>
      <c r="DT11" s="526">
        <f t="shared" si="5"/>
        <v>0</v>
      </c>
      <c r="DU11" s="526">
        <f t="shared" si="5"/>
        <v>0</v>
      </c>
      <c r="DV11" s="526">
        <f t="shared" si="5"/>
        <v>0</v>
      </c>
      <c r="DW11" s="526">
        <f t="shared" si="5"/>
        <v>0</v>
      </c>
      <c r="DX11" s="526">
        <f t="shared" si="5"/>
        <v>0</v>
      </c>
      <c r="DY11" s="526">
        <f t="shared" si="5"/>
        <v>0</v>
      </c>
      <c r="DZ11" s="526">
        <f t="shared" si="5"/>
        <v>0</v>
      </c>
      <c r="EA11" s="526">
        <f t="shared" si="5"/>
        <v>0</v>
      </c>
      <c r="EB11" s="523" t="s">
        <v>557</v>
      </c>
    </row>
    <row r="12" spans="2:132" ht="19">
      <c r="B12" s="173" t="s">
        <v>1146</v>
      </c>
      <c r="C12" s="173"/>
      <c r="D12" s="173"/>
      <c r="E12" s="175"/>
      <c r="G12" s="518" t="s">
        <v>1147</v>
      </c>
      <c r="H12" s="539">
        <f>D7</f>
        <v>1</v>
      </c>
      <c r="I12" s="540"/>
      <c r="K12" s="526">
        <f ca="1">MIN(MAX(K5,0)*$H12,K9+K10)</f>
        <v>0</v>
      </c>
      <c r="L12" s="526">
        <f t="shared" ref="L12:BW12" ca="1" si="6">MIN(MAX(L5,0)*$H12,L9+L10)</f>
        <v>75142.199419975848</v>
      </c>
      <c r="M12" s="526">
        <f t="shared" ca="1" si="6"/>
        <v>77255.772749442272</v>
      </c>
      <c r="N12" s="526">
        <f t="shared" ca="1" si="6"/>
        <v>79383.436567771874</v>
      </c>
      <c r="O12" s="526">
        <f t="shared" ca="1" si="6"/>
        <v>81525.284811557081</v>
      </c>
      <c r="P12" s="526">
        <f t="shared" ca="1" si="6"/>
        <v>83681.412043634118</v>
      </c>
      <c r="Q12" s="526">
        <f t="shared" ca="1" si="6"/>
        <v>85851.913457258299</v>
      </c>
      <c r="R12" s="526">
        <f t="shared" ca="1" si="6"/>
        <v>88036.884880306709</v>
      </c>
      <c r="S12" s="526">
        <f t="shared" ca="1" si="6"/>
        <v>90236.422779508677</v>
      </c>
      <c r="T12" s="526">
        <f t="shared" ca="1" si="6"/>
        <v>92450.624264705359</v>
      </c>
      <c r="U12" s="526">
        <f t="shared" ca="1" si="6"/>
        <v>94679.587093136754</v>
      </c>
      <c r="V12" s="526">
        <f t="shared" ca="1" si="6"/>
        <v>96923.409673757662</v>
      </c>
      <c r="W12" s="526">
        <f t="shared" ca="1" si="6"/>
        <v>99182.191071582594</v>
      </c>
      <c r="X12" s="526">
        <f t="shared" ca="1" si="6"/>
        <v>99132.252015780003</v>
      </c>
      <c r="Y12" s="526">
        <f t="shared" ca="1" si="6"/>
        <v>101277.30024087873</v>
      </c>
      <c r="Z12" s="526">
        <f t="shared" ca="1" si="6"/>
        <v>103435.75501738423</v>
      </c>
      <c r="AA12" s="526">
        <f t="shared" ca="1" si="6"/>
        <v>105607.70013624289</v>
      </c>
      <c r="AB12" s="526">
        <f t="shared" ca="1" si="6"/>
        <v>107793.2199120944</v>
      </c>
      <c r="AC12" s="526">
        <f t="shared" ca="1" si="6"/>
        <v>109992.39918654515</v>
      </c>
      <c r="AD12" s="526">
        <f t="shared" ca="1" si="6"/>
        <v>112205.32333146107</v>
      </c>
      <c r="AE12" s="526">
        <f t="shared" ca="1" si="6"/>
        <v>114432.07825228265</v>
      </c>
      <c r="AF12" s="526">
        <f t="shared" ca="1" si="6"/>
        <v>116672.75039135954</v>
      </c>
      <c r="AG12" s="526">
        <f t="shared" ca="1" si="6"/>
        <v>118927.4267313055</v>
      </c>
      <c r="AH12" s="526">
        <f t="shared" ca="1" si="6"/>
        <v>121196.19479837616</v>
      </c>
      <c r="AI12" s="526">
        <f t="shared" ca="1" si="6"/>
        <v>123479.14266586611</v>
      </c>
      <c r="AJ12" s="526">
        <f t="shared" ca="1" si="6"/>
        <v>122481.38876808564</v>
      </c>
      <c r="AK12" s="526">
        <f t="shared" ca="1" si="6"/>
        <v>123710.65473037933</v>
      </c>
      <c r="AL12" s="526">
        <f t="shared" ca="1" si="6"/>
        <v>124944.01824588062</v>
      </c>
      <c r="AM12" s="526">
        <f t="shared" ca="1" si="6"/>
        <v>126181.4929731002</v>
      </c>
      <c r="AN12" s="526">
        <f t="shared" ca="1" si="6"/>
        <v>127423.09261607715</v>
      </c>
      <c r="AO12" s="526">
        <f t="shared" ca="1" si="6"/>
        <v>128668.83092453091</v>
      </c>
      <c r="AP12" s="526">
        <f t="shared" ca="1" si="6"/>
        <v>129918.72169401268</v>
      </c>
      <c r="AQ12" s="526">
        <f t="shared" ca="1" si="6"/>
        <v>131172.77876605943</v>
      </c>
      <c r="AR12" s="526">
        <f t="shared" ca="1" si="6"/>
        <v>132431.01602834626</v>
      </c>
      <c r="AS12" s="526">
        <f t="shared" ca="1" si="6"/>
        <v>133693.44741484086</v>
      </c>
      <c r="AT12" s="526">
        <f t="shared" ca="1" si="6"/>
        <v>134960.08690595691</v>
      </c>
      <c r="AU12" s="526">
        <f t="shared" ca="1" si="6"/>
        <v>136230.94852871029</v>
      </c>
      <c r="AV12" s="526">
        <f t="shared" ca="1" si="6"/>
        <v>135241.08391927258</v>
      </c>
      <c r="AW12" s="526">
        <f t="shared" ca="1" si="6"/>
        <v>136520.43207352899</v>
      </c>
      <c r="AX12" s="526">
        <f t="shared" ca="1" si="6"/>
        <v>137804.04472163261</v>
      </c>
      <c r="AY12" s="526">
        <f t="shared" ca="1" si="6"/>
        <v>139091.93607856351</v>
      </c>
      <c r="AZ12" s="526">
        <f t="shared" ca="1" si="6"/>
        <v>140384.12040668412</v>
      </c>
      <c r="BA12" s="526">
        <f t="shared" ca="1" si="6"/>
        <v>141680.61201589828</v>
      </c>
      <c r="BB12" s="526">
        <f t="shared" ca="1" si="6"/>
        <v>142981.42526381009</v>
      </c>
      <c r="BC12" s="526">
        <f t="shared" ca="1" si="6"/>
        <v>144286.57455588144</v>
      </c>
      <c r="BD12" s="526">
        <f t="shared" ca="1" si="6"/>
        <v>145596.07434559317</v>
      </c>
      <c r="BE12" s="526">
        <f t="shared" ca="1" si="6"/>
        <v>146909.93913460377</v>
      </c>
      <c r="BF12" s="526">
        <f t="shared" ca="1" si="6"/>
        <v>148228.18347291125</v>
      </c>
      <c r="BG12" s="526">
        <f t="shared" ca="1" si="6"/>
        <v>23165933.310961749</v>
      </c>
      <c r="BH12" s="526">
        <f t="shared" ca="1" si="6"/>
        <v>0</v>
      </c>
      <c r="BI12" s="526">
        <f t="shared" ca="1" si="6"/>
        <v>0</v>
      </c>
      <c r="BJ12" s="526">
        <f t="shared" ca="1" si="6"/>
        <v>0</v>
      </c>
      <c r="BK12" s="526">
        <f t="shared" ca="1" si="6"/>
        <v>0</v>
      </c>
      <c r="BL12" s="526">
        <f t="shared" ca="1" si="6"/>
        <v>0</v>
      </c>
      <c r="BM12" s="526">
        <f t="shared" ca="1" si="6"/>
        <v>0</v>
      </c>
      <c r="BN12" s="526">
        <f t="shared" ca="1" si="6"/>
        <v>0</v>
      </c>
      <c r="BO12" s="526">
        <f t="shared" ca="1" si="6"/>
        <v>0</v>
      </c>
      <c r="BP12" s="526">
        <f t="shared" ca="1" si="6"/>
        <v>0</v>
      </c>
      <c r="BQ12" s="526">
        <f t="shared" ca="1" si="6"/>
        <v>0</v>
      </c>
      <c r="BR12" s="526">
        <f t="shared" ca="1" si="6"/>
        <v>0</v>
      </c>
      <c r="BS12" s="526">
        <f t="shared" ca="1" si="6"/>
        <v>0</v>
      </c>
      <c r="BT12" s="526">
        <f t="shared" ca="1" si="6"/>
        <v>0</v>
      </c>
      <c r="BU12" s="526">
        <f t="shared" ca="1" si="6"/>
        <v>0</v>
      </c>
      <c r="BV12" s="526">
        <f t="shared" ca="1" si="6"/>
        <v>0</v>
      </c>
      <c r="BW12" s="526">
        <f t="shared" ca="1" si="6"/>
        <v>0</v>
      </c>
      <c r="BX12" s="526">
        <f t="shared" ref="BX12:EA12" ca="1" si="7">MIN(MAX(BX5,0)*$H12,BX9+BX10)</f>
        <v>0</v>
      </c>
      <c r="BY12" s="526">
        <f t="shared" ca="1" si="7"/>
        <v>0</v>
      </c>
      <c r="BZ12" s="526">
        <f t="shared" ca="1" si="7"/>
        <v>0</v>
      </c>
      <c r="CA12" s="526">
        <f t="shared" ca="1" si="7"/>
        <v>0</v>
      </c>
      <c r="CB12" s="526">
        <f t="shared" ca="1" si="7"/>
        <v>0</v>
      </c>
      <c r="CC12" s="526">
        <f t="shared" ca="1" si="7"/>
        <v>0</v>
      </c>
      <c r="CD12" s="526">
        <f t="shared" ca="1" si="7"/>
        <v>0</v>
      </c>
      <c r="CE12" s="526">
        <f t="shared" ca="1" si="7"/>
        <v>0</v>
      </c>
      <c r="CF12" s="526">
        <f t="shared" ca="1" si="7"/>
        <v>0</v>
      </c>
      <c r="CG12" s="526">
        <f t="shared" ca="1" si="7"/>
        <v>0</v>
      </c>
      <c r="CH12" s="526">
        <f t="shared" ca="1" si="7"/>
        <v>0</v>
      </c>
      <c r="CI12" s="526">
        <f t="shared" ca="1" si="7"/>
        <v>0</v>
      </c>
      <c r="CJ12" s="526">
        <f t="shared" ca="1" si="7"/>
        <v>0</v>
      </c>
      <c r="CK12" s="526">
        <f t="shared" ca="1" si="7"/>
        <v>0</v>
      </c>
      <c r="CL12" s="526">
        <f t="shared" ca="1" si="7"/>
        <v>0</v>
      </c>
      <c r="CM12" s="526">
        <f t="shared" ca="1" si="7"/>
        <v>0</v>
      </c>
      <c r="CN12" s="526">
        <f t="shared" ca="1" si="7"/>
        <v>0</v>
      </c>
      <c r="CO12" s="526">
        <f t="shared" ca="1" si="7"/>
        <v>0</v>
      </c>
      <c r="CP12" s="526">
        <f t="shared" ca="1" si="7"/>
        <v>0</v>
      </c>
      <c r="CQ12" s="526">
        <f t="shared" ca="1" si="7"/>
        <v>0</v>
      </c>
      <c r="CR12" s="526">
        <f t="shared" ca="1" si="7"/>
        <v>0</v>
      </c>
      <c r="CS12" s="526">
        <f t="shared" ca="1" si="7"/>
        <v>0</v>
      </c>
      <c r="CT12" s="526">
        <f t="shared" ca="1" si="7"/>
        <v>0</v>
      </c>
      <c r="CU12" s="526">
        <f t="shared" ca="1" si="7"/>
        <v>0</v>
      </c>
      <c r="CV12" s="526">
        <f t="shared" ca="1" si="7"/>
        <v>0</v>
      </c>
      <c r="CW12" s="526">
        <f t="shared" ca="1" si="7"/>
        <v>0</v>
      </c>
      <c r="CX12" s="526">
        <f t="shared" ca="1" si="7"/>
        <v>0</v>
      </c>
      <c r="CY12" s="526">
        <f t="shared" ca="1" si="7"/>
        <v>0</v>
      </c>
      <c r="CZ12" s="526">
        <f t="shared" ca="1" si="7"/>
        <v>0</v>
      </c>
      <c r="DA12" s="526">
        <f t="shared" ca="1" si="7"/>
        <v>0</v>
      </c>
      <c r="DB12" s="526">
        <f t="shared" ca="1" si="7"/>
        <v>0</v>
      </c>
      <c r="DC12" s="526">
        <f t="shared" ca="1" si="7"/>
        <v>0</v>
      </c>
      <c r="DD12" s="526">
        <f t="shared" ca="1" si="7"/>
        <v>0</v>
      </c>
      <c r="DE12" s="526">
        <f t="shared" ca="1" si="7"/>
        <v>0</v>
      </c>
      <c r="DF12" s="526">
        <f t="shared" ca="1" si="7"/>
        <v>0</v>
      </c>
      <c r="DG12" s="526">
        <f t="shared" ca="1" si="7"/>
        <v>0</v>
      </c>
      <c r="DH12" s="526">
        <f t="shared" ca="1" si="7"/>
        <v>0</v>
      </c>
      <c r="DI12" s="526">
        <f t="shared" ca="1" si="7"/>
        <v>0</v>
      </c>
      <c r="DJ12" s="526">
        <f t="shared" ca="1" si="7"/>
        <v>0</v>
      </c>
      <c r="DK12" s="526">
        <f t="shared" ca="1" si="7"/>
        <v>0</v>
      </c>
      <c r="DL12" s="526">
        <f t="shared" ca="1" si="7"/>
        <v>0</v>
      </c>
      <c r="DM12" s="526">
        <f t="shared" ca="1" si="7"/>
        <v>0</v>
      </c>
      <c r="DN12" s="526">
        <f t="shared" ca="1" si="7"/>
        <v>0</v>
      </c>
      <c r="DO12" s="526">
        <f t="shared" ca="1" si="7"/>
        <v>0</v>
      </c>
      <c r="DP12" s="526">
        <f t="shared" ca="1" si="7"/>
        <v>0</v>
      </c>
      <c r="DQ12" s="526">
        <f t="shared" ca="1" si="7"/>
        <v>0</v>
      </c>
      <c r="DR12" s="526">
        <f t="shared" ca="1" si="7"/>
        <v>0</v>
      </c>
      <c r="DS12" s="526">
        <f t="shared" ca="1" si="7"/>
        <v>0</v>
      </c>
      <c r="DT12" s="526">
        <f t="shared" ca="1" si="7"/>
        <v>0</v>
      </c>
      <c r="DU12" s="526">
        <f t="shared" ca="1" si="7"/>
        <v>0</v>
      </c>
      <c r="DV12" s="526">
        <f t="shared" ca="1" si="7"/>
        <v>0</v>
      </c>
      <c r="DW12" s="526">
        <f t="shared" ca="1" si="7"/>
        <v>0</v>
      </c>
      <c r="DX12" s="526">
        <f t="shared" ca="1" si="7"/>
        <v>0</v>
      </c>
      <c r="DY12" s="526">
        <f t="shared" ca="1" si="7"/>
        <v>0</v>
      </c>
      <c r="DZ12" s="526">
        <f t="shared" ca="1" si="7"/>
        <v>0</v>
      </c>
      <c r="EA12" s="526">
        <f t="shared" ca="1" si="7"/>
        <v>0</v>
      </c>
      <c r="EB12" s="523" t="s">
        <v>557</v>
      </c>
    </row>
    <row r="13" spans="2:132" ht="19">
      <c r="B13" s="524"/>
      <c r="C13" s="525" t="s">
        <v>1135</v>
      </c>
      <c r="D13" s="525" t="s">
        <v>1136</v>
      </c>
      <c r="E13" s="525" t="s">
        <v>1140</v>
      </c>
      <c r="G13" s="518" t="s">
        <v>1148</v>
      </c>
      <c r="H13" s="523"/>
      <c r="I13" s="523"/>
      <c r="K13" s="526">
        <f ca="1">K9+K10+K11-K12</f>
        <v>20296000</v>
      </c>
      <c r="L13" s="526">
        <f t="shared" ref="L13:BW13" ca="1" si="8">L9+L10+L11-L12</f>
        <v>20382700.954725057</v>
      </c>
      <c r="M13" s="526">
        <f t="shared" ca="1" si="8"/>
        <v>20467979.701708943</v>
      </c>
      <c r="N13" s="526">
        <f t="shared" ca="1" si="8"/>
        <v>20551810.809578549</v>
      </c>
      <c r="O13" s="526">
        <f t="shared" ca="1" si="8"/>
        <v>20634168.550230835</v>
      </c>
      <c r="P13" s="526">
        <f t="shared" ca="1" si="8"/>
        <v>20715026.89584041</v>
      </c>
      <c r="Q13" s="526">
        <f t="shared" ca="1" si="8"/>
        <v>20794359.5158391</v>
      </c>
      <c r="R13" s="526">
        <f t="shared" ca="1" si="8"/>
        <v>20872139.773867205</v>
      </c>
      <c r="S13" s="526">
        <f t="shared" ca="1" si="8"/>
        <v>20948340.724696223</v>
      </c>
      <c r="T13" s="526">
        <f t="shared" ca="1" si="8"/>
        <v>21022935.111122768</v>
      </c>
      <c r="U13" s="526">
        <f t="shared" ca="1" si="8"/>
        <v>21095895.360833455</v>
      </c>
      <c r="V13" s="526">
        <f t="shared" ca="1" si="8"/>
        <v>21167193.583240442</v>
      </c>
      <c r="W13" s="526">
        <f t="shared" ca="1" si="8"/>
        <v>21236801.56628741</v>
      </c>
      <c r="X13" s="526">
        <f t="shared" ca="1" si="8"/>
        <v>21307014.552221969</v>
      </c>
      <c r="Y13" s="526">
        <f t="shared" ca="1" si="8"/>
        <v>21375642.378141206</v>
      </c>
      <c r="Z13" s="526">
        <f t="shared" ca="1" si="8"/>
        <v>21442658.997205146</v>
      </c>
      <c r="AA13" s="526">
        <f t="shared" ca="1" si="8"/>
        <v>21508038.071081713</v>
      </c>
      <c r="AB13" s="526">
        <f t="shared" ca="1" si="8"/>
        <v>21571752.967098635</v>
      </c>
      <c r="AC13" s="526">
        <f t="shared" ca="1" si="8"/>
        <v>21633776.755369358</v>
      </c>
      <c r="AD13" s="526">
        <f t="shared" ca="1" si="8"/>
        <v>21694082.205892768</v>
      </c>
      <c r="AE13" s="526">
        <f t="shared" ca="1" si="8"/>
        <v>21752641.785626456</v>
      </c>
      <c r="AF13" s="526">
        <f t="shared" ca="1" si="8"/>
        <v>21809427.655533321</v>
      </c>
      <c r="AG13" s="526">
        <f t="shared" ca="1" si="8"/>
        <v>21864411.667601254</v>
      </c>
      <c r="AH13" s="526">
        <f t="shared" ca="1" si="8"/>
        <v>21917565.361835692</v>
      </c>
      <c r="AI13" s="526">
        <f t="shared" ca="1" si="8"/>
        <v>21968859.96322478</v>
      </c>
      <c r="AJ13" s="526">
        <f t="shared" ca="1" si="8"/>
        <v>22021561.348866373</v>
      </c>
      <c r="AK13" s="526">
        <f t="shared" ca="1" si="8"/>
        <v>22073453.716795575</v>
      </c>
      <c r="AL13" s="526">
        <f t="shared" ca="1" si="8"/>
        <v>22124526.518238332</v>
      </c>
      <c r="AM13" s="526">
        <f t="shared" ca="1" si="8"/>
        <v>22174769.106644668</v>
      </c>
      <c r="AN13" s="526">
        <f t="shared" ca="1" si="8"/>
        <v>22224170.73686349</v>
      </c>
      <c r="AO13" s="526">
        <f t="shared" ca="1" si="8"/>
        <v>22272720.564310644</v>
      </c>
      <c r="AP13" s="526">
        <f t="shared" ca="1" si="8"/>
        <v>22320407.644130178</v>
      </c>
      <c r="AQ13" s="526">
        <f t="shared" ca="1" si="8"/>
        <v>22367220.930348791</v>
      </c>
      <c r="AR13" s="526">
        <f t="shared" ca="1" si="8"/>
        <v>22413149.275023364</v>
      </c>
      <c r="AS13" s="526">
        <f t="shared" ca="1" si="8"/>
        <v>22458181.427381542</v>
      </c>
      <c r="AT13" s="526">
        <f t="shared" ca="1" si="8"/>
        <v>22502306.032955322</v>
      </c>
      <c r="AU13" s="526">
        <f t="shared" ca="1" si="8"/>
        <v>22545511.632707566</v>
      </c>
      <c r="AV13" s="526">
        <f t="shared" ca="1" si="8"/>
        <v>22590051.624588989</v>
      </c>
      <c r="AW13" s="526">
        <f t="shared" ca="1" si="8"/>
        <v>22633667.436466116</v>
      </c>
      <c r="AX13" s="526">
        <f t="shared" ca="1" si="8"/>
        <v>22676347.434303969</v>
      </c>
      <c r="AY13" s="526">
        <f t="shared" ca="1" si="8"/>
        <v>22718079.877081156</v>
      </c>
      <c r="AZ13" s="526">
        <f t="shared" ca="1" si="8"/>
        <v>22758852.915889371</v>
      </c>
      <c r="BA13" s="526">
        <f t="shared" ca="1" si="8"/>
        <v>22798654.593025539</v>
      </c>
      <c r="BB13" s="526">
        <f t="shared" ca="1" si="8"/>
        <v>22837472.841076586</v>
      </c>
      <c r="BC13" s="526">
        <f t="shared" ca="1" si="8"/>
        <v>22875295.481996726</v>
      </c>
      <c r="BD13" s="526">
        <f t="shared" ca="1" si="8"/>
        <v>22912110.226177245</v>
      </c>
      <c r="BE13" s="526">
        <f t="shared" ca="1" si="8"/>
        <v>22947904.6715087</v>
      </c>
      <c r="BF13" s="526">
        <f t="shared" ca="1" si="8"/>
        <v>22982666.302435495</v>
      </c>
      <c r="BG13" s="526">
        <f t="shared" ca="1" si="8"/>
        <v>0</v>
      </c>
      <c r="BH13" s="526">
        <f t="shared" ca="1" si="8"/>
        <v>0</v>
      </c>
      <c r="BI13" s="526">
        <f t="shared" ca="1" si="8"/>
        <v>0</v>
      </c>
      <c r="BJ13" s="526">
        <f t="shared" ca="1" si="8"/>
        <v>0</v>
      </c>
      <c r="BK13" s="526">
        <f t="shared" ca="1" si="8"/>
        <v>0</v>
      </c>
      <c r="BL13" s="526">
        <f t="shared" ca="1" si="8"/>
        <v>0</v>
      </c>
      <c r="BM13" s="526">
        <f t="shared" ca="1" si="8"/>
        <v>0</v>
      </c>
      <c r="BN13" s="526">
        <f t="shared" ca="1" si="8"/>
        <v>0</v>
      </c>
      <c r="BO13" s="526">
        <f t="shared" ca="1" si="8"/>
        <v>0</v>
      </c>
      <c r="BP13" s="526">
        <f t="shared" ca="1" si="8"/>
        <v>0</v>
      </c>
      <c r="BQ13" s="526">
        <f t="shared" ca="1" si="8"/>
        <v>0</v>
      </c>
      <c r="BR13" s="526">
        <f t="shared" ca="1" si="8"/>
        <v>0</v>
      </c>
      <c r="BS13" s="526">
        <f t="shared" ca="1" si="8"/>
        <v>0</v>
      </c>
      <c r="BT13" s="526">
        <f t="shared" ca="1" si="8"/>
        <v>0</v>
      </c>
      <c r="BU13" s="526">
        <f t="shared" ca="1" si="8"/>
        <v>0</v>
      </c>
      <c r="BV13" s="526">
        <f t="shared" ca="1" si="8"/>
        <v>0</v>
      </c>
      <c r="BW13" s="526">
        <f t="shared" ca="1" si="8"/>
        <v>0</v>
      </c>
      <c r="BX13" s="526">
        <f t="shared" ref="BX13:EA13" ca="1" si="9">BX9+BX10+BX11-BX12</f>
        <v>0</v>
      </c>
      <c r="BY13" s="526">
        <f t="shared" ca="1" si="9"/>
        <v>0</v>
      </c>
      <c r="BZ13" s="526">
        <f t="shared" ca="1" si="9"/>
        <v>0</v>
      </c>
      <c r="CA13" s="526">
        <f t="shared" ca="1" si="9"/>
        <v>0</v>
      </c>
      <c r="CB13" s="526">
        <f t="shared" ca="1" si="9"/>
        <v>0</v>
      </c>
      <c r="CC13" s="526">
        <f t="shared" ca="1" si="9"/>
        <v>0</v>
      </c>
      <c r="CD13" s="526">
        <f t="shared" ca="1" si="9"/>
        <v>0</v>
      </c>
      <c r="CE13" s="526">
        <f t="shared" ca="1" si="9"/>
        <v>0</v>
      </c>
      <c r="CF13" s="526">
        <f t="shared" ca="1" si="9"/>
        <v>0</v>
      </c>
      <c r="CG13" s="526">
        <f t="shared" ca="1" si="9"/>
        <v>0</v>
      </c>
      <c r="CH13" s="526">
        <f t="shared" ca="1" si="9"/>
        <v>0</v>
      </c>
      <c r="CI13" s="526">
        <f t="shared" ca="1" si="9"/>
        <v>0</v>
      </c>
      <c r="CJ13" s="526">
        <f t="shared" ca="1" si="9"/>
        <v>0</v>
      </c>
      <c r="CK13" s="526">
        <f t="shared" ca="1" si="9"/>
        <v>0</v>
      </c>
      <c r="CL13" s="526">
        <f t="shared" ca="1" si="9"/>
        <v>0</v>
      </c>
      <c r="CM13" s="526">
        <f t="shared" ca="1" si="9"/>
        <v>0</v>
      </c>
      <c r="CN13" s="526">
        <f t="shared" ca="1" si="9"/>
        <v>0</v>
      </c>
      <c r="CO13" s="526">
        <f t="shared" ca="1" si="9"/>
        <v>0</v>
      </c>
      <c r="CP13" s="526">
        <f t="shared" ca="1" si="9"/>
        <v>0</v>
      </c>
      <c r="CQ13" s="526">
        <f t="shared" ca="1" si="9"/>
        <v>0</v>
      </c>
      <c r="CR13" s="526">
        <f t="shared" ca="1" si="9"/>
        <v>0</v>
      </c>
      <c r="CS13" s="526">
        <f t="shared" ca="1" si="9"/>
        <v>0</v>
      </c>
      <c r="CT13" s="526">
        <f t="shared" ca="1" si="9"/>
        <v>0</v>
      </c>
      <c r="CU13" s="526">
        <f t="shared" ca="1" si="9"/>
        <v>0</v>
      </c>
      <c r="CV13" s="526">
        <f t="shared" ca="1" si="9"/>
        <v>0</v>
      </c>
      <c r="CW13" s="526">
        <f t="shared" ca="1" si="9"/>
        <v>0</v>
      </c>
      <c r="CX13" s="526">
        <f t="shared" ca="1" si="9"/>
        <v>0</v>
      </c>
      <c r="CY13" s="526">
        <f t="shared" ca="1" si="9"/>
        <v>0</v>
      </c>
      <c r="CZ13" s="526">
        <f t="shared" ca="1" si="9"/>
        <v>0</v>
      </c>
      <c r="DA13" s="526">
        <f t="shared" ca="1" si="9"/>
        <v>0</v>
      </c>
      <c r="DB13" s="526">
        <f t="shared" ca="1" si="9"/>
        <v>0</v>
      </c>
      <c r="DC13" s="526">
        <f t="shared" ca="1" si="9"/>
        <v>0</v>
      </c>
      <c r="DD13" s="526">
        <f t="shared" ca="1" si="9"/>
        <v>0</v>
      </c>
      <c r="DE13" s="526">
        <f t="shared" ca="1" si="9"/>
        <v>0</v>
      </c>
      <c r="DF13" s="526">
        <f t="shared" ca="1" si="9"/>
        <v>0</v>
      </c>
      <c r="DG13" s="526">
        <f t="shared" ca="1" si="9"/>
        <v>0</v>
      </c>
      <c r="DH13" s="526">
        <f t="shared" ca="1" si="9"/>
        <v>0</v>
      </c>
      <c r="DI13" s="526">
        <f t="shared" ca="1" si="9"/>
        <v>0</v>
      </c>
      <c r="DJ13" s="526">
        <f t="shared" ca="1" si="9"/>
        <v>0</v>
      </c>
      <c r="DK13" s="526">
        <f t="shared" ca="1" si="9"/>
        <v>0</v>
      </c>
      <c r="DL13" s="526">
        <f t="shared" ca="1" si="9"/>
        <v>0</v>
      </c>
      <c r="DM13" s="526">
        <f t="shared" ca="1" si="9"/>
        <v>0</v>
      </c>
      <c r="DN13" s="526">
        <f t="shared" ca="1" si="9"/>
        <v>0</v>
      </c>
      <c r="DO13" s="526">
        <f t="shared" ca="1" si="9"/>
        <v>0</v>
      </c>
      <c r="DP13" s="526">
        <f t="shared" ca="1" si="9"/>
        <v>0</v>
      </c>
      <c r="DQ13" s="526">
        <f t="shared" ca="1" si="9"/>
        <v>0</v>
      </c>
      <c r="DR13" s="526">
        <f t="shared" ca="1" si="9"/>
        <v>0</v>
      </c>
      <c r="DS13" s="526">
        <f t="shared" ca="1" si="9"/>
        <v>0</v>
      </c>
      <c r="DT13" s="526">
        <f t="shared" ca="1" si="9"/>
        <v>0</v>
      </c>
      <c r="DU13" s="526">
        <f t="shared" ca="1" si="9"/>
        <v>0</v>
      </c>
      <c r="DV13" s="526">
        <f t="shared" ca="1" si="9"/>
        <v>0</v>
      </c>
      <c r="DW13" s="526">
        <f t="shared" ca="1" si="9"/>
        <v>0</v>
      </c>
      <c r="DX13" s="526">
        <f t="shared" ca="1" si="9"/>
        <v>0</v>
      </c>
      <c r="DY13" s="526">
        <f t="shared" ca="1" si="9"/>
        <v>0</v>
      </c>
      <c r="DZ13" s="526">
        <f t="shared" ca="1" si="9"/>
        <v>0</v>
      </c>
      <c r="EA13" s="526">
        <f t="shared" ca="1" si="9"/>
        <v>0</v>
      </c>
      <c r="EB13" s="523" t="s">
        <v>557</v>
      </c>
    </row>
    <row r="14" spans="2:132" ht="19">
      <c r="B14" s="106" t="s">
        <v>1149</v>
      </c>
      <c r="C14" s="527">
        <f>C7</f>
        <v>0</v>
      </c>
      <c r="D14" s="541">
        <f>D7</f>
        <v>1</v>
      </c>
      <c r="E14" s="542">
        <v>0.1</v>
      </c>
      <c r="G14" s="518" t="s">
        <v>1150</v>
      </c>
      <c r="I14" s="543" t="s">
        <v>1105</v>
      </c>
      <c r="K14" s="526">
        <f ca="1">-K11+K12</f>
        <v>-20296000</v>
      </c>
      <c r="L14" s="526">
        <f t="shared" ref="L14:BW14" ca="1" si="10">-L11+L12</f>
        <v>75142.199419975848</v>
      </c>
      <c r="M14" s="526">
        <f t="shared" ca="1" si="10"/>
        <v>77255.772749442272</v>
      </c>
      <c r="N14" s="526">
        <f t="shared" ca="1" si="10"/>
        <v>79383.436567771874</v>
      </c>
      <c r="O14" s="526">
        <f t="shared" ca="1" si="10"/>
        <v>81525.284811557081</v>
      </c>
      <c r="P14" s="526">
        <f t="shared" ca="1" si="10"/>
        <v>83681.412043634118</v>
      </c>
      <c r="Q14" s="526">
        <f t="shared" ca="1" si="10"/>
        <v>85851.913457258299</v>
      </c>
      <c r="R14" s="526">
        <f t="shared" ca="1" si="10"/>
        <v>88036.884880306709</v>
      </c>
      <c r="S14" s="526">
        <f t="shared" ca="1" si="10"/>
        <v>90236.422779508677</v>
      </c>
      <c r="T14" s="526">
        <f t="shared" ca="1" si="10"/>
        <v>92450.624264705359</v>
      </c>
      <c r="U14" s="526">
        <f t="shared" ca="1" si="10"/>
        <v>94679.587093136754</v>
      </c>
      <c r="V14" s="526">
        <f t="shared" ca="1" si="10"/>
        <v>96923.409673757662</v>
      </c>
      <c r="W14" s="526">
        <f t="shared" ca="1" si="10"/>
        <v>99182.191071582594</v>
      </c>
      <c r="X14" s="526">
        <f t="shared" ca="1" si="10"/>
        <v>99132.252015780003</v>
      </c>
      <c r="Y14" s="526">
        <f t="shared" ca="1" si="10"/>
        <v>101277.30024087873</v>
      </c>
      <c r="Z14" s="526">
        <f t="shared" ca="1" si="10"/>
        <v>103435.75501738423</v>
      </c>
      <c r="AA14" s="526">
        <f t="shared" ca="1" si="10"/>
        <v>105607.70013624289</v>
      </c>
      <c r="AB14" s="526">
        <f t="shared" ca="1" si="10"/>
        <v>107793.2199120944</v>
      </c>
      <c r="AC14" s="526">
        <f t="shared" ca="1" si="10"/>
        <v>109992.39918654515</v>
      </c>
      <c r="AD14" s="526">
        <f t="shared" ca="1" si="10"/>
        <v>112205.32333146107</v>
      </c>
      <c r="AE14" s="526">
        <f t="shared" ca="1" si="10"/>
        <v>114432.07825228265</v>
      </c>
      <c r="AF14" s="526">
        <f t="shared" ca="1" si="10"/>
        <v>116672.75039135954</v>
      </c>
      <c r="AG14" s="526">
        <f t="shared" ca="1" si="10"/>
        <v>118927.4267313055</v>
      </c>
      <c r="AH14" s="526">
        <f t="shared" ca="1" si="10"/>
        <v>121196.19479837616</v>
      </c>
      <c r="AI14" s="526">
        <f t="shared" ca="1" si="10"/>
        <v>123479.14266586611</v>
      </c>
      <c r="AJ14" s="526">
        <f t="shared" ca="1" si="10"/>
        <v>122481.38876808564</v>
      </c>
      <c r="AK14" s="526">
        <f t="shared" ca="1" si="10"/>
        <v>123710.65473037933</v>
      </c>
      <c r="AL14" s="526">
        <f t="shared" ca="1" si="10"/>
        <v>124944.01824588062</v>
      </c>
      <c r="AM14" s="526">
        <f t="shared" ca="1" si="10"/>
        <v>126181.4929731002</v>
      </c>
      <c r="AN14" s="526">
        <f t="shared" ca="1" si="10"/>
        <v>127423.09261607715</v>
      </c>
      <c r="AO14" s="526">
        <f t="shared" ca="1" si="10"/>
        <v>128668.83092453091</v>
      </c>
      <c r="AP14" s="526">
        <f t="shared" ca="1" si="10"/>
        <v>129918.72169401268</v>
      </c>
      <c r="AQ14" s="526">
        <f t="shared" ca="1" si="10"/>
        <v>131172.77876605943</v>
      </c>
      <c r="AR14" s="526">
        <f t="shared" ca="1" si="10"/>
        <v>132431.01602834626</v>
      </c>
      <c r="AS14" s="526">
        <f t="shared" ca="1" si="10"/>
        <v>133693.44741484086</v>
      </c>
      <c r="AT14" s="526">
        <f t="shared" ca="1" si="10"/>
        <v>134960.08690595691</v>
      </c>
      <c r="AU14" s="526">
        <f t="shared" ca="1" si="10"/>
        <v>136230.94852871029</v>
      </c>
      <c r="AV14" s="526">
        <f t="shared" ca="1" si="10"/>
        <v>135241.08391927258</v>
      </c>
      <c r="AW14" s="526">
        <f t="shared" ca="1" si="10"/>
        <v>136520.43207352899</v>
      </c>
      <c r="AX14" s="526">
        <f t="shared" ca="1" si="10"/>
        <v>137804.04472163261</v>
      </c>
      <c r="AY14" s="526">
        <f t="shared" ca="1" si="10"/>
        <v>139091.93607856351</v>
      </c>
      <c r="AZ14" s="526">
        <f t="shared" ca="1" si="10"/>
        <v>140384.12040668412</v>
      </c>
      <c r="BA14" s="526">
        <f t="shared" ca="1" si="10"/>
        <v>141680.61201589828</v>
      </c>
      <c r="BB14" s="526">
        <f t="shared" ca="1" si="10"/>
        <v>142981.42526381009</v>
      </c>
      <c r="BC14" s="526">
        <f t="shared" ca="1" si="10"/>
        <v>144286.57455588144</v>
      </c>
      <c r="BD14" s="526">
        <f t="shared" ca="1" si="10"/>
        <v>145596.07434559317</v>
      </c>
      <c r="BE14" s="526">
        <f t="shared" ca="1" si="10"/>
        <v>146909.93913460377</v>
      </c>
      <c r="BF14" s="526">
        <f t="shared" ca="1" si="10"/>
        <v>148228.18347291125</v>
      </c>
      <c r="BG14" s="526">
        <f t="shared" ca="1" si="10"/>
        <v>23165933.310961749</v>
      </c>
      <c r="BH14" s="526">
        <f t="shared" ca="1" si="10"/>
        <v>0</v>
      </c>
      <c r="BI14" s="526">
        <f t="shared" ca="1" si="10"/>
        <v>0</v>
      </c>
      <c r="BJ14" s="526">
        <f t="shared" ca="1" si="10"/>
        <v>0</v>
      </c>
      <c r="BK14" s="526">
        <f t="shared" ca="1" si="10"/>
        <v>0</v>
      </c>
      <c r="BL14" s="526">
        <f t="shared" ca="1" si="10"/>
        <v>0</v>
      </c>
      <c r="BM14" s="526">
        <f t="shared" ca="1" si="10"/>
        <v>0</v>
      </c>
      <c r="BN14" s="526">
        <f t="shared" ca="1" si="10"/>
        <v>0</v>
      </c>
      <c r="BO14" s="526">
        <f t="shared" ca="1" si="10"/>
        <v>0</v>
      </c>
      <c r="BP14" s="526">
        <f t="shared" ca="1" si="10"/>
        <v>0</v>
      </c>
      <c r="BQ14" s="526">
        <f t="shared" ca="1" si="10"/>
        <v>0</v>
      </c>
      <c r="BR14" s="526">
        <f t="shared" ca="1" si="10"/>
        <v>0</v>
      </c>
      <c r="BS14" s="526">
        <f t="shared" ca="1" si="10"/>
        <v>0</v>
      </c>
      <c r="BT14" s="526">
        <f t="shared" ca="1" si="10"/>
        <v>0</v>
      </c>
      <c r="BU14" s="526">
        <f t="shared" ca="1" si="10"/>
        <v>0</v>
      </c>
      <c r="BV14" s="526">
        <f t="shared" ca="1" si="10"/>
        <v>0</v>
      </c>
      <c r="BW14" s="526">
        <f t="shared" ca="1" si="10"/>
        <v>0</v>
      </c>
      <c r="BX14" s="526">
        <f t="shared" ref="BX14:EA14" ca="1" si="11">-BX11+BX12</f>
        <v>0</v>
      </c>
      <c r="BY14" s="526">
        <f t="shared" ca="1" si="11"/>
        <v>0</v>
      </c>
      <c r="BZ14" s="526">
        <f t="shared" ca="1" si="11"/>
        <v>0</v>
      </c>
      <c r="CA14" s="526">
        <f t="shared" ca="1" si="11"/>
        <v>0</v>
      </c>
      <c r="CB14" s="526">
        <f t="shared" ca="1" si="11"/>
        <v>0</v>
      </c>
      <c r="CC14" s="526">
        <f t="shared" ca="1" si="11"/>
        <v>0</v>
      </c>
      <c r="CD14" s="526">
        <f t="shared" ca="1" si="11"/>
        <v>0</v>
      </c>
      <c r="CE14" s="526">
        <f t="shared" ca="1" si="11"/>
        <v>0</v>
      </c>
      <c r="CF14" s="526">
        <f t="shared" ca="1" si="11"/>
        <v>0</v>
      </c>
      <c r="CG14" s="526">
        <f t="shared" ca="1" si="11"/>
        <v>0</v>
      </c>
      <c r="CH14" s="526">
        <f t="shared" ca="1" si="11"/>
        <v>0</v>
      </c>
      <c r="CI14" s="526">
        <f t="shared" ca="1" si="11"/>
        <v>0</v>
      </c>
      <c r="CJ14" s="526">
        <f t="shared" ca="1" si="11"/>
        <v>0</v>
      </c>
      <c r="CK14" s="526">
        <f t="shared" ca="1" si="11"/>
        <v>0</v>
      </c>
      <c r="CL14" s="526">
        <f t="shared" ca="1" si="11"/>
        <v>0</v>
      </c>
      <c r="CM14" s="526">
        <f t="shared" ca="1" si="11"/>
        <v>0</v>
      </c>
      <c r="CN14" s="526">
        <f t="shared" ca="1" si="11"/>
        <v>0</v>
      </c>
      <c r="CO14" s="526">
        <f t="shared" ca="1" si="11"/>
        <v>0</v>
      </c>
      <c r="CP14" s="526">
        <f t="shared" ca="1" si="11"/>
        <v>0</v>
      </c>
      <c r="CQ14" s="526">
        <f t="shared" ca="1" si="11"/>
        <v>0</v>
      </c>
      <c r="CR14" s="526">
        <f t="shared" ca="1" si="11"/>
        <v>0</v>
      </c>
      <c r="CS14" s="526">
        <f t="shared" ca="1" si="11"/>
        <v>0</v>
      </c>
      <c r="CT14" s="526">
        <f t="shared" ca="1" si="11"/>
        <v>0</v>
      </c>
      <c r="CU14" s="526">
        <f t="shared" ca="1" si="11"/>
        <v>0</v>
      </c>
      <c r="CV14" s="526">
        <f t="shared" ca="1" si="11"/>
        <v>0</v>
      </c>
      <c r="CW14" s="526">
        <f t="shared" ca="1" si="11"/>
        <v>0</v>
      </c>
      <c r="CX14" s="526">
        <f t="shared" ca="1" si="11"/>
        <v>0</v>
      </c>
      <c r="CY14" s="526">
        <f t="shared" ca="1" si="11"/>
        <v>0</v>
      </c>
      <c r="CZ14" s="526">
        <f t="shared" ca="1" si="11"/>
        <v>0</v>
      </c>
      <c r="DA14" s="526">
        <f t="shared" ca="1" si="11"/>
        <v>0</v>
      </c>
      <c r="DB14" s="526">
        <f t="shared" ca="1" si="11"/>
        <v>0</v>
      </c>
      <c r="DC14" s="526">
        <f t="shared" ca="1" si="11"/>
        <v>0</v>
      </c>
      <c r="DD14" s="526">
        <f t="shared" ca="1" si="11"/>
        <v>0</v>
      </c>
      <c r="DE14" s="526">
        <f t="shared" ca="1" si="11"/>
        <v>0</v>
      </c>
      <c r="DF14" s="526">
        <f t="shared" ca="1" si="11"/>
        <v>0</v>
      </c>
      <c r="DG14" s="526">
        <f t="shared" ca="1" si="11"/>
        <v>0</v>
      </c>
      <c r="DH14" s="526">
        <f t="shared" ca="1" si="11"/>
        <v>0</v>
      </c>
      <c r="DI14" s="526">
        <f t="shared" ca="1" si="11"/>
        <v>0</v>
      </c>
      <c r="DJ14" s="526">
        <f t="shared" ca="1" si="11"/>
        <v>0</v>
      </c>
      <c r="DK14" s="526">
        <f t="shared" ca="1" si="11"/>
        <v>0</v>
      </c>
      <c r="DL14" s="526">
        <f t="shared" ca="1" si="11"/>
        <v>0</v>
      </c>
      <c r="DM14" s="526">
        <f t="shared" ca="1" si="11"/>
        <v>0</v>
      </c>
      <c r="DN14" s="526">
        <f t="shared" ca="1" si="11"/>
        <v>0</v>
      </c>
      <c r="DO14" s="526">
        <f t="shared" ca="1" si="11"/>
        <v>0</v>
      </c>
      <c r="DP14" s="526">
        <f t="shared" ca="1" si="11"/>
        <v>0</v>
      </c>
      <c r="DQ14" s="526">
        <f t="shared" ca="1" si="11"/>
        <v>0</v>
      </c>
      <c r="DR14" s="526">
        <f t="shared" ca="1" si="11"/>
        <v>0</v>
      </c>
      <c r="DS14" s="526">
        <f t="shared" ca="1" si="11"/>
        <v>0</v>
      </c>
      <c r="DT14" s="526">
        <f t="shared" ca="1" si="11"/>
        <v>0</v>
      </c>
      <c r="DU14" s="526">
        <f t="shared" ca="1" si="11"/>
        <v>0</v>
      </c>
      <c r="DV14" s="526">
        <f t="shared" ca="1" si="11"/>
        <v>0</v>
      </c>
      <c r="DW14" s="526">
        <f t="shared" ca="1" si="11"/>
        <v>0</v>
      </c>
      <c r="DX14" s="526">
        <f t="shared" ca="1" si="11"/>
        <v>0</v>
      </c>
      <c r="DY14" s="526">
        <f t="shared" ca="1" si="11"/>
        <v>0</v>
      </c>
      <c r="DZ14" s="526">
        <f t="shared" ca="1" si="11"/>
        <v>0</v>
      </c>
      <c r="EA14" s="526">
        <f t="shared" ca="1" si="11"/>
        <v>0</v>
      </c>
      <c r="EB14" s="523" t="s">
        <v>557</v>
      </c>
    </row>
    <row r="15" spans="2:132" ht="19">
      <c r="B15" s="106" t="s">
        <v>1151</v>
      </c>
      <c r="C15" s="544">
        <v>0.2</v>
      </c>
      <c r="D15" s="528">
        <f>1-C15</f>
        <v>0.8</v>
      </c>
      <c r="E15" s="542">
        <v>0.15</v>
      </c>
      <c r="G15" s="545" t="s">
        <v>1152</v>
      </c>
      <c r="H15" s="546" t="s">
        <v>1153</v>
      </c>
      <c r="I15" s="547">
        <f ca="1">XIRR(K14:EA14,$K$2:$EA$2,)</f>
        <v>9.9989348649978632E-2</v>
      </c>
      <c r="EB15" s="523" t="s">
        <v>557</v>
      </c>
    </row>
    <row r="16" spans="2:132" ht="19">
      <c r="B16" s="106" t="s">
        <v>1154</v>
      </c>
      <c r="C16" s="544">
        <v>0.3</v>
      </c>
      <c r="D16" s="528">
        <f>1-C16</f>
        <v>0.7</v>
      </c>
      <c r="E16" s="542">
        <v>0.18</v>
      </c>
      <c r="H16" s="546" t="s">
        <v>1155</v>
      </c>
      <c r="I16" s="548">
        <f ca="1">SUMIF(K14:EA14,"&gt;0")/-SUMIF(K14:EA14,"&lt;0")</f>
        <v>1.4118533157291251</v>
      </c>
      <c r="EB16" s="523" t="s">
        <v>557</v>
      </c>
    </row>
    <row r="17" spans="2:132" ht="19">
      <c r="B17" s="106" t="s">
        <v>1156</v>
      </c>
      <c r="C17" s="542">
        <v>0.4</v>
      </c>
      <c r="D17" s="528">
        <f t="shared" ref="D17:D20" si="12">1-C17</f>
        <v>0.6</v>
      </c>
      <c r="E17" s="542"/>
      <c r="G17" s="520" t="s">
        <v>1135</v>
      </c>
      <c r="H17" s="533"/>
      <c r="I17" s="533"/>
      <c r="J17" s="521"/>
      <c r="K17" s="521"/>
      <c r="L17" s="521"/>
      <c r="M17" s="521"/>
      <c r="N17" s="521"/>
      <c r="O17" s="521"/>
      <c r="P17" s="521"/>
      <c r="Q17" s="521"/>
      <c r="R17" s="521"/>
      <c r="S17" s="521"/>
      <c r="T17" s="521"/>
      <c r="U17" s="521"/>
      <c r="V17" s="521"/>
      <c r="W17" s="521"/>
      <c r="X17" s="521"/>
      <c r="Y17" s="521"/>
      <c r="Z17" s="521"/>
      <c r="AA17" s="521"/>
      <c r="AB17" s="521"/>
      <c r="AC17" s="521"/>
      <c r="AD17" s="521"/>
      <c r="AE17" s="521"/>
      <c r="AF17" s="521"/>
      <c r="AG17" s="521"/>
      <c r="AH17" s="521"/>
      <c r="AI17" s="521"/>
      <c r="AJ17" s="521"/>
      <c r="AK17" s="521"/>
      <c r="AL17" s="521"/>
      <c r="AM17" s="521"/>
      <c r="AN17" s="521"/>
      <c r="AO17" s="521"/>
      <c r="AP17" s="521"/>
      <c r="AQ17" s="521"/>
      <c r="AR17" s="521"/>
      <c r="AS17" s="521"/>
      <c r="AT17" s="521"/>
      <c r="AU17" s="521"/>
      <c r="AV17" s="521"/>
      <c r="AW17" s="521"/>
      <c r="AX17" s="521"/>
      <c r="AY17" s="521"/>
      <c r="AZ17" s="521"/>
      <c r="BA17" s="521"/>
      <c r="BB17" s="521"/>
      <c r="BC17" s="521"/>
      <c r="BD17" s="521"/>
      <c r="BE17" s="521"/>
      <c r="BF17" s="521"/>
      <c r="BG17" s="521"/>
      <c r="BH17" s="521"/>
      <c r="BI17" s="521"/>
      <c r="BJ17" s="521"/>
      <c r="BK17" s="521"/>
      <c r="BL17" s="521"/>
      <c r="BM17" s="521"/>
      <c r="BN17" s="521"/>
      <c r="BO17" s="521"/>
      <c r="BP17" s="521"/>
      <c r="BQ17" s="521"/>
      <c r="BR17" s="521"/>
      <c r="BS17" s="521"/>
      <c r="BT17" s="521"/>
      <c r="BU17" s="521"/>
      <c r="BV17" s="521"/>
      <c r="BW17" s="521"/>
      <c r="BX17" s="521"/>
      <c r="BY17" s="521"/>
      <c r="BZ17" s="521"/>
      <c r="CA17" s="521"/>
      <c r="CB17" s="521"/>
      <c r="CC17" s="521"/>
      <c r="CD17" s="521"/>
      <c r="CE17" s="521"/>
      <c r="CF17" s="521"/>
      <c r="CG17" s="521"/>
      <c r="CH17" s="521"/>
      <c r="CI17" s="521"/>
      <c r="CJ17" s="521"/>
      <c r="CK17" s="521"/>
      <c r="CL17" s="521"/>
      <c r="CM17" s="521"/>
      <c r="CN17" s="521"/>
      <c r="CO17" s="521"/>
      <c r="CP17" s="521"/>
      <c r="CQ17" s="521"/>
      <c r="CR17" s="521"/>
      <c r="CS17" s="521"/>
      <c r="CT17" s="521"/>
      <c r="CU17" s="521"/>
      <c r="CV17" s="521"/>
      <c r="CW17" s="521"/>
      <c r="CX17" s="521"/>
      <c r="CY17" s="521"/>
      <c r="CZ17" s="521"/>
      <c r="DA17" s="521"/>
      <c r="DB17" s="521"/>
      <c r="DC17" s="521"/>
      <c r="DD17" s="521"/>
      <c r="DE17" s="521"/>
      <c r="DF17" s="521"/>
      <c r="DG17" s="521"/>
      <c r="DH17" s="521"/>
      <c r="DI17" s="521"/>
      <c r="DJ17" s="521"/>
      <c r="DK17" s="521"/>
      <c r="DL17" s="521"/>
      <c r="DM17" s="521"/>
      <c r="DN17" s="521"/>
      <c r="DO17" s="521"/>
      <c r="DP17" s="521"/>
      <c r="DQ17" s="521"/>
      <c r="DR17" s="521"/>
      <c r="DS17" s="521"/>
      <c r="DT17" s="521"/>
      <c r="DU17" s="521"/>
      <c r="DV17" s="521"/>
      <c r="DW17" s="521"/>
      <c r="DX17" s="521"/>
      <c r="DY17" s="521"/>
      <c r="DZ17" s="521"/>
      <c r="EA17" s="521"/>
      <c r="EB17" s="523" t="s">
        <v>557</v>
      </c>
    </row>
    <row r="18" spans="2:132" ht="19">
      <c r="B18" s="106" t="s">
        <v>1157</v>
      </c>
      <c r="C18" s="542">
        <v>0.4</v>
      </c>
      <c r="D18" s="528">
        <f t="shared" ref="D18:D19" si="13">1-C18</f>
        <v>0.6</v>
      </c>
      <c r="E18" s="542"/>
      <c r="G18" s="518" t="s">
        <v>1158</v>
      </c>
      <c r="H18" s="539">
        <f>C7</f>
        <v>0</v>
      </c>
      <c r="I18" s="540"/>
      <c r="K18" s="526">
        <f ca="1">-MIN(K5,0)*$H18</f>
        <v>0</v>
      </c>
      <c r="L18" s="526">
        <f t="shared" ref="L18:BW18" si="14">-MIN(L5,0)*$H18</f>
        <v>0</v>
      </c>
      <c r="M18" s="526">
        <f t="shared" si="14"/>
        <v>0</v>
      </c>
      <c r="N18" s="526">
        <f t="shared" si="14"/>
        <v>0</v>
      </c>
      <c r="O18" s="526">
        <f t="shared" si="14"/>
        <v>0</v>
      </c>
      <c r="P18" s="526">
        <f t="shared" si="14"/>
        <v>0</v>
      </c>
      <c r="Q18" s="526">
        <f t="shared" si="14"/>
        <v>0</v>
      </c>
      <c r="R18" s="526">
        <f t="shared" si="14"/>
        <v>0</v>
      </c>
      <c r="S18" s="526">
        <f t="shared" si="14"/>
        <v>0</v>
      </c>
      <c r="T18" s="526">
        <f t="shared" si="14"/>
        <v>0</v>
      </c>
      <c r="U18" s="526">
        <f t="shared" si="14"/>
        <v>0</v>
      </c>
      <c r="V18" s="526">
        <f t="shared" si="14"/>
        <v>0</v>
      </c>
      <c r="W18" s="526">
        <f t="shared" si="14"/>
        <v>0</v>
      </c>
      <c r="X18" s="526">
        <f t="shared" si="14"/>
        <v>0</v>
      </c>
      <c r="Y18" s="526">
        <f t="shared" si="14"/>
        <v>0</v>
      </c>
      <c r="Z18" s="526">
        <f t="shared" si="14"/>
        <v>0</v>
      </c>
      <c r="AA18" s="526">
        <f t="shared" si="14"/>
        <v>0</v>
      </c>
      <c r="AB18" s="526">
        <f t="shared" si="14"/>
        <v>0</v>
      </c>
      <c r="AC18" s="526">
        <f t="shared" si="14"/>
        <v>0</v>
      </c>
      <c r="AD18" s="526">
        <f t="shared" si="14"/>
        <v>0</v>
      </c>
      <c r="AE18" s="526">
        <f t="shared" si="14"/>
        <v>0</v>
      </c>
      <c r="AF18" s="526">
        <f t="shared" si="14"/>
        <v>0</v>
      </c>
      <c r="AG18" s="526">
        <f t="shared" si="14"/>
        <v>0</v>
      </c>
      <c r="AH18" s="526">
        <f t="shared" si="14"/>
        <v>0</v>
      </c>
      <c r="AI18" s="526">
        <f t="shared" si="14"/>
        <v>0</v>
      </c>
      <c r="AJ18" s="526">
        <f t="shared" si="14"/>
        <v>0</v>
      </c>
      <c r="AK18" s="526">
        <f t="shared" si="14"/>
        <v>0</v>
      </c>
      <c r="AL18" s="526">
        <f t="shared" si="14"/>
        <v>0</v>
      </c>
      <c r="AM18" s="526">
        <f t="shared" si="14"/>
        <v>0</v>
      </c>
      <c r="AN18" s="526">
        <f t="shared" si="14"/>
        <v>0</v>
      </c>
      <c r="AO18" s="526">
        <f t="shared" si="14"/>
        <v>0</v>
      </c>
      <c r="AP18" s="526">
        <f t="shared" si="14"/>
        <v>0</v>
      </c>
      <c r="AQ18" s="526">
        <f t="shared" si="14"/>
        <v>0</v>
      </c>
      <c r="AR18" s="526">
        <f t="shared" si="14"/>
        <v>0</v>
      </c>
      <c r="AS18" s="526">
        <f t="shared" si="14"/>
        <v>0</v>
      </c>
      <c r="AT18" s="526">
        <f t="shared" si="14"/>
        <v>0</v>
      </c>
      <c r="AU18" s="526">
        <f t="shared" si="14"/>
        <v>0</v>
      </c>
      <c r="AV18" s="526">
        <f t="shared" si="14"/>
        <v>0</v>
      </c>
      <c r="AW18" s="526">
        <f t="shared" si="14"/>
        <v>0</v>
      </c>
      <c r="AX18" s="526">
        <f t="shared" si="14"/>
        <v>0</v>
      </c>
      <c r="AY18" s="526">
        <f t="shared" si="14"/>
        <v>0</v>
      </c>
      <c r="AZ18" s="526">
        <f t="shared" si="14"/>
        <v>0</v>
      </c>
      <c r="BA18" s="526">
        <f t="shared" si="14"/>
        <v>0</v>
      </c>
      <c r="BB18" s="526">
        <f t="shared" si="14"/>
        <v>0</v>
      </c>
      <c r="BC18" s="526">
        <f t="shared" si="14"/>
        <v>0</v>
      </c>
      <c r="BD18" s="526">
        <f t="shared" si="14"/>
        <v>0</v>
      </c>
      <c r="BE18" s="526">
        <f t="shared" si="14"/>
        <v>0</v>
      </c>
      <c r="BF18" s="526">
        <f t="shared" si="14"/>
        <v>0</v>
      </c>
      <c r="BG18" s="526">
        <f t="shared" si="14"/>
        <v>0</v>
      </c>
      <c r="BH18" s="526">
        <f t="shared" si="14"/>
        <v>0</v>
      </c>
      <c r="BI18" s="526">
        <f t="shared" si="14"/>
        <v>0</v>
      </c>
      <c r="BJ18" s="526">
        <f t="shared" si="14"/>
        <v>0</v>
      </c>
      <c r="BK18" s="526">
        <f t="shared" si="14"/>
        <v>0</v>
      </c>
      <c r="BL18" s="526">
        <f t="shared" si="14"/>
        <v>0</v>
      </c>
      <c r="BM18" s="526">
        <f t="shared" si="14"/>
        <v>0</v>
      </c>
      <c r="BN18" s="526">
        <f t="shared" si="14"/>
        <v>0</v>
      </c>
      <c r="BO18" s="526">
        <f t="shared" si="14"/>
        <v>0</v>
      </c>
      <c r="BP18" s="526">
        <f t="shared" si="14"/>
        <v>0</v>
      </c>
      <c r="BQ18" s="526">
        <f t="shared" si="14"/>
        <v>0</v>
      </c>
      <c r="BR18" s="526">
        <f t="shared" si="14"/>
        <v>0</v>
      </c>
      <c r="BS18" s="526">
        <f t="shared" si="14"/>
        <v>0</v>
      </c>
      <c r="BT18" s="526">
        <f t="shared" si="14"/>
        <v>0</v>
      </c>
      <c r="BU18" s="526">
        <f t="shared" si="14"/>
        <v>0</v>
      </c>
      <c r="BV18" s="526">
        <f t="shared" si="14"/>
        <v>0</v>
      </c>
      <c r="BW18" s="526">
        <f t="shared" si="14"/>
        <v>0</v>
      </c>
      <c r="BX18" s="526">
        <f t="shared" ref="BX18:EA18" si="15">-MIN(BX5,0)*$H18</f>
        <v>0</v>
      </c>
      <c r="BY18" s="526">
        <f t="shared" si="15"/>
        <v>0</v>
      </c>
      <c r="BZ18" s="526">
        <f t="shared" si="15"/>
        <v>0</v>
      </c>
      <c r="CA18" s="526">
        <f t="shared" si="15"/>
        <v>0</v>
      </c>
      <c r="CB18" s="526">
        <f t="shared" si="15"/>
        <v>0</v>
      </c>
      <c r="CC18" s="526">
        <f t="shared" si="15"/>
        <v>0</v>
      </c>
      <c r="CD18" s="526">
        <f t="shared" si="15"/>
        <v>0</v>
      </c>
      <c r="CE18" s="526">
        <f t="shared" si="15"/>
        <v>0</v>
      </c>
      <c r="CF18" s="526">
        <f t="shared" si="15"/>
        <v>0</v>
      </c>
      <c r="CG18" s="526">
        <f t="shared" si="15"/>
        <v>0</v>
      </c>
      <c r="CH18" s="526">
        <f t="shared" si="15"/>
        <v>0</v>
      </c>
      <c r="CI18" s="526">
        <f t="shared" si="15"/>
        <v>0</v>
      </c>
      <c r="CJ18" s="526">
        <f t="shared" si="15"/>
        <v>0</v>
      </c>
      <c r="CK18" s="526">
        <f t="shared" si="15"/>
        <v>0</v>
      </c>
      <c r="CL18" s="526">
        <f t="shared" si="15"/>
        <v>0</v>
      </c>
      <c r="CM18" s="526">
        <f t="shared" si="15"/>
        <v>0</v>
      </c>
      <c r="CN18" s="526">
        <f t="shared" si="15"/>
        <v>0</v>
      </c>
      <c r="CO18" s="526">
        <f t="shared" si="15"/>
        <v>0</v>
      </c>
      <c r="CP18" s="526">
        <f t="shared" si="15"/>
        <v>0</v>
      </c>
      <c r="CQ18" s="526">
        <f t="shared" si="15"/>
        <v>0</v>
      </c>
      <c r="CR18" s="526">
        <f t="shared" si="15"/>
        <v>0</v>
      </c>
      <c r="CS18" s="526">
        <f t="shared" si="15"/>
        <v>0</v>
      </c>
      <c r="CT18" s="526">
        <f t="shared" si="15"/>
        <v>0</v>
      </c>
      <c r="CU18" s="526">
        <f t="shared" si="15"/>
        <v>0</v>
      </c>
      <c r="CV18" s="526">
        <f t="shared" si="15"/>
        <v>0</v>
      </c>
      <c r="CW18" s="526">
        <f t="shared" si="15"/>
        <v>0</v>
      </c>
      <c r="CX18" s="526">
        <f t="shared" si="15"/>
        <v>0</v>
      </c>
      <c r="CY18" s="526">
        <f t="shared" si="15"/>
        <v>0</v>
      </c>
      <c r="CZ18" s="526">
        <f t="shared" si="15"/>
        <v>0</v>
      </c>
      <c r="DA18" s="526">
        <f t="shared" si="15"/>
        <v>0</v>
      </c>
      <c r="DB18" s="526">
        <f t="shared" si="15"/>
        <v>0</v>
      </c>
      <c r="DC18" s="526">
        <f t="shared" si="15"/>
        <v>0</v>
      </c>
      <c r="DD18" s="526">
        <f t="shared" si="15"/>
        <v>0</v>
      </c>
      <c r="DE18" s="526">
        <f t="shared" si="15"/>
        <v>0</v>
      </c>
      <c r="DF18" s="526">
        <f t="shared" si="15"/>
        <v>0</v>
      </c>
      <c r="DG18" s="526">
        <f t="shared" si="15"/>
        <v>0</v>
      </c>
      <c r="DH18" s="526">
        <f t="shared" si="15"/>
        <v>0</v>
      </c>
      <c r="DI18" s="526">
        <f t="shared" si="15"/>
        <v>0</v>
      </c>
      <c r="DJ18" s="526">
        <f t="shared" si="15"/>
        <v>0</v>
      </c>
      <c r="DK18" s="526">
        <f t="shared" si="15"/>
        <v>0</v>
      </c>
      <c r="DL18" s="526">
        <f t="shared" si="15"/>
        <v>0</v>
      </c>
      <c r="DM18" s="526">
        <f t="shared" si="15"/>
        <v>0</v>
      </c>
      <c r="DN18" s="526">
        <f t="shared" si="15"/>
        <v>0</v>
      </c>
      <c r="DO18" s="526">
        <f t="shared" si="15"/>
        <v>0</v>
      </c>
      <c r="DP18" s="526">
        <f t="shared" si="15"/>
        <v>0</v>
      </c>
      <c r="DQ18" s="526">
        <f t="shared" si="15"/>
        <v>0</v>
      </c>
      <c r="DR18" s="526">
        <f t="shared" si="15"/>
        <v>0</v>
      </c>
      <c r="DS18" s="526">
        <f t="shared" si="15"/>
        <v>0</v>
      </c>
      <c r="DT18" s="526">
        <f t="shared" si="15"/>
        <v>0</v>
      </c>
      <c r="DU18" s="526">
        <f t="shared" si="15"/>
        <v>0</v>
      </c>
      <c r="DV18" s="526">
        <f t="shared" si="15"/>
        <v>0</v>
      </c>
      <c r="DW18" s="526">
        <f t="shared" si="15"/>
        <v>0</v>
      </c>
      <c r="DX18" s="526">
        <f t="shared" si="15"/>
        <v>0</v>
      </c>
      <c r="DY18" s="526">
        <f t="shared" si="15"/>
        <v>0</v>
      </c>
      <c r="DZ18" s="526">
        <f t="shared" si="15"/>
        <v>0</v>
      </c>
      <c r="EA18" s="526">
        <f t="shared" si="15"/>
        <v>0</v>
      </c>
      <c r="EB18" s="523" t="s">
        <v>557</v>
      </c>
    </row>
    <row r="19" spans="2:132" ht="19">
      <c r="B19" s="106" t="s">
        <v>1159</v>
      </c>
      <c r="C19" s="542">
        <v>0.4</v>
      </c>
      <c r="D19" s="528">
        <f t="shared" si="13"/>
        <v>0.6</v>
      </c>
      <c r="E19" s="542"/>
      <c r="G19" s="518" t="s">
        <v>1160</v>
      </c>
      <c r="H19" s="539">
        <f>C7</f>
        <v>0</v>
      </c>
      <c r="I19" s="540"/>
      <c r="K19" s="526">
        <f ca="1">K12/$H12*$H19</f>
        <v>0</v>
      </c>
      <c r="L19" s="526">
        <f t="shared" ref="L19:BW19" ca="1" si="16">L12/$H12*$H19</f>
        <v>0</v>
      </c>
      <c r="M19" s="526">
        <f t="shared" ca="1" si="16"/>
        <v>0</v>
      </c>
      <c r="N19" s="526">
        <f t="shared" ca="1" si="16"/>
        <v>0</v>
      </c>
      <c r="O19" s="526">
        <f t="shared" ca="1" si="16"/>
        <v>0</v>
      </c>
      <c r="P19" s="526">
        <f t="shared" ca="1" si="16"/>
        <v>0</v>
      </c>
      <c r="Q19" s="526">
        <f t="shared" ca="1" si="16"/>
        <v>0</v>
      </c>
      <c r="R19" s="526">
        <f t="shared" ca="1" si="16"/>
        <v>0</v>
      </c>
      <c r="S19" s="526">
        <f t="shared" ca="1" si="16"/>
        <v>0</v>
      </c>
      <c r="T19" s="526">
        <f t="shared" ca="1" si="16"/>
        <v>0</v>
      </c>
      <c r="U19" s="526">
        <f t="shared" ca="1" si="16"/>
        <v>0</v>
      </c>
      <c r="V19" s="526">
        <f t="shared" ca="1" si="16"/>
        <v>0</v>
      </c>
      <c r="W19" s="526">
        <f t="shared" ca="1" si="16"/>
        <v>0</v>
      </c>
      <c r="X19" s="526">
        <f t="shared" ca="1" si="16"/>
        <v>0</v>
      </c>
      <c r="Y19" s="526">
        <f t="shared" ca="1" si="16"/>
        <v>0</v>
      </c>
      <c r="Z19" s="526">
        <f t="shared" ca="1" si="16"/>
        <v>0</v>
      </c>
      <c r="AA19" s="526">
        <f t="shared" ca="1" si="16"/>
        <v>0</v>
      </c>
      <c r="AB19" s="526">
        <f t="shared" ca="1" si="16"/>
        <v>0</v>
      </c>
      <c r="AC19" s="526">
        <f t="shared" ca="1" si="16"/>
        <v>0</v>
      </c>
      <c r="AD19" s="526">
        <f t="shared" ca="1" si="16"/>
        <v>0</v>
      </c>
      <c r="AE19" s="526">
        <f t="shared" ca="1" si="16"/>
        <v>0</v>
      </c>
      <c r="AF19" s="526">
        <f t="shared" ca="1" si="16"/>
        <v>0</v>
      </c>
      <c r="AG19" s="526">
        <f t="shared" ca="1" si="16"/>
        <v>0</v>
      </c>
      <c r="AH19" s="526">
        <f t="shared" ca="1" si="16"/>
        <v>0</v>
      </c>
      <c r="AI19" s="526">
        <f t="shared" ca="1" si="16"/>
        <v>0</v>
      </c>
      <c r="AJ19" s="526">
        <f t="shared" ca="1" si="16"/>
        <v>0</v>
      </c>
      <c r="AK19" s="526">
        <f t="shared" ca="1" si="16"/>
        <v>0</v>
      </c>
      <c r="AL19" s="526">
        <f t="shared" ca="1" si="16"/>
        <v>0</v>
      </c>
      <c r="AM19" s="526">
        <f t="shared" ca="1" si="16"/>
        <v>0</v>
      </c>
      <c r="AN19" s="526">
        <f t="shared" ca="1" si="16"/>
        <v>0</v>
      </c>
      <c r="AO19" s="526">
        <f t="shared" ca="1" si="16"/>
        <v>0</v>
      </c>
      <c r="AP19" s="526">
        <f t="shared" ca="1" si="16"/>
        <v>0</v>
      </c>
      <c r="AQ19" s="526">
        <f t="shared" ca="1" si="16"/>
        <v>0</v>
      </c>
      <c r="AR19" s="526">
        <f t="shared" ca="1" si="16"/>
        <v>0</v>
      </c>
      <c r="AS19" s="526">
        <f t="shared" ca="1" si="16"/>
        <v>0</v>
      </c>
      <c r="AT19" s="526">
        <f t="shared" ca="1" si="16"/>
        <v>0</v>
      </c>
      <c r="AU19" s="526">
        <f t="shared" ca="1" si="16"/>
        <v>0</v>
      </c>
      <c r="AV19" s="526">
        <f t="shared" ca="1" si="16"/>
        <v>0</v>
      </c>
      <c r="AW19" s="526">
        <f t="shared" ca="1" si="16"/>
        <v>0</v>
      </c>
      <c r="AX19" s="526">
        <f t="shared" ca="1" si="16"/>
        <v>0</v>
      </c>
      <c r="AY19" s="526">
        <f t="shared" ca="1" si="16"/>
        <v>0</v>
      </c>
      <c r="AZ19" s="526">
        <f t="shared" ca="1" si="16"/>
        <v>0</v>
      </c>
      <c r="BA19" s="526">
        <f t="shared" ca="1" si="16"/>
        <v>0</v>
      </c>
      <c r="BB19" s="526">
        <f t="shared" ca="1" si="16"/>
        <v>0</v>
      </c>
      <c r="BC19" s="526">
        <f t="shared" ca="1" si="16"/>
        <v>0</v>
      </c>
      <c r="BD19" s="526">
        <f t="shared" ca="1" si="16"/>
        <v>0</v>
      </c>
      <c r="BE19" s="526">
        <f t="shared" ca="1" si="16"/>
        <v>0</v>
      </c>
      <c r="BF19" s="526">
        <f t="shared" ca="1" si="16"/>
        <v>0</v>
      </c>
      <c r="BG19" s="526">
        <f t="shared" ca="1" si="16"/>
        <v>0</v>
      </c>
      <c r="BH19" s="526">
        <f t="shared" ca="1" si="16"/>
        <v>0</v>
      </c>
      <c r="BI19" s="526">
        <f t="shared" ca="1" si="16"/>
        <v>0</v>
      </c>
      <c r="BJ19" s="526">
        <f t="shared" ca="1" si="16"/>
        <v>0</v>
      </c>
      <c r="BK19" s="526">
        <f t="shared" ca="1" si="16"/>
        <v>0</v>
      </c>
      <c r="BL19" s="526">
        <f t="shared" ca="1" si="16"/>
        <v>0</v>
      </c>
      <c r="BM19" s="526">
        <f t="shared" ca="1" si="16"/>
        <v>0</v>
      </c>
      <c r="BN19" s="526">
        <f t="shared" ca="1" si="16"/>
        <v>0</v>
      </c>
      <c r="BO19" s="526">
        <f t="shared" ca="1" si="16"/>
        <v>0</v>
      </c>
      <c r="BP19" s="526">
        <f t="shared" ca="1" si="16"/>
        <v>0</v>
      </c>
      <c r="BQ19" s="526">
        <f t="shared" ca="1" si="16"/>
        <v>0</v>
      </c>
      <c r="BR19" s="526">
        <f t="shared" ca="1" si="16"/>
        <v>0</v>
      </c>
      <c r="BS19" s="526">
        <f t="shared" ca="1" si="16"/>
        <v>0</v>
      </c>
      <c r="BT19" s="526">
        <f t="shared" ca="1" si="16"/>
        <v>0</v>
      </c>
      <c r="BU19" s="526">
        <f t="shared" ca="1" si="16"/>
        <v>0</v>
      </c>
      <c r="BV19" s="526">
        <f t="shared" ca="1" si="16"/>
        <v>0</v>
      </c>
      <c r="BW19" s="526">
        <f t="shared" ca="1" si="16"/>
        <v>0</v>
      </c>
      <c r="BX19" s="526">
        <f t="shared" ref="BX19:EA19" ca="1" si="17">BX12/$H12*$H19</f>
        <v>0</v>
      </c>
      <c r="BY19" s="526">
        <f t="shared" ca="1" si="17"/>
        <v>0</v>
      </c>
      <c r="BZ19" s="526">
        <f t="shared" ca="1" si="17"/>
        <v>0</v>
      </c>
      <c r="CA19" s="526">
        <f t="shared" ca="1" si="17"/>
        <v>0</v>
      </c>
      <c r="CB19" s="526">
        <f t="shared" ca="1" si="17"/>
        <v>0</v>
      </c>
      <c r="CC19" s="526">
        <f t="shared" ca="1" si="17"/>
        <v>0</v>
      </c>
      <c r="CD19" s="526">
        <f t="shared" ca="1" si="17"/>
        <v>0</v>
      </c>
      <c r="CE19" s="526">
        <f t="shared" ca="1" si="17"/>
        <v>0</v>
      </c>
      <c r="CF19" s="526">
        <f t="shared" ca="1" si="17"/>
        <v>0</v>
      </c>
      <c r="CG19" s="526">
        <f t="shared" ca="1" si="17"/>
        <v>0</v>
      </c>
      <c r="CH19" s="526">
        <f t="shared" ca="1" si="17"/>
        <v>0</v>
      </c>
      <c r="CI19" s="526">
        <f t="shared" ca="1" si="17"/>
        <v>0</v>
      </c>
      <c r="CJ19" s="526">
        <f t="shared" ca="1" si="17"/>
        <v>0</v>
      </c>
      <c r="CK19" s="526">
        <f t="shared" ca="1" si="17"/>
        <v>0</v>
      </c>
      <c r="CL19" s="526">
        <f t="shared" ca="1" si="17"/>
        <v>0</v>
      </c>
      <c r="CM19" s="526">
        <f t="shared" ca="1" si="17"/>
        <v>0</v>
      </c>
      <c r="CN19" s="526">
        <f t="shared" ca="1" si="17"/>
        <v>0</v>
      </c>
      <c r="CO19" s="526">
        <f t="shared" ca="1" si="17"/>
        <v>0</v>
      </c>
      <c r="CP19" s="526">
        <f t="shared" ca="1" si="17"/>
        <v>0</v>
      </c>
      <c r="CQ19" s="526">
        <f t="shared" ca="1" si="17"/>
        <v>0</v>
      </c>
      <c r="CR19" s="526">
        <f t="shared" ca="1" si="17"/>
        <v>0</v>
      </c>
      <c r="CS19" s="526">
        <f t="shared" ca="1" si="17"/>
        <v>0</v>
      </c>
      <c r="CT19" s="526">
        <f t="shared" ca="1" si="17"/>
        <v>0</v>
      </c>
      <c r="CU19" s="526">
        <f t="shared" ca="1" si="17"/>
        <v>0</v>
      </c>
      <c r="CV19" s="526">
        <f t="shared" ca="1" si="17"/>
        <v>0</v>
      </c>
      <c r="CW19" s="526">
        <f t="shared" ca="1" si="17"/>
        <v>0</v>
      </c>
      <c r="CX19" s="526">
        <f t="shared" ca="1" si="17"/>
        <v>0</v>
      </c>
      <c r="CY19" s="526">
        <f t="shared" ca="1" si="17"/>
        <v>0</v>
      </c>
      <c r="CZ19" s="526">
        <f t="shared" ca="1" si="17"/>
        <v>0</v>
      </c>
      <c r="DA19" s="526">
        <f t="shared" ca="1" si="17"/>
        <v>0</v>
      </c>
      <c r="DB19" s="526">
        <f t="shared" ca="1" si="17"/>
        <v>0</v>
      </c>
      <c r="DC19" s="526">
        <f t="shared" ca="1" si="17"/>
        <v>0</v>
      </c>
      <c r="DD19" s="526">
        <f t="shared" ca="1" si="17"/>
        <v>0</v>
      </c>
      <c r="DE19" s="526">
        <f t="shared" ca="1" si="17"/>
        <v>0</v>
      </c>
      <c r="DF19" s="526">
        <f t="shared" ca="1" si="17"/>
        <v>0</v>
      </c>
      <c r="DG19" s="526">
        <f t="shared" ca="1" si="17"/>
        <v>0</v>
      </c>
      <c r="DH19" s="526">
        <f t="shared" ca="1" si="17"/>
        <v>0</v>
      </c>
      <c r="DI19" s="526">
        <f t="shared" ca="1" si="17"/>
        <v>0</v>
      </c>
      <c r="DJ19" s="526">
        <f t="shared" ca="1" si="17"/>
        <v>0</v>
      </c>
      <c r="DK19" s="526">
        <f t="shared" ca="1" si="17"/>
        <v>0</v>
      </c>
      <c r="DL19" s="526">
        <f t="shared" ca="1" si="17"/>
        <v>0</v>
      </c>
      <c r="DM19" s="526">
        <f t="shared" ca="1" si="17"/>
        <v>0</v>
      </c>
      <c r="DN19" s="526">
        <f t="shared" ca="1" si="17"/>
        <v>0</v>
      </c>
      <c r="DO19" s="526">
        <f t="shared" ca="1" si="17"/>
        <v>0</v>
      </c>
      <c r="DP19" s="526">
        <f t="shared" ca="1" si="17"/>
        <v>0</v>
      </c>
      <c r="DQ19" s="526">
        <f t="shared" ca="1" si="17"/>
        <v>0</v>
      </c>
      <c r="DR19" s="526">
        <f t="shared" ca="1" si="17"/>
        <v>0</v>
      </c>
      <c r="DS19" s="526">
        <f t="shared" ca="1" si="17"/>
        <v>0</v>
      </c>
      <c r="DT19" s="526">
        <f t="shared" ca="1" si="17"/>
        <v>0</v>
      </c>
      <c r="DU19" s="526">
        <f t="shared" ca="1" si="17"/>
        <v>0</v>
      </c>
      <c r="DV19" s="526">
        <f t="shared" ca="1" si="17"/>
        <v>0</v>
      </c>
      <c r="DW19" s="526">
        <f t="shared" ca="1" si="17"/>
        <v>0</v>
      </c>
      <c r="DX19" s="526">
        <f t="shared" ca="1" si="17"/>
        <v>0</v>
      </c>
      <c r="DY19" s="526">
        <f t="shared" ca="1" si="17"/>
        <v>0</v>
      </c>
      <c r="DZ19" s="526">
        <f t="shared" ca="1" si="17"/>
        <v>0</v>
      </c>
      <c r="EA19" s="526">
        <f t="shared" ca="1" si="17"/>
        <v>0</v>
      </c>
      <c r="EB19" s="523" t="s">
        <v>557</v>
      </c>
    </row>
    <row r="20" spans="2:132" ht="19.5" thickBot="1">
      <c r="B20" s="141" t="s">
        <v>1161</v>
      </c>
      <c r="C20" s="549">
        <v>0.4</v>
      </c>
      <c r="D20" s="550">
        <f t="shared" si="12"/>
        <v>0.6</v>
      </c>
      <c r="E20" s="551"/>
      <c r="G20" s="518" t="s">
        <v>1150</v>
      </c>
      <c r="I20" s="543" t="s">
        <v>1105</v>
      </c>
      <c r="K20" s="526">
        <f ca="1">-K18+K19</f>
        <v>0</v>
      </c>
      <c r="L20" s="526">
        <f t="shared" ref="L20:BW20" ca="1" si="18">-L18+L19</f>
        <v>0</v>
      </c>
      <c r="M20" s="526">
        <f t="shared" ca="1" si="18"/>
        <v>0</v>
      </c>
      <c r="N20" s="526">
        <f t="shared" ca="1" si="18"/>
        <v>0</v>
      </c>
      <c r="O20" s="526">
        <f t="shared" ca="1" si="18"/>
        <v>0</v>
      </c>
      <c r="P20" s="526">
        <f t="shared" ca="1" si="18"/>
        <v>0</v>
      </c>
      <c r="Q20" s="526">
        <f t="shared" ca="1" si="18"/>
        <v>0</v>
      </c>
      <c r="R20" s="526">
        <f t="shared" ca="1" si="18"/>
        <v>0</v>
      </c>
      <c r="S20" s="526">
        <f t="shared" ca="1" si="18"/>
        <v>0</v>
      </c>
      <c r="T20" s="526">
        <f t="shared" ca="1" si="18"/>
        <v>0</v>
      </c>
      <c r="U20" s="526">
        <f t="shared" ca="1" si="18"/>
        <v>0</v>
      </c>
      <c r="V20" s="526">
        <f t="shared" ca="1" si="18"/>
        <v>0</v>
      </c>
      <c r="W20" s="526">
        <f t="shared" ca="1" si="18"/>
        <v>0</v>
      </c>
      <c r="X20" s="526">
        <f t="shared" ca="1" si="18"/>
        <v>0</v>
      </c>
      <c r="Y20" s="526">
        <f t="shared" ca="1" si="18"/>
        <v>0</v>
      </c>
      <c r="Z20" s="526">
        <f t="shared" ca="1" si="18"/>
        <v>0</v>
      </c>
      <c r="AA20" s="526">
        <f t="shared" ca="1" si="18"/>
        <v>0</v>
      </c>
      <c r="AB20" s="526">
        <f t="shared" ca="1" si="18"/>
        <v>0</v>
      </c>
      <c r="AC20" s="526">
        <f t="shared" ca="1" si="18"/>
        <v>0</v>
      </c>
      <c r="AD20" s="526">
        <f t="shared" ca="1" si="18"/>
        <v>0</v>
      </c>
      <c r="AE20" s="526">
        <f t="shared" ca="1" si="18"/>
        <v>0</v>
      </c>
      <c r="AF20" s="526">
        <f t="shared" ca="1" si="18"/>
        <v>0</v>
      </c>
      <c r="AG20" s="526">
        <f t="shared" ca="1" si="18"/>
        <v>0</v>
      </c>
      <c r="AH20" s="526">
        <f t="shared" ca="1" si="18"/>
        <v>0</v>
      </c>
      <c r="AI20" s="526">
        <f t="shared" ca="1" si="18"/>
        <v>0</v>
      </c>
      <c r="AJ20" s="526">
        <f t="shared" ca="1" si="18"/>
        <v>0</v>
      </c>
      <c r="AK20" s="526">
        <f t="shared" ca="1" si="18"/>
        <v>0</v>
      </c>
      <c r="AL20" s="526">
        <f t="shared" ca="1" si="18"/>
        <v>0</v>
      </c>
      <c r="AM20" s="526">
        <f t="shared" ca="1" si="18"/>
        <v>0</v>
      </c>
      <c r="AN20" s="526">
        <f t="shared" ca="1" si="18"/>
        <v>0</v>
      </c>
      <c r="AO20" s="526">
        <f t="shared" ca="1" si="18"/>
        <v>0</v>
      </c>
      <c r="AP20" s="526">
        <f t="shared" ca="1" si="18"/>
        <v>0</v>
      </c>
      <c r="AQ20" s="526">
        <f t="shared" ca="1" si="18"/>
        <v>0</v>
      </c>
      <c r="AR20" s="526">
        <f t="shared" ca="1" si="18"/>
        <v>0</v>
      </c>
      <c r="AS20" s="526">
        <f t="shared" ca="1" si="18"/>
        <v>0</v>
      </c>
      <c r="AT20" s="526">
        <f t="shared" ca="1" si="18"/>
        <v>0</v>
      </c>
      <c r="AU20" s="526">
        <f t="shared" ca="1" si="18"/>
        <v>0</v>
      </c>
      <c r="AV20" s="526">
        <f t="shared" ca="1" si="18"/>
        <v>0</v>
      </c>
      <c r="AW20" s="526">
        <f t="shared" ca="1" si="18"/>
        <v>0</v>
      </c>
      <c r="AX20" s="526">
        <f t="shared" ca="1" si="18"/>
        <v>0</v>
      </c>
      <c r="AY20" s="526">
        <f t="shared" ca="1" si="18"/>
        <v>0</v>
      </c>
      <c r="AZ20" s="526">
        <f t="shared" ca="1" si="18"/>
        <v>0</v>
      </c>
      <c r="BA20" s="526">
        <f t="shared" ca="1" si="18"/>
        <v>0</v>
      </c>
      <c r="BB20" s="526">
        <f t="shared" ca="1" si="18"/>
        <v>0</v>
      </c>
      <c r="BC20" s="526">
        <f t="shared" ca="1" si="18"/>
        <v>0</v>
      </c>
      <c r="BD20" s="526">
        <f t="shared" ca="1" si="18"/>
        <v>0</v>
      </c>
      <c r="BE20" s="526">
        <f t="shared" ca="1" si="18"/>
        <v>0</v>
      </c>
      <c r="BF20" s="526">
        <f t="shared" ca="1" si="18"/>
        <v>0</v>
      </c>
      <c r="BG20" s="526">
        <f t="shared" ca="1" si="18"/>
        <v>0</v>
      </c>
      <c r="BH20" s="526">
        <f t="shared" ca="1" si="18"/>
        <v>0</v>
      </c>
      <c r="BI20" s="526">
        <f t="shared" ca="1" si="18"/>
        <v>0</v>
      </c>
      <c r="BJ20" s="526">
        <f t="shared" ca="1" si="18"/>
        <v>0</v>
      </c>
      <c r="BK20" s="526">
        <f t="shared" ca="1" si="18"/>
        <v>0</v>
      </c>
      <c r="BL20" s="526">
        <f t="shared" ca="1" si="18"/>
        <v>0</v>
      </c>
      <c r="BM20" s="526">
        <f t="shared" ca="1" si="18"/>
        <v>0</v>
      </c>
      <c r="BN20" s="526">
        <f t="shared" ca="1" si="18"/>
        <v>0</v>
      </c>
      <c r="BO20" s="526">
        <f t="shared" ca="1" si="18"/>
        <v>0</v>
      </c>
      <c r="BP20" s="526">
        <f t="shared" ca="1" si="18"/>
        <v>0</v>
      </c>
      <c r="BQ20" s="526">
        <f t="shared" ca="1" si="18"/>
        <v>0</v>
      </c>
      <c r="BR20" s="526">
        <f t="shared" ca="1" si="18"/>
        <v>0</v>
      </c>
      <c r="BS20" s="526">
        <f t="shared" ca="1" si="18"/>
        <v>0</v>
      </c>
      <c r="BT20" s="526">
        <f t="shared" ca="1" si="18"/>
        <v>0</v>
      </c>
      <c r="BU20" s="526">
        <f t="shared" ca="1" si="18"/>
        <v>0</v>
      </c>
      <c r="BV20" s="526">
        <f t="shared" ca="1" si="18"/>
        <v>0</v>
      </c>
      <c r="BW20" s="526">
        <f t="shared" ca="1" si="18"/>
        <v>0</v>
      </c>
      <c r="BX20" s="526">
        <f t="shared" ref="BX20:EA20" ca="1" si="19">-BX18+BX19</f>
        <v>0</v>
      </c>
      <c r="BY20" s="526">
        <f t="shared" ca="1" si="19"/>
        <v>0</v>
      </c>
      <c r="BZ20" s="526">
        <f t="shared" ca="1" si="19"/>
        <v>0</v>
      </c>
      <c r="CA20" s="526">
        <f t="shared" ca="1" si="19"/>
        <v>0</v>
      </c>
      <c r="CB20" s="526">
        <f t="shared" ca="1" si="19"/>
        <v>0</v>
      </c>
      <c r="CC20" s="526">
        <f t="shared" ca="1" si="19"/>
        <v>0</v>
      </c>
      <c r="CD20" s="526">
        <f t="shared" ca="1" si="19"/>
        <v>0</v>
      </c>
      <c r="CE20" s="526">
        <f t="shared" ca="1" si="19"/>
        <v>0</v>
      </c>
      <c r="CF20" s="526">
        <f t="shared" ca="1" si="19"/>
        <v>0</v>
      </c>
      <c r="CG20" s="526">
        <f t="shared" ca="1" si="19"/>
        <v>0</v>
      </c>
      <c r="CH20" s="526">
        <f t="shared" ca="1" si="19"/>
        <v>0</v>
      </c>
      <c r="CI20" s="526">
        <f t="shared" ca="1" si="19"/>
        <v>0</v>
      </c>
      <c r="CJ20" s="526">
        <f t="shared" ca="1" si="19"/>
        <v>0</v>
      </c>
      <c r="CK20" s="526">
        <f t="shared" ca="1" si="19"/>
        <v>0</v>
      </c>
      <c r="CL20" s="526">
        <f t="shared" ca="1" si="19"/>
        <v>0</v>
      </c>
      <c r="CM20" s="526">
        <f t="shared" ca="1" si="19"/>
        <v>0</v>
      </c>
      <c r="CN20" s="526">
        <f t="shared" ca="1" si="19"/>
        <v>0</v>
      </c>
      <c r="CO20" s="526">
        <f t="shared" ca="1" si="19"/>
        <v>0</v>
      </c>
      <c r="CP20" s="526">
        <f t="shared" ca="1" si="19"/>
        <v>0</v>
      </c>
      <c r="CQ20" s="526">
        <f t="shared" ca="1" si="19"/>
        <v>0</v>
      </c>
      <c r="CR20" s="526">
        <f t="shared" ca="1" si="19"/>
        <v>0</v>
      </c>
      <c r="CS20" s="526">
        <f t="shared" ca="1" si="19"/>
        <v>0</v>
      </c>
      <c r="CT20" s="526">
        <f t="shared" ca="1" si="19"/>
        <v>0</v>
      </c>
      <c r="CU20" s="526">
        <f t="shared" ca="1" si="19"/>
        <v>0</v>
      </c>
      <c r="CV20" s="526">
        <f t="shared" ca="1" si="19"/>
        <v>0</v>
      </c>
      <c r="CW20" s="526">
        <f t="shared" ca="1" si="19"/>
        <v>0</v>
      </c>
      <c r="CX20" s="526">
        <f t="shared" ca="1" si="19"/>
        <v>0</v>
      </c>
      <c r="CY20" s="526">
        <f t="shared" ca="1" si="19"/>
        <v>0</v>
      </c>
      <c r="CZ20" s="526">
        <f t="shared" ca="1" si="19"/>
        <v>0</v>
      </c>
      <c r="DA20" s="526">
        <f t="shared" ca="1" si="19"/>
        <v>0</v>
      </c>
      <c r="DB20" s="526">
        <f t="shared" ca="1" si="19"/>
        <v>0</v>
      </c>
      <c r="DC20" s="526">
        <f t="shared" ca="1" si="19"/>
        <v>0</v>
      </c>
      <c r="DD20" s="526">
        <f t="shared" ca="1" si="19"/>
        <v>0</v>
      </c>
      <c r="DE20" s="526">
        <f t="shared" ca="1" si="19"/>
        <v>0</v>
      </c>
      <c r="DF20" s="526">
        <f t="shared" ca="1" si="19"/>
        <v>0</v>
      </c>
      <c r="DG20" s="526">
        <f t="shared" ca="1" si="19"/>
        <v>0</v>
      </c>
      <c r="DH20" s="526">
        <f t="shared" ca="1" si="19"/>
        <v>0</v>
      </c>
      <c r="DI20" s="526">
        <f t="shared" ca="1" si="19"/>
        <v>0</v>
      </c>
      <c r="DJ20" s="526">
        <f t="shared" ca="1" si="19"/>
        <v>0</v>
      </c>
      <c r="DK20" s="526">
        <f t="shared" ca="1" si="19"/>
        <v>0</v>
      </c>
      <c r="DL20" s="526">
        <f t="shared" ca="1" si="19"/>
        <v>0</v>
      </c>
      <c r="DM20" s="526">
        <f t="shared" ca="1" si="19"/>
        <v>0</v>
      </c>
      <c r="DN20" s="526">
        <f t="shared" ca="1" si="19"/>
        <v>0</v>
      </c>
      <c r="DO20" s="526">
        <f t="shared" ca="1" si="19"/>
        <v>0</v>
      </c>
      <c r="DP20" s="526">
        <f t="shared" ca="1" si="19"/>
        <v>0</v>
      </c>
      <c r="DQ20" s="526">
        <f t="shared" ca="1" si="19"/>
        <v>0</v>
      </c>
      <c r="DR20" s="526">
        <f t="shared" ca="1" si="19"/>
        <v>0</v>
      </c>
      <c r="DS20" s="526">
        <f t="shared" ca="1" si="19"/>
        <v>0</v>
      </c>
      <c r="DT20" s="526">
        <f t="shared" ca="1" si="19"/>
        <v>0</v>
      </c>
      <c r="DU20" s="526">
        <f t="shared" ca="1" si="19"/>
        <v>0</v>
      </c>
      <c r="DV20" s="526">
        <f t="shared" ca="1" si="19"/>
        <v>0</v>
      </c>
      <c r="DW20" s="526">
        <f t="shared" ca="1" si="19"/>
        <v>0</v>
      </c>
      <c r="DX20" s="526">
        <f t="shared" ca="1" si="19"/>
        <v>0</v>
      </c>
      <c r="DY20" s="526">
        <f t="shared" ca="1" si="19"/>
        <v>0</v>
      </c>
      <c r="DZ20" s="526">
        <f t="shared" ca="1" si="19"/>
        <v>0</v>
      </c>
      <c r="EA20" s="526">
        <f t="shared" ca="1" si="19"/>
        <v>0</v>
      </c>
      <c r="EB20" s="523" t="s">
        <v>557</v>
      </c>
    </row>
    <row r="21" spans="2:132">
      <c r="G21" s="545" t="s">
        <v>1162</v>
      </c>
      <c r="H21" s="546" t="s">
        <v>1153</v>
      </c>
      <c r="I21" s="547" t="e">
        <f ca="1">XIRR(K20:EA20,$K$2:$EA$2,)</f>
        <v>#NUM!</v>
      </c>
      <c r="EB21" s="523" t="s">
        <v>557</v>
      </c>
    </row>
    <row r="22" spans="2:132" ht="19">
      <c r="B22" s="173" t="s">
        <v>1163</v>
      </c>
      <c r="C22" s="552" t="str">
        <f ca="1">IF(ROUND(C23,0)=ROUND(C24,0),"OK","ERROR")</f>
        <v>OK</v>
      </c>
      <c r="EB22" s="523" t="s">
        <v>557</v>
      </c>
    </row>
    <row r="23" spans="2:132" ht="19">
      <c r="B23" s="106" t="s">
        <v>1164</v>
      </c>
      <c r="C23" s="532">
        <f ca="1">SUM(K5:EA5)</f>
        <v>14563270.037902832</v>
      </c>
      <c r="G23" s="518" t="s">
        <v>1165</v>
      </c>
      <c r="K23" s="526">
        <f ca="1">K12+K19</f>
        <v>0</v>
      </c>
      <c r="L23" s="526">
        <f t="shared" ref="L23:BW23" ca="1" si="20">L12+L19</f>
        <v>75142.199419975848</v>
      </c>
      <c r="M23" s="526">
        <f t="shared" ca="1" si="20"/>
        <v>77255.772749442272</v>
      </c>
      <c r="N23" s="526">
        <f t="shared" ca="1" si="20"/>
        <v>79383.436567771874</v>
      </c>
      <c r="O23" s="526">
        <f t="shared" ca="1" si="20"/>
        <v>81525.284811557081</v>
      </c>
      <c r="P23" s="526">
        <f t="shared" ca="1" si="20"/>
        <v>83681.412043634118</v>
      </c>
      <c r="Q23" s="526">
        <f t="shared" ca="1" si="20"/>
        <v>85851.913457258299</v>
      </c>
      <c r="R23" s="526">
        <f t="shared" ca="1" si="20"/>
        <v>88036.884880306709</v>
      </c>
      <c r="S23" s="526">
        <f t="shared" ca="1" si="20"/>
        <v>90236.422779508677</v>
      </c>
      <c r="T23" s="526">
        <f t="shared" ca="1" si="20"/>
        <v>92450.624264705359</v>
      </c>
      <c r="U23" s="526">
        <f t="shared" ca="1" si="20"/>
        <v>94679.587093136754</v>
      </c>
      <c r="V23" s="526">
        <f t="shared" ca="1" si="20"/>
        <v>96923.409673757662</v>
      </c>
      <c r="W23" s="526">
        <f t="shared" ca="1" si="20"/>
        <v>99182.191071582594</v>
      </c>
      <c r="X23" s="526">
        <f t="shared" ca="1" si="20"/>
        <v>99132.252015780003</v>
      </c>
      <c r="Y23" s="526">
        <f t="shared" ca="1" si="20"/>
        <v>101277.30024087873</v>
      </c>
      <c r="Z23" s="526">
        <f t="shared" ca="1" si="20"/>
        <v>103435.75501738423</v>
      </c>
      <c r="AA23" s="526">
        <f t="shared" ca="1" si="20"/>
        <v>105607.70013624289</v>
      </c>
      <c r="AB23" s="526">
        <f t="shared" ca="1" si="20"/>
        <v>107793.2199120944</v>
      </c>
      <c r="AC23" s="526">
        <f t="shared" ca="1" si="20"/>
        <v>109992.39918654515</v>
      </c>
      <c r="AD23" s="526">
        <f t="shared" ca="1" si="20"/>
        <v>112205.32333146107</v>
      </c>
      <c r="AE23" s="526">
        <f t="shared" ca="1" si="20"/>
        <v>114432.07825228265</v>
      </c>
      <c r="AF23" s="526">
        <f t="shared" ca="1" si="20"/>
        <v>116672.75039135954</v>
      </c>
      <c r="AG23" s="526">
        <f t="shared" ca="1" si="20"/>
        <v>118927.4267313055</v>
      </c>
      <c r="AH23" s="526">
        <f t="shared" ca="1" si="20"/>
        <v>121196.19479837616</v>
      </c>
      <c r="AI23" s="526">
        <f t="shared" ca="1" si="20"/>
        <v>123479.14266586611</v>
      </c>
      <c r="AJ23" s="526">
        <f t="shared" ca="1" si="20"/>
        <v>122481.38876808564</v>
      </c>
      <c r="AK23" s="526">
        <f t="shared" ca="1" si="20"/>
        <v>123710.65473037933</v>
      </c>
      <c r="AL23" s="526">
        <f t="shared" ca="1" si="20"/>
        <v>124944.01824588062</v>
      </c>
      <c r="AM23" s="526">
        <f t="shared" ca="1" si="20"/>
        <v>126181.4929731002</v>
      </c>
      <c r="AN23" s="526">
        <f t="shared" ca="1" si="20"/>
        <v>127423.09261607715</v>
      </c>
      <c r="AO23" s="526">
        <f t="shared" ca="1" si="20"/>
        <v>128668.83092453091</v>
      </c>
      <c r="AP23" s="526">
        <f t="shared" ca="1" si="20"/>
        <v>129918.72169401268</v>
      </c>
      <c r="AQ23" s="526">
        <f t="shared" ca="1" si="20"/>
        <v>131172.77876605943</v>
      </c>
      <c r="AR23" s="526">
        <f t="shared" ca="1" si="20"/>
        <v>132431.01602834626</v>
      </c>
      <c r="AS23" s="526">
        <f t="shared" ca="1" si="20"/>
        <v>133693.44741484086</v>
      </c>
      <c r="AT23" s="526">
        <f t="shared" ca="1" si="20"/>
        <v>134960.08690595691</v>
      </c>
      <c r="AU23" s="526">
        <f t="shared" ca="1" si="20"/>
        <v>136230.94852871029</v>
      </c>
      <c r="AV23" s="526">
        <f t="shared" ca="1" si="20"/>
        <v>135241.08391927258</v>
      </c>
      <c r="AW23" s="526">
        <f t="shared" ca="1" si="20"/>
        <v>136520.43207352899</v>
      </c>
      <c r="AX23" s="526">
        <f t="shared" ca="1" si="20"/>
        <v>137804.04472163261</v>
      </c>
      <c r="AY23" s="526">
        <f t="shared" ca="1" si="20"/>
        <v>139091.93607856351</v>
      </c>
      <c r="AZ23" s="526">
        <f t="shared" ca="1" si="20"/>
        <v>140384.12040668412</v>
      </c>
      <c r="BA23" s="526">
        <f t="shared" ca="1" si="20"/>
        <v>141680.61201589828</v>
      </c>
      <c r="BB23" s="526">
        <f t="shared" ca="1" si="20"/>
        <v>142981.42526381009</v>
      </c>
      <c r="BC23" s="526">
        <f t="shared" ca="1" si="20"/>
        <v>144286.57455588144</v>
      </c>
      <c r="BD23" s="526">
        <f t="shared" ca="1" si="20"/>
        <v>145596.07434559317</v>
      </c>
      <c r="BE23" s="526">
        <f t="shared" ca="1" si="20"/>
        <v>146909.93913460377</v>
      </c>
      <c r="BF23" s="526">
        <f t="shared" ca="1" si="20"/>
        <v>148228.18347291125</v>
      </c>
      <c r="BG23" s="526">
        <f t="shared" ca="1" si="20"/>
        <v>23165933.310961749</v>
      </c>
      <c r="BH23" s="526">
        <f t="shared" ca="1" si="20"/>
        <v>0</v>
      </c>
      <c r="BI23" s="526">
        <f t="shared" ca="1" si="20"/>
        <v>0</v>
      </c>
      <c r="BJ23" s="526">
        <f t="shared" ca="1" si="20"/>
        <v>0</v>
      </c>
      <c r="BK23" s="526">
        <f t="shared" ca="1" si="20"/>
        <v>0</v>
      </c>
      <c r="BL23" s="526">
        <f t="shared" ca="1" si="20"/>
        <v>0</v>
      </c>
      <c r="BM23" s="526">
        <f t="shared" ca="1" si="20"/>
        <v>0</v>
      </c>
      <c r="BN23" s="526">
        <f t="shared" ca="1" si="20"/>
        <v>0</v>
      </c>
      <c r="BO23" s="526">
        <f t="shared" ca="1" si="20"/>
        <v>0</v>
      </c>
      <c r="BP23" s="526">
        <f t="shared" ca="1" si="20"/>
        <v>0</v>
      </c>
      <c r="BQ23" s="526">
        <f t="shared" ca="1" si="20"/>
        <v>0</v>
      </c>
      <c r="BR23" s="526">
        <f t="shared" ca="1" si="20"/>
        <v>0</v>
      </c>
      <c r="BS23" s="526">
        <f t="shared" ca="1" si="20"/>
        <v>0</v>
      </c>
      <c r="BT23" s="526">
        <f t="shared" ca="1" si="20"/>
        <v>0</v>
      </c>
      <c r="BU23" s="526">
        <f t="shared" ca="1" si="20"/>
        <v>0</v>
      </c>
      <c r="BV23" s="526">
        <f t="shared" ca="1" si="20"/>
        <v>0</v>
      </c>
      <c r="BW23" s="526">
        <f t="shared" ca="1" si="20"/>
        <v>0</v>
      </c>
      <c r="BX23" s="526">
        <f t="shared" ref="BX23:EA23" ca="1" si="21">BX12+BX19</f>
        <v>0</v>
      </c>
      <c r="BY23" s="526">
        <f t="shared" ca="1" si="21"/>
        <v>0</v>
      </c>
      <c r="BZ23" s="526">
        <f t="shared" ca="1" si="21"/>
        <v>0</v>
      </c>
      <c r="CA23" s="526">
        <f t="shared" ca="1" si="21"/>
        <v>0</v>
      </c>
      <c r="CB23" s="526">
        <f t="shared" ca="1" si="21"/>
        <v>0</v>
      </c>
      <c r="CC23" s="526">
        <f t="shared" ca="1" si="21"/>
        <v>0</v>
      </c>
      <c r="CD23" s="526">
        <f t="shared" ca="1" si="21"/>
        <v>0</v>
      </c>
      <c r="CE23" s="526">
        <f t="shared" ca="1" si="21"/>
        <v>0</v>
      </c>
      <c r="CF23" s="526">
        <f t="shared" ca="1" si="21"/>
        <v>0</v>
      </c>
      <c r="CG23" s="526">
        <f t="shared" ca="1" si="21"/>
        <v>0</v>
      </c>
      <c r="CH23" s="526">
        <f t="shared" ca="1" si="21"/>
        <v>0</v>
      </c>
      <c r="CI23" s="526">
        <f t="shared" ca="1" si="21"/>
        <v>0</v>
      </c>
      <c r="CJ23" s="526">
        <f t="shared" ca="1" si="21"/>
        <v>0</v>
      </c>
      <c r="CK23" s="526">
        <f t="shared" ca="1" si="21"/>
        <v>0</v>
      </c>
      <c r="CL23" s="526">
        <f t="shared" ca="1" si="21"/>
        <v>0</v>
      </c>
      <c r="CM23" s="526">
        <f t="shared" ca="1" si="21"/>
        <v>0</v>
      </c>
      <c r="CN23" s="526">
        <f t="shared" ca="1" si="21"/>
        <v>0</v>
      </c>
      <c r="CO23" s="526">
        <f t="shared" ca="1" si="21"/>
        <v>0</v>
      </c>
      <c r="CP23" s="526">
        <f t="shared" ca="1" si="21"/>
        <v>0</v>
      </c>
      <c r="CQ23" s="526">
        <f t="shared" ca="1" si="21"/>
        <v>0</v>
      </c>
      <c r="CR23" s="526">
        <f t="shared" ca="1" si="21"/>
        <v>0</v>
      </c>
      <c r="CS23" s="526">
        <f t="shared" ca="1" si="21"/>
        <v>0</v>
      </c>
      <c r="CT23" s="526">
        <f t="shared" ca="1" si="21"/>
        <v>0</v>
      </c>
      <c r="CU23" s="526">
        <f t="shared" ca="1" si="21"/>
        <v>0</v>
      </c>
      <c r="CV23" s="526">
        <f t="shared" ca="1" si="21"/>
        <v>0</v>
      </c>
      <c r="CW23" s="526">
        <f t="shared" ca="1" si="21"/>
        <v>0</v>
      </c>
      <c r="CX23" s="526">
        <f t="shared" ca="1" si="21"/>
        <v>0</v>
      </c>
      <c r="CY23" s="526">
        <f t="shared" ca="1" si="21"/>
        <v>0</v>
      </c>
      <c r="CZ23" s="526">
        <f t="shared" ca="1" si="21"/>
        <v>0</v>
      </c>
      <c r="DA23" s="526">
        <f t="shared" ca="1" si="21"/>
        <v>0</v>
      </c>
      <c r="DB23" s="526">
        <f t="shared" ca="1" si="21"/>
        <v>0</v>
      </c>
      <c r="DC23" s="526">
        <f t="shared" ca="1" si="21"/>
        <v>0</v>
      </c>
      <c r="DD23" s="526">
        <f t="shared" ca="1" si="21"/>
        <v>0</v>
      </c>
      <c r="DE23" s="526">
        <f t="shared" ca="1" si="21"/>
        <v>0</v>
      </c>
      <c r="DF23" s="526">
        <f t="shared" ca="1" si="21"/>
        <v>0</v>
      </c>
      <c r="DG23" s="526">
        <f t="shared" ca="1" si="21"/>
        <v>0</v>
      </c>
      <c r="DH23" s="526">
        <f t="shared" ca="1" si="21"/>
        <v>0</v>
      </c>
      <c r="DI23" s="526">
        <f t="shared" ca="1" si="21"/>
        <v>0</v>
      </c>
      <c r="DJ23" s="526">
        <f t="shared" ca="1" si="21"/>
        <v>0</v>
      </c>
      <c r="DK23" s="526">
        <f t="shared" ca="1" si="21"/>
        <v>0</v>
      </c>
      <c r="DL23" s="526">
        <f t="shared" ca="1" si="21"/>
        <v>0</v>
      </c>
      <c r="DM23" s="526">
        <f t="shared" ca="1" si="21"/>
        <v>0</v>
      </c>
      <c r="DN23" s="526">
        <f t="shared" ca="1" si="21"/>
        <v>0</v>
      </c>
      <c r="DO23" s="526">
        <f t="shared" ca="1" si="21"/>
        <v>0</v>
      </c>
      <c r="DP23" s="526">
        <f t="shared" ca="1" si="21"/>
        <v>0</v>
      </c>
      <c r="DQ23" s="526">
        <f t="shared" ca="1" si="21"/>
        <v>0</v>
      </c>
      <c r="DR23" s="526">
        <f t="shared" ca="1" si="21"/>
        <v>0</v>
      </c>
      <c r="DS23" s="526">
        <f t="shared" ca="1" si="21"/>
        <v>0</v>
      </c>
      <c r="DT23" s="526">
        <f t="shared" ca="1" si="21"/>
        <v>0</v>
      </c>
      <c r="DU23" s="526">
        <f t="shared" ca="1" si="21"/>
        <v>0</v>
      </c>
      <c r="DV23" s="526">
        <f t="shared" ca="1" si="21"/>
        <v>0</v>
      </c>
      <c r="DW23" s="526">
        <f t="shared" ca="1" si="21"/>
        <v>0</v>
      </c>
      <c r="DX23" s="526">
        <f t="shared" ca="1" si="21"/>
        <v>0</v>
      </c>
      <c r="DY23" s="526">
        <f t="shared" ca="1" si="21"/>
        <v>0</v>
      </c>
      <c r="DZ23" s="526">
        <f t="shared" ca="1" si="21"/>
        <v>0</v>
      </c>
      <c r="EA23" s="526">
        <f t="shared" ca="1" si="21"/>
        <v>0</v>
      </c>
      <c r="EB23" s="523" t="s">
        <v>557</v>
      </c>
    </row>
    <row r="24" spans="2:132" ht="19.5" thickBot="1">
      <c r="B24" s="141" t="s">
        <v>1166</v>
      </c>
      <c r="C24" s="553">
        <f ca="1">SUM(K127:EA127,K134:EA134)</f>
        <v>14563270.037902832</v>
      </c>
      <c r="G24" s="554" t="s">
        <v>1167</v>
      </c>
      <c r="H24" s="555"/>
      <c r="I24" s="555"/>
      <c r="J24" s="555"/>
      <c r="K24" s="556">
        <f ca="1">MAX(K5,0)-K23</f>
        <v>0</v>
      </c>
      <c r="L24" s="556">
        <f t="shared" ref="L24:BW24" ca="1" si="22">MAX(L5,0)-L23</f>
        <v>0</v>
      </c>
      <c r="M24" s="556">
        <f t="shared" ca="1" si="22"/>
        <v>0</v>
      </c>
      <c r="N24" s="556">
        <f t="shared" ca="1" si="22"/>
        <v>0</v>
      </c>
      <c r="O24" s="556">
        <f t="shared" ca="1" si="22"/>
        <v>0</v>
      </c>
      <c r="P24" s="556">
        <f t="shared" ca="1" si="22"/>
        <v>0</v>
      </c>
      <c r="Q24" s="556">
        <f t="shared" ca="1" si="22"/>
        <v>0</v>
      </c>
      <c r="R24" s="556">
        <f t="shared" ca="1" si="22"/>
        <v>0</v>
      </c>
      <c r="S24" s="556">
        <f t="shared" ca="1" si="22"/>
        <v>0</v>
      </c>
      <c r="T24" s="556">
        <f t="shared" ca="1" si="22"/>
        <v>0</v>
      </c>
      <c r="U24" s="556">
        <f t="shared" ca="1" si="22"/>
        <v>0</v>
      </c>
      <c r="V24" s="556">
        <f t="shared" ca="1" si="22"/>
        <v>0</v>
      </c>
      <c r="W24" s="556">
        <f t="shared" ca="1" si="22"/>
        <v>0</v>
      </c>
      <c r="X24" s="556">
        <f t="shared" ca="1" si="22"/>
        <v>0</v>
      </c>
      <c r="Y24" s="556">
        <f t="shared" ca="1" si="22"/>
        <v>0</v>
      </c>
      <c r="Z24" s="556">
        <f t="shared" ca="1" si="22"/>
        <v>0</v>
      </c>
      <c r="AA24" s="556">
        <f t="shared" ca="1" si="22"/>
        <v>0</v>
      </c>
      <c r="AB24" s="556">
        <f t="shared" ca="1" si="22"/>
        <v>0</v>
      </c>
      <c r="AC24" s="556">
        <f t="shared" ca="1" si="22"/>
        <v>0</v>
      </c>
      <c r="AD24" s="556">
        <f t="shared" ca="1" si="22"/>
        <v>0</v>
      </c>
      <c r="AE24" s="556">
        <f t="shared" ca="1" si="22"/>
        <v>0</v>
      </c>
      <c r="AF24" s="556">
        <f t="shared" ca="1" si="22"/>
        <v>0</v>
      </c>
      <c r="AG24" s="556">
        <f t="shared" ca="1" si="22"/>
        <v>0</v>
      </c>
      <c r="AH24" s="556">
        <f t="shared" ca="1" si="22"/>
        <v>0</v>
      </c>
      <c r="AI24" s="556">
        <f t="shared" ca="1" si="22"/>
        <v>0</v>
      </c>
      <c r="AJ24" s="556">
        <f t="shared" ca="1" si="22"/>
        <v>0</v>
      </c>
      <c r="AK24" s="556">
        <f t="shared" ca="1" si="22"/>
        <v>0</v>
      </c>
      <c r="AL24" s="556">
        <f t="shared" ca="1" si="22"/>
        <v>0</v>
      </c>
      <c r="AM24" s="556">
        <f t="shared" ca="1" si="22"/>
        <v>0</v>
      </c>
      <c r="AN24" s="556">
        <f t="shared" ca="1" si="22"/>
        <v>0</v>
      </c>
      <c r="AO24" s="556">
        <f t="shared" ca="1" si="22"/>
        <v>0</v>
      </c>
      <c r="AP24" s="556">
        <f t="shared" ca="1" si="22"/>
        <v>0</v>
      </c>
      <c r="AQ24" s="556">
        <f t="shared" ca="1" si="22"/>
        <v>0</v>
      </c>
      <c r="AR24" s="556">
        <f t="shared" ca="1" si="22"/>
        <v>0</v>
      </c>
      <c r="AS24" s="556">
        <f t="shared" ca="1" si="22"/>
        <v>0</v>
      </c>
      <c r="AT24" s="556">
        <f t="shared" ca="1" si="22"/>
        <v>0</v>
      </c>
      <c r="AU24" s="556">
        <f t="shared" ca="1" si="22"/>
        <v>0</v>
      </c>
      <c r="AV24" s="556">
        <f t="shared" ca="1" si="22"/>
        <v>0</v>
      </c>
      <c r="AW24" s="556">
        <f t="shared" ca="1" si="22"/>
        <v>0</v>
      </c>
      <c r="AX24" s="556">
        <f t="shared" ca="1" si="22"/>
        <v>0</v>
      </c>
      <c r="AY24" s="556">
        <f t="shared" ca="1" si="22"/>
        <v>0</v>
      </c>
      <c r="AZ24" s="556">
        <f t="shared" ca="1" si="22"/>
        <v>0</v>
      </c>
      <c r="BA24" s="556">
        <f t="shared" ca="1" si="22"/>
        <v>0</v>
      </c>
      <c r="BB24" s="556">
        <f t="shared" ca="1" si="22"/>
        <v>0</v>
      </c>
      <c r="BC24" s="556">
        <f t="shared" ca="1" si="22"/>
        <v>0</v>
      </c>
      <c r="BD24" s="556">
        <f t="shared" ca="1" si="22"/>
        <v>0</v>
      </c>
      <c r="BE24" s="556">
        <f t="shared" ca="1" si="22"/>
        <v>0</v>
      </c>
      <c r="BF24" s="556">
        <f t="shared" ca="1" si="22"/>
        <v>0</v>
      </c>
      <c r="BG24" s="556">
        <f t="shared" ca="1" si="22"/>
        <v>6204295.1418645121</v>
      </c>
      <c r="BH24" s="556">
        <f t="shared" ca="1" si="22"/>
        <v>0</v>
      </c>
      <c r="BI24" s="556">
        <f t="shared" ca="1" si="22"/>
        <v>0</v>
      </c>
      <c r="BJ24" s="556">
        <f t="shared" ca="1" si="22"/>
        <v>0</v>
      </c>
      <c r="BK24" s="556">
        <f t="shared" ca="1" si="22"/>
        <v>0</v>
      </c>
      <c r="BL24" s="556">
        <f t="shared" ca="1" si="22"/>
        <v>0</v>
      </c>
      <c r="BM24" s="556">
        <f t="shared" ca="1" si="22"/>
        <v>0</v>
      </c>
      <c r="BN24" s="556">
        <f t="shared" ca="1" si="22"/>
        <v>0</v>
      </c>
      <c r="BO24" s="556">
        <f t="shared" ca="1" si="22"/>
        <v>0</v>
      </c>
      <c r="BP24" s="556">
        <f t="shared" ca="1" si="22"/>
        <v>0</v>
      </c>
      <c r="BQ24" s="556">
        <f t="shared" ca="1" si="22"/>
        <v>0</v>
      </c>
      <c r="BR24" s="556">
        <f t="shared" ca="1" si="22"/>
        <v>0</v>
      </c>
      <c r="BS24" s="556">
        <f t="shared" ca="1" si="22"/>
        <v>0</v>
      </c>
      <c r="BT24" s="556">
        <f t="shared" ca="1" si="22"/>
        <v>0</v>
      </c>
      <c r="BU24" s="556">
        <f t="shared" ca="1" si="22"/>
        <v>0</v>
      </c>
      <c r="BV24" s="556">
        <f t="shared" ca="1" si="22"/>
        <v>0</v>
      </c>
      <c r="BW24" s="556">
        <f t="shared" ca="1" si="22"/>
        <v>0</v>
      </c>
      <c r="BX24" s="556">
        <f t="shared" ref="BX24:EA24" ca="1" si="23">MAX(BX5,0)-BX23</f>
        <v>0</v>
      </c>
      <c r="BY24" s="556">
        <f t="shared" ca="1" si="23"/>
        <v>0</v>
      </c>
      <c r="BZ24" s="556">
        <f t="shared" ca="1" si="23"/>
        <v>0</v>
      </c>
      <c r="CA24" s="556">
        <f t="shared" ca="1" si="23"/>
        <v>0</v>
      </c>
      <c r="CB24" s="556">
        <f t="shared" ca="1" si="23"/>
        <v>0</v>
      </c>
      <c r="CC24" s="556">
        <f t="shared" ca="1" si="23"/>
        <v>0</v>
      </c>
      <c r="CD24" s="556">
        <f t="shared" ca="1" si="23"/>
        <v>0</v>
      </c>
      <c r="CE24" s="556">
        <f t="shared" ca="1" si="23"/>
        <v>0</v>
      </c>
      <c r="CF24" s="556">
        <f t="shared" ca="1" si="23"/>
        <v>0</v>
      </c>
      <c r="CG24" s="556">
        <f t="shared" ca="1" si="23"/>
        <v>0</v>
      </c>
      <c r="CH24" s="556">
        <f t="shared" ca="1" si="23"/>
        <v>0</v>
      </c>
      <c r="CI24" s="556">
        <f t="shared" ca="1" si="23"/>
        <v>0</v>
      </c>
      <c r="CJ24" s="556">
        <f t="shared" ca="1" si="23"/>
        <v>0</v>
      </c>
      <c r="CK24" s="556">
        <f t="shared" ca="1" si="23"/>
        <v>0</v>
      </c>
      <c r="CL24" s="556">
        <f t="shared" ca="1" si="23"/>
        <v>0</v>
      </c>
      <c r="CM24" s="556">
        <f t="shared" ca="1" si="23"/>
        <v>0</v>
      </c>
      <c r="CN24" s="556">
        <f t="shared" ca="1" si="23"/>
        <v>0</v>
      </c>
      <c r="CO24" s="556">
        <f t="shared" ca="1" si="23"/>
        <v>0</v>
      </c>
      <c r="CP24" s="556">
        <f t="shared" ca="1" si="23"/>
        <v>0</v>
      </c>
      <c r="CQ24" s="556">
        <f t="shared" ca="1" si="23"/>
        <v>0</v>
      </c>
      <c r="CR24" s="556">
        <f t="shared" ca="1" si="23"/>
        <v>0</v>
      </c>
      <c r="CS24" s="556">
        <f t="shared" ca="1" si="23"/>
        <v>0</v>
      </c>
      <c r="CT24" s="556">
        <f t="shared" ca="1" si="23"/>
        <v>0</v>
      </c>
      <c r="CU24" s="556">
        <f t="shared" ca="1" si="23"/>
        <v>0</v>
      </c>
      <c r="CV24" s="556">
        <f t="shared" ca="1" si="23"/>
        <v>0</v>
      </c>
      <c r="CW24" s="556">
        <f t="shared" ca="1" si="23"/>
        <v>0</v>
      </c>
      <c r="CX24" s="556">
        <f t="shared" ca="1" si="23"/>
        <v>0</v>
      </c>
      <c r="CY24" s="556">
        <f t="shared" ca="1" si="23"/>
        <v>0</v>
      </c>
      <c r="CZ24" s="556">
        <f t="shared" ca="1" si="23"/>
        <v>0</v>
      </c>
      <c r="DA24" s="556">
        <f t="shared" ca="1" si="23"/>
        <v>0</v>
      </c>
      <c r="DB24" s="556">
        <f t="shared" ca="1" si="23"/>
        <v>0</v>
      </c>
      <c r="DC24" s="556">
        <f t="shared" ca="1" si="23"/>
        <v>0</v>
      </c>
      <c r="DD24" s="556">
        <f t="shared" ca="1" si="23"/>
        <v>0</v>
      </c>
      <c r="DE24" s="556">
        <f t="shared" ca="1" si="23"/>
        <v>0</v>
      </c>
      <c r="DF24" s="556">
        <f t="shared" ca="1" si="23"/>
        <v>0</v>
      </c>
      <c r="DG24" s="556">
        <f t="shared" ca="1" si="23"/>
        <v>0</v>
      </c>
      <c r="DH24" s="556">
        <f t="shared" ca="1" si="23"/>
        <v>0</v>
      </c>
      <c r="DI24" s="556">
        <f t="shared" ca="1" si="23"/>
        <v>0</v>
      </c>
      <c r="DJ24" s="556">
        <f t="shared" ca="1" si="23"/>
        <v>0</v>
      </c>
      <c r="DK24" s="556">
        <f t="shared" ca="1" si="23"/>
        <v>0</v>
      </c>
      <c r="DL24" s="556">
        <f t="shared" ca="1" si="23"/>
        <v>0</v>
      </c>
      <c r="DM24" s="556">
        <f t="shared" ca="1" si="23"/>
        <v>0</v>
      </c>
      <c r="DN24" s="556">
        <f t="shared" ca="1" si="23"/>
        <v>0</v>
      </c>
      <c r="DO24" s="556">
        <f t="shared" ca="1" si="23"/>
        <v>0</v>
      </c>
      <c r="DP24" s="556">
        <f t="shared" ca="1" si="23"/>
        <v>0</v>
      </c>
      <c r="DQ24" s="556">
        <f t="shared" ca="1" si="23"/>
        <v>0</v>
      </c>
      <c r="DR24" s="556">
        <f t="shared" ca="1" si="23"/>
        <v>0</v>
      </c>
      <c r="DS24" s="556">
        <f t="shared" ca="1" si="23"/>
        <v>0</v>
      </c>
      <c r="DT24" s="556">
        <f t="shared" ca="1" si="23"/>
        <v>0</v>
      </c>
      <c r="DU24" s="556">
        <f t="shared" ca="1" si="23"/>
        <v>0</v>
      </c>
      <c r="DV24" s="556">
        <f t="shared" ca="1" si="23"/>
        <v>0</v>
      </c>
      <c r="DW24" s="556">
        <f t="shared" ca="1" si="23"/>
        <v>0</v>
      </c>
      <c r="DX24" s="556">
        <f t="shared" ca="1" si="23"/>
        <v>0</v>
      </c>
      <c r="DY24" s="556">
        <f t="shared" ca="1" si="23"/>
        <v>0</v>
      </c>
      <c r="DZ24" s="556">
        <f t="shared" ca="1" si="23"/>
        <v>0</v>
      </c>
      <c r="EA24" s="556">
        <f t="shared" ca="1" si="23"/>
        <v>0</v>
      </c>
      <c r="EB24" s="523" t="s">
        <v>557</v>
      </c>
    </row>
    <row r="25" spans="2:132">
      <c r="K25" s="526"/>
      <c r="EB25" s="523" t="s">
        <v>557</v>
      </c>
    </row>
    <row r="26" spans="2:132" ht="19">
      <c r="B26" s="101"/>
      <c r="C26" s="101"/>
      <c r="D26" s="101"/>
      <c r="G26" s="173" t="s">
        <v>1151</v>
      </c>
      <c r="H26" s="530"/>
      <c r="I26" s="530"/>
      <c r="J26" s="530"/>
      <c r="K26" s="530"/>
      <c r="L26" s="530"/>
      <c r="M26" s="530"/>
      <c r="N26" s="530"/>
      <c r="O26" s="530"/>
      <c r="P26" s="530"/>
      <c r="Q26" s="530"/>
      <c r="R26" s="530"/>
      <c r="S26" s="530"/>
      <c r="T26" s="530"/>
      <c r="U26" s="530"/>
      <c r="V26" s="530"/>
      <c r="W26" s="530"/>
      <c r="X26" s="530"/>
      <c r="Y26" s="530"/>
      <c r="Z26" s="530"/>
      <c r="AA26" s="530"/>
      <c r="AB26" s="530"/>
      <c r="AC26" s="530"/>
      <c r="AD26" s="530"/>
      <c r="AE26" s="530"/>
      <c r="AF26" s="530"/>
      <c r="AG26" s="530"/>
      <c r="AH26" s="530"/>
      <c r="AI26" s="530"/>
      <c r="AJ26" s="530"/>
      <c r="AK26" s="530"/>
      <c r="AL26" s="530"/>
      <c r="AM26" s="530"/>
      <c r="AN26" s="530"/>
      <c r="AO26" s="530"/>
      <c r="AP26" s="530"/>
      <c r="AQ26" s="530"/>
      <c r="AR26" s="530"/>
      <c r="AS26" s="530"/>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c r="BW26" s="530"/>
      <c r="BX26" s="530"/>
      <c r="BY26" s="530"/>
      <c r="BZ26" s="530"/>
      <c r="CA26" s="530"/>
      <c r="CB26" s="530"/>
      <c r="CC26" s="530"/>
      <c r="CD26" s="530"/>
      <c r="CE26" s="530"/>
      <c r="CF26" s="530"/>
      <c r="CG26" s="530"/>
      <c r="CH26" s="530"/>
      <c r="CI26" s="530"/>
      <c r="CJ26" s="530"/>
      <c r="CK26" s="530"/>
      <c r="CL26" s="530"/>
      <c r="CM26" s="530"/>
      <c r="CN26" s="530"/>
      <c r="CO26" s="530"/>
      <c r="CP26" s="530"/>
      <c r="CQ26" s="530"/>
      <c r="CR26" s="530"/>
      <c r="CS26" s="530"/>
      <c r="CT26" s="530"/>
      <c r="CU26" s="530"/>
      <c r="CV26" s="530"/>
      <c r="CW26" s="530"/>
      <c r="CX26" s="530"/>
      <c r="CY26" s="530"/>
      <c r="CZ26" s="530"/>
      <c r="DA26" s="530"/>
      <c r="DB26" s="530"/>
      <c r="DC26" s="530"/>
      <c r="DD26" s="530"/>
      <c r="DE26" s="530"/>
      <c r="DF26" s="530"/>
      <c r="DG26" s="530"/>
      <c r="DH26" s="530"/>
      <c r="DI26" s="530"/>
      <c r="DJ26" s="530"/>
      <c r="DK26" s="530"/>
      <c r="DL26" s="530"/>
      <c r="DM26" s="530"/>
      <c r="DN26" s="530"/>
      <c r="DO26" s="530"/>
      <c r="DP26" s="530"/>
      <c r="DQ26" s="530"/>
      <c r="DR26" s="530"/>
      <c r="DS26" s="530"/>
      <c r="DT26" s="530"/>
      <c r="DU26" s="530"/>
      <c r="DV26" s="530"/>
      <c r="DW26" s="530"/>
      <c r="DX26" s="530"/>
      <c r="DY26" s="530"/>
      <c r="DZ26" s="530"/>
      <c r="EA26" s="530"/>
      <c r="EB26" s="523" t="s">
        <v>557</v>
      </c>
    </row>
    <row r="27" spans="2:132">
      <c r="B27" s="101"/>
      <c r="C27" s="101"/>
      <c r="D27" s="101"/>
      <c r="G27" s="520" t="s">
        <v>1136</v>
      </c>
      <c r="H27" s="533"/>
      <c r="I27" s="533"/>
      <c r="J27" s="521"/>
      <c r="K27" s="521"/>
      <c r="L27" s="521"/>
      <c r="M27" s="521"/>
      <c r="N27" s="521"/>
      <c r="O27" s="521"/>
      <c r="P27" s="521"/>
      <c r="Q27" s="521"/>
      <c r="R27" s="521"/>
      <c r="S27" s="521"/>
      <c r="T27" s="521"/>
      <c r="U27" s="521"/>
      <c r="V27" s="521"/>
      <c r="W27" s="521"/>
      <c r="X27" s="521"/>
      <c r="Y27" s="521"/>
      <c r="Z27" s="521"/>
      <c r="AA27" s="521"/>
      <c r="AB27" s="521"/>
      <c r="AC27" s="521"/>
      <c r="AD27" s="521"/>
      <c r="AE27" s="521"/>
      <c r="AF27" s="521"/>
      <c r="AG27" s="521"/>
      <c r="AH27" s="521"/>
      <c r="AI27" s="521"/>
      <c r="AJ27" s="521"/>
      <c r="AK27" s="521"/>
      <c r="AL27" s="521"/>
      <c r="AM27" s="521"/>
      <c r="AN27" s="521"/>
      <c r="AO27" s="521"/>
      <c r="AP27" s="521"/>
      <c r="AQ27" s="521"/>
      <c r="AR27" s="521"/>
      <c r="AS27" s="521"/>
      <c r="AT27" s="521"/>
      <c r="AU27" s="521"/>
      <c r="AV27" s="521"/>
      <c r="AW27" s="521"/>
      <c r="AX27" s="521"/>
      <c r="AY27" s="521"/>
      <c r="AZ27" s="521"/>
      <c r="BA27" s="521"/>
      <c r="BB27" s="521"/>
      <c r="BC27" s="521"/>
      <c r="BD27" s="521"/>
      <c r="BE27" s="521"/>
      <c r="BF27" s="521"/>
      <c r="BG27" s="521"/>
      <c r="BH27" s="521"/>
      <c r="BI27" s="521"/>
      <c r="BJ27" s="521"/>
      <c r="BK27" s="521"/>
      <c r="BL27" s="521"/>
      <c r="BM27" s="521"/>
      <c r="BN27" s="521"/>
      <c r="BO27" s="521"/>
      <c r="BP27" s="521"/>
      <c r="BQ27" s="521"/>
      <c r="BR27" s="521"/>
      <c r="BS27" s="521"/>
      <c r="BT27" s="521"/>
      <c r="BU27" s="521"/>
      <c r="BV27" s="521"/>
      <c r="BW27" s="521"/>
      <c r="BX27" s="521"/>
      <c r="BY27" s="521"/>
      <c r="BZ27" s="521"/>
      <c r="CA27" s="521"/>
      <c r="CB27" s="521"/>
      <c r="CC27" s="521"/>
      <c r="CD27" s="521"/>
      <c r="CE27" s="521"/>
      <c r="CF27" s="521"/>
      <c r="CG27" s="521"/>
      <c r="CH27" s="521"/>
      <c r="CI27" s="521"/>
      <c r="CJ27" s="521"/>
      <c r="CK27" s="521"/>
      <c r="CL27" s="521"/>
      <c r="CM27" s="521"/>
      <c r="CN27" s="521"/>
      <c r="CO27" s="521"/>
      <c r="CP27" s="521"/>
      <c r="CQ27" s="521"/>
      <c r="CR27" s="521"/>
      <c r="CS27" s="521"/>
      <c r="CT27" s="521"/>
      <c r="CU27" s="521"/>
      <c r="CV27" s="521"/>
      <c r="CW27" s="521"/>
      <c r="CX27" s="521"/>
      <c r="CY27" s="521"/>
      <c r="CZ27" s="521"/>
      <c r="DA27" s="521"/>
      <c r="DB27" s="521"/>
      <c r="DC27" s="521"/>
      <c r="DD27" s="521"/>
      <c r="DE27" s="521"/>
      <c r="DF27" s="521"/>
      <c r="DG27" s="521"/>
      <c r="DH27" s="521"/>
      <c r="DI27" s="521"/>
      <c r="DJ27" s="521"/>
      <c r="DK27" s="521"/>
      <c r="DL27" s="521"/>
      <c r="DM27" s="521"/>
      <c r="DN27" s="521"/>
      <c r="DO27" s="521"/>
      <c r="DP27" s="521"/>
      <c r="DQ27" s="521"/>
      <c r="DR27" s="521"/>
      <c r="DS27" s="521"/>
      <c r="DT27" s="521"/>
      <c r="DU27" s="521"/>
      <c r="DV27" s="521"/>
      <c r="DW27" s="521"/>
      <c r="DX27" s="521"/>
      <c r="DY27" s="521"/>
      <c r="DZ27" s="521"/>
      <c r="EA27" s="521"/>
      <c r="EB27" s="523" t="s">
        <v>557</v>
      </c>
    </row>
    <row r="28" spans="2:132">
      <c r="B28" s="101"/>
      <c r="C28" s="101"/>
      <c r="D28" s="101"/>
      <c r="G28" s="518" t="s">
        <v>1141</v>
      </c>
      <c r="I28" s="534" t="s">
        <v>1142</v>
      </c>
      <c r="K28" s="526">
        <f>J33</f>
        <v>0</v>
      </c>
      <c r="L28" s="526">
        <f t="shared" ref="L28:BW28" ca="1" si="24">K33</f>
        <v>20296000</v>
      </c>
      <c r="M28" s="526">
        <f t="shared" ca="1" si="24"/>
        <v>20458623.754385371</v>
      </c>
      <c r="N28" s="526">
        <f t="shared" ca="1" si="24"/>
        <v>20621039.059213091</v>
      </c>
      <c r="O28" s="526">
        <f t="shared" ca="1" si="24"/>
        <v>20783229.382025052</v>
      </c>
      <c r="P28" s="526">
        <f t="shared" ca="1" si="24"/>
        <v>20945177.902750175</v>
      </c>
      <c r="Q28" s="526">
        <f t="shared" ca="1" si="24"/>
        <v>21106867.509708807</v>
      </c>
      <c r="R28" s="526">
        <f t="shared" ca="1" si="24"/>
        <v>21268280.795566138</v>
      </c>
      <c r="S28" s="526">
        <f t="shared" ca="1" si="24"/>
        <v>21429400.053234</v>
      </c>
      <c r="T28" s="526">
        <f t="shared" ca="1" si="24"/>
        <v>21590207.271720428</v>
      </c>
      <c r="U28" s="526">
        <f t="shared" ca="1" si="24"/>
        <v>21750684.131926343</v>
      </c>
      <c r="V28" s="526">
        <f t="shared" ca="1" si="24"/>
        <v>21910812.002388697</v>
      </c>
      <c r="W28" s="526">
        <f t="shared" ca="1" si="24"/>
        <v>22070571.934969448</v>
      </c>
      <c r="X28" s="526">
        <f t="shared" ca="1" si="24"/>
        <v>22229944.660489682</v>
      </c>
      <c r="Y28" s="526">
        <f t="shared" ca="1" si="24"/>
        <v>22391234.363304477</v>
      </c>
      <c r="Z28" s="526">
        <f t="shared" ca="1" si="24"/>
        <v>22552268.513362676</v>
      </c>
      <c r="AA28" s="526">
        <f t="shared" ca="1" si="24"/>
        <v>22713030.71033356</v>
      </c>
      <c r="AB28" s="526">
        <f t="shared" ca="1" si="24"/>
        <v>22873504.27796695</v>
      </c>
      <c r="AC28" s="526">
        <f t="shared" ca="1" si="24"/>
        <v>23033672.260337152</v>
      </c>
      <c r="AD28" s="526">
        <f t="shared" ca="1" si="24"/>
        <v>23193517.41803959</v>
      </c>
      <c r="AE28" s="526">
        <f t="shared" ca="1" si="24"/>
        <v>23353022.224339634</v>
      </c>
      <c r="AF28" s="526">
        <f t="shared" ca="1" si="24"/>
        <v>23512168.86127298</v>
      </c>
      <c r="AG28" s="526">
        <f t="shared" ca="1" si="24"/>
        <v>23670939.215696994</v>
      </c>
      <c r="AH28" s="526">
        <f t="shared" ca="1" si="24"/>
        <v>23829314.875292476</v>
      </c>
      <c r="AI28" s="526">
        <f t="shared" ca="1" si="24"/>
        <v>23987277.124515176</v>
      </c>
      <c r="AJ28" s="526">
        <f t="shared" ca="1" si="24"/>
        <v>24144806.940496504</v>
      </c>
      <c r="AK28" s="526">
        <f t="shared" ca="1" si="24"/>
        <v>24305179.959082235</v>
      </c>
      <c r="AL28" s="526">
        <f t="shared" ca="1" si="24"/>
        <v>24466202.468294587</v>
      </c>
      <c r="AM28" s="526">
        <f t="shared" ca="1" si="24"/>
        <v>24627877.979309089</v>
      </c>
      <c r="AN28" s="526">
        <f t="shared" ca="1" si="24"/>
        <v>24790210.030775882</v>
      </c>
      <c r="AO28" s="526">
        <f t="shared" ca="1" si="24"/>
        <v>24953202.18909606</v>
      </c>
      <c r="AP28" s="526">
        <f t="shared" ca="1" si="24"/>
        <v>25116858.048701093</v>
      </c>
      <c r="AQ28" s="526">
        <f t="shared" ca="1" si="24"/>
        <v>25281181.232335366</v>
      </c>
      <c r="AR28" s="526">
        <f t="shared" ca="1" si="24"/>
        <v>25446175.391341873</v>
      </c>
      <c r="AS28" s="526">
        <f t="shared" ca="1" si="24"/>
        <v>25611844.205951117</v>
      </c>
      <c r="AT28" s="526">
        <f t="shared" ca="1" si="24"/>
        <v>25778191.38557322</v>
      </c>
      <c r="AU28" s="526">
        <f t="shared" ca="1" si="24"/>
        <v>25945220.669093333</v>
      </c>
      <c r="AV28" s="526">
        <f t="shared" ca="1" si="24"/>
        <v>26112935.825170312</v>
      </c>
      <c r="AW28" s="526">
        <f t="shared" ca="1" si="24"/>
        <v>26283605.614976373</v>
      </c>
      <c r="AX28" s="526">
        <f t="shared" ca="1" si="24"/>
        <v>26454995.439036481</v>
      </c>
      <c r="AY28" s="526">
        <f t="shared" ca="1" si="24"/>
        <v>26627109.467998259</v>
      </c>
      <c r="AZ28" s="526">
        <f t="shared" ca="1" si="24"/>
        <v>26799951.907153137</v>
      </c>
      <c r="BA28" s="526">
        <f t="shared" ca="1" si="24"/>
        <v>26973526.99679482</v>
      </c>
      <c r="BB28" s="526">
        <f t="shared" ca="1" si="24"/>
        <v>27147839.012581795</v>
      </c>
      <c r="BC28" s="526">
        <f t="shared" ca="1" si="24"/>
        <v>27322892.265903935</v>
      </c>
      <c r="BD28" s="526">
        <f t="shared" ca="1" si="24"/>
        <v>27498691.104253221</v>
      </c>
      <c r="BE28" s="526">
        <f t="shared" ca="1" si="24"/>
        <v>27675239.911598668</v>
      </c>
      <c r="BF28" s="526">
        <f t="shared" ca="1" si="24"/>
        <v>27852543.108765449</v>
      </c>
      <c r="BG28" s="526">
        <f t="shared" ca="1" si="24"/>
        <v>28030605.153818358</v>
      </c>
      <c r="BH28" s="526">
        <f t="shared" ca="1" si="24"/>
        <v>229611.93995519355</v>
      </c>
      <c r="BI28" s="526">
        <f t="shared" ca="1" si="24"/>
        <v>232301.82475557501</v>
      </c>
      <c r="BJ28" s="526">
        <f t="shared" ca="1" si="24"/>
        <v>235023.2213329169</v>
      </c>
      <c r="BK28" s="526">
        <f t="shared" ca="1" si="24"/>
        <v>237776.49884506833</v>
      </c>
      <c r="BL28" s="526">
        <f t="shared" ca="1" si="24"/>
        <v>240562.03077453192</v>
      </c>
      <c r="BM28" s="526">
        <f t="shared" ca="1" si="24"/>
        <v>243380.19497912677</v>
      </c>
      <c r="BN28" s="526">
        <f t="shared" ca="1" si="24"/>
        <v>246231.37374324494</v>
      </c>
      <c r="BO28" s="526">
        <f t="shared" ca="1" si="24"/>
        <v>249115.95382970842</v>
      </c>
      <c r="BP28" s="526">
        <f t="shared" ca="1" si="24"/>
        <v>252034.32653223348</v>
      </c>
      <c r="BQ28" s="526">
        <f t="shared" ca="1" si="24"/>
        <v>254986.88772850978</v>
      </c>
      <c r="BR28" s="526">
        <f t="shared" ca="1" si="24"/>
        <v>257974.03793390124</v>
      </c>
      <c r="BS28" s="526">
        <f t="shared" ca="1" si="24"/>
        <v>260996.18235577599</v>
      </c>
      <c r="BT28" s="526">
        <f t="shared" ca="1" si="24"/>
        <v>264053.7309484728</v>
      </c>
      <c r="BU28" s="526">
        <f t="shared" ca="1" si="24"/>
        <v>267147.09846891148</v>
      </c>
      <c r="BV28" s="526">
        <f t="shared" ca="1" si="24"/>
        <v>270276.70453285467</v>
      </c>
      <c r="BW28" s="526">
        <f t="shared" ca="1" si="24"/>
        <v>273442.9736718288</v>
      </c>
      <c r="BX28" s="526">
        <f t="shared" ref="BX28:EA28" ca="1" si="25">BW33</f>
        <v>276646.33539071196</v>
      </c>
      <c r="BY28" s="526">
        <f t="shared" ca="1" si="25"/>
        <v>279887.22422599606</v>
      </c>
      <c r="BZ28" s="526">
        <f t="shared" ca="1" si="25"/>
        <v>283166.079804732</v>
      </c>
      <c r="CA28" s="526">
        <f t="shared" ca="1" si="25"/>
        <v>286483.346904165</v>
      </c>
      <c r="CB28" s="526">
        <f t="shared" ca="1" si="25"/>
        <v>289839.47551206884</v>
      </c>
      <c r="CC28" s="526">
        <f t="shared" ca="1" si="25"/>
        <v>293234.9208877866</v>
      </c>
      <c r="CD28" s="526">
        <f t="shared" ca="1" si="25"/>
        <v>296670.14362398681</v>
      </c>
      <c r="CE28" s="526">
        <f t="shared" ca="1" si="25"/>
        <v>300145.60970914277</v>
      </c>
      <c r="CF28" s="526">
        <f t="shared" ca="1" si="25"/>
        <v>303661.79059074412</v>
      </c>
      <c r="CG28" s="526">
        <f t="shared" ca="1" si="25"/>
        <v>307219.16323924862</v>
      </c>
      <c r="CH28" s="526">
        <f t="shared" ca="1" si="25"/>
        <v>310818.21021278331</v>
      </c>
      <c r="CI28" s="526">
        <f t="shared" ca="1" si="25"/>
        <v>314459.41972260358</v>
      </c>
      <c r="CJ28" s="526">
        <f t="shared" ca="1" si="25"/>
        <v>318143.28569931915</v>
      </c>
      <c r="CK28" s="526">
        <f t="shared" ca="1" si="25"/>
        <v>321870.30785989587</v>
      </c>
      <c r="CL28" s="526">
        <f t="shared" ca="1" si="25"/>
        <v>325640.99177544221</v>
      </c>
      <c r="CM28" s="526">
        <f t="shared" ca="1" si="25"/>
        <v>329455.84893979016</v>
      </c>
      <c r="CN28" s="526">
        <f t="shared" ca="1" si="25"/>
        <v>333315.39683887956</v>
      </c>
      <c r="CO28" s="526">
        <f t="shared" ca="1" si="25"/>
        <v>337220.15902095498</v>
      </c>
      <c r="CP28" s="526">
        <f t="shared" ca="1" si="25"/>
        <v>341170.66516758519</v>
      </c>
      <c r="CQ28" s="526">
        <f t="shared" ca="1" si="25"/>
        <v>345167.45116551459</v>
      </c>
      <c r="CR28" s="526">
        <f t="shared" ca="1" si="25"/>
        <v>349211.05917935615</v>
      </c>
      <c r="CS28" s="526">
        <f t="shared" ca="1" si="25"/>
        <v>353302.03772513632</v>
      </c>
      <c r="CT28" s="526">
        <f t="shared" ca="1" si="25"/>
        <v>357440.94174470118</v>
      </c>
      <c r="CU28" s="526">
        <f t="shared" ca="1" si="25"/>
        <v>361628.33268099453</v>
      </c>
      <c r="CV28" s="526">
        <f t="shared" ca="1" si="25"/>
        <v>365864.77855421748</v>
      </c>
      <c r="CW28" s="526">
        <f t="shared" ca="1" si="25"/>
        <v>370150.85403888067</v>
      </c>
      <c r="CX28" s="526">
        <f t="shared" ca="1" si="25"/>
        <v>374487.14054175891</v>
      </c>
      <c r="CY28" s="526">
        <f t="shared" ca="1" si="25"/>
        <v>378874.22628075909</v>
      </c>
      <c r="CZ28" s="526">
        <f t="shared" ca="1" si="25"/>
        <v>383312.70636471192</v>
      </c>
      <c r="DA28" s="526">
        <f t="shared" ca="1" si="25"/>
        <v>387803.18287409865</v>
      </c>
      <c r="DB28" s="526">
        <f t="shared" ca="1" si="25"/>
        <v>392346.26494272344</v>
      </c>
      <c r="DC28" s="526">
        <f t="shared" ca="1" si="25"/>
        <v>396942.56884034222</v>
      </c>
      <c r="DD28" s="526">
        <f t="shared" ca="1" si="25"/>
        <v>401592.71805626003</v>
      </c>
      <c r="DE28" s="526">
        <f t="shared" ca="1" si="25"/>
        <v>406297.34338390722</v>
      </c>
      <c r="DF28" s="526">
        <f t="shared" ca="1" si="25"/>
        <v>411057.08300640684</v>
      </c>
      <c r="DG28" s="526">
        <f t="shared" ca="1" si="25"/>
        <v>415872.58258314419</v>
      </c>
      <c r="DH28" s="526">
        <f t="shared" ca="1" si="25"/>
        <v>420744.49533735059</v>
      </c>
      <c r="DI28" s="526">
        <f t="shared" ca="1" si="25"/>
        <v>425673.48214471329</v>
      </c>
      <c r="DJ28" s="526">
        <f t="shared" ca="1" si="25"/>
        <v>430660.21162302326</v>
      </c>
      <c r="DK28" s="526">
        <f t="shared" ca="1" si="25"/>
        <v>435705.36022287345</v>
      </c>
      <c r="DL28" s="526">
        <f t="shared" ca="1" si="25"/>
        <v>440809.61231941922</v>
      </c>
      <c r="DM28" s="526">
        <f t="shared" ca="1" si="25"/>
        <v>445973.660305214</v>
      </c>
      <c r="DN28" s="526">
        <f t="shared" ca="1" si="25"/>
        <v>451198.20468413248</v>
      </c>
      <c r="DO28" s="526">
        <f t="shared" ca="1" si="25"/>
        <v>456483.95416639408</v>
      </c>
      <c r="DP28" s="526">
        <f t="shared" ca="1" si="25"/>
        <v>461831.62576469954</v>
      </c>
      <c r="DQ28" s="526">
        <f t="shared" ca="1" si="25"/>
        <v>467241.94489149383</v>
      </c>
      <c r="DR28" s="526">
        <f t="shared" ca="1" si="25"/>
        <v>472715.6454573684</v>
      </c>
      <c r="DS28" s="526">
        <f t="shared" ca="1" si="25"/>
        <v>478253.46997061634</v>
      </c>
      <c r="DT28" s="526">
        <f t="shared" ca="1" si="25"/>
        <v>483856.16963795369</v>
      </c>
      <c r="DU28" s="526">
        <f t="shared" ca="1" si="25"/>
        <v>489524.5044664208</v>
      </c>
      <c r="DV28" s="526">
        <f t="shared" ca="1" si="25"/>
        <v>495259.24336647731</v>
      </c>
      <c r="DW28" s="526">
        <f t="shared" ca="1" si="25"/>
        <v>501061.16425630503</v>
      </c>
      <c r="DX28" s="526">
        <f t="shared" ca="1" si="25"/>
        <v>506931.05416733265</v>
      </c>
      <c r="DY28" s="526">
        <f t="shared" ca="1" si="25"/>
        <v>512869.70935099665</v>
      </c>
      <c r="DZ28" s="526">
        <f t="shared" ca="1" si="25"/>
        <v>518877.93538675294</v>
      </c>
      <c r="EA28" s="526">
        <f t="shared" ca="1" si="25"/>
        <v>524956.54729135381</v>
      </c>
      <c r="EB28" s="523" t="s">
        <v>557</v>
      </c>
    </row>
    <row r="29" spans="2:132">
      <c r="B29" s="101"/>
      <c r="C29" s="101"/>
      <c r="D29" s="101"/>
      <c r="G29" s="518" t="s">
        <v>1168</v>
      </c>
      <c r="H29" s="537">
        <f>E15</f>
        <v>0.15</v>
      </c>
      <c r="I29" s="538">
        <f>((H29+1)^(1/12)-1)</f>
        <v>1.171491691985338E-2</v>
      </c>
      <c r="K29" s="526">
        <f>K28*$I29</f>
        <v>0</v>
      </c>
      <c r="L29" s="526">
        <f ca="1">L28*$I29</f>
        <v>237765.95380534421</v>
      </c>
      <c r="M29" s="526">
        <f t="shared" ref="M29:BX29" ca="1" si="26">M28*$I29</f>
        <v>239671.07757716347</v>
      </c>
      <c r="N29" s="526">
        <f t="shared" ca="1" si="26"/>
        <v>241573.75937973286</v>
      </c>
      <c r="O29" s="526">
        <f t="shared" ca="1" si="26"/>
        <v>243473.8055366792</v>
      </c>
      <c r="P29" s="526">
        <f t="shared" ca="1" si="26"/>
        <v>245371.01900226716</v>
      </c>
      <c r="Q29" s="526">
        <f t="shared" ca="1" si="26"/>
        <v>247265.19931459127</v>
      </c>
      <c r="R29" s="526">
        <f t="shared" ca="1" si="26"/>
        <v>249156.14254817044</v>
      </c>
      <c r="S29" s="526">
        <f t="shared" ca="1" si="26"/>
        <v>251043.64126593791</v>
      </c>
      <c r="T29" s="526">
        <f t="shared" ca="1" si="26"/>
        <v>252927.48447061912</v>
      </c>
      <c r="U29" s="526">
        <f t="shared" ca="1" si="26"/>
        <v>254807.45755549034</v>
      </c>
      <c r="V29" s="526">
        <f t="shared" ca="1" si="26"/>
        <v>256683.34225450986</v>
      </c>
      <c r="W29" s="526">
        <f t="shared" ca="1" si="26"/>
        <v>258554.91659181472</v>
      </c>
      <c r="X29" s="526">
        <f t="shared" ca="1" si="26"/>
        <v>260421.95483057486</v>
      </c>
      <c r="Y29" s="526">
        <f t="shared" ca="1" si="26"/>
        <v>262311.45029907802</v>
      </c>
      <c r="Z29" s="526">
        <f t="shared" ca="1" si="26"/>
        <v>264197.95198826905</v>
      </c>
      <c r="AA29" s="526">
        <f t="shared" ca="1" si="26"/>
        <v>266081.26776963606</v>
      </c>
      <c r="AB29" s="526">
        <f t="shared" ca="1" si="26"/>
        <v>267961.2022822937</v>
      </c>
      <c r="AC29" s="526">
        <f t="shared" ca="1" si="26"/>
        <v>269837.55688898114</v>
      </c>
      <c r="AD29" s="526">
        <f t="shared" ca="1" si="26"/>
        <v>271710.12963150605</v>
      </c>
      <c r="AE29" s="526">
        <f t="shared" ca="1" si="26"/>
        <v>273578.71518562839</v>
      </c>
      <c r="AF29" s="526">
        <f t="shared" ca="1" si="26"/>
        <v>275443.10481537657</v>
      </c>
      <c r="AG29" s="526">
        <f t="shared" ca="1" si="26"/>
        <v>277303.08632678963</v>
      </c>
      <c r="AH29" s="526">
        <f t="shared" ca="1" si="26"/>
        <v>279158.44402107765</v>
      </c>
      <c r="AI29" s="526">
        <f t="shared" ca="1" si="26"/>
        <v>281008.95864719478</v>
      </c>
      <c r="AJ29" s="526">
        <f t="shared" ca="1" si="26"/>
        <v>282854.4073538158</v>
      </c>
      <c r="AK29" s="526">
        <f t="shared" ca="1" si="26"/>
        <v>284733.16394273372</v>
      </c>
      <c r="AL29" s="526">
        <f t="shared" ca="1" si="26"/>
        <v>286619.52926038275</v>
      </c>
      <c r="AM29" s="526">
        <f t="shared" ca="1" si="26"/>
        <v>288513.54443989252</v>
      </c>
      <c r="AN29" s="526">
        <f t="shared" ca="1" si="26"/>
        <v>290415.25093625538</v>
      </c>
      <c r="AO29" s="526">
        <f t="shared" ca="1" si="26"/>
        <v>292324.69052956381</v>
      </c>
      <c r="AP29" s="526">
        <f t="shared" ca="1" si="26"/>
        <v>294241.90532828396</v>
      </c>
      <c r="AQ29" s="526">
        <f t="shared" ca="1" si="26"/>
        <v>296166.93777256529</v>
      </c>
      <c r="AR29" s="526">
        <f t="shared" ca="1" si="26"/>
        <v>298099.83063758758</v>
      </c>
      <c r="AS29" s="526">
        <f t="shared" ca="1" si="26"/>
        <v>300040.62703694549</v>
      </c>
      <c r="AT29" s="526">
        <f t="shared" ca="1" si="26"/>
        <v>301989.37042607035</v>
      </c>
      <c r="AU29" s="526">
        <f t="shared" ca="1" si="26"/>
        <v>303946.1046056911</v>
      </c>
      <c r="AV29" s="526">
        <f t="shared" ca="1" si="26"/>
        <v>305910.87372533319</v>
      </c>
      <c r="AW29" s="526">
        <f t="shared" ca="1" si="26"/>
        <v>307910.25613364001</v>
      </c>
      <c r="AX29" s="526">
        <f t="shared" ca="1" si="26"/>
        <v>309918.07368341245</v>
      </c>
      <c r="AY29" s="526">
        <f t="shared" ca="1" si="26"/>
        <v>311934.37523344095</v>
      </c>
      <c r="AZ29" s="526">
        <f t="shared" ca="1" si="26"/>
        <v>313959.21004836512</v>
      </c>
      <c r="BA29" s="526">
        <f t="shared" ca="1" si="26"/>
        <v>315992.62780287355</v>
      </c>
      <c r="BB29" s="526">
        <f t="shared" ca="1" si="26"/>
        <v>318034.67858595017</v>
      </c>
      <c r="BC29" s="526">
        <f t="shared" ca="1" si="26"/>
        <v>320085.41290516907</v>
      </c>
      <c r="BD29" s="526">
        <f t="shared" ca="1" si="26"/>
        <v>322144.88169103768</v>
      </c>
      <c r="BE29" s="526">
        <f t="shared" ca="1" si="26"/>
        <v>324213.13630138879</v>
      </c>
      <c r="BF29" s="526">
        <f t="shared" ca="1" si="26"/>
        <v>326290.22852582199</v>
      </c>
      <c r="BG29" s="526">
        <f t="shared" ca="1" si="26"/>
        <v>328376.21059019602</v>
      </c>
      <c r="BH29" s="526">
        <f t="shared" ca="1" si="26"/>
        <v>2689.8848003814551</v>
      </c>
      <c r="BI29" s="526">
        <f t="shared" ca="1" si="26"/>
        <v>2721.3965773419004</v>
      </c>
      <c r="BJ29" s="526">
        <f t="shared" ca="1" si="26"/>
        <v>2753.2775121514342</v>
      </c>
      <c r="BK29" s="526">
        <f t="shared" ca="1" si="26"/>
        <v>2785.5319294635888</v>
      </c>
      <c r="BL29" s="526">
        <f t="shared" ca="1" si="26"/>
        <v>2818.1642045948533</v>
      </c>
      <c r="BM29" s="526">
        <f t="shared" ca="1" si="26"/>
        <v>2851.1787641181868</v>
      </c>
      <c r="BN29" s="526">
        <f t="shared" ca="1" si="26"/>
        <v>2884.5800864634816</v>
      </c>
      <c r="BO29" s="526">
        <f t="shared" ca="1" si="26"/>
        <v>2918.3727025250646</v>
      </c>
      <c r="BP29" s="526">
        <f t="shared" ca="1" si="26"/>
        <v>2952.5611962763137</v>
      </c>
      <c r="BQ29" s="526">
        <f t="shared" ca="1" si="26"/>
        <v>2987.1502053914733</v>
      </c>
      <c r="BR29" s="526">
        <f t="shared" ca="1" si="26"/>
        <v>3022.1444218747574</v>
      </c>
      <c r="BS29" s="526">
        <f t="shared" ca="1" si="26"/>
        <v>3057.5485926968181</v>
      </c>
      <c r="BT29" s="526">
        <f t="shared" ca="1" si="26"/>
        <v>3093.3675204386759</v>
      </c>
      <c r="BU29" s="526">
        <f t="shared" ca="1" si="26"/>
        <v>3129.606063943188</v>
      </c>
      <c r="BV29" s="526">
        <f t="shared" ca="1" si="26"/>
        <v>3166.2691389741517</v>
      </c>
      <c r="BW29" s="526">
        <f t="shared" ca="1" si="26"/>
        <v>3203.3617188831295</v>
      </c>
      <c r="BX29" s="526">
        <f t="shared" ca="1" si="26"/>
        <v>3240.8888352840845</v>
      </c>
      <c r="BY29" s="526">
        <f t="shared" ref="BY29:EA29" ca="1" si="27">BY28*$I29</f>
        <v>3278.8555787359182</v>
      </c>
      <c r="BZ29" s="526">
        <f t="shared" ca="1" si="27"/>
        <v>3317.2670994330074</v>
      </c>
      <c r="CA29" s="526">
        <f t="shared" ca="1" si="27"/>
        <v>3356.1286079038277</v>
      </c>
      <c r="CB29" s="526">
        <f t="shared" ca="1" si="27"/>
        <v>3395.4453757177644</v>
      </c>
      <c r="CC29" s="526">
        <f t="shared" ca="1" si="27"/>
        <v>3435.2227362001986</v>
      </c>
      <c r="CD29" s="526">
        <f t="shared" ca="1" si="27"/>
        <v>3475.4660851559752</v>
      </c>
      <c r="CE29" s="526">
        <f t="shared" ca="1" si="27"/>
        <v>3516.1808816013454</v>
      </c>
      <c r="CF29" s="526">
        <f t="shared" ca="1" si="27"/>
        <v>3557.3726485044822</v>
      </c>
      <c r="CG29" s="526">
        <f t="shared" ca="1" si="27"/>
        <v>3599.046973534671</v>
      </c>
      <c r="CH29" s="526">
        <f t="shared" ca="1" si="27"/>
        <v>3641.2095098202799</v>
      </c>
      <c r="CI29" s="526">
        <f t="shared" ca="1" si="27"/>
        <v>3683.8659767156041</v>
      </c>
      <c r="CJ29" s="526">
        <f t="shared" ca="1" si="27"/>
        <v>3727.0221605767019</v>
      </c>
      <c r="CK29" s="526">
        <f t="shared" ca="1" si="27"/>
        <v>3770.6839155463103</v>
      </c>
      <c r="CL29" s="526">
        <f t="shared" ca="1" si="27"/>
        <v>3814.8571643479631</v>
      </c>
      <c r="CM29" s="526">
        <f t="shared" ca="1" si="27"/>
        <v>3859.5478990894071</v>
      </c>
      <c r="CN29" s="526">
        <f t="shared" ca="1" si="27"/>
        <v>3904.7621820754339</v>
      </c>
      <c r="CO29" s="526">
        <f t="shared" ca="1" si="27"/>
        <v>3950.5061466302327</v>
      </c>
      <c r="CP29" s="526">
        <f t="shared" ca="1" si="27"/>
        <v>3996.7859979293758</v>
      </c>
      <c r="CQ29" s="526">
        <f t="shared" ca="1" si="27"/>
        <v>4043.6080138415523</v>
      </c>
      <c r="CR29" s="526">
        <f t="shared" ca="1" si="27"/>
        <v>4090.978545780159</v>
      </c>
      <c r="CS29" s="526">
        <f t="shared" ca="1" si="27"/>
        <v>4138.9040195648768</v>
      </c>
      <c r="CT29" s="526">
        <f t="shared" ca="1" si="27"/>
        <v>4187.3909362933264</v>
      </c>
      <c r="CU29" s="526">
        <f t="shared" ca="1" si="27"/>
        <v>4236.4458732229496</v>
      </c>
      <c r="CV29" s="526">
        <f t="shared" ca="1" si="27"/>
        <v>4286.0754846632126</v>
      </c>
      <c r="CW29" s="526">
        <f t="shared" ca="1" si="27"/>
        <v>4336.2865028782617</v>
      </c>
      <c r="CX29" s="526">
        <f t="shared" ca="1" si="27"/>
        <v>4387.085739000162</v>
      </c>
      <c r="CY29" s="526">
        <f t="shared" ca="1" si="27"/>
        <v>4438.4800839528225</v>
      </c>
      <c r="CZ29" s="526">
        <f t="shared" ca="1" si="27"/>
        <v>4490.4765093867536</v>
      </c>
      <c r="DA29" s="526">
        <f t="shared" ca="1" si="27"/>
        <v>4543.0820686247725</v>
      </c>
      <c r="DB29" s="526">
        <f t="shared" ca="1" si="27"/>
        <v>4596.3038976187881</v>
      </c>
      <c r="DC29" s="526">
        <f t="shared" ca="1" si="27"/>
        <v>4650.1492159177897</v>
      </c>
      <c r="DD29" s="526">
        <f t="shared" ca="1" si="27"/>
        <v>4704.6253276471889</v>
      </c>
      <c r="DE29" s="526">
        <f t="shared" ca="1" si="27"/>
        <v>4759.7396224996137</v>
      </c>
      <c r="DF29" s="526">
        <f t="shared" ca="1" si="27"/>
        <v>4815.4995767373312</v>
      </c>
      <c r="DG29" s="526">
        <f t="shared" ca="1" si="27"/>
        <v>4871.9127542063979</v>
      </c>
      <c r="DH29" s="526">
        <f t="shared" ca="1" si="27"/>
        <v>4928.9868073626994</v>
      </c>
      <c r="DI29" s="526">
        <f t="shared" ca="1" si="27"/>
        <v>4986.7294783100069</v>
      </c>
      <c r="DJ29" s="526">
        <f t="shared" ca="1" si="27"/>
        <v>5045.1485998501921</v>
      </c>
      <c r="DK29" s="526">
        <f t="shared" ca="1" si="27"/>
        <v>5104.2520965457516</v>
      </c>
      <c r="DL29" s="526">
        <f t="shared" ca="1" si="27"/>
        <v>5164.047985794773</v>
      </c>
      <c r="DM29" s="526">
        <f t="shared" ca="1" si="27"/>
        <v>5224.5443789184947</v>
      </c>
      <c r="DN29" s="526">
        <f t="shared" ca="1" si="27"/>
        <v>5285.7494822616118</v>
      </c>
      <c r="DO29" s="526">
        <f t="shared" ca="1" si="27"/>
        <v>5347.6715983054646</v>
      </c>
      <c r="DP29" s="526">
        <f t="shared" ca="1" si="27"/>
        <v>5410.319126794273</v>
      </c>
      <c r="DQ29" s="526">
        <f t="shared" ca="1" si="27"/>
        <v>5473.7005658745611</v>
      </c>
      <c r="DR29" s="526">
        <f t="shared" ca="1" si="27"/>
        <v>5537.8245132479369</v>
      </c>
      <c r="DS29" s="526">
        <f t="shared" ca="1" si="27"/>
        <v>5602.6996673373633</v>
      </c>
      <c r="DT29" s="526">
        <f t="shared" ca="1" si="27"/>
        <v>5668.334828467111</v>
      </c>
      <c r="DU29" s="526">
        <f t="shared" ca="1" si="27"/>
        <v>5734.7389000565145</v>
      </c>
      <c r="DV29" s="526">
        <f t="shared" ca="1" si="27"/>
        <v>5801.9208898277275</v>
      </c>
      <c r="DW29" s="526">
        <f t="shared" ca="1" si="27"/>
        <v>5869.8899110276216</v>
      </c>
      <c r="DX29" s="526">
        <f t="shared" ca="1" si="27"/>
        <v>5938.6551836639956</v>
      </c>
      <c r="DY29" s="526">
        <f t="shared" ca="1" si="27"/>
        <v>6008.2260357562755</v>
      </c>
      <c r="DZ29" s="526">
        <f t="shared" ca="1" si="27"/>
        <v>6078.6119046008607</v>
      </c>
      <c r="EA29" s="526">
        <f t="shared" ca="1" si="27"/>
        <v>6149.8223380512918</v>
      </c>
      <c r="EB29" s="523" t="s">
        <v>557</v>
      </c>
    </row>
    <row r="30" spans="2:132">
      <c r="B30" s="101"/>
      <c r="C30" s="101"/>
      <c r="D30" s="101"/>
      <c r="G30" s="518" t="s">
        <v>1145</v>
      </c>
      <c r="K30" s="526">
        <f ca="1">K11</f>
        <v>20296000</v>
      </c>
      <c r="L30" s="526">
        <f t="shared" ref="L30:BW31" si="28">L11</f>
        <v>0</v>
      </c>
      <c r="M30" s="526">
        <f t="shared" si="28"/>
        <v>0</v>
      </c>
      <c r="N30" s="526">
        <f t="shared" si="28"/>
        <v>0</v>
      </c>
      <c r="O30" s="526">
        <f t="shared" si="28"/>
        <v>0</v>
      </c>
      <c r="P30" s="526">
        <f t="shared" si="28"/>
        <v>0</v>
      </c>
      <c r="Q30" s="526">
        <f t="shared" si="28"/>
        <v>0</v>
      </c>
      <c r="R30" s="526">
        <f t="shared" si="28"/>
        <v>0</v>
      </c>
      <c r="S30" s="526">
        <f t="shared" si="28"/>
        <v>0</v>
      </c>
      <c r="T30" s="526">
        <f t="shared" si="28"/>
        <v>0</v>
      </c>
      <c r="U30" s="526">
        <f t="shared" si="28"/>
        <v>0</v>
      </c>
      <c r="V30" s="526">
        <f t="shared" si="28"/>
        <v>0</v>
      </c>
      <c r="W30" s="526">
        <f t="shared" si="28"/>
        <v>0</v>
      </c>
      <c r="X30" s="526">
        <f t="shared" si="28"/>
        <v>0</v>
      </c>
      <c r="Y30" s="526">
        <f t="shared" si="28"/>
        <v>0</v>
      </c>
      <c r="Z30" s="526">
        <f t="shared" si="28"/>
        <v>0</v>
      </c>
      <c r="AA30" s="526">
        <f t="shared" si="28"/>
        <v>0</v>
      </c>
      <c r="AB30" s="526">
        <f t="shared" si="28"/>
        <v>0</v>
      </c>
      <c r="AC30" s="526">
        <f t="shared" si="28"/>
        <v>0</v>
      </c>
      <c r="AD30" s="526">
        <f t="shared" si="28"/>
        <v>0</v>
      </c>
      <c r="AE30" s="526">
        <f t="shared" si="28"/>
        <v>0</v>
      </c>
      <c r="AF30" s="526">
        <f t="shared" si="28"/>
        <v>0</v>
      </c>
      <c r="AG30" s="526">
        <f t="shared" si="28"/>
        <v>0</v>
      </c>
      <c r="AH30" s="526">
        <f t="shared" si="28"/>
        <v>0</v>
      </c>
      <c r="AI30" s="526">
        <f t="shared" si="28"/>
        <v>0</v>
      </c>
      <c r="AJ30" s="526">
        <f t="shared" si="28"/>
        <v>0</v>
      </c>
      <c r="AK30" s="526">
        <f t="shared" si="28"/>
        <v>0</v>
      </c>
      <c r="AL30" s="526">
        <f t="shared" si="28"/>
        <v>0</v>
      </c>
      <c r="AM30" s="526">
        <f t="shared" si="28"/>
        <v>0</v>
      </c>
      <c r="AN30" s="526">
        <f t="shared" si="28"/>
        <v>0</v>
      </c>
      <c r="AO30" s="526">
        <f t="shared" si="28"/>
        <v>0</v>
      </c>
      <c r="AP30" s="526">
        <f t="shared" si="28"/>
        <v>0</v>
      </c>
      <c r="AQ30" s="526">
        <f t="shared" si="28"/>
        <v>0</v>
      </c>
      <c r="AR30" s="526">
        <f t="shared" si="28"/>
        <v>0</v>
      </c>
      <c r="AS30" s="526">
        <f t="shared" si="28"/>
        <v>0</v>
      </c>
      <c r="AT30" s="526">
        <f t="shared" si="28"/>
        <v>0</v>
      </c>
      <c r="AU30" s="526">
        <f t="shared" si="28"/>
        <v>0</v>
      </c>
      <c r="AV30" s="526">
        <f t="shared" si="28"/>
        <v>0</v>
      </c>
      <c r="AW30" s="526">
        <f t="shared" si="28"/>
        <v>0</v>
      </c>
      <c r="AX30" s="526">
        <f t="shared" si="28"/>
        <v>0</v>
      </c>
      <c r="AY30" s="526">
        <f t="shared" si="28"/>
        <v>0</v>
      </c>
      <c r="AZ30" s="526">
        <f t="shared" si="28"/>
        <v>0</v>
      </c>
      <c r="BA30" s="526">
        <f t="shared" si="28"/>
        <v>0</v>
      </c>
      <c r="BB30" s="526">
        <f t="shared" si="28"/>
        <v>0</v>
      </c>
      <c r="BC30" s="526">
        <f t="shared" si="28"/>
        <v>0</v>
      </c>
      <c r="BD30" s="526">
        <f t="shared" si="28"/>
        <v>0</v>
      </c>
      <c r="BE30" s="526">
        <f t="shared" si="28"/>
        <v>0</v>
      </c>
      <c r="BF30" s="526">
        <f t="shared" si="28"/>
        <v>0</v>
      </c>
      <c r="BG30" s="526">
        <f t="shared" si="28"/>
        <v>0</v>
      </c>
      <c r="BH30" s="526">
        <f t="shared" si="28"/>
        <v>0</v>
      </c>
      <c r="BI30" s="526">
        <f t="shared" si="28"/>
        <v>0</v>
      </c>
      <c r="BJ30" s="526">
        <f t="shared" si="28"/>
        <v>0</v>
      </c>
      <c r="BK30" s="526">
        <f t="shared" si="28"/>
        <v>0</v>
      </c>
      <c r="BL30" s="526">
        <f t="shared" si="28"/>
        <v>0</v>
      </c>
      <c r="BM30" s="526">
        <f t="shared" si="28"/>
        <v>0</v>
      </c>
      <c r="BN30" s="526">
        <f t="shared" si="28"/>
        <v>0</v>
      </c>
      <c r="BO30" s="526">
        <f t="shared" si="28"/>
        <v>0</v>
      </c>
      <c r="BP30" s="526">
        <f t="shared" si="28"/>
        <v>0</v>
      </c>
      <c r="BQ30" s="526">
        <f t="shared" si="28"/>
        <v>0</v>
      </c>
      <c r="BR30" s="526">
        <f t="shared" si="28"/>
        <v>0</v>
      </c>
      <c r="BS30" s="526">
        <f t="shared" si="28"/>
        <v>0</v>
      </c>
      <c r="BT30" s="526">
        <f t="shared" si="28"/>
        <v>0</v>
      </c>
      <c r="BU30" s="526">
        <f t="shared" si="28"/>
        <v>0</v>
      </c>
      <c r="BV30" s="526">
        <f t="shared" si="28"/>
        <v>0</v>
      </c>
      <c r="BW30" s="526">
        <f t="shared" si="28"/>
        <v>0</v>
      </c>
      <c r="BX30" s="526">
        <f t="shared" ref="BX30:EA31" si="29">BX11</f>
        <v>0</v>
      </c>
      <c r="BY30" s="526">
        <f t="shared" si="29"/>
        <v>0</v>
      </c>
      <c r="BZ30" s="526">
        <f t="shared" si="29"/>
        <v>0</v>
      </c>
      <c r="CA30" s="526">
        <f t="shared" si="29"/>
        <v>0</v>
      </c>
      <c r="CB30" s="526">
        <f t="shared" si="29"/>
        <v>0</v>
      </c>
      <c r="CC30" s="526">
        <f t="shared" si="29"/>
        <v>0</v>
      </c>
      <c r="CD30" s="526">
        <f t="shared" si="29"/>
        <v>0</v>
      </c>
      <c r="CE30" s="526">
        <f t="shared" si="29"/>
        <v>0</v>
      </c>
      <c r="CF30" s="526">
        <f t="shared" si="29"/>
        <v>0</v>
      </c>
      <c r="CG30" s="526">
        <f t="shared" si="29"/>
        <v>0</v>
      </c>
      <c r="CH30" s="526">
        <f t="shared" si="29"/>
        <v>0</v>
      </c>
      <c r="CI30" s="526">
        <f t="shared" si="29"/>
        <v>0</v>
      </c>
      <c r="CJ30" s="526">
        <f t="shared" si="29"/>
        <v>0</v>
      </c>
      <c r="CK30" s="526">
        <f t="shared" si="29"/>
        <v>0</v>
      </c>
      <c r="CL30" s="526">
        <f t="shared" si="29"/>
        <v>0</v>
      </c>
      <c r="CM30" s="526">
        <f t="shared" si="29"/>
        <v>0</v>
      </c>
      <c r="CN30" s="526">
        <f t="shared" si="29"/>
        <v>0</v>
      </c>
      <c r="CO30" s="526">
        <f t="shared" si="29"/>
        <v>0</v>
      </c>
      <c r="CP30" s="526">
        <f t="shared" si="29"/>
        <v>0</v>
      </c>
      <c r="CQ30" s="526">
        <f t="shared" si="29"/>
        <v>0</v>
      </c>
      <c r="CR30" s="526">
        <f t="shared" si="29"/>
        <v>0</v>
      </c>
      <c r="CS30" s="526">
        <f t="shared" si="29"/>
        <v>0</v>
      </c>
      <c r="CT30" s="526">
        <f t="shared" si="29"/>
        <v>0</v>
      </c>
      <c r="CU30" s="526">
        <f t="shared" si="29"/>
        <v>0</v>
      </c>
      <c r="CV30" s="526">
        <f t="shared" si="29"/>
        <v>0</v>
      </c>
      <c r="CW30" s="526">
        <f t="shared" si="29"/>
        <v>0</v>
      </c>
      <c r="CX30" s="526">
        <f t="shared" si="29"/>
        <v>0</v>
      </c>
      <c r="CY30" s="526">
        <f t="shared" si="29"/>
        <v>0</v>
      </c>
      <c r="CZ30" s="526">
        <f t="shared" si="29"/>
        <v>0</v>
      </c>
      <c r="DA30" s="526">
        <f t="shared" si="29"/>
        <v>0</v>
      </c>
      <c r="DB30" s="526">
        <f t="shared" si="29"/>
        <v>0</v>
      </c>
      <c r="DC30" s="526">
        <f t="shared" si="29"/>
        <v>0</v>
      </c>
      <c r="DD30" s="526">
        <f t="shared" si="29"/>
        <v>0</v>
      </c>
      <c r="DE30" s="526">
        <f t="shared" si="29"/>
        <v>0</v>
      </c>
      <c r="DF30" s="526">
        <f t="shared" si="29"/>
        <v>0</v>
      </c>
      <c r="DG30" s="526">
        <f t="shared" si="29"/>
        <v>0</v>
      </c>
      <c r="DH30" s="526">
        <f t="shared" si="29"/>
        <v>0</v>
      </c>
      <c r="DI30" s="526">
        <f t="shared" si="29"/>
        <v>0</v>
      </c>
      <c r="DJ30" s="526">
        <f t="shared" si="29"/>
        <v>0</v>
      </c>
      <c r="DK30" s="526">
        <f t="shared" si="29"/>
        <v>0</v>
      </c>
      <c r="DL30" s="526">
        <f t="shared" si="29"/>
        <v>0</v>
      </c>
      <c r="DM30" s="526">
        <f t="shared" si="29"/>
        <v>0</v>
      </c>
      <c r="DN30" s="526">
        <f t="shared" si="29"/>
        <v>0</v>
      </c>
      <c r="DO30" s="526">
        <f t="shared" si="29"/>
        <v>0</v>
      </c>
      <c r="DP30" s="526">
        <f t="shared" si="29"/>
        <v>0</v>
      </c>
      <c r="DQ30" s="526">
        <f t="shared" si="29"/>
        <v>0</v>
      </c>
      <c r="DR30" s="526">
        <f t="shared" si="29"/>
        <v>0</v>
      </c>
      <c r="DS30" s="526">
        <f t="shared" si="29"/>
        <v>0</v>
      </c>
      <c r="DT30" s="526">
        <f t="shared" si="29"/>
        <v>0</v>
      </c>
      <c r="DU30" s="526">
        <f t="shared" si="29"/>
        <v>0</v>
      </c>
      <c r="DV30" s="526">
        <f t="shared" si="29"/>
        <v>0</v>
      </c>
      <c r="DW30" s="526">
        <f t="shared" si="29"/>
        <v>0</v>
      </c>
      <c r="DX30" s="526">
        <f t="shared" si="29"/>
        <v>0</v>
      </c>
      <c r="DY30" s="526">
        <f t="shared" si="29"/>
        <v>0</v>
      </c>
      <c r="DZ30" s="526">
        <f t="shared" si="29"/>
        <v>0</v>
      </c>
      <c r="EA30" s="526">
        <f t="shared" si="29"/>
        <v>0</v>
      </c>
      <c r="EB30" s="523" t="s">
        <v>557</v>
      </c>
    </row>
    <row r="31" spans="2:132">
      <c r="B31" s="101"/>
      <c r="C31" s="101"/>
      <c r="D31" s="101"/>
      <c r="G31" s="518" t="s">
        <v>1169</v>
      </c>
      <c r="K31" s="526">
        <f ca="1">K12</f>
        <v>0</v>
      </c>
      <c r="L31" s="526">
        <f t="shared" ca="1" si="28"/>
        <v>75142.199419975848</v>
      </c>
      <c r="M31" s="526">
        <f t="shared" ca="1" si="28"/>
        <v>77255.772749442272</v>
      </c>
      <c r="N31" s="526">
        <f t="shared" ca="1" si="28"/>
        <v>79383.436567771874</v>
      </c>
      <c r="O31" s="526">
        <f t="shared" ca="1" si="28"/>
        <v>81525.284811557081</v>
      </c>
      <c r="P31" s="526">
        <f t="shared" ca="1" si="28"/>
        <v>83681.412043634118</v>
      </c>
      <c r="Q31" s="526">
        <f t="shared" ca="1" si="28"/>
        <v>85851.913457258299</v>
      </c>
      <c r="R31" s="526">
        <f t="shared" ca="1" si="28"/>
        <v>88036.884880306709</v>
      </c>
      <c r="S31" s="526">
        <f t="shared" ca="1" si="28"/>
        <v>90236.422779508677</v>
      </c>
      <c r="T31" s="526">
        <f t="shared" ca="1" si="28"/>
        <v>92450.624264705359</v>
      </c>
      <c r="U31" s="526">
        <f t="shared" ca="1" si="28"/>
        <v>94679.587093136754</v>
      </c>
      <c r="V31" s="526">
        <f t="shared" ca="1" si="28"/>
        <v>96923.409673757662</v>
      </c>
      <c r="W31" s="526">
        <f t="shared" ca="1" si="28"/>
        <v>99182.191071582594</v>
      </c>
      <c r="X31" s="526">
        <f t="shared" ca="1" si="28"/>
        <v>99132.252015780003</v>
      </c>
      <c r="Y31" s="526">
        <f t="shared" ca="1" si="28"/>
        <v>101277.30024087873</v>
      </c>
      <c r="Z31" s="526">
        <f t="shared" ca="1" si="28"/>
        <v>103435.75501738423</v>
      </c>
      <c r="AA31" s="526">
        <f t="shared" ca="1" si="28"/>
        <v>105607.70013624289</v>
      </c>
      <c r="AB31" s="526">
        <f t="shared" ca="1" si="28"/>
        <v>107793.2199120944</v>
      </c>
      <c r="AC31" s="526">
        <f t="shared" ca="1" si="28"/>
        <v>109992.39918654515</v>
      </c>
      <c r="AD31" s="526">
        <f t="shared" ca="1" si="28"/>
        <v>112205.32333146107</v>
      </c>
      <c r="AE31" s="526">
        <f t="shared" ca="1" si="28"/>
        <v>114432.07825228265</v>
      </c>
      <c r="AF31" s="526">
        <f t="shared" ca="1" si="28"/>
        <v>116672.75039135954</v>
      </c>
      <c r="AG31" s="526">
        <f t="shared" ca="1" si="28"/>
        <v>118927.4267313055</v>
      </c>
      <c r="AH31" s="526">
        <f t="shared" ca="1" si="28"/>
        <v>121196.19479837616</v>
      </c>
      <c r="AI31" s="526">
        <f t="shared" ca="1" si="28"/>
        <v>123479.14266586611</v>
      </c>
      <c r="AJ31" s="526">
        <f t="shared" ca="1" si="28"/>
        <v>122481.38876808564</v>
      </c>
      <c r="AK31" s="526">
        <f t="shared" ca="1" si="28"/>
        <v>123710.65473037933</v>
      </c>
      <c r="AL31" s="526">
        <f t="shared" ca="1" si="28"/>
        <v>124944.01824588062</v>
      </c>
      <c r="AM31" s="526">
        <f t="shared" ca="1" si="28"/>
        <v>126181.4929731002</v>
      </c>
      <c r="AN31" s="526">
        <f t="shared" ca="1" si="28"/>
        <v>127423.09261607715</v>
      </c>
      <c r="AO31" s="526">
        <f t="shared" ca="1" si="28"/>
        <v>128668.83092453091</v>
      </c>
      <c r="AP31" s="526">
        <f t="shared" ca="1" si="28"/>
        <v>129918.72169401268</v>
      </c>
      <c r="AQ31" s="526">
        <f t="shared" ca="1" si="28"/>
        <v>131172.77876605943</v>
      </c>
      <c r="AR31" s="526">
        <f t="shared" ca="1" si="28"/>
        <v>132431.01602834626</v>
      </c>
      <c r="AS31" s="526">
        <f t="shared" ca="1" si="28"/>
        <v>133693.44741484086</v>
      </c>
      <c r="AT31" s="526">
        <f t="shared" ca="1" si="28"/>
        <v>134960.08690595691</v>
      </c>
      <c r="AU31" s="526">
        <f t="shared" ca="1" si="28"/>
        <v>136230.94852871029</v>
      </c>
      <c r="AV31" s="526">
        <f t="shared" ca="1" si="28"/>
        <v>135241.08391927258</v>
      </c>
      <c r="AW31" s="526">
        <f t="shared" ca="1" si="28"/>
        <v>136520.43207352899</v>
      </c>
      <c r="AX31" s="526">
        <f t="shared" ca="1" si="28"/>
        <v>137804.04472163261</v>
      </c>
      <c r="AY31" s="526">
        <f t="shared" ca="1" si="28"/>
        <v>139091.93607856351</v>
      </c>
      <c r="AZ31" s="526">
        <f t="shared" ca="1" si="28"/>
        <v>140384.12040668412</v>
      </c>
      <c r="BA31" s="526">
        <f t="shared" ca="1" si="28"/>
        <v>141680.61201589828</v>
      </c>
      <c r="BB31" s="526">
        <f t="shared" ca="1" si="28"/>
        <v>142981.42526381009</v>
      </c>
      <c r="BC31" s="526">
        <f t="shared" ca="1" si="28"/>
        <v>144286.57455588144</v>
      </c>
      <c r="BD31" s="526">
        <f t="shared" ca="1" si="28"/>
        <v>145596.07434559317</v>
      </c>
      <c r="BE31" s="526">
        <f t="shared" ca="1" si="28"/>
        <v>146909.93913460377</v>
      </c>
      <c r="BF31" s="526">
        <f t="shared" ca="1" si="28"/>
        <v>148228.18347291125</v>
      </c>
      <c r="BG31" s="526">
        <f t="shared" ca="1" si="28"/>
        <v>23165933.310961749</v>
      </c>
      <c r="BH31" s="526">
        <f t="shared" ca="1" si="28"/>
        <v>0</v>
      </c>
      <c r="BI31" s="526">
        <f t="shared" ca="1" si="28"/>
        <v>0</v>
      </c>
      <c r="BJ31" s="526">
        <f t="shared" ca="1" si="28"/>
        <v>0</v>
      </c>
      <c r="BK31" s="526">
        <f t="shared" ca="1" si="28"/>
        <v>0</v>
      </c>
      <c r="BL31" s="526">
        <f t="shared" ca="1" si="28"/>
        <v>0</v>
      </c>
      <c r="BM31" s="526">
        <f t="shared" ca="1" si="28"/>
        <v>0</v>
      </c>
      <c r="BN31" s="526">
        <f t="shared" ca="1" si="28"/>
        <v>0</v>
      </c>
      <c r="BO31" s="526">
        <f t="shared" ca="1" si="28"/>
        <v>0</v>
      </c>
      <c r="BP31" s="526">
        <f t="shared" ca="1" si="28"/>
        <v>0</v>
      </c>
      <c r="BQ31" s="526">
        <f t="shared" ca="1" si="28"/>
        <v>0</v>
      </c>
      <c r="BR31" s="526">
        <f t="shared" ca="1" si="28"/>
        <v>0</v>
      </c>
      <c r="BS31" s="526">
        <f t="shared" ca="1" si="28"/>
        <v>0</v>
      </c>
      <c r="BT31" s="526">
        <f t="shared" ca="1" si="28"/>
        <v>0</v>
      </c>
      <c r="BU31" s="526">
        <f t="shared" ca="1" si="28"/>
        <v>0</v>
      </c>
      <c r="BV31" s="526">
        <f t="shared" ca="1" si="28"/>
        <v>0</v>
      </c>
      <c r="BW31" s="526">
        <f t="shared" ca="1" si="28"/>
        <v>0</v>
      </c>
      <c r="BX31" s="526">
        <f t="shared" ca="1" si="29"/>
        <v>0</v>
      </c>
      <c r="BY31" s="526">
        <f t="shared" ca="1" si="29"/>
        <v>0</v>
      </c>
      <c r="BZ31" s="526">
        <f t="shared" ca="1" si="29"/>
        <v>0</v>
      </c>
      <c r="CA31" s="526">
        <f t="shared" ca="1" si="29"/>
        <v>0</v>
      </c>
      <c r="CB31" s="526">
        <f t="shared" ca="1" si="29"/>
        <v>0</v>
      </c>
      <c r="CC31" s="526">
        <f t="shared" ca="1" si="29"/>
        <v>0</v>
      </c>
      <c r="CD31" s="526">
        <f t="shared" ca="1" si="29"/>
        <v>0</v>
      </c>
      <c r="CE31" s="526">
        <f t="shared" ca="1" si="29"/>
        <v>0</v>
      </c>
      <c r="CF31" s="526">
        <f t="shared" ca="1" si="29"/>
        <v>0</v>
      </c>
      <c r="CG31" s="526">
        <f t="shared" ca="1" si="29"/>
        <v>0</v>
      </c>
      <c r="CH31" s="526">
        <f t="shared" ca="1" si="29"/>
        <v>0</v>
      </c>
      <c r="CI31" s="526">
        <f t="shared" ca="1" si="29"/>
        <v>0</v>
      </c>
      <c r="CJ31" s="526">
        <f t="shared" ca="1" si="29"/>
        <v>0</v>
      </c>
      <c r="CK31" s="526">
        <f t="shared" ca="1" si="29"/>
        <v>0</v>
      </c>
      <c r="CL31" s="526">
        <f t="shared" ca="1" si="29"/>
        <v>0</v>
      </c>
      <c r="CM31" s="526">
        <f t="shared" ca="1" si="29"/>
        <v>0</v>
      </c>
      <c r="CN31" s="526">
        <f t="shared" ca="1" si="29"/>
        <v>0</v>
      </c>
      <c r="CO31" s="526">
        <f t="shared" ca="1" si="29"/>
        <v>0</v>
      </c>
      <c r="CP31" s="526">
        <f t="shared" ca="1" si="29"/>
        <v>0</v>
      </c>
      <c r="CQ31" s="526">
        <f t="shared" ca="1" si="29"/>
        <v>0</v>
      </c>
      <c r="CR31" s="526">
        <f t="shared" ca="1" si="29"/>
        <v>0</v>
      </c>
      <c r="CS31" s="526">
        <f t="shared" ca="1" si="29"/>
        <v>0</v>
      </c>
      <c r="CT31" s="526">
        <f t="shared" ca="1" si="29"/>
        <v>0</v>
      </c>
      <c r="CU31" s="526">
        <f t="shared" ca="1" si="29"/>
        <v>0</v>
      </c>
      <c r="CV31" s="526">
        <f t="shared" ca="1" si="29"/>
        <v>0</v>
      </c>
      <c r="CW31" s="526">
        <f t="shared" ca="1" si="29"/>
        <v>0</v>
      </c>
      <c r="CX31" s="526">
        <f t="shared" ca="1" si="29"/>
        <v>0</v>
      </c>
      <c r="CY31" s="526">
        <f t="shared" ca="1" si="29"/>
        <v>0</v>
      </c>
      <c r="CZ31" s="526">
        <f t="shared" ca="1" si="29"/>
        <v>0</v>
      </c>
      <c r="DA31" s="526">
        <f t="shared" ca="1" si="29"/>
        <v>0</v>
      </c>
      <c r="DB31" s="526">
        <f t="shared" ca="1" si="29"/>
        <v>0</v>
      </c>
      <c r="DC31" s="526">
        <f t="shared" ca="1" si="29"/>
        <v>0</v>
      </c>
      <c r="DD31" s="526">
        <f t="shared" ca="1" si="29"/>
        <v>0</v>
      </c>
      <c r="DE31" s="526">
        <f t="shared" ca="1" si="29"/>
        <v>0</v>
      </c>
      <c r="DF31" s="526">
        <f t="shared" ca="1" si="29"/>
        <v>0</v>
      </c>
      <c r="DG31" s="526">
        <f t="shared" ca="1" si="29"/>
        <v>0</v>
      </c>
      <c r="DH31" s="526">
        <f t="shared" ca="1" si="29"/>
        <v>0</v>
      </c>
      <c r="DI31" s="526">
        <f t="shared" ca="1" si="29"/>
        <v>0</v>
      </c>
      <c r="DJ31" s="526">
        <f t="shared" ca="1" si="29"/>
        <v>0</v>
      </c>
      <c r="DK31" s="526">
        <f t="shared" ca="1" si="29"/>
        <v>0</v>
      </c>
      <c r="DL31" s="526">
        <f t="shared" ca="1" si="29"/>
        <v>0</v>
      </c>
      <c r="DM31" s="526">
        <f t="shared" ca="1" si="29"/>
        <v>0</v>
      </c>
      <c r="DN31" s="526">
        <f t="shared" ca="1" si="29"/>
        <v>0</v>
      </c>
      <c r="DO31" s="526">
        <f t="shared" ca="1" si="29"/>
        <v>0</v>
      </c>
      <c r="DP31" s="526">
        <f t="shared" ca="1" si="29"/>
        <v>0</v>
      </c>
      <c r="DQ31" s="526">
        <f t="shared" ca="1" si="29"/>
        <v>0</v>
      </c>
      <c r="DR31" s="526">
        <f t="shared" ca="1" si="29"/>
        <v>0</v>
      </c>
      <c r="DS31" s="526">
        <f t="shared" ca="1" si="29"/>
        <v>0</v>
      </c>
      <c r="DT31" s="526">
        <f t="shared" ca="1" si="29"/>
        <v>0</v>
      </c>
      <c r="DU31" s="526">
        <f t="shared" ca="1" si="29"/>
        <v>0</v>
      </c>
      <c r="DV31" s="526">
        <f t="shared" ca="1" si="29"/>
        <v>0</v>
      </c>
      <c r="DW31" s="526">
        <f t="shared" ca="1" si="29"/>
        <v>0</v>
      </c>
      <c r="DX31" s="526">
        <f t="shared" ca="1" si="29"/>
        <v>0</v>
      </c>
      <c r="DY31" s="526">
        <f t="shared" ca="1" si="29"/>
        <v>0</v>
      </c>
      <c r="DZ31" s="526">
        <f t="shared" ca="1" si="29"/>
        <v>0</v>
      </c>
      <c r="EA31" s="526">
        <f t="shared" ca="1" si="29"/>
        <v>0</v>
      </c>
      <c r="EB31" s="523" t="s">
        <v>557</v>
      </c>
    </row>
    <row r="32" spans="2:132">
      <c r="G32" s="518" t="s">
        <v>1170</v>
      </c>
      <c r="H32" s="539">
        <f>D15</f>
        <v>0.8</v>
      </c>
      <c r="K32" s="526">
        <f ca="1">MIN(K24*$H32,K28+K29-K31)</f>
        <v>0</v>
      </c>
      <c r="L32" s="526">
        <f t="shared" ref="L32:BW32" ca="1" si="30">MIN(L24*$H32,L28+L29-L31)</f>
        <v>0</v>
      </c>
      <c r="M32" s="526">
        <f t="shared" ca="1" si="30"/>
        <v>0</v>
      </c>
      <c r="N32" s="526">
        <f t="shared" ca="1" si="30"/>
        <v>0</v>
      </c>
      <c r="O32" s="526">
        <f t="shared" ca="1" si="30"/>
        <v>0</v>
      </c>
      <c r="P32" s="526">
        <f t="shared" ca="1" si="30"/>
        <v>0</v>
      </c>
      <c r="Q32" s="526">
        <f t="shared" ca="1" si="30"/>
        <v>0</v>
      </c>
      <c r="R32" s="526">
        <f t="shared" ca="1" si="30"/>
        <v>0</v>
      </c>
      <c r="S32" s="526">
        <f t="shared" ca="1" si="30"/>
        <v>0</v>
      </c>
      <c r="T32" s="526">
        <f t="shared" ca="1" si="30"/>
        <v>0</v>
      </c>
      <c r="U32" s="526">
        <f t="shared" ca="1" si="30"/>
        <v>0</v>
      </c>
      <c r="V32" s="526">
        <f t="shared" ca="1" si="30"/>
        <v>0</v>
      </c>
      <c r="W32" s="526">
        <f t="shared" ca="1" si="30"/>
        <v>0</v>
      </c>
      <c r="X32" s="526">
        <f t="shared" ca="1" si="30"/>
        <v>0</v>
      </c>
      <c r="Y32" s="526">
        <f t="shared" ca="1" si="30"/>
        <v>0</v>
      </c>
      <c r="Z32" s="526">
        <f t="shared" ca="1" si="30"/>
        <v>0</v>
      </c>
      <c r="AA32" s="526">
        <f t="shared" ca="1" si="30"/>
        <v>0</v>
      </c>
      <c r="AB32" s="526">
        <f t="shared" ca="1" si="30"/>
        <v>0</v>
      </c>
      <c r="AC32" s="526">
        <f t="shared" ca="1" si="30"/>
        <v>0</v>
      </c>
      <c r="AD32" s="526">
        <f t="shared" ca="1" si="30"/>
        <v>0</v>
      </c>
      <c r="AE32" s="526">
        <f t="shared" ca="1" si="30"/>
        <v>0</v>
      </c>
      <c r="AF32" s="526">
        <f t="shared" ca="1" si="30"/>
        <v>0</v>
      </c>
      <c r="AG32" s="526">
        <f t="shared" ca="1" si="30"/>
        <v>0</v>
      </c>
      <c r="AH32" s="526">
        <f t="shared" ca="1" si="30"/>
        <v>0</v>
      </c>
      <c r="AI32" s="526">
        <f t="shared" ca="1" si="30"/>
        <v>0</v>
      </c>
      <c r="AJ32" s="526">
        <f t="shared" ca="1" si="30"/>
        <v>0</v>
      </c>
      <c r="AK32" s="526">
        <f t="shared" ca="1" si="30"/>
        <v>0</v>
      </c>
      <c r="AL32" s="526">
        <f t="shared" ca="1" si="30"/>
        <v>0</v>
      </c>
      <c r="AM32" s="526">
        <f t="shared" ca="1" si="30"/>
        <v>0</v>
      </c>
      <c r="AN32" s="526">
        <f t="shared" ca="1" si="30"/>
        <v>0</v>
      </c>
      <c r="AO32" s="526">
        <f t="shared" ca="1" si="30"/>
        <v>0</v>
      </c>
      <c r="AP32" s="526">
        <f t="shared" ca="1" si="30"/>
        <v>0</v>
      </c>
      <c r="AQ32" s="526">
        <f t="shared" ca="1" si="30"/>
        <v>0</v>
      </c>
      <c r="AR32" s="526">
        <f t="shared" ca="1" si="30"/>
        <v>0</v>
      </c>
      <c r="AS32" s="526">
        <f t="shared" ca="1" si="30"/>
        <v>0</v>
      </c>
      <c r="AT32" s="526">
        <f t="shared" ca="1" si="30"/>
        <v>0</v>
      </c>
      <c r="AU32" s="526">
        <f t="shared" ca="1" si="30"/>
        <v>0</v>
      </c>
      <c r="AV32" s="526">
        <f t="shared" ca="1" si="30"/>
        <v>0</v>
      </c>
      <c r="AW32" s="526">
        <f t="shared" ca="1" si="30"/>
        <v>0</v>
      </c>
      <c r="AX32" s="526">
        <f t="shared" ca="1" si="30"/>
        <v>0</v>
      </c>
      <c r="AY32" s="526">
        <f t="shared" ca="1" si="30"/>
        <v>0</v>
      </c>
      <c r="AZ32" s="526">
        <f t="shared" ca="1" si="30"/>
        <v>0</v>
      </c>
      <c r="BA32" s="526">
        <f t="shared" ca="1" si="30"/>
        <v>0</v>
      </c>
      <c r="BB32" s="526">
        <f t="shared" ca="1" si="30"/>
        <v>0</v>
      </c>
      <c r="BC32" s="526">
        <f t="shared" ca="1" si="30"/>
        <v>0</v>
      </c>
      <c r="BD32" s="526">
        <f t="shared" ca="1" si="30"/>
        <v>0</v>
      </c>
      <c r="BE32" s="526">
        <f t="shared" ca="1" si="30"/>
        <v>0</v>
      </c>
      <c r="BF32" s="526">
        <f t="shared" ca="1" si="30"/>
        <v>0</v>
      </c>
      <c r="BG32" s="526">
        <f t="shared" ca="1" si="30"/>
        <v>4963436.1134916097</v>
      </c>
      <c r="BH32" s="526">
        <f t="shared" ca="1" si="30"/>
        <v>0</v>
      </c>
      <c r="BI32" s="526">
        <f t="shared" ca="1" si="30"/>
        <v>0</v>
      </c>
      <c r="BJ32" s="526">
        <f t="shared" ca="1" si="30"/>
        <v>0</v>
      </c>
      <c r="BK32" s="526">
        <f t="shared" ca="1" si="30"/>
        <v>0</v>
      </c>
      <c r="BL32" s="526">
        <f t="shared" ca="1" si="30"/>
        <v>0</v>
      </c>
      <c r="BM32" s="526">
        <f t="shared" ca="1" si="30"/>
        <v>0</v>
      </c>
      <c r="BN32" s="526">
        <f t="shared" ca="1" si="30"/>
        <v>0</v>
      </c>
      <c r="BO32" s="526">
        <f t="shared" ca="1" si="30"/>
        <v>0</v>
      </c>
      <c r="BP32" s="526">
        <f t="shared" ca="1" si="30"/>
        <v>0</v>
      </c>
      <c r="BQ32" s="526">
        <f t="shared" ca="1" si="30"/>
        <v>0</v>
      </c>
      <c r="BR32" s="526">
        <f t="shared" ca="1" si="30"/>
        <v>0</v>
      </c>
      <c r="BS32" s="526">
        <f t="shared" ca="1" si="30"/>
        <v>0</v>
      </c>
      <c r="BT32" s="526">
        <f t="shared" ca="1" si="30"/>
        <v>0</v>
      </c>
      <c r="BU32" s="526">
        <f t="shared" ca="1" si="30"/>
        <v>0</v>
      </c>
      <c r="BV32" s="526">
        <f t="shared" ca="1" si="30"/>
        <v>0</v>
      </c>
      <c r="BW32" s="526">
        <f t="shared" ca="1" si="30"/>
        <v>0</v>
      </c>
      <c r="BX32" s="526">
        <f t="shared" ref="BX32:EA32" ca="1" si="31">MIN(BX24*$H32,BX28+BX29-BX31)</f>
        <v>0</v>
      </c>
      <c r="BY32" s="526">
        <f t="shared" ca="1" si="31"/>
        <v>0</v>
      </c>
      <c r="BZ32" s="526">
        <f t="shared" ca="1" si="31"/>
        <v>0</v>
      </c>
      <c r="CA32" s="526">
        <f t="shared" ca="1" si="31"/>
        <v>0</v>
      </c>
      <c r="CB32" s="526">
        <f t="shared" ca="1" si="31"/>
        <v>0</v>
      </c>
      <c r="CC32" s="526">
        <f t="shared" ca="1" si="31"/>
        <v>0</v>
      </c>
      <c r="CD32" s="526">
        <f t="shared" ca="1" si="31"/>
        <v>0</v>
      </c>
      <c r="CE32" s="526">
        <f t="shared" ca="1" si="31"/>
        <v>0</v>
      </c>
      <c r="CF32" s="526">
        <f t="shared" ca="1" si="31"/>
        <v>0</v>
      </c>
      <c r="CG32" s="526">
        <f t="shared" ca="1" si="31"/>
        <v>0</v>
      </c>
      <c r="CH32" s="526">
        <f t="shared" ca="1" si="31"/>
        <v>0</v>
      </c>
      <c r="CI32" s="526">
        <f t="shared" ca="1" si="31"/>
        <v>0</v>
      </c>
      <c r="CJ32" s="526">
        <f t="shared" ca="1" si="31"/>
        <v>0</v>
      </c>
      <c r="CK32" s="526">
        <f t="shared" ca="1" si="31"/>
        <v>0</v>
      </c>
      <c r="CL32" s="526">
        <f t="shared" ca="1" si="31"/>
        <v>0</v>
      </c>
      <c r="CM32" s="526">
        <f t="shared" ca="1" si="31"/>
        <v>0</v>
      </c>
      <c r="CN32" s="526">
        <f t="shared" ca="1" si="31"/>
        <v>0</v>
      </c>
      <c r="CO32" s="526">
        <f t="shared" ca="1" si="31"/>
        <v>0</v>
      </c>
      <c r="CP32" s="526">
        <f t="shared" ca="1" si="31"/>
        <v>0</v>
      </c>
      <c r="CQ32" s="526">
        <f t="shared" ca="1" si="31"/>
        <v>0</v>
      </c>
      <c r="CR32" s="526">
        <f t="shared" ca="1" si="31"/>
        <v>0</v>
      </c>
      <c r="CS32" s="526">
        <f t="shared" ca="1" si="31"/>
        <v>0</v>
      </c>
      <c r="CT32" s="526">
        <f t="shared" ca="1" si="31"/>
        <v>0</v>
      </c>
      <c r="CU32" s="526">
        <f t="shared" ca="1" si="31"/>
        <v>0</v>
      </c>
      <c r="CV32" s="526">
        <f t="shared" ca="1" si="31"/>
        <v>0</v>
      </c>
      <c r="CW32" s="526">
        <f t="shared" ca="1" si="31"/>
        <v>0</v>
      </c>
      <c r="CX32" s="526">
        <f t="shared" ca="1" si="31"/>
        <v>0</v>
      </c>
      <c r="CY32" s="526">
        <f t="shared" ca="1" si="31"/>
        <v>0</v>
      </c>
      <c r="CZ32" s="526">
        <f t="shared" ca="1" si="31"/>
        <v>0</v>
      </c>
      <c r="DA32" s="526">
        <f t="shared" ca="1" si="31"/>
        <v>0</v>
      </c>
      <c r="DB32" s="526">
        <f t="shared" ca="1" si="31"/>
        <v>0</v>
      </c>
      <c r="DC32" s="526">
        <f t="shared" ca="1" si="31"/>
        <v>0</v>
      </c>
      <c r="DD32" s="526">
        <f t="shared" ca="1" si="31"/>
        <v>0</v>
      </c>
      <c r="DE32" s="526">
        <f t="shared" ca="1" si="31"/>
        <v>0</v>
      </c>
      <c r="DF32" s="526">
        <f t="shared" ca="1" si="31"/>
        <v>0</v>
      </c>
      <c r="DG32" s="526">
        <f t="shared" ca="1" si="31"/>
        <v>0</v>
      </c>
      <c r="DH32" s="526">
        <f t="shared" ca="1" si="31"/>
        <v>0</v>
      </c>
      <c r="DI32" s="526">
        <f t="shared" ca="1" si="31"/>
        <v>0</v>
      </c>
      <c r="DJ32" s="526">
        <f t="shared" ca="1" si="31"/>
        <v>0</v>
      </c>
      <c r="DK32" s="526">
        <f t="shared" ca="1" si="31"/>
        <v>0</v>
      </c>
      <c r="DL32" s="526">
        <f t="shared" ca="1" si="31"/>
        <v>0</v>
      </c>
      <c r="DM32" s="526">
        <f t="shared" ca="1" si="31"/>
        <v>0</v>
      </c>
      <c r="DN32" s="526">
        <f t="shared" ca="1" si="31"/>
        <v>0</v>
      </c>
      <c r="DO32" s="526">
        <f t="shared" ca="1" si="31"/>
        <v>0</v>
      </c>
      <c r="DP32" s="526">
        <f t="shared" ca="1" si="31"/>
        <v>0</v>
      </c>
      <c r="DQ32" s="526">
        <f t="shared" ca="1" si="31"/>
        <v>0</v>
      </c>
      <c r="DR32" s="526">
        <f t="shared" ca="1" si="31"/>
        <v>0</v>
      </c>
      <c r="DS32" s="526">
        <f t="shared" ca="1" si="31"/>
        <v>0</v>
      </c>
      <c r="DT32" s="526">
        <f t="shared" ca="1" si="31"/>
        <v>0</v>
      </c>
      <c r="DU32" s="526">
        <f t="shared" ca="1" si="31"/>
        <v>0</v>
      </c>
      <c r="DV32" s="526">
        <f t="shared" ca="1" si="31"/>
        <v>0</v>
      </c>
      <c r="DW32" s="526">
        <f t="shared" ca="1" si="31"/>
        <v>0</v>
      </c>
      <c r="DX32" s="526">
        <f t="shared" ca="1" si="31"/>
        <v>0</v>
      </c>
      <c r="DY32" s="526">
        <f t="shared" ca="1" si="31"/>
        <v>0</v>
      </c>
      <c r="DZ32" s="526">
        <f t="shared" ca="1" si="31"/>
        <v>0</v>
      </c>
      <c r="EA32" s="526">
        <f t="shared" ca="1" si="31"/>
        <v>0</v>
      </c>
      <c r="EB32" s="523"/>
    </row>
    <row r="33" spans="7:132">
      <c r="G33" s="518" t="s">
        <v>1148</v>
      </c>
      <c r="K33" s="526">
        <f ca="1">K28+K29+K30-K31-K32</f>
        <v>20296000</v>
      </c>
      <c r="L33" s="526">
        <f t="shared" ref="L33:BW33" ca="1" si="32">L28+L29+L30-L31-L32</f>
        <v>20458623.754385371</v>
      </c>
      <c r="M33" s="526">
        <f t="shared" ca="1" si="32"/>
        <v>20621039.059213091</v>
      </c>
      <c r="N33" s="526">
        <f t="shared" ca="1" si="32"/>
        <v>20783229.382025052</v>
      </c>
      <c r="O33" s="526">
        <f t="shared" ca="1" si="32"/>
        <v>20945177.902750175</v>
      </c>
      <c r="P33" s="526">
        <f t="shared" ca="1" si="32"/>
        <v>21106867.509708807</v>
      </c>
      <c r="Q33" s="526">
        <f t="shared" ca="1" si="32"/>
        <v>21268280.795566138</v>
      </c>
      <c r="R33" s="526">
        <f t="shared" ca="1" si="32"/>
        <v>21429400.053234</v>
      </c>
      <c r="S33" s="526">
        <f t="shared" ca="1" si="32"/>
        <v>21590207.271720428</v>
      </c>
      <c r="T33" s="526">
        <f t="shared" ca="1" si="32"/>
        <v>21750684.131926343</v>
      </c>
      <c r="U33" s="526">
        <f t="shared" ca="1" si="32"/>
        <v>21910812.002388697</v>
      </c>
      <c r="V33" s="526">
        <f t="shared" ca="1" si="32"/>
        <v>22070571.934969448</v>
      </c>
      <c r="W33" s="526">
        <f t="shared" ca="1" si="32"/>
        <v>22229944.660489682</v>
      </c>
      <c r="X33" s="526">
        <f t="shared" ca="1" si="32"/>
        <v>22391234.363304477</v>
      </c>
      <c r="Y33" s="526">
        <f t="shared" ca="1" si="32"/>
        <v>22552268.513362676</v>
      </c>
      <c r="Z33" s="526">
        <f t="shared" ca="1" si="32"/>
        <v>22713030.71033356</v>
      </c>
      <c r="AA33" s="526">
        <f t="shared" ca="1" si="32"/>
        <v>22873504.27796695</v>
      </c>
      <c r="AB33" s="526">
        <f t="shared" ca="1" si="32"/>
        <v>23033672.260337152</v>
      </c>
      <c r="AC33" s="526">
        <f t="shared" ca="1" si="32"/>
        <v>23193517.41803959</v>
      </c>
      <c r="AD33" s="526">
        <f t="shared" ca="1" si="32"/>
        <v>23353022.224339634</v>
      </c>
      <c r="AE33" s="526">
        <f t="shared" ca="1" si="32"/>
        <v>23512168.86127298</v>
      </c>
      <c r="AF33" s="526">
        <f t="shared" ca="1" si="32"/>
        <v>23670939.215696994</v>
      </c>
      <c r="AG33" s="526">
        <f t="shared" ca="1" si="32"/>
        <v>23829314.875292476</v>
      </c>
      <c r="AH33" s="526">
        <f t="shared" ca="1" si="32"/>
        <v>23987277.124515176</v>
      </c>
      <c r="AI33" s="526">
        <f t="shared" ca="1" si="32"/>
        <v>24144806.940496504</v>
      </c>
      <c r="AJ33" s="526">
        <f t="shared" ca="1" si="32"/>
        <v>24305179.959082235</v>
      </c>
      <c r="AK33" s="526">
        <f t="shared" ca="1" si="32"/>
        <v>24466202.468294587</v>
      </c>
      <c r="AL33" s="526">
        <f t="shared" ca="1" si="32"/>
        <v>24627877.979309089</v>
      </c>
      <c r="AM33" s="526">
        <f t="shared" ca="1" si="32"/>
        <v>24790210.030775882</v>
      </c>
      <c r="AN33" s="526">
        <f t="shared" ca="1" si="32"/>
        <v>24953202.18909606</v>
      </c>
      <c r="AO33" s="526">
        <f t="shared" ca="1" si="32"/>
        <v>25116858.048701093</v>
      </c>
      <c r="AP33" s="526">
        <f t="shared" ca="1" si="32"/>
        <v>25281181.232335366</v>
      </c>
      <c r="AQ33" s="526">
        <f t="shared" ca="1" si="32"/>
        <v>25446175.391341873</v>
      </c>
      <c r="AR33" s="526">
        <f t="shared" ca="1" si="32"/>
        <v>25611844.205951117</v>
      </c>
      <c r="AS33" s="526">
        <f t="shared" ca="1" si="32"/>
        <v>25778191.38557322</v>
      </c>
      <c r="AT33" s="526">
        <f t="shared" ca="1" si="32"/>
        <v>25945220.669093333</v>
      </c>
      <c r="AU33" s="526">
        <f t="shared" ca="1" si="32"/>
        <v>26112935.825170312</v>
      </c>
      <c r="AV33" s="526">
        <f t="shared" ca="1" si="32"/>
        <v>26283605.614976373</v>
      </c>
      <c r="AW33" s="526">
        <f t="shared" ca="1" si="32"/>
        <v>26454995.439036481</v>
      </c>
      <c r="AX33" s="526">
        <f t="shared" ca="1" si="32"/>
        <v>26627109.467998259</v>
      </c>
      <c r="AY33" s="526">
        <f t="shared" ca="1" si="32"/>
        <v>26799951.907153137</v>
      </c>
      <c r="AZ33" s="526">
        <f t="shared" ca="1" si="32"/>
        <v>26973526.99679482</v>
      </c>
      <c r="BA33" s="526">
        <f t="shared" ca="1" si="32"/>
        <v>27147839.012581795</v>
      </c>
      <c r="BB33" s="526">
        <f t="shared" ca="1" si="32"/>
        <v>27322892.265903935</v>
      </c>
      <c r="BC33" s="526">
        <f t="shared" ca="1" si="32"/>
        <v>27498691.104253221</v>
      </c>
      <c r="BD33" s="526">
        <f t="shared" ca="1" si="32"/>
        <v>27675239.911598668</v>
      </c>
      <c r="BE33" s="526">
        <f t="shared" ca="1" si="32"/>
        <v>27852543.108765449</v>
      </c>
      <c r="BF33" s="526">
        <f t="shared" ca="1" si="32"/>
        <v>28030605.153818358</v>
      </c>
      <c r="BG33" s="526">
        <f t="shared" ca="1" si="32"/>
        <v>229611.93995519355</v>
      </c>
      <c r="BH33" s="526">
        <f t="shared" ca="1" si="32"/>
        <v>232301.82475557501</v>
      </c>
      <c r="BI33" s="526">
        <f t="shared" ca="1" si="32"/>
        <v>235023.2213329169</v>
      </c>
      <c r="BJ33" s="526">
        <f t="shared" ca="1" si="32"/>
        <v>237776.49884506833</v>
      </c>
      <c r="BK33" s="526">
        <f t="shared" ca="1" si="32"/>
        <v>240562.03077453192</v>
      </c>
      <c r="BL33" s="526">
        <f t="shared" ca="1" si="32"/>
        <v>243380.19497912677</v>
      </c>
      <c r="BM33" s="526">
        <f t="shared" ca="1" si="32"/>
        <v>246231.37374324494</v>
      </c>
      <c r="BN33" s="526">
        <f t="shared" ca="1" si="32"/>
        <v>249115.95382970842</v>
      </c>
      <c r="BO33" s="526">
        <f t="shared" ca="1" si="32"/>
        <v>252034.32653223348</v>
      </c>
      <c r="BP33" s="526">
        <f t="shared" ca="1" si="32"/>
        <v>254986.88772850978</v>
      </c>
      <c r="BQ33" s="526">
        <f t="shared" ca="1" si="32"/>
        <v>257974.03793390124</v>
      </c>
      <c r="BR33" s="526">
        <f t="shared" ca="1" si="32"/>
        <v>260996.18235577599</v>
      </c>
      <c r="BS33" s="526">
        <f t="shared" ca="1" si="32"/>
        <v>264053.7309484728</v>
      </c>
      <c r="BT33" s="526">
        <f t="shared" ca="1" si="32"/>
        <v>267147.09846891148</v>
      </c>
      <c r="BU33" s="526">
        <f t="shared" ca="1" si="32"/>
        <v>270276.70453285467</v>
      </c>
      <c r="BV33" s="526">
        <f t="shared" ca="1" si="32"/>
        <v>273442.9736718288</v>
      </c>
      <c r="BW33" s="526">
        <f t="shared" ca="1" si="32"/>
        <v>276646.33539071196</v>
      </c>
      <c r="BX33" s="526">
        <f t="shared" ref="BX33:EA33" ca="1" si="33">BX28+BX29+BX30-BX31-BX32</f>
        <v>279887.22422599606</v>
      </c>
      <c r="BY33" s="526">
        <f t="shared" ca="1" si="33"/>
        <v>283166.079804732</v>
      </c>
      <c r="BZ33" s="526">
        <f t="shared" ca="1" si="33"/>
        <v>286483.346904165</v>
      </c>
      <c r="CA33" s="526">
        <f t="shared" ca="1" si="33"/>
        <v>289839.47551206884</v>
      </c>
      <c r="CB33" s="526">
        <f t="shared" ca="1" si="33"/>
        <v>293234.9208877866</v>
      </c>
      <c r="CC33" s="526">
        <f t="shared" ca="1" si="33"/>
        <v>296670.14362398681</v>
      </c>
      <c r="CD33" s="526">
        <f t="shared" ca="1" si="33"/>
        <v>300145.60970914277</v>
      </c>
      <c r="CE33" s="526">
        <f t="shared" ca="1" si="33"/>
        <v>303661.79059074412</v>
      </c>
      <c r="CF33" s="526">
        <f t="shared" ca="1" si="33"/>
        <v>307219.16323924862</v>
      </c>
      <c r="CG33" s="526">
        <f t="shared" ca="1" si="33"/>
        <v>310818.21021278331</v>
      </c>
      <c r="CH33" s="526">
        <f t="shared" ca="1" si="33"/>
        <v>314459.41972260358</v>
      </c>
      <c r="CI33" s="526">
        <f t="shared" ca="1" si="33"/>
        <v>318143.28569931915</v>
      </c>
      <c r="CJ33" s="526">
        <f t="shared" ca="1" si="33"/>
        <v>321870.30785989587</v>
      </c>
      <c r="CK33" s="526">
        <f t="shared" ca="1" si="33"/>
        <v>325640.99177544221</v>
      </c>
      <c r="CL33" s="526">
        <f t="shared" ca="1" si="33"/>
        <v>329455.84893979016</v>
      </c>
      <c r="CM33" s="526">
        <f t="shared" ca="1" si="33"/>
        <v>333315.39683887956</v>
      </c>
      <c r="CN33" s="526">
        <f t="shared" ca="1" si="33"/>
        <v>337220.15902095498</v>
      </c>
      <c r="CO33" s="526">
        <f t="shared" ca="1" si="33"/>
        <v>341170.66516758519</v>
      </c>
      <c r="CP33" s="526">
        <f t="shared" ca="1" si="33"/>
        <v>345167.45116551459</v>
      </c>
      <c r="CQ33" s="526">
        <f t="shared" ca="1" si="33"/>
        <v>349211.05917935615</v>
      </c>
      <c r="CR33" s="526">
        <f t="shared" ca="1" si="33"/>
        <v>353302.03772513632</v>
      </c>
      <c r="CS33" s="526">
        <f t="shared" ca="1" si="33"/>
        <v>357440.94174470118</v>
      </c>
      <c r="CT33" s="526">
        <f t="shared" ca="1" si="33"/>
        <v>361628.33268099453</v>
      </c>
      <c r="CU33" s="526">
        <f t="shared" ca="1" si="33"/>
        <v>365864.77855421748</v>
      </c>
      <c r="CV33" s="526">
        <f t="shared" ca="1" si="33"/>
        <v>370150.85403888067</v>
      </c>
      <c r="CW33" s="526">
        <f t="shared" ca="1" si="33"/>
        <v>374487.14054175891</v>
      </c>
      <c r="CX33" s="526">
        <f t="shared" ca="1" si="33"/>
        <v>378874.22628075909</v>
      </c>
      <c r="CY33" s="526">
        <f t="shared" ca="1" si="33"/>
        <v>383312.70636471192</v>
      </c>
      <c r="CZ33" s="526">
        <f t="shared" ca="1" si="33"/>
        <v>387803.18287409865</v>
      </c>
      <c r="DA33" s="526">
        <f t="shared" ca="1" si="33"/>
        <v>392346.26494272344</v>
      </c>
      <c r="DB33" s="526">
        <f t="shared" ca="1" si="33"/>
        <v>396942.56884034222</v>
      </c>
      <c r="DC33" s="526">
        <f t="shared" ca="1" si="33"/>
        <v>401592.71805626003</v>
      </c>
      <c r="DD33" s="526">
        <f t="shared" ca="1" si="33"/>
        <v>406297.34338390722</v>
      </c>
      <c r="DE33" s="526">
        <f t="shared" ca="1" si="33"/>
        <v>411057.08300640684</v>
      </c>
      <c r="DF33" s="526">
        <f t="shared" ca="1" si="33"/>
        <v>415872.58258314419</v>
      </c>
      <c r="DG33" s="526">
        <f t="shared" ca="1" si="33"/>
        <v>420744.49533735059</v>
      </c>
      <c r="DH33" s="526">
        <f t="shared" ca="1" si="33"/>
        <v>425673.48214471329</v>
      </c>
      <c r="DI33" s="526">
        <f t="shared" ca="1" si="33"/>
        <v>430660.21162302326</v>
      </c>
      <c r="DJ33" s="526">
        <f t="shared" ca="1" si="33"/>
        <v>435705.36022287345</v>
      </c>
      <c r="DK33" s="526">
        <f t="shared" ca="1" si="33"/>
        <v>440809.61231941922</v>
      </c>
      <c r="DL33" s="526">
        <f t="shared" ca="1" si="33"/>
        <v>445973.660305214</v>
      </c>
      <c r="DM33" s="526">
        <f t="shared" ca="1" si="33"/>
        <v>451198.20468413248</v>
      </c>
      <c r="DN33" s="526">
        <f t="shared" ca="1" si="33"/>
        <v>456483.95416639408</v>
      </c>
      <c r="DO33" s="526">
        <f t="shared" ca="1" si="33"/>
        <v>461831.62576469954</v>
      </c>
      <c r="DP33" s="526">
        <f t="shared" ca="1" si="33"/>
        <v>467241.94489149383</v>
      </c>
      <c r="DQ33" s="526">
        <f t="shared" ca="1" si="33"/>
        <v>472715.6454573684</v>
      </c>
      <c r="DR33" s="526">
        <f t="shared" ca="1" si="33"/>
        <v>478253.46997061634</v>
      </c>
      <c r="DS33" s="526">
        <f t="shared" ca="1" si="33"/>
        <v>483856.16963795369</v>
      </c>
      <c r="DT33" s="526">
        <f t="shared" ca="1" si="33"/>
        <v>489524.5044664208</v>
      </c>
      <c r="DU33" s="526">
        <f t="shared" ca="1" si="33"/>
        <v>495259.24336647731</v>
      </c>
      <c r="DV33" s="526">
        <f t="shared" ca="1" si="33"/>
        <v>501061.16425630503</v>
      </c>
      <c r="DW33" s="526">
        <f t="shared" ca="1" si="33"/>
        <v>506931.05416733265</v>
      </c>
      <c r="DX33" s="526">
        <f t="shared" ca="1" si="33"/>
        <v>512869.70935099665</v>
      </c>
      <c r="DY33" s="526">
        <f t="shared" ca="1" si="33"/>
        <v>518877.93538675294</v>
      </c>
      <c r="DZ33" s="526">
        <f t="shared" ca="1" si="33"/>
        <v>524956.54729135381</v>
      </c>
      <c r="EA33" s="526">
        <f t="shared" ca="1" si="33"/>
        <v>531106.36962940509</v>
      </c>
      <c r="EB33" s="523" t="s">
        <v>557</v>
      </c>
    </row>
    <row r="34" spans="7:132">
      <c r="G34" s="518" t="s">
        <v>1150</v>
      </c>
      <c r="I34" s="543" t="s">
        <v>1105</v>
      </c>
      <c r="K34" s="526">
        <f ca="1">-K30+K31+K32</f>
        <v>-20296000</v>
      </c>
      <c r="L34" s="526">
        <f t="shared" ref="L34:BW34" ca="1" si="34">-L30+L31+L32</f>
        <v>75142.199419975848</v>
      </c>
      <c r="M34" s="526">
        <f t="shared" ca="1" si="34"/>
        <v>77255.772749442272</v>
      </c>
      <c r="N34" s="526">
        <f t="shared" ca="1" si="34"/>
        <v>79383.436567771874</v>
      </c>
      <c r="O34" s="526">
        <f t="shared" ca="1" si="34"/>
        <v>81525.284811557081</v>
      </c>
      <c r="P34" s="526">
        <f t="shared" ca="1" si="34"/>
        <v>83681.412043634118</v>
      </c>
      <c r="Q34" s="526">
        <f t="shared" ca="1" si="34"/>
        <v>85851.913457258299</v>
      </c>
      <c r="R34" s="526">
        <f t="shared" ca="1" si="34"/>
        <v>88036.884880306709</v>
      </c>
      <c r="S34" s="526">
        <f t="shared" ca="1" si="34"/>
        <v>90236.422779508677</v>
      </c>
      <c r="T34" s="526">
        <f t="shared" ca="1" si="34"/>
        <v>92450.624264705359</v>
      </c>
      <c r="U34" s="526">
        <f t="shared" ca="1" si="34"/>
        <v>94679.587093136754</v>
      </c>
      <c r="V34" s="526">
        <f t="shared" ca="1" si="34"/>
        <v>96923.409673757662</v>
      </c>
      <c r="W34" s="526">
        <f t="shared" ca="1" si="34"/>
        <v>99182.191071582594</v>
      </c>
      <c r="X34" s="526">
        <f t="shared" ca="1" si="34"/>
        <v>99132.252015780003</v>
      </c>
      <c r="Y34" s="526">
        <f t="shared" ca="1" si="34"/>
        <v>101277.30024087873</v>
      </c>
      <c r="Z34" s="526">
        <f t="shared" ca="1" si="34"/>
        <v>103435.75501738423</v>
      </c>
      <c r="AA34" s="526">
        <f t="shared" ca="1" si="34"/>
        <v>105607.70013624289</v>
      </c>
      <c r="AB34" s="526">
        <f t="shared" ca="1" si="34"/>
        <v>107793.2199120944</v>
      </c>
      <c r="AC34" s="526">
        <f t="shared" ca="1" si="34"/>
        <v>109992.39918654515</v>
      </c>
      <c r="AD34" s="526">
        <f t="shared" ca="1" si="34"/>
        <v>112205.32333146107</v>
      </c>
      <c r="AE34" s="526">
        <f t="shared" ca="1" si="34"/>
        <v>114432.07825228265</v>
      </c>
      <c r="AF34" s="526">
        <f t="shared" ca="1" si="34"/>
        <v>116672.75039135954</v>
      </c>
      <c r="AG34" s="526">
        <f t="shared" ca="1" si="34"/>
        <v>118927.4267313055</v>
      </c>
      <c r="AH34" s="526">
        <f t="shared" ca="1" si="34"/>
        <v>121196.19479837616</v>
      </c>
      <c r="AI34" s="526">
        <f t="shared" ca="1" si="34"/>
        <v>123479.14266586611</v>
      </c>
      <c r="AJ34" s="526">
        <f t="shared" ca="1" si="34"/>
        <v>122481.38876808564</v>
      </c>
      <c r="AK34" s="526">
        <f t="shared" ca="1" si="34"/>
        <v>123710.65473037933</v>
      </c>
      <c r="AL34" s="526">
        <f t="shared" ca="1" si="34"/>
        <v>124944.01824588062</v>
      </c>
      <c r="AM34" s="526">
        <f t="shared" ca="1" si="34"/>
        <v>126181.4929731002</v>
      </c>
      <c r="AN34" s="526">
        <f t="shared" ca="1" si="34"/>
        <v>127423.09261607715</v>
      </c>
      <c r="AO34" s="526">
        <f t="shared" ca="1" si="34"/>
        <v>128668.83092453091</v>
      </c>
      <c r="AP34" s="526">
        <f t="shared" ca="1" si="34"/>
        <v>129918.72169401268</v>
      </c>
      <c r="AQ34" s="526">
        <f t="shared" ca="1" si="34"/>
        <v>131172.77876605943</v>
      </c>
      <c r="AR34" s="526">
        <f t="shared" ca="1" si="34"/>
        <v>132431.01602834626</v>
      </c>
      <c r="AS34" s="526">
        <f t="shared" ca="1" si="34"/>
        <v>133693.44741484086</v>
      </c>
      <c r="AT34" s="526">
        <f t="shared" ca="1" si="34"/>
        <v>134960.08690595691</v>
      </c>
      <c r="AU34" s="526">
        <f t="shared" ca="1" si="34"/>
        <v>136230.94852871029</v>
      </c>
      <c r="AV34" s="526">
        <f t="shared" ca="1" si="34"/>
        <v>135241.08391927258</v>
      </c>
      <c r="AW34" s="526">
        <f t="shared" ca="1" si="34"/>
        <v>136520.43207352899</v>
      </c>
      <c r="AX34" s="526">
        <f t="shared" ca="1" si="34"/>
        <v>137804.04472163261</v>
      </c>
      <c r="AY34" s="526">
        <f t="shared" ca="1" si="34"/>
        <v>139091.93607856351</v>
      </c>
      <c r="AZ34" s="526">
        <f t="shared" ca="1" si="34"/>
        <v>140384.12040668412</v>
      </c>
      <c r="BA34" s="526">
        <f t="shared" ca="1" si="34"/>
        <v>141680.61201589828</v>
      </c>
      <c r="BB34" s="526">
        <f t="shared" ca="1" si="34"/>
        <v>142981.42526381009</v>
      </c>
      <c r="BC34" s="526">
        <f t="shared" ca="1" si="34"/>
        <v>144286.57455588144</v>
      </c>
      <c r="BD34" s="526">
        <f t="shared" ca="1" si="34"/>
        <v>145596.07434559317</v>
      </c>
      <c r="BE34" s="526">
        <f t="shared" ca="1" si="34"/>
        <v>146909.93913460377</v>
      </c>
      <c r="BF34" s="526">
        <f t="shared" ca="1" si="34"/>
        <v>148228.18347291125</v>
      </c>
      <c r="BG34" s="526">
        <f t="shared" ca="1" si="34"/>
        <v>28129369.424453359</v>
      </c>
      <c r="BH34" s="526">
        <f t="shared" ca="1" si="34"/>
        <v>0</v>
      </c>
      <c r="BI34" s="526">
        <f t="shared" ca="1" si="34"/>
        <v>0</v>
      </c>
      <c r="BJ34" s="526">
        <f t="shared" ca="1" si="34"/>
        <v>0</v>
      </c>
      <c r="BK34" s="526">
        <f t="shared" ca="1" si="34"/>
        <v>0</v>
      </c>
      <c r="BL34" s="526">
        <f t="shared" ca="1" si="34"/>
        <v>0</v>
      </c>
      <c r="BM34" s="526">
        <f t="shared" ca="1" si="34"/>
        <v>0</v>
      </c>
      <c r="BN34" s="526">
        <f t="shared" ca="1" si="34"/>
        <v>0</v>
      </c>
      <c r="BO34" s="526">
        <f t="shared" ca="1" si="34"/>
        <v>0</v>
      </c>
      <c r="BP34" s="526">
        <f t="shared" ca="1" si="34"/>
        <v>0</v>
      </c>
      <c r="BQ34" s="526">
        <f t="shared" ca="1" si="34"/>
        <v>0</v>
      </c>
      <c r="BR34" s="526">
        <f t="shared" ca="1" si="34"/>
        <v>0</v>
      </c>
      <c r="BS34" s="526">
        <f t="shared" ca="1" si="34"/>
        <v>0</v>
      </c>
      <c r="BT34" s="526">
        <f t="shared" ca="1" si="34"/>
        <v>0</v>
      </c>
      <c r="BU34" s="526">
        <f t="shared" ca="1" si="34"/>
        <v>0</v>
      </c>
      <c r="BV34" s="526">
        <f t="shared" ca="1" si="34"/>
        <v>0</v>
      </c>
      <c r="BW34" s="526">
        <f t="shared" ca="1" si="34"/>
        <v>0</v>
      </c>
      <c r="BX34" s="526">
        <f t="shared" ref="BX34:EA34" ca="1" si="35">-BX30+BX31+BX32</f>
        <v>0</v>
      </c>
      <c r="BY34" s="526">
        <f t="shared" ca="1" si="35"/>
        <v>0</v>
      </c>
      <c r="BZ34" s="526">
        <f t="shared" ca="1" si="35"/>
        <v>0</v>
      </c>
      <c r="CA34" s="526">
        <f t="shared" ca="1" si="35"/>
        <v>0</v>
      </c>
      <c r="CB34" s="526">
        <f t="shared" ca="1" si="35"/>
        <v>0</v>
      </c>
      <c r="CC34" s="526">
        <f t="shared" ca="1" si="35"/>
        <v>0</v>
      </c>
      <c r="CD34" s="526">
        <f t="shared" ca="1" si="35"/>
        <v>0</v>
      </c>
      <c r="CE34" s="526">
        <f t="shared" ca="1" si="35"/>
        <v>0</v>
      </c>
      <c r="CF34" s="526">
        <f t="shared" ca="1" si="35"/>
        <v>0</v>
      </c>
      <c r="CG34" s="526">
        <f t="shared" ca="1" si="35"/>
        <v>0</v>
      </c>
      <c r="CH34" s="526">
        <f t="shared" ca="1" si="35"/>
        <v>0</v>
      </c>
      <c r="CI34" s="526">
        <f t="shared" ca="1" si="35"/>
        <v>0</v>
      </c>
      <c r="CJ34" s="526">
        <f t="shared" ca="1" si="35"/>
        <v>0</v>
      </c>
      <c r="CK34" s="526">
        <f t="shared" ca="1" si="35"/>
        <v>0</v>
      </c>
      <c r="CL34" s="526">
        <f t="shared" ca="1" si="35"/>
        <v>0</v>
      </c>
      <c r="CM34" s="526">
        <f t="shared" ca="1" si="35"/>
        <v>0</v>
      </c>
      <c r="CN34" s="526">
        <f t="shared" ca="1" si="35"/>
        <v>0</v>
      </c>
      <c r="CO34" s="526">
        <f t="shared" ca="1" si="35"/>
        <v>0</v>
      </c>
      <c r="CP34" s="526">
        <f t="shared" ca="1" si="35"/>
        <v>0</v>
      </c>
      <c r="CQ34" s="526">
        <f t="shared" ca="1" si="35"/>
        <v>0</v>
      </c>
      <c r="CR34" s="526">
        <f t="shared" ca="1" si="35"/>
        <v>0</v>
      </c>
      <c r="CS34" s="526">
        <f t="shared" ca="1" si="35"/>
        <v>0</v>
      </c>
      <c r="CT34" s="526">
        <f t="shared" ca="1" si="35"/>
        <v>0</v>
      </c>
      <c r="CU34" s="526">
        <f t="shared" ca="1" si="35"/>
        <v>0</v>
      </c>
      <c r="CV34" s="526">
        <f t="shared" ca="1" si="35"/>
        <v>0</v>
      </c>
      <c r="CW34" s="526">
        <f t="shared" ca="1" si="35"/>
        <v>0</v>
      </c>
      <c r="CX34" s="526">
        <f t="shared" ca="1" si="35"/>
        <v>0</v>
      </c>
      <c r="CY34" s="526">
        <f t="shared" ca="1" si="35"/>
        <v>0</v>
      </c>
      <c r="CZ34" s="526">
        <f t="shared" ca="1" si="35"/>
        <v>0</v>
      </c>
      <c r="DA34" s="526">
        <f t="shared" ca="1" si="35"/>
        <v>0</v>
      </c>
      <c r="DB34" s="526">
        <f t="shared" ca="1" si="35"/>
        <v>0</v>
      </c>
      <c r="DC34" s="526">
        <f t="shared" ca="1" si="35"/>
        <v>0</v>
      </c>
      <c r="DD34" s="526">
        <f t="shared" ca="1" si="35"/>
        <v>0</v>
      </c>
      <c r="DE34" s="526">
        <f t="shared" ca="1" si="35"/>
        <v>0</v>
      </c>
      <c r="DF34" s="526">
        <f t="shared" ca="1" si="35"/>
        <v>0</v>
      </c>
      <c r="DG34" s="526">
        <f t="shared" ca="1" si="35"/>
        <v>0</v>
      </c>
      <c r="DH34" s="526">
        <f t="shared" ca="1" si="35"/>
        <v>0</v>
      </c>
      <c r="DI34" s="526">
        <f t="shared" ca="1" si="35"/>
        <v>0</v>
      </c>
      <c r="DJ34" s="526">
        <f t="shared" ca="1" si="35"/>
        <v>0</v>
      </c>
      <c r="DK34" s="526">
        <f t="shared" ca="1" si="35"/>
        <v>0</v>
      </c>
      <c r="DL34" s="526">
        <f t="shared" ca="1" si="35"/>
        <v>0</v>
      </c>
      <c r="DM34" s="526">
        <f t="shared" ca="1" si="35"/>
        <v>0</v>
      </c>
      <c r="DN34" s="526">
        <f t="shared" ca="1" si="35"/>
        <v>0</v>
      </c>
      <c r="DO34" s="526">
        <f t="shared" ca="1" si="35"/>
        <v>0</v>
      </c>
      <c r="DP34" s="526">
        <f t="shared" ca="1" si="35"/>
        <v>0</v>
      </c>
      <c r="DQ34" s="526">
        <f t="shared" ca="1" si="35"/>
        <v>0</v>
      </c>
      <c r="DR34" s="526">
        <f t="shared" ca="1" si="35"/>
        <v>0</v>
      </c>
      <c r="DS34" s="526">
        <f t="shared" ca="1" si="35"/>
        <v>0</v>
      </c>
      <c r="DT34" s="526">
        <f t="shared" ca="1" si="35"/>
        <v>0</v>
      </c>
      <c r="DU34" s="526">
        <f t="shared" ca="1" si="35"/>
        <v>0</v>
      </c>
      <c r="DV34" s="526">
        <f t="shared" ca="1" si="35"/>
        <v>0</v>
      </c>
      <c r="DW34" s="526">
        <f t="shared" ca="1" si="35"/>
        <v>0</v>
      </c>
      <c r="DX34" s="526">
        <f t="shared" ca="1" si="35"/>
        <v>0</v>
      </c>
      <c r="DY34" s="526">
        <f t="shared" ca="1" si="35"/>
        <v>0</v>
      </c>
      <c r="DZ34" s="526">
        <f t="shared" ca="1" si="35"/>
        <v>0</v>
      </c>
      <c r="EA34" s="526">
        <f t="shared" ca="1" si="35"/>
        <v>0</v>
      </c>
      <c r="EB34" s="523" t="s">
        <v>557</v>
      </c>
    </row>
    <row r="35" spans="7:132">
      <c r="G35" s="545" t="s">
        <v>1152</v>
      </c>
      <c r="H35" s="546" t="s">
        <v>1153</v>
      </c>
      <c r="I35" s="547">
        <f ca="1">XIRR(K34:EA34,$K$2:$EA$2,)</f>
        <v>0.14791656136512762</v>
      </c>
      <c r="EB35" s="523" t="s">
        <v>557</v>
      </c>
    </row>
    <row r="36" spans="7:132">
      <c r="H36" s="546" t="s">
        <v>1155</v>
      </c>
      <c r="I36" s="548">
        <f ca="1">SUMIF(K34:EA34,"&gt;0")/-SUMIF(K34:EA34,"&lt;0")</f>
        <v>1.6564057454439265</v>
      </c>
      <c r="EB36" s="523" t="s">
        <v>557</v>
      </c>
    </row>
    <row r="37" spans="7:132">
      <c r="G37" s="520" t="s">
        <v>1135</v>
      </c>
      <c r="H37" s="533"/>
      <c r="I37" s="533"/>
      <c r="J37" s="521"/>
      <c r="K37" s="521"/>
      <c r="L37" s="521"/>
      <c r="M37" s="521"/>
      <c r="N37" s="521"/>
      <c r="O37" s="521"/>
      <c r="P37" s="521"/>
      <c r="Q37" s="521"/>
      <c r="R37" s="521"/>
      <c r="S37" s="521"/>
      <c r="T37" s="521"/>
      <c r="U37" s="521"/>
      <c r="V37" s="521"/>
      <c r="W37" s="521"/>
      <c r="X37" s="521"/>
      <c r="Y37" s="521"/>
      <c r="Z37" s="521"/>
      <c r="AA37" s="521"/>
      <c r="AB37" s="521"/>
      <c r="AC37" s="521"/>
      <c r="AD37" s="521"/>
      <c r="AE37" s="521"/>
      <c r="AF37" s="521"/>
      <c r="AG37" s="521"/>
      <c r="AH37" s="521"/>
      <c r="AI37" s="521"/>
      <c r="AJ37" s="521"/>
      <c r="AK37" s="521"/>
      <c r="AL37" s="521"/>
      <c r="AM37" s="521"/>
      <c r="AN37" s="521"/>
      <c r="AO37" s="521"/>
      <c r="AP37" s="521"/>
      <c r="AQ37" s="521"/>
      <c r="AR37" s="521"/>
      <c r="AS37" s="521"/>
      <c r="AT37" s="521"/>
      <c r="AU37" s="521"/>
      <c r="AV37" s="521"/>
      <c r="AW37" s="521"/>
      <c r="AX37" s="521"/>
      <c r="AY37" s="521"/>
      <c r="AZ37" s="521"/>
      <c r="BA37" s="521"/>
      <c r="BB37" s="521"/>
      <c r="BC37" s="521"/>
      <c r="BD37" s="521"/>
      <c r="BE37" s="521"/>
      <c r="BF37" s="521"/>
      <c r="BG37" s="521"/>
      <c r="BH37" s="521"/>
      <c r="BI37" s="521"/>
      <c r="BJ37" s="521"/>
      <c r="BK37" s="521"/>
      <c r="BL37" s="521"/>
      <c r="BM37" s="521"/>
      <c r="BN37" s="521"/>
      <c r="BO37" s="521"/>
      <c r="BP37" s="521"/>
      <c r="BQ37" s="521"/>
      <c r="BR37" s="521"/>
      <c r="BS37" s="521"/>
      <c r="BT37" s="521"/>
      <c r="BU37" s="521"/>
      <c r="BV37" s="521"/>
      <c r="BW37" s="521"/>
      <c r="BX37" s="521"/>
      <c r="BY37" s="521"/>
      <c r="BZ37" s="521"/>
      <c r="CA37" s="521"/>
      <c r="CB37" s="521"/>
      <c r="CC37" s="521"/>
      <c r="CD37" s="521"/>
      <c r="CE37" s="521"/>
      <c r="CF37" s="521"/>
      <c r="CG37" s="521"/>
      <c r="CH37" s="521"/>
      <c r="CI37" s="521"/>
      <c r="CJ37" s="521"/>
      <c r="CK37" s="521"/>
      <c r="CL37" s="521"/>
      <c r="CM37" s="521"/>
      <c r="CN37" s="521"/>
      <c r="CO37" s="521"/>
      <c r="CP37" s="521"/>
      <c r="CQ37" s="521"/>
      <c r="CR37" s="521"/>
      <c r="CS37" s="521"/>
      <c r="CT37" s="521"/>
      <c r="CU37" s="521"/>
      <c r="CV37" s="521"/>
      <c r="CW37" s="521"/>
      <c r="CX37" s="521"/>
      <c r="CY37" s="521"/>
      <c r="CZ37" s="521"/>
      <c r="DA37" s="521"/>
      <c r="DB37" s="521"/>
      <c r="DC37" s="521"/>
      <c r="DD37" s="521"/>
      <c r="DE37" s="521"/>
      <c r="DF37" s="521"/>
      <c r="DG37" s="521"/>
      <c r="DH37" s="521"/>
      <c r="DI37" s="521"/>
      <c r="DJ37" s="521"/>
      <c r="DK37" s="521"/>
      <c r="DL37" s="521"/>
      <c r="DM37" s="521"/>
      <c r="DN37" s="521"/>
      <c r="DO37" s="521"/>
      <c r="DP37" s="521"/>
      <c r="DQ37" s="521"/>
      <c r="DR37" s="521"/>
      <c r="DS37" s="521"/>
      <c r="DT37" s="521"/>
      <c r="DU37" s="521"/>
      <c r="DV37" s="521"/>
      <c r="DW37" s="521"/>
      <c r="DX37" s="521"/>
      <c r="DY37" s="521"/>
      <c r="DZ37" s="521"/>
      <c r="EA37" s="521"/>
      <c r="EB37" s="523" t="s">
        <v>557</v>
      </c>
    </row>
    <row r="38" spans="7:132">
      <c r="G38" s="518" t="s">
        <v>1158</v>
      </c>
      <c r="K38" s="526">
        <f ca="1">K18</f>
        <v>0</v>
      </c>
      <c r="L38" s="526">
        <f t="shared" ref="L38:BW38" si="36">L18</f>
        <v>0</v>
      </c>
      <c r="M38" s="526">
        <f t="shared" si="36"/>
        <v>0</v>
      </c>
      <c r="N38" s="526">
        <f t="shared" si="36"/>
        <v>0</v>
      </c>
      <c r="O38" s="526">
        <f t="shared" si="36"/>
        <v>0</v>
      </c>
      <c r="P38" s="526">
        <f t="shared" si="36"/>
        <v>0</v>
      </c>
      <c r="Q38" s="526">
        <f t="shared" si="36"/>
        <v>0</v>
      </c>
      <c r="R38" s="526">
        <f t="shared" si="36"/>
        <v>0</v>
      </c>
      <c r="S38" s="526">
        <f t="shared" si="36"/>
        <v>0</v>
      </c>
      <c r="T38" s="526">
        <f t="shared" si="36"/>
        <v>0</v>
      </c>
      <c r="U38" s="526">
        <f t="shared" si="36"/>
        <v>0</v>
      </c>
      <c r="V38" s="526">
        <f t="shared" si="36"/>
        <v>0</v>
      </c>
      <c r="W38" s="526">
        <f t="shared" si="36"/>
        <v>0</v>
      </c>
      <c r="X38" s="526">
        <f t="shared" si="36"/>
        <v>0</v>
      </c>
      <c r="Y38" s="526">
        <f t="shared" si="36"/>
        <v>0</v>
      </c>
      <c r="Z38" s="526">
        <f t="shared" si="36"/>
        <v>0</v>
      </c>
      <c r="AA38" s="526">
        <f t="shared" si="36"/>
        <v>0</v>
      </c>
      <c r="AB38" s="526">
        <f t="shared" si="36"/>
        <v>0</v>
      </c>
      <c r="AC38" s="526">
        <f t="shared" si="36"/>
        <v>0</v>
      </c>
      <c r="AD38" s="526">
        <f t="shared" si="36"/>
        <v>0</v>
      </c>
      <c r="AE38" s="526">
        <f t="shared" si="36"/>
        <v>0</v>
      </c>
      <c r="AF38" s="526">
        <f t="shared" si="36"/>
        <v>0</v>
      </c>
      <c r="AG38" s="526">
        <f t="shared" si="36"/>
        <v>0</v>
      </c>
      <c r="AH38" s="526">
        <f t="shared" si="36"/>
        <v>0</v>
      </c>
      <c r="AI38" s="526">
        <f t="shared" si="36"/>
        <v>0</v>
      </c>
      <c r="AJ38" s="526">
        <f t="shared" si="36"/>
        <v>0</v>
      </c>
      <c r="AK38" s="526">
        <f t="shared" si="36"/>
        <v>0</v>
      </c>
      <c r="AL38" s="526">
        <f t="shared" si="36"/>
        <v>0</v>
      </c>
      <c r="AM38" s="526">
        <f t="shared" si="36"/>
        <v>0</v>
      </c>
      <c r="AN38" s="526">
        <f t="shared" si="36"/>
        <v>0</v>
      </c>
      <c r="AO38" s="526">
        <f t="shared" si="36"/>
        <v>0</v>
      </c>
      <c r="AP38" s="526">
        <f t="shared" si="36"/>
        <v>0</v>
      </c>
      <c r="AQ38" s="526">
        <f t="shared" si="36"/>
        <v>0</v>
      </c>
      <c r="AR38" s="526">
        <f t="shared" si="36"/>
        <v>0</v>
      </c>
      <c r="AS38" s="526">
        <f t="shared" si="36"/>
        <v>0</v>
      </c>
      <c r="AT38" s="526">
        <f t="shared" si="36"/>
        <v>0</v>
      </c>
      <c r="AU38" s="526">
        <f t="shared" si="36"/>
        <v>0</v>
      </c>
      <c r="AV38" s="526">
        <f t="shared" si="36"/>
        <v>0</v>
      </c>
      <c r="AW38" s="526">
        <f t="shared" si="36"/>
        <v>0</v>
      </c>
      <c r="AX38" s="526">
        <f t="shared" si="36"/>
        <v>0</v>
      </c>
      <c r="AY38" s="526">
        <f t="shared" si="36"/>
        <v>0</v>
      </c>
      <c r="AZ38" s="526">
        <f t="shared" si="36"/>
        <v>0</v>
      </c>
      <c r="BA38" s="526">
        <f t="shared" si="36"/>
        <v>0</v>
      </c>
      <c r="BB38" s="526">
        <f t="shared" si="36"/>
        <v>0</v>
      </c>
      <c r="BC38" s="526">
        <f t="shared" si="36"/>
        <v>0</v>
      </c>
      <c r="BD38" s="526">
        <f t="shared" si="36"/>
        <v>0</v>
      </c>
      <c r="BE38" s="526">
        <f t="shared" si="36"/>
        <v>0</v>
      </c>
      <c r="BF38" s="526">
        <f t="shared" si="36"/>
        <v>0</v>
      </c>
      <c r="BG38" s="526">
        <f t="shared" si="36"/>
        <v>0</v>
      </c>
      <c r="BH38" s="526">
        <f t="shared" si="36"/>
        <v>0</v>
      </c>
      <c r="BI38" s="526">
        <f t="shared" si="36"/>
        <v>0</v>
      </c>
      <c r="BJ38" s="526">
        <f t="shared" si="36"/>
        <v>0</v>
      </c>
      <c r="BK38" s="526">
        <f t="shared" si="36"/>
        <v>0</v>
      </c>
      <c r="BL38" s="526">
        <f t="shared" si="36"/>
        <v>0</v>
      </c>
      <c r="BM38" s="526">
        <f t="shared" si="36"/>
        <v>0</v>
      </c>
      <c r="BN38" s="526">
        <f t="shared" si="36"/>
        <v>0</v>
      </c>
      <c r="BO38" s="526">
        <f t="shared" si="36"/>
        <v>0</v>
      </c>
      <c r="BP38" s="526">
        <f t="shared" si="36"/>
        <v>0</v>
      </c>
      <c r="BQ38" s="526">
        <f t="shared" si="36"/>
        <v>0</v>
      </c>
      <c r="BR38" s="526">
        <f t="shared" si="36"/>
        <v>0</v>
      </c>
      <c r="BS38" s="526">
        <f t="shared" si="36"/>
        <v>0</v>
      </c>
      <c r="BT38" s="526">
        <f t="shared" si="36"/>
        <v>0</v>
      </c>
      <c r="BU38" s="526">
        <f t="shared" si="36"/>
        <v>0</v>
      </c>
      <c r="BV38" s="526">
        <f t="shared" si="36"/>
        <v>0</v>
      </c>
      <c r="BW38" s="526">
        <f t="shared" si="36"/>
        <v>0</v>
      </c>
      <c r="BX38" s="526">
        <f t="shared" ref="BX38:EA38" si="37">BX18</f>
        <v>0</v>
      </c>
      <c r="BY38" s="526">
        <f t="shared" si="37"/>
        <v>0</v>
      </c>
      <c r="BZ38" s="526">
        <f t="shared" si="37"/>
        <v>0</v>
      </c>
      <c r="CA38" s="526">
        <f t="shared" si="37"/>
        <v>0</v>
      </c>
      <c r="CB38" s="526">
        <f t="shared" si="37"/>
        <v>0</v>
      </c>
      <c r="CC38" s="526">
        <f t="shared" si="37"/>
        <v>0</v>
      </c>
      <c r="CD38" s="526">
        <f t="shared" si="37"/>
        <v>0</v>
      </c>
      <c r="CE38" s="526">
        <f t="shared" si="37"/>
        <v>0</v>
      </c>
      <c r="CF38" s="526">
        <f t="shared" si="37"/>
        <v>0</v>
      </c>
      <c r="CG38" s="526">
        <f t="shared" si="37"/>
        <v>0</v>
      </c>
      <c r="CH38" s="526">
        <f t="shared" si="37"/>
        <v>0</v>
      </c>
      <c r="CI38" s="526">
        <f t="shared" si="37"/>
        <v>0</v>
      </c>
      <c r="CJ38" s="526">
        <f t="shared" si="37"/>
        <v>0</v>
      </c>
      <c r="CK38" s="526">
        <f t="shared" si="37"/>
        <v>0</v>
      </c>
      <c r="CL38" s="526">
        <f t="shared" si="37"/>
        <v>0</v>
      </c>
      <c r="CM38" s="526">
        <f t="shared" si="37"/>
        <v>0</v>
      </c>
      <c r="CN38" s="526">
        <f t="shared" si="37"/>
        <v>0</v>
      </c>
      <c r="CO38" s="526">
        <f t="shared" si="37"/>
        <v>0</v>
      </c>
      <c r="CP38" s="526">
        <f t="shared" si="37"/>
        <v>0</v>
      </c>
      <c r="CQ38" s="526">
        <f t="shared" si="37"/>
        <v>0</v>
      </c>
      <c r="CR38" s="526">
        <f t="shared" si="37"/>
        <v>0</v>
      </c>
      <c r="CS38" s="526">
        <f t="shared" si="37"/>
        <v>0</v>
      </c>
      <c r="CT38" s="526">
        <f t="shared" si="37"/>
        <v>0</v>
      </c>
      <c r="CU38" s="526">
        <f t="shared" si="37"/>
        <v>0</v>
      </c>
      <c r="CV38" s="526">
        <f t="shared" si="37"/>
        <v>0</v>
      </c>
      <c r="CW38" s="526">
        <f t="shared" si="37"/>
        <v>0</v>
      </c>
      <c r="CX38" s="526">
        <f t="shared" si="37"/>
        <v>0</v>
      </c>
      <c r="CY38" s="526">
        <f t="shared" si="37"/>
        <v>0</v>
      </c>
      <c r="CZ38" s="526">
        <f t="shared" si="37"/>
        <v>0</v>
      </c>
      <c r="DA38" s="526">
        <f t="shared" si="37"/>
        <v>0</v>
      </c>
      <c r="DB38" s="526">
        <f t="shared" si="37"/>
        <v>0</v>
      </c>
      <c r="DC38" s="526">
        <f t="shared" si="37"/>
        <v>0</v>
      </c>
      <c r="DD38" s="526">
        <f t="shared" si="37"/>
        <v>0</v>
      </c>
      <c r="DE38" s="526">
        <f t="shared" si="37"/>
        <v>0</v>
      </c>
      <c r="DF38" s="526">
        <f t="shared" si="37"/>
        <v>0</v>
      </c>
      <c r="DG38" s="526">
        <f t="shared" si="37"/>
        <v>0</v>
      </c>
      <c r="DH38" s="526">
        <f t="shared" si="37"/>
        <v>0</v>
      </c>
      <c r="DI38" s="526">
        <f t="shared" si="37"/>
        <v>0</v>
      </c>
      <c r="DJ38" s="526">
        <f t="shared" si="37"/>
        <v>0</v>
      </c>
      <c r="DK38" s="526">
        <f t="shared" si="37"/>
        <v>0</v>
      </c>
      <c r="DL38" s="526">
        <f t="shared" si="37"/>
        <v>0</v>
      </c>
      <c r="DM38" s="526">
        <f t="shared" si="37"/>
        <v>0</v>
      </c>
      <c r="DN38" s="526">
        <f t="shared" si="37"/>
        <v>0</v>
      </c>
      <c r="DO38" s="526">
        <f t="shared" si="37"/>
        <v>0</v>
      </c>
      <c r="DP38" s="526">
        <f t="shared" si="37"/>
        <v>0</v>
      </c>
      <c r="DQ38" s="526">
        <f t="shared" si="37"/>
        <v>0</v>
      </c>
      <c r="DR38" s="526">
        <f t="shared" si="37"/>
        <v>0</v>
      </c>
      <c r="DS38" s="526">
        <f t="shared" si="37"/>
        <v>0</v>
      </c>
      <c r="DT38" s="526">
        <f t="shared" si="37"/>
        <v>0</v>
      </c>
      <c r="DU38" s="526">
        <f t="shared" si="37"/>
        <v>0</v>
      </c>
      <c r="DV38" s="526">
        <f t="shared" si="37"/>
        <v>0</v>
      </c>
      <c r="DW38" s="526">
        <f t="shared" si="37"/>
        <v>0</v>
      </c>
      <c r="DX38" s="526">
        <f t="shared" si="37"/>
        <v>0</v>
      </c>
      <c r="DY38" s="526">
        <f t="shared" si="37"/>
        <v>0</v>
      </c>
      <c r="DZ38" s="526">
        <f t="shared" si="37"/>
        <v>0</v>
      </c>
      <c r="EA38" s="526">
        <f t="shared" si="37"/>
        <v>0</v>
      </c>
      <c r="EB38" s="523" t="s">
        <v>557</v>
      </c>
    </row>
    <row r="39" spans="7:132">
      <c r="G39" s="518" t="s">
        <v>1160</v>
      </c>
      <c r="H39" s="539">
        <f>C15</f>
        <v>0.2</v>
      </c>
      <c r="K39" s="526">
        <f ca="1">K32/$H32*$H39</f>
        <v>0</v>
      </c>
      <c r="L39" s="526">
        <f t="shared" ref="L39:BW39" ca="1" si="38">L32/$H32*$H39</f>
        <v>0</v>
      </c>
      <c r="M39" s="526">
        <f t="shared" ca="1" si="38"/>
        <v>0</v>
      </c>
      <c r="N39" s="526">
        <f t="shared" ca="1" si="38"/>
        <v>0</v>
      </c>
      <c r="O39" s="526">
        <f t="shared" ca="1" si="38"/>
        <v>0</v>
      </c>
      <c r="P39" s="526">
        <f t="shared" ca="1" si="38"/>
        <v>0</v>
      </c>
      <c r="Q39" s="526">
        <f t="shared" ca="1" si="38"/>
        <v>0</v>
      </c>
      <c r="R39" s="526">
        <f t="shared" ca="1" si="38"/>
        <v>0</v>
      </c>
      <c r="S39" s="526">
        <f t="shared" ca="1" si="38"/>
        <v>0</v>
      </c>
      <c r="T39" s="526">
        <f t="shared" ca="1" si="38"/>
        <v>0</v>
      </c>
      <c r="U39" s="526">
        <f t="shared" ca="1" si="38"/>
        <v>0</v>
      </c>
      <c r="V39" s="526">
        <f t="shared" ca="1" si="38"/>
        <v>0</v>
      </c>
      <c r="W39" s="526">
        <f t="shared" ca="1" si="38"/>
        <v>0</v>
      </c>
      <c r="X39" s="526">
        <f t="shared" ca="1" si="38"/>
        <v>0</v>
      </c>
      <c r="Y39" s="526">
        <f t="shared" ca="1" si="38"/>
        <v>0</v>
      </c>
      <c r="Z39" s="526">
        <f t="shared" ca="1" si="38"/>
        <v>0</v>
      </c>
      <c r="AA39" s="526">
        <f t="shared" ca="1" si="38"/>
        <v>0</v>
      </c>
      <c r="AB39" s="526">
        <f t="shared" ca="1" si="38"/>
        <v>0</v>
      </c>
      <c r="AC39" s="526">
        <f t="shared" ca="1" si="38"/>
        <v>0</v>
      </c>
      <c r="AD39" s="526">
        <f t="shared" ca="1" si="38"/>
        <v>0</v>
      </c>
      <c r="AE39" s="526">
        <f t="shared" ca="1" si="38"/>
        <v>0</v>
      </c>
      <c r="AF39" s="526">
        <f t="shared" ca="1" si="38"/>
        <v>0</v>
      </c>
      <c r="AG39" s="526">
        <f t="shared" ca="1" si="38"/>
        <v>0</v>
      </c>
      <c r="AH39" s="526">
        <f t="shared" ca="1" si="38"/>
        <v>0</v>
      </c>
      <c r="AI39" s="526">
        <f t="shared" ca="1" si="38"/>
        <v>0</v>
      </c>
      <c r="AJ39" s="526">
        <f t="shared" ca="1" si="38"/>
        <v>0</v>
      </c>
      <c r="AK39" s="526">
        <f t="shared" ca="1" si="38"/>
        <v>0</v>
      </c>
      <c r="AL39" s="526">
        <f t="shared" ca="1" si="38"/>
        <v>0</v>
      </c>
      <c r="AM39" s="526">
        <f t="shared" ca="1" si="38"/>
        <v>0</v>
      </c>
      <c r="AN39" s="526">
        <f t="shared" ca="1" si="38"/>
        <v>0</v>
      </c>
      <c r="AO39" s="526">
        <f t="shared" ca="1" si="38"/>
        <v>0</v>
      </c>
      <c r="AP39" s="526">
        <f t="shared" ca="1" si="38"/>
        <v>0</v>
      </c>
      <c r="AQ39" s="526">
        <f t="shared" ca="1" si="38"/>
        <v>0</v>
      </c>
      <c r="AR39" s="526">
        <f t="shared" ca="1" si="38"/>
        <v>0</v>
      </c>
      <c r="AS39" s="526">
        <f t="shared" ca="1" si="38"/>
        <v>0</v>
      </c>
      <c r="AT39" s="526">
        <f t="shared" ca="1" si="38"/>
        <v>0</v>
      </c>
      <c r="AU39" s="526">
        <f t="shared" ca="1" si="38"/>
        <v>0</v>
      </c>
      <c r="AV39" s="526">
        <f t="shared" ca="1" si="38"/>
        <v>0</v>
      </c>
      <c r="AW39" s="526">
        <f t="shared" ca="1" si="38"/>
        <v>0</v>
      </c>
      <c r="AX39" s="526">
        <f t="shared" ca="1" si="38"/>
        <v>0</v>
      </c>
      <c r="AY39" s="526">
        <f t="shared" ca="1" si="38"/>
        <v>0</v>
      </c>
      <c r="AZ39" s="526">
        <f t="shared" ca="1" si="38"/>
        <v>0</v>
      </c>
      <c r="BA39" s="526">
        <f t="shared" ca="1" si="38"/>
        <v>0</v>
      </c>
      <c r="BB39" s="526">
        <f t="shared" ca="1" si="38"/>
        <v>0</v>
      </c>
      <c r="BC39" s="526">
        <f t="shared" ca="1" si="38"/>
        <v>0</v>
      </c>
      <c r="BD39" s="526">
        <f t="shared" ca="1" si="38"/>
        <v>0</v>
      </c>
      <c r="BE39" s="526">
        <f t="shared" ca="1" si="38"/>
        <v>0</v>
      </c>
      <c r="BF39" s="526">
        <f t="shared" ca="1" si="38"/>
        <v>0</v>
      </c>
      <c r="BG39" s="526">
        <f t="shared" ca="1" si="38"/>
        <v>1240859.0283729024</v>
      </c>
      <c r="BH39" s="526">
        <f t="shared" ca="1" si="38"/>
        <v>0</v>
      </c>
      <c r="BI39" s="526">
        <f t="shared" ca="1" si="38"/>
        <v>0</v>
      </c>
      <c r="BJ39" s="526">
        <f t="shared" ca="1" si="38"/>
        <v>0</v>
      </c>
      <c r="BK39" s="526">
        <f t="shared" ca="1" si="38"/>
        <v>0</v>
      </c>
      <c r="BL39" s="526">
        <f t="shared" ca="1" si="38"/>
        <v>0</v>
      </c>
      <c r="BM39" s="526">
        <f t="shared" ca="1" si="38"/>
        <v>0</v>
      </c>
      <c r="BN39" s="526">
        <f t="shared" ca="1" si="38"/>
        <v>0</v>
      </c>
      <c r="BO39" s="526">
        <f t="shared" ca="1" si="38"/>
        <v>0</v>
      </c>
      <c r="BP39" s="526">
        <f t="shared" ca="1" si="38"/>
        <v>0</v>
      </c>
      <c r="BQ39" s="526">
        <f t="shared" ca="1" si="38"/>
        <v>0</v>
      </c>
      <c r="BR39" s="526">
        <f t="shared" ca="1" si="38"/>
        <v>0</v>
      </c>
      <c r="BS39" s="526">
        <f t="shared" ca="1" si="38"/>
        <v>0</v>
      </c>
      <c r="BT39" s="526">
        <f t="shared" ca="1" si="38"/>
        <v>0</v>
      </c>
      <c r="BU39" s="526">
        <f t="shared" ca="1" si="38"/>
        <v>0</v>
      </c>
      <c r="BV39" s="526">
        <f t="shared" ca="1" si="38"/>
        <v>0</v>
      </c>
      <c r="BW39" s="526">
        <f t="shared" ca="1" si="38"/>
        <v>0</v>
      </c>
      <c r="BX39" s="526">
        <f t="shared" ref="BX39:EA39" ca="1" si="39">BX32/$H32*$H39</f>
        <v>0</v>
      </c>
      <c r="BY39" s="526">
        <f t="shared" ca="1" si="39"/>
        <v>0</v>
      </c>
      <c r="BZ39" s="526">
        <f t="shared" ca="1" si="39"/>
        <v>0</v>
      </c>
      <c r="CA39" s="526">
        <f t="shared" ca="1" si="39"/>
        <v>0</v>
      </c>
      <c r="CB39" s="526">
        <f t="shared" ca="1" si="39"/>
        <v>0</v>
      </c>
      <c r="CC39" s="526">
        <f t="shared" ca="1" si="39"/>
        <v>0</v>
      </c>
      <c r="CD39" s="526">
        <f t="shared" ca="1" si="39"/>
        <v>0</v>
      </c>
      <c r="CE39" s="526">
        <f t="shared" ca="1" si="39"/>
        <v>0</v>
      </c>
      <c r="CF39" s="526">
        <f t="shared" ca="1" si="39"/>
        <v>0</v>
      </c>
      <c r="CG39" s="526">
        <f t="shared" ca="1" si="39"/>
        <v>0</v>
      </c>
      <c r="CH39" s="526">
        <f t="shared" ca="1" si="39"/>
        <v>0</v>
      </c>
      <c r="CI39" s="526">
        <f t="shared" ca="1" si="39"/>
        <v>0</v>
      </c>
      <c r="CJ39" s="526">
        <f t="shared" ca="1" si="39"/>
        <v>0</v>
      </c>
      <c r="CK39" s="526">
        <f t="shared" ca="1" si="39"/>
        <v>0</v>
      </c>
      <c r="CL39" s="526">
        <f t="shared" ca="1" si="39"/>
        <v>0</v>
      </c>
      <c r="CM39" s="526">
        <f t="shared" ca="1" si="39"/>
        <v>0</v>
      </c>
      <c r="CN39" s="526">
        <f t="shared" ca="1" si="39"/>
        <v>0</v>
      </c>
      <c r="CO39" s="526">
        <f t="shared" ca="1" si="39"/>
        <v>0</v>
      </c>
      <c r="CP39" s="526">
        <f t="shared" ca="1" si="39"/>
        <v>0</v>
      </c>
      <c r="CQ39" s="526">
        <f t="shared" ca="1" si="39"/>
        <v>0</v>
      </c>
      <c r="CR39" s="526">
        <f t="shared" ca="1" si="39"/>
        <v>0</v>
      </c>
      <c r="CS39" s="526">
        <f t="shared" ca="1" si="39"/>
        <v>0</v>
      </c>
      <c r="CT39" s="526">
        <f t="shared" ca="1" si="39"/>
        <v>0</v>
      </c>
      <c r="CU39" s="526">
        <f t="shared" ca="1" si="39"/>
        <v>0</v>
      </c>
      <c r="CV39" s="526">
        <f t="shared" ca="1" si="39"/>
        <v>0</v>
      </c>
      <c r="CW39" s="526">
        <f t="shared" ca="1" si="39"/>
        <v>0</v>
      </c>
      <c r="CX39" s="526">
        <f t="shared" ca="1" si="39"/>
        <v>0</v>
      </c>
      <c r="CY39" s="526">
        <f t="shared" ca="1" si="39"/>
        <v>0</v>
      </c>
      <c r="CZ39" s="526">
        <f t="shared" ca="1" si="39"/>
        <v>0</v>
      </c>
      <c r="DA39" s="526">
        <f t="shared" ca="1" si="39"/>
        <v>0</v>
      </c>
      <c r="DB39" s="526">
        <f t="shared" ca="1" si="39"/>
        <v>0</v>
      </c>
      <c r="DC39" s="526">
        <f t="shared" ca="1" si="39"/>
        <v>0</v>
      </c>
      <c r="DD39" s="526">
        <f t="shared" ca="1" si="39"/>
        <v>0</v>
      </c>
      <c r="DE39" s="526">
        <f t="shared" ca="1" si="39"/>
        <v>0</v>
      </c>
      <c r="DF39" s="526">
        <f t="shared" ca="1" si="39"/>
        <v>0</v>
      </c>
      <c r="DG39" s="526">
        <f t="shared" ca="1" si="39"/>
        <v>0</v>
      </c>
      <c r="DH39" s="526">
        <f t="shared" ca="1" si="39"/>
        <v>0</v>
      </c>
      <c r="DI39" s="526">
        <f t="shared" ca="1" si="39"/>
        <v>0</v>
      </c>
      <c r="DJ39" s="526">
        <f t="shared" ca="1" si="39"/>
        <v>0</v>
      </c>
      <c r="DK39" s="526">
        <f t="shared" ca="1" si="39"/>
        <v>0</v>
      </c>
      <c r="DL39" s="526">
        <f t="shared" ca="1" si="39"/>
        <v>0</v>
      </c>
      <c r="DM39" s="526">
        <f t="shared" ca="1" si="39"/>
        <v>0</v>
      </c>
      <c r="DN39" s="526">
        <f t="shared" ca="1" si="39"/>
        <v>0</v>
      </c>
      <c r="DO39" s="526">
        <f t="shared" ca="1" si="39"/>
        <v>0</v>
      </c>
      <c r="DP39" s="526">
        <f t="shared" ca="1" si="39"/>
        <v>0</v>
      </c>
      <c r="DQ39" s="526">
        <f t="shared" ca="1" si="39"/>
        <v>0</v>
      </c>
      <c r="DR39" s="526">
        <f t="shared" ca="1" si="39"/>
        <v>0</v>
      </c>
      <c r="DS39" s="526">
        <f t="shared" ca="1" si="39"/>
        <v>0</v>
      </c>
      <c r="DT39" s="526">
        <f t="shared" ca="1" si="39"/>
        <v>0</v>
      </c>
      <c r="DU39" s="526">
        <f t="shared" ca="1" si="39"/>
        <v>0</v>
      </c>
      <c r="DV39" s="526">
        <f t="shared" ca="1" si="39"/>
        <v>0</v>
      </c>
      <c r="DW39" s="526">
        <f t="shared" ca="1" si="39"/>
        <v>0</v>
      </c>
      <c r="DX39" s="526">
        <f t="shared" ca="1" si="39"/>
        <v>0</v>
      </c>
      <c r="DY39" s="526">
        <f t="shared" ca="1" si="39"/>
        <v>0</v>
      </c>
      <c r="DZ39" s="526">
        <f t="shared" ca="1" si="39"/>
        <v>0</v>
      </c>
      <c r="EA39" s="526">
        <f t="shared" ca="1" si="39"/>
        <v>0</v>
      </c>
      <c r="EB39" s="523" t="s">
        <v>557</v>
      </c>
    </row>
    <row r="40" spans="7:132">
      <c r="EB40" s="523" t="s">
        <v>557</v>
      </c>
    </row>
    <row r="41" spans="7:132">
      <c r="G41" s="518" t="s">
        <v>1171</v>
      </c>
      <c r="K41" s="526">
        <f ca="1">K32+K39</f>
        <v>0</v>
      </c>
      <c r="L41" s="526">
        <f t="shared" ref="L41:BW41" ca="1" si="40">L32+L39</f>
        <v>0</v>
      </c>
      <c r="M41" s="526">
        <f t="shared" ca="1" si="40"/>
        <v>0</v>
      </c>
      <c r="N41" s="526">
        <f t="shared" ca="1" si="40"/>
        <v>0</v>
      </c>
      <c r="O41" s="526">
        <f t="shared" ca="1" si="40"/>
        <v>0</v>
      </c>
      <c r="P41" s="526">
        <f t="shared" ca="1" si="40"/>
        <v>0</v>
      </c>
      <c r="Q41" s="526">
        <f t="shared" ca="1" si="40"/>
        <v>0</v>
      </c>
      <c r="R41" s="526">
        <f t="shared" ca="1" si="40"/>
        <v>0</v>
      </c>
      <c r="S41" s="526">
        <f t="shared" ca="1" si="40"/>
        <v>0</v>
      </c>
      <c r="T41" s="526">
        <f t="shared" ca="1" si="40"/>
        <v>0</v>
      </c>
      <c r="U41" s="526">
        <f t="shared" ca="1" si="40"/>
        <v>0</v>
      </c>
      <c r="V41" s="526">
        <f t="shared" ca="1" si="40"/>
        <v>0</v>
      </c>
      <c r="W41" s="526">
        <f t="shared" ca="1" si="40"/>
        <v>0</v>
      </c>
      <c r="X41" s="526">
        <f t="shared" ca="1" si="40"/>
        <v>0</v>
      </c>
      <c r="Y41" s="526">
        <f t="shared" ca="1" si="40"/>
        <v>0</v>
      </c>
      <c r="Z41" s="526">
        <f t="shared" ca="1" si="40"/>
        <v>0</v>
      </c>
      <c r="AA41" s="526">
        <f t="shared" ca="1" si="40"/>
        <v>0</v>
      </c>
      <c r="AB41" s="526">
        <f t="shared" ca="1" si="40"/>
        <v>0</v>
      </c>
      <c r="AC41" s="526">
        <f t="shared" ca="1" si="40"/>
        <v>0</v>
      </c>
      <c r="AD41" s="526">
        <f t="shared" ca="1" si="40"/>
        <v>0</v>
      </c>
      <c r="AE41" s="526">
        <f t="shared" ca="1" si="40"/>
        <v>0</v>
      </c>
      <c r="AF41" s="526">
        <f t="shared" ca="1" si="40"/>
        <v>0</v>
      </c>
      <c r="AG41" s="526">
        <f t="shared" ca="1" si="40"/>
        <v>0</v>
      </c>
      <c r="AH41" s="526">
        <f t="shared" ca="1" si="40"/>
        <v>0</v>
      </c>
      <c r="AI41" s="526">
        <f t="shared" ca="1" si="40"/>
        <v>0</v>
      </c>
      <c r="AJ41" s="526">
        <f t="shared" ca="1" si="40"/>
        <v>0</v>
      </c>
      <c r="AK41" s="526">
        <f t="shared" ca="1" si="40"/>
        <v>0</v>
      </c>
      <c r="AL41" s="526">
        <f t="shared" ca="1" si="40"/>
        <v>0</v>
      </c>
      <c r="AM41" s="526">
        <f t="shared" ca="1" si="40"/>
        <v>0</v>
      </c>
      <c r="AN41" s="526">
        <f t="shared" ca="1" si="40"/>
        <v>0</v>
      </c>
      <c r="AO41" s="526">
        <f t="shared" ca="1" si="40"/>
        <v>0</v>
      </c>
      <c r="AP41" s="526">
        <f t="shared" ca="1" si="40"/>
        <v>0</v>
      </c>
      <c r="AQ41" s="526">
        <f t="shared" ca="1" si="40"/>
        <v>0</v>
      </c>
      <c r="AR41" s="526">
        <f t="shared" ca="1" si="40"/>
        <v>0</v>
      </c>
      <c r="AS41" s="526">
        <f t="shared" ca="1" si="40"/>
        <v>0</v>
      </c>
      <c r="AT41" s="526">
        <f t="shared" ca="1" si="40"/>
        <v>0</v>
      </c>
      <c r="AU41" s="526">
        <f t="shared" ca="1" si="40"/>
        <v>0</v>
      </c>
      <c r="AV41" s="526">
        <f t="shared" ca="1" si="40"/>
        <v>0</v>
      </c>
      <c r="AW41" s="526">
        <f t="shared" ca="1" si="40"/>
        <v>0</v>
      </c>
      <c r="AX41" s="526">
        <f t="shared" ca="1" si="40"/>
        <v>0</v>
      </c>
      <c r="AY41" s="526">
        <f t="shared" ca="1" si="40"/>
        <v>0</v>
      </c>
      <c r="AZ41" s="526">
        <f t="shared" ca="1" si="40"/>
        <v>0</v>
      </c>
      <c r="BA41" s="526">
        <f t="shared" ca="1" si="40"/>
        <v>0</v>
      </c>
      <c r="BB41" s="526">
        <f t="shared" ca="1" si="40"/>
        <v>0</v>
      </c>
      <c r="BC41" s="526">
        <f t="shared" ca="1" si="40"/>
        <v>0</v>
      </c>
      <c r="BD41" s="526">
        <f t="shared" ca="1" si="40"/>
        <v>0</v>
      </c>
      <c r="BE41" s="526">
        <f t="shared" ca="1" si="40"/>
        <v>0</v>
      </c>
      <c r="BF41" s="526">
        <f t="shared" ca="1" si="40"/>
        <v>0</v>
      </c>
      <c r="BG41" s="526">
        <f t="shared" ca="1" si="40"/>
        <v>6204295.1418645121</v>
      </c>
      <c r="BH41" s="526">
        <f t="shared" ca="1" si="40"/>
        <v>0</v>
      </c>
      <c r="BI41" s="526">
        <f t="shared" ca="1" si="40"/>
        <v>0</v>
      </c>
      <c r="BJ41" s="526">
        <f t="shared" ca="1" si="40"/>
        <v>0</v>
      </c>
      <c r="BK41" s="526">
        <f t="shared" ca="1" si="40"/>
        <v>0</v>
      </c>
      <c r="BL41" s="526">
        <f t="shared" ca="1" si="40"/>
        <v>0</v>
      </c>
      <c r="BM41" s="526">
        <f t="shared" ca="1" si="40"/>
        <v>0</v>
      </c>
      <c r="BN41" s="526">
        <f t="shared" ca="1" si="40"/>
        <v>0</v>
      </c>
      <c r="BO41" s="526">
        <f t="shared" ca="1" si="40"/>
        <v>0</v>
      </c>
      <c r="BP41" s="526">
        <f t="shared" ca="1" si="40"/>
        <v>0</v>
      </c>
      <c r="BQ41" s="526">
        <f t="shared" ca="1" si="40"/>
        <v>0</v>
      </c>
      <c r="BR41" s="526">
        <f t="shared" ca="1" si="40"/>
        <v>0</v>
      </c>
      <c r="BS41" s="526">
        <f t="shared" ca="1" si="40"/>
        <v>0</v>
      </c>
      <c r="BT41" s="526">
        <f t="shared" ca="1" si="40"/>
        <v>0</v>
      </c>
      <c r="BU41" s="526">
        <f t="shared" ca="1" si="40"/>
        <v>0</v>
      </c>
      <c r="BV41" s="526">
        <f t="shared" ca="1" si="40"/>
        <v>0</v>
      </c>
      <c r="BW41" s="526">
        <f t="shared" ca="1" si="40"/>
        <v>0</v>
      </c>
      <c r="BX41" s="526">
        <f t="shared" ref="BX41:EA41" ca="1" si="41">BX32+BX39</f>
        <v>0</v>
      </c>
      <c r="BY41" s="526">
        <f t="shared" ca="1" si="41"/>
        <v>0</v>
      </c>
      <c r="BZ41" s="526">
        <f t="shared" ca="1" si="41"/>
        <v>0</v>
      </c>
      <c r="CA41" s="526">
        <f t="shared" ca="1" si="41"/>
        <v>0</v>
      </c>
      <c r="CB41" s="526">
        <f t="shared" ca="1" si="41"/>
        <v>0</v>
      </c>
      <c r="CC41" s="526">
        <f t="shared" ca="1" si="41"/>
        <v>0</v>
      </c>
      <c r="CD41" s="526">
        <f t="shared" ca="1" si="41"/>
        <v>0</v>
      </c>
      <c r="CE41" s="526">
        <f t="shared" ca="1" si="41"/>
        <v>0</v>
      </c>
      <c r="CF41" s="526">
        <f t="shared" ca="1" si="41"/>
        <v>0</v>
      </c>
      <c r="CG41" s="526">
        <f t="shared" ca="1" si="41"/>
        <v>0</v>
      </c>
      <c r="CH41" s="526">
        <f t="shared" ca="1" si="41"/>
        <v>0</v>
      </c>
      <c r="CI41" s="526">
        <f t="shared" ca="1" si="41"/>
        <v>0</v>
      </c>
      <c r="CJ41" s="526">
        <f t="shared" ca="1" si="41"/>
        <v>0</v>
      </c>
      <c r="CK41" s="526">
        <f t="shared" ca="1" si="41"/>
        <v>0</v>
      </c>
      <c r="CL41" s="526">
        <f t="shared" ca="1" si="41"/>
        <v>0</v>
      </c>
      <c r="CM41" s="526">
        <f t="shared" ca="1" si="41"/>
        <v>0</v>
      </c>
      <c r="CN41" s="526">
        <f t="shared" ca="1" si="41"/>
        <v>0</v>
      </c>
      <c r="CO41" s="526">
        <f t="shared" ca="1" si="41"/>
        <v>0</v>
      </c>
      <c r="CP41" s="526">
        <f t="shared" ca="1" si="41"/>
        <v>0</v>
      </c>
      <c r="CQ41" s="526">
        <f t="shared" ca="1" si="41"/>
        <v>0</v>
      </c>
      <c r="CR41" s="526">
        <f t="shared" ca="1" si="41"/>
        <v>0</v>
      </c>
      <c r="CS41" s="526">
        <f t="shared" ca="1" si="41"/>
        <v>0</v>
      </c>
      <c r="CT41" s="526">
        <f t="shared" ca="1" si="41"/>
        <v>0</v>
      </c>
      <c r="CU41" s="526">
        <f t="shared" ca="1" si="41"/>
        <v>0</v>
      </c>
      <c r="CV41" s="526">
        <f t="shared" ca="1" si="41"/>
        <v>0</v>
      </c>
      <c r="CW41" s="526">
        <f t="shared" ca="1" si="41"/>
        <v>0</v>
      </c>
      <c r="CX41" s="526">
        <f t="shared" ca="1" si="41"/>
        <v>0</v>
      </c>
      <c r="CY41" s="526">
        <f t="shared" ca="1" si="41"/>
        <v>0</v>
      </c>
      <c r="CZ41" s="526">
        <f t="shared" ca="1" si="41"/>
        <v>0</v>
      </c>
      <c r="DA41" s="526">
        <f t="shared" ca="1" si="41"/>
        <v>0</v>
      </c>
      <c r="DB41" s="526">
        <f t="shared" ca="1" si="41"/>
        <v>0</v>
      </c>
      <c r="DC41" s="526">
        <f t="shared" ca="1" si="41"/>
        <v>0</v>
      </c>
      <c r="DD41" s="526">
        <f t="shared" ca="1" si="41"/>
        <v>0</v>
      </c>
      <c r="DE41" s="526">
        <f t="shared" ca="1" si="41"/>
        <v>0</v>
      </c>
      <c r="DF41" s="526">
        <f t="shared" ca="1" si="41"/>
        <v>0</v>
      </c>
      <c r="DG41" s="526">
        <f t="shared" ca="1" si="41"/>
        <v>0</v>
      </c>
      <c r="DH41" s="526">
        <f t="shared" ca="1" si="41"/>
        <v>0</v>
      </c>
      <c r="DI41" s="526">
        <f t="shared" ca="1" si="41"/>
        <v>0</v>
      </c>
      <c r="DJ41" s="526">
        <f t="shared" ca="1" si="41"/>
        <v>0</v>
      </c>
      <c r="DK41" s="526">
        <f t="shared" ca="1" si="41"/>
        <v>0</v>
      </c>
      <c r="DL41" s="526">
        <f t="shared" ca="1" si="41"/>
        <v>0</v>
      </c>
      <c r="DM41" s="526">
        <f t="shared" ca="1" si="41"/>
        <v>0</v>
      </c>
      <c r="DN41" s="526">
        <f t="shared" ca="1" si="41"/>
        <v>0</v>
      </c>
      <c r="DO41" s="526">
        <f t="shared" ca="1" si="41"/>
        <v>0</v>
      </c>
      <c r="DP41" s="526">
        <f t="shared" ca="1" si="41"/>
        <v>0</v>
      </c>
      <c r="DQ41" s="526">
        <f t="shared" ca="1" si="41"/>
        <v>0</v>
      </c>
      <c r="DR41" s="526">
        <f t="shared" ca="1" si="41"/>
        <v>0</v>
      </c>
      <c r="DS41" s="526">
        <f t="shared" ca="1" si="41"/>
        <v>0</v>
      </c>
      <c r="DT41" s="526">
        <f t="shared" ca="1" si="41"/>
        <v>0</v>
      </c>
      <c r="DU41" s="526">
        <f t="shared" ca="1" si="41"/>
        <v>0</v>
      </c>
      <c r="DV41" s="526">
        <f t="shared" ca="1" si="41"/>
        <v>0</v>
      </c>
      <c r="DW41" s="526">
        <f t="shared" ca="1" si="41"/>
        <v>0</v>
      </c>
      <c r="DX41" s="526">
        <f t="shared" ca="1" si="41"/>
        <v>0</v>
      </c>
      <c r="DY41" s="526">
        <f t="shared" ca="1" si="41"/>
        <v>0</v>
      </c>
      <c r="DZ41" s="526">
        <f t="shared" ca="1" si="41"/>
        <v>0</v>
      </c>
      <c r="EA41" s="526">
        <f t="shared" ca="1" si="41"/>
        <v>0</v>
      </c>
      <c r="EB41" s="523" t="s">
        <v>557</v>
      </c>
    </row>
    <row r="42" spans="7:132" ht="18" thickBot="1">
      <c r="G42" s="554" t="s">
        <v>1167</v>
      </c>
      <c r="H42" s="555"/>
      <c r="I42" s="555"/>
      <c r="J42" s="555"/>
      <c r="K42" s="556">
        <f ca="1">K24-K41</f>
        <v>0</v>
      </c>
      <c r="L42" s="556">
        <f t="shared" ref="L42:BW42" ca="1" si="42">L24-L41</f>
        <v>0</v>
      </c>
      <c r="M42" s="556">
        <f t="shared" ca="1" si="42"/>
        <v>0</v>
      </c>
      <c r="N42" s="556">
        <f t="shared" ca="1" si="42"/>
        <v>0</v>
      </c>
      <c r="O42" s="556">
        <f t="shared" ca="1" si="42"/>
        <v>0</v>
      </c>
      <c r="P42" s="556">
        <f t="shared" ca="1" si="42"/>
        <v>0</v>
      </c>
      <c r="Q42" s="556">
        <f t="shared" ca="1" si="42"/>
        <v>0</v>
      </c>
      <c r="R42" s="556">
        <f t="shared" ca="1" si="42"/>
        <v>0</v>
      </c>
      <c r="S42" s="556">
        <f t="shared" ca="1" si="42"/>
        <v>0</v>
      </c>
      <c r="T42" s="556">
        <f t="shared" ca="1" si="42"/>
        <v>0</v>
      </c>
      <c r="U42" s="556">
        <f t="shared" ca="1" si="42"/>
        <v>0</v>
      </c>
      <c r="V42" s="556">
        <f t="shared" ca="1" si="42"/>
        <v>0</v>
      </c>
      <c r="W42" s="556">
        <f t="shared" ca="1" si="42"/>
        <v>0</v>
      </c>
      <c r="X42" s="556">
        <f t="shared" ca="1" si="42"/>
        <v>0</v>
      </c>
      <c r="Y42" s="556">
        <f t="shared" ca="1" si="42"/>
        <v>0</v>
      </c>
      <c r="Z42" s="556">
        <f t="shared" ca="1" si="42"/>
        <v>0</v>
      </c>
      <c r="AA42" s="556">
        <f t="shared" ca="1" si="42"/>
        <v>0</v>
      </c>
      <c r="AB42" s="556">
        <f t="shared" ca="1" si="42"/>
        <v>0</v>
      </c>
      <c r="AC42" s="556">
        <f t="shared" ca="1" si="42"/>
        <v>0</v>
      </c>
      <c r="AD42" s="556">
        <f t="shared" ca="1" si="42"/>
        <v>0</v>
      </c>
      <c r="AE42" s="556">
        <f t="shared" ca="1" si="42"/>
        <v>0</v>
      </c>
      <c r="AF42" s="556">
        <f t="shared" ca="1" si="42"/>
        <v>0</v>
      </c>
      <c r="AG42" s="556">
        <f t="shared" ca="1" si="42"/>
        <v>0</v>
      </c>
      <c r="AH42" s="556">
        <f t="shared" ca="1" si="42"/>
        <v>0</v>
      </c>
      <c r="AI42" s="556">
        <f t="shared" ca="1" si="42"/>
        <v>0</v>
      </c>
      <c r="AJ42" s="556">
        <f t="shared" ca="1" si="42"/>
        <v>0</v>
      </c>
      <c r="AK42" s="556">
        <f t="shared" ca="1" si="42"/>
        <v>0</v>
      </c>
      <c r="AL42" s="556">
        <f t="shared" ca="1" si="42"/>
        <v>0</v>
      </c>
      <c r="AM42" s="556">
        <f t="shared" ca="1" si="42"/>
        <v>0</v>
      </c>
      <c r="AN42" s="556">
        <f t="shared" ca="1" si="42"/>
        <v>0</v>
      </c>
      <c r="AO42" s="556">
        <f t="shared" ca="1" si="42"/>
        <v>0</v>
      </c>
      <c r="AP42" s="556">
        <f t="shared" ca="1" si="42"/>
        <v>0</v>
      </c>
      <c r="AQ42" s="556">
        <f t="shared" ca="1" si="42"/>
        <v>0</v>
      </c>
      <c r="AR42" s="556">
        <f t="shared" ca="1" si="42"/>
        <v>0</v>
      </c>
      <c r="AS42" s="556">
        <f t="shared" ca="1" si="42"/>
        <v>0</v>
      </c>
      <c r="AT42" s="556">
        <f t="shared" ca="1" si="42"/>
        <v>0</v>
      </c>
      <c r="AU42" s="556">
        <f t="shared" ca="1" si="42"/>
        <v>0</v>
      </c>
      <c r="AV42" s="556">
        <f t="shared" ca="1" si="42"/>
        <v>0</v>
      </c>
      <c r="AW42" s="556">
        <f t="shared" ca="1" si="42"/>
        <v>0</v>
      </c>
      <c r="AX42" s="556">
        <f t="shared" ca="1" si="42"/>
        <v>0</v>
      </c>
      <c r="AY42" s="556">
        <f t="shared" ca="1" si="42"/>
        <v>0</v>
      </c>
      <c r="AZ42" s="556">
        <f t="shared" ca="1" si="42"/>
        <v>0</v>
      </c>
      <c r="BA42" s="556">
        <f t="shared" ca="1" si="42"/>
        <v>0</v>
      </c>
      <c r="BB42" s="556">
        <f t="shared" ca="1" si="42"/>
        <v>0</v>
      </c>
      <c r="BC42" s="556">
        <f t="shared" ca="1" si="42"/>
        <v>0</v>
      </c>
      <c r="BD42" s="556">
        <f t="shared" ca="1" si="42"/>
        <v>0</v>
      </c>
      <c r="BE42" s="556">
        <f t="shared" ca="1" si="42"/>
        <v>0</v>
      </c>
      <c r="BF42" s="556">
        <f t="shared" ca="1" si="42"/>
        <v>0</v>
      </c>
      <c r="BG42" s="556">
        <f t="shared" ca="1" si="42"/>
        <v>0</v>
      </c>
      <c r="BH42" s="556">
        <f t="shared" ca="1" si="42"/>
        <v>0</v>
      </c>
      <c r="BI42" s="556">
        <f t="shared" ca="1" si="42"/>
        <v>0</v>
      </c>
      <c r="BJ42" s="556">
        <f t="shared" ca="1" si="42"/>
        <v>0</v>
      </c>
      <c r="BK42" s="556">
        <f t="shared" ca="1" si="42"/>
        <v>0</v>
      </c>
      <c r="BL42" s="556">
        <f t="shared" ca="1" si="42"/>
        <v>0</v>
      </c>
      <c r="BM42" s="556">
        <f t="shared" ca="1" si="42"/>
        <v>0</v>
      </c>
      <c r="BN42" s="556">
        <f t="shared" ca="1" si="42"/>
        <v>0</v>
      </c>
      <c r="BO42" s="556">
        <f t="shared" ca="1" si="42"/>
        <v>0</v>
      </c>
      <c r="BP42" s="556">
        <f t="shared" ca="1" si="42"/>
        <v>0</v>
      </c>
      <c r="BQ42" s="556">
        <f t="shared" ca="1" si="42"/>
        <v>0</v>
      </c>
      <c r="BR42" s="556">
        <f t="shared" ca="1" si="42"/>
        <v>0</v>
      </c>
      <c r="BS42" s="556">
        <f t="shared" ca="1" si="42"/>
        <v>0</v>
      </c>
      <c r="BT42" s="556">
        <f t="shared" ca="1" si="42"/>
        <v>0</v>
      </c>
      <c r="BU42" s="556">
        <f t="shared" ca="1" si="42"/>
        <v>0</v>
      </c>
      <c r="BV42" s="556">
        <f t="shared" ca="1" si="42"/>
        <v>0</v>
      </c>
      <c r="BW42" s="556">
        <f t="shared" ca="1" si="42"/>
        <v>0</v>
      </c>
      <c r="BX42" s="556">
        <f t="shared" ref="BX42:EA42" ca="1" si="43">BX24-BX41</f>
        <v>0</v>
      </c>
      <c r="BY42" s="556">
        <f t="shared" ca="1" si="43"/>
        <v>0</v>
      </c>
      <c r="BZ42" s="556">
        <f t="shared" ca="1" si="43"/>
        <v>0</v>
      </c>
      <c r="CA42" s="556">
        <f t="shared" ca="1" si="43"/>
        <v>0</v>
      </c>
      <c r="CB42" s="556">
        <f t="shared" ca="1" si="43"/>
        <v>0</v>
      </c>
      <c r="CC42" s="556">
        <f t="shared" ca="1" si="43"/>
        <v>0</v>
      </c>
      <c r="CD42" s="556">
        <f t="shared" ca="1" si="43"/>
        <v>0</v>
      </c>
      <c r="CE42" s="556">
        <f t="shared" ca="1" si="43"/>
        <v>0</v>
      </c>
      <c r="CF42" s="556">
        <f t="shared" ca="1" si="43"/>
        <v>0</v>
      </c>
      <c r="CG42" s="556">
        <f t="shared" ca="1" si="43"/>
        <v>0</v>
      </c>
      <c r="CH42" s="556">
        <f t="shared" ca="1" si="43"/>
        <v>0</v>
      </c>
      <c r="CI42" s="556">
        <f t="shared" ca="1" si="43"/>
        <v>0</v>
      </c>
      <c r="CJ42" s="556">
        <f t="shared" ca="1" si="43"/>
        <v>0</v>
      </c>
      <c r="CK42" s="556">
        <f t="shared" ca="1" si="43"/>
        <v>0</v>
      </c>
      <c r="CL42" s="556">
        <f t="shared" ca="1" si="43"/>
        <v>0</v>
      </c>
      <c r="CM42" s="556">
        <f t="shared" ca="1" si="43"/>
        <v>0</v>
      </c>
      <c r="CN42" s="556">
        <f t="shared" ca="1" si="43"/>
        <v>0</v>
      </c>
      <c r="CO42" s="556">
        <f t="shared" ca="1" si="43"/>
        <v>0</v>
      </c>
      <c r="CP42" s="556">
        <f t="shared" ca="1" si="43"/>
        <v>0</v>
      </c>
      <c r="CQ42" s="556">
        <f t="shared" ca="1" si="43"/>
        <v>0</v>
      </c>
      <c r="CR42" s="556">
        <f t="shared" ca="1" si="43"/>
        <v>0</v>
      </c>
      <c r="CS42" s="556">
        <f t="shared" ca="1" si="43"/>
        <v>0</v>
      </c>
      <c r="CT42" s="556">
        <f t="shared" ca="1" si="43"/>
        <v>0</v>
      </c>
      <c r="CU42" s="556">
        <f t="shared" ca="1" si="43"/>
        <v>0</v>
      </c>
      <c r="CV42" s="556">
        <f t="shared" ca="1" si="43"/>
        <v>0</v>
      </c>
      <c r="CW42" s="556">
        <f t="shared" ca="1" si="43"/>
        <v>0</v>
      </c>
      <c r="CX42" s="556">
        <f t="shared" ca="1" si="43"/>
        <v>0</v>
      </c>
      <c r="CY42" s="556">
        <f t="shared" ca="1" si="43"/>
        <v>0</v>
      </c>
      <c r="CZ42" s="556">
        <f t="shared" ca="1" si="43"/>
        <v>0</v>
      </c>
      <c r="DA42" s="556">
        <f t="shared" ca="1" si="43"/>
        <v>0</v>
      </c>
      <c r="DB42" s="556">
        <f t="shared" ca="1" si="43"/>
        <v>0</v>
      </c>
      <c r="DC42" s="556">
        <f t="shared" ca="1" si="43"/>
        <v>0</v>
      </c>
      <c r="DD42" s="556">
        <f t="shared" ca="1" si="43"/>
        <v>0</v>
      </c>
      <c r="DE42" s="556">
        <f t="shared" ca="1" si="43"/>
        <v>0</v>
      </c>
      <c r="DF42" s="556">
        <f t="shared" ca="1" si="43"/>
        <v>0</v>
      </c>
      <c r="DG42" s="556">
        <f t="shared" ca="1" si="43"/>
        <v>0</v>
      </c>
      <c r="DH42" s="556">
        <f t="shared" ca="1" si="43"/>
        <v>0</v>
      </c>
      <c r="DI42" s="556">
        <f t="shared" ca="1" si="43"/>
        <v>0</v>
      </c>
      <c r="DJ42" s="556">
        <f t="shared" ca="1" si="43"/>
        <v>0</v>
      </c>
      <c r="DK42" s="556">
        <f t="shared" ca="1" si="43"/>
        <v>0</v>
      </c>
      <c r="DL42" s="556">
        <f t="shared" ca="1" si="43"/>
        <v>0</v>
      </c>
      <c r="DM42" s="556">
        <f t="shared" ca="1" si="43"/>
        <v>0</v>
      </c>
      <c r="DN42" s="556">
        <f t="shared" ca="1" si="43"/>
        <v>0</v>
      </c>
      <c r="DO42" s="556">
        <f t="shared" ca="1" si="43"/>
        <v>0</v>
      </c>
      <c r="DP42" s="556">
        <f t="shared" ca="1" si="43"/>
        <v>0</v>
      </c>
      <c r="DQ42" s="556">
        <f t="shared" ca="1" si="43"/>
        <v>0</v>
      </c>
      <c r="DR42" s="556">
        <f t="shared" ca="1" si="43"/>
        <v>0</v>
      </c>
      <c r="DS42" s="556">
        <f t="shared" ca="1" si="43"/>
        <v>0</v>
      </c>
      <c r="DT42" s="556">
        <f t="shared" ca="1" si="43"/>
        <v>0</v>
      </c>
      <c r="DU42" s="556">
        <f t="shared" ca="1" si="43"/>
        <v>0</v>
      </c>
      <c r="DV42" s="556">
        <f t="shared" ca="1" si="43"/>
        <v>0</v>
      </c>
      <c r="DW42" s="556">
        <f t="shared" ca="1" si="43"/>
        <v>0</v>
      </c>
      <c r="DX42" s="556">
        <f t="shared" ca="1" si="43"/>
        <v>0</v>
      </c>
      <c r="DY42" s="556">
        <f t="shared" ca="1" si="43"/>
        <v>0</v>
      </c>
      <c r="DZ42" s="556">
        <f t="shared" ca="1" si="43"/>
        <v>0</v>
      </c>
      <c r="EA42" s="556">
        <f t="shared" ca="1" si="43"/>
        <v>0</v>
      </c>
      <c r="EB42" s="523" t="s">
        <v>557</v>
      </c>
    </row>
    <row r="43" spans="7:132">
      <c r="EB43" s="523" t="s">
        <v>557</v>
      </c>
    </row>
    <row r="44" spans="7:132" ht="19">
      <c r="G44" s="173" t="s">
        <v>1154</v>
      </c>
      <c r="H44" s="530"/>
      <c r="I44" s="530"/>
      <c r="J44" s="530"/>
      <c r="K44" s="530"/>
      <c r="L44" s="530"/>
      <c r="M44" s="530"/>
      <c r="N44" s="530"/>
      <c r="O44" s="530"/>
      <c r="P44" s="530"/>
      <c r="Q44" s="530"/>
      <c r="R44" s="530"/>
      <c r="S44" s="530"/>
      <c r="T44" s="530"/>
      <c r="U44" s="530"/>
      <c r="V44" s="530"/>
      <c r="W44" s="530"/>
      <c r="X44" s="530"/>
      <c r="Y44" s="530"/>
      <c r="Z44" s="530"/>
      <c r="AA44" s="530"/>
      <c r="AB44" s="530"/>
      <c r="AC44" s="530"/>
      <c r="AD44" s="530"/>
      <c r="AE44" s="530"/>
      <c r="AF44" s="530"/>
      <c r="AG44" s="530"/>
      <c r="AH44" s="530"/>
      <c r="AI44" s="530"/>
      <c r="AJ44" s="530"/>
      <c r="AK44" s="530"/>
      <c r="AL44" s="530"/>
      <c r="AM44" s="530"/>
      <c r="AN44" s="530"/>
      <c r="AO44" s="530"/>
      <c r="AP44" s="530"/>
      <c r="AQ44" s="530"/>
      <c r="AR44" s="530"/>
      <c r="AS44" s="530"/>
      <c r="AT44" s="530"/>
      <c r="AU44" s="530"/>
      <c r="AV44" s="530"/>
      <c r="AW44" s="530"/>
      <c r="AX44" s="530"/>
      <c r="AY44" s="530"/>
      <c r="AZ44" s="530"/>
      <c r="BA44" s="530"/>
      <c r="BB44" s="530"/>
      <c r="BC44" s="530"/>
      <c r="BD44" s="530"/>
      <c r="BE44" s="530"/>
      <c r="BF44" s="530"/>
      <c r="BG44" s="530"/>
      <c r="BH44" s="530"/>
      <c r="BI44" s="530"/>
      <c r="BJ44" s="530"/>
      <c r="BK44" s="530"/>
      <c r="BL44" s="530"/>
      <c r="BM44" s="530"/>
      <c r="BN44" s="530"/>
      <c r="BO44" s="530"/>
      <c r="BP44" s="530"/>
      <c r="BQ44" s="530"/>
      <c r="BR44" s="530"/>
      <c r="BS44" s="530"/>
      <c r="BT44" s="530"/>
      <c r="BU44" s="530"/>
      <c r="BV44" s="530"/>
      <c r="BW44" s="530"/>
      <c r="BX44" s="530"/>
      <c r="BY44" s="530"/>
      <c r="BZ44" s="530"/>
      <c r="CA44" s="530"/>
      <c r="CB44" s="530"/>
      <c r="CC44" s="530"/>
      <c r="CD44" s="530"/>
      <c r="CE44" s="530"/>
      <c r="CF44" s="530"/>
      <c r="CG44" s="530"/>
      <c r="CH44" s="530"/>
      <c r="CI44" s="530"/>
      <c r="CJ44" s="530"/>
      <c r="CK44" s="530"/>
      <c r="CL44" s="530"/>
      <c r="CM44" s="530"/>
      <c r="CN44" s="530"/>
      <c r="CO44" s="530"/>
      <c r="CP44" s="530"/>
      <c r="CQ44" s="530"/>
      <c r="CR44" s="530"/>
      <c r="CS44" s="530"/>
      <c r="CT44" s="530"/>
      <c r="CU44" s="530"/>
      <c r="CV44" s="530"/>
      <c r="CW44" s="530"/>
      <c r="CX44" s="530"/>
      <c r="CY44" s="530"/>
      <c r="CZ44" s="530"/>
      <c r="DA44" s="530"/>
      <c r="DB44" s="530"/>
      <c r="DC44" s="530"/>
      <c r="DD44" s="530"/>
      <c r="DE44" s="530"/>
      <c r="DF44" s="530"/>
      <c r="DG44" s="530"/>
      <c r="DH44" s="530"/>
      <c r="DI44" s="530"/>
      <c r="DJ44" s="530"/>
      <c r="DK44" s="530"/>
      <c r="DL44" s="530"/>
      <c r="DM44" s="530"/>
      <c r="DN44" s="530"/>
      <c r="DO44" s="530"/>
      <c r="DP44" s="530"/>
      <c r="DQ44" s="530"/>
      <c r="DR44" s="530"/>
      <c r="DS44" s="530"/>
      <c r="DT44" s="530"/>
      <c r="DU44" s="530"/>
      <c r="DV44" s="530"/>
      <c r="DW44" s="530"/>
      <c r="DX44" s="530"/>
      <c r="DY44" s="530"/>
      <c r="DZ44" s="530"/>
      <c r="EA44" s="530"/>
      <c r="EB44" s="523" t="s">
        <v>557</v>
      </c>
    </row>
    <row r="45" spans="7:132">
      <c r="G45" s="520" t="s">
        <v>1136</v>
      </c>
      <c r="H45" s="533"/>
      <c r="I45" s="533"/>
      <c r="J45" s="521"/>
      <c r="K45" s="521"/>
      <c r="L45" s="521"/>
      <c r="M45" s="521"/>
      <c r="N45" s="521"/>
      <c r="O45" s="521"/>
      <c r="P45" s="521"/>
      <c r="Q45" s="521"/>
      <c r="R45" s="521"/>
      <c r="S45" s="521"/>
      <c r="T45" s="521"/>
      <c r="U45" s="521"/>
      <c r="V45" s="521"/>
      <c r="W45" s="521"/>
      <c r="X45" s="521"/>
      <c r="Y45" s="521"/>
      <c r="Z45" s="521"/>
      <c r="AA45" s="521"/>
      <c r="AB45" s="521"/>
      <c r="AC45" s="521"/>
      <c r="AD45" s="521"/>
      <c r="AE45" s="521"/>
      <c r="AF45" s="521"/>
      <c r="AG45" s="521"/>
      <c r="AH45" s="521"/>
      <c r="AI45" s="521"/>
      <c r="AJ45" s="521"/>
      <c r="AK45" s="521"/>
      <c r="AL45" s="521"/>
      <c r="AM45" s="521"/>
      <c r="AN45" s="521"/>
      <c r="AO45" s="521"/>
      <c r="AP45" s="521"/>
      <c r="AQ45" s="521"/>
      <c r="AR45" s="521"/>
      <c r="AS45" s="521"/>
      <c r="AT45" s="521"/>
      <c r="AU45" s="521"/>
      <c r="AV45" s="521"/>
      <c r="AW45" s="521"/>
      <c r="AX45" s="521"/>
      <c r="AY45" s="521"/>
      <c r="AZ45" s="521"/>
      <c r="BA45" s="521"/>
      <c r="BB45" s="521"/>
      <c r="BC45" s="521"/>
      <c r="BD45" s="521"/>
      <c r="BE45" s="521"/>
      <c r="BF45" s="521"/>
      <c r="BG45" s="521"/>
      <c r="BH45" s="521"/>
      <c r="BI45" s="521"/>
      <c r="BJ45" s="521"/>
      <c r="BK45" s="521"/>
      <c r="BL45" s="521"/>
      <c r="BM45" s="521"/>
      <c r="BN45" s="521"/>
      <c r="BO45" s="521"/>
      <c r="BP45" s="521"/>
      <c r="BQ45" s="521"/>
      <c r="BR45" s="521"/>
      <c r="BS45" s="521"/>
      <c r="BT45" s="521"/>
      <c r="BU45" s="521"/>
      <c r="BV45" s="521"/>
      <c r="BW45" s="521"/>
      <c r="BX45" s="521"/>
      <c r="BY45" s="521"/>
      <c r="BZ45" s="521"/>
      <c r="CA45" s="521"/>
      <c r="CB45" s="521"/>
      <c r="CC45" s="521"/>
      <c r="CD45" s="521"/>
      <c r="CE45" s="521"/>
      <c r="CF45" s="521"/>
      <c r="CG45" s="521"/>
      <c r="CH45" s="521"/>
      <c r="CI45" s="521"/>
      <c r="CJ45" s="521"/>
      <c r="CK45" s="521"/>
      <c r="CL45" s="521"/>
      <c r="CM45" s="521"/>
      <c r="CN45" s="521"/>
      <c r="CO45" s="521"/>
      <c r="CP45" s="521"/>
      <c r="CQ45" s="521"/>
      <c r="CR45" s="521"/>
      <c r="CS45" s="521"/>
      <c r="CT45" s="521"/>
      <c r="CU45" s="521"/>
      <c r="CV45" s="521"/>
      <c r="CW45" s="521"/>
      <c r="CX45" s="521"/>
      <c r="CY45" s="521"/>
      <c r="CZ45" s="521"/>
      <c r="DA45" s="521"/>
      <c r="DB45" s="521"/>
      <c r="DC45" s="521"/>
      <c r="DD45" s="521"/>
      <c r="DE45" s="521"/>
      <c r="DF45" s="521"/>
      <c r="DG45" s="521"/>
      <c r="DH45" s="521"/>
      <c r="DI45" s="521"/>
      <c r="DJ45" s="521"/>
      <c r="DK45" s="521"/>
      <c r="DL45" s="521"/>
      <c r="DM45" s="521"/>
      <c r="DN45" s="521"/>
      <c r="DO45" s="521"/>
      <c r="DP45" s="521"/>
      <c r="DQ45" s="521"/>
      <c r="DR45" s="521"/>
      <c r="DS45" s="521"/>
      <c r="DT45" s="521"/>
      <c r="DU45" s="521"/>
      <c r="DV45" s="521"/>
      <c r="DW45" s="521"/>
      <c r="DX45" s="521"/>
      <c r="DY45" s="521"/>
      <c r="DZ45" s="521"/>
      <c r="EA45" s="521"/>
      <c r="EB45" s="523" t="s">
        <v>557</v>
      </c>
    </row>
    <row r="46" spans="7:132">
      <c r="G46" s="518" t="s">
        <v>1141</v>
      </c>
      <c r="I46" s="534" t="s">
        <v>1142</v>
      </c>
      <c r="K46" s="526">
        <f>J51</f>
        <v>0</v>
      </c>
      <c r="L46" s="526">
        <f t="shared" ref="L46:BW46" ca="1" si="44">K51</f>
        <v>20296000</v>
      </c>
      <c r="M46" s="526">
        <f t="shared" ca="1" si="44"/>
        <v>20502737.382931352</v>
      </c>
      <c r="N46" s="526">
        <f t="shared" ca="1" si="44"/>
        <v>20710232.45027649</v>
      </c>
      <c r="O46" s="526">
        <f t="shared" ca="1" si="44"/>
        <v>20918481.634593762</v>
      </c>
      <c r="P46" s="526">
        <f t="shared" ca="1" si="44"/>
        <v>21127481.224958755</v>
      </c>
      <c r="Q46" s="526">
        <f t="shared" ca="1" si="44"/>
        <v>21337227.364345297</v>
      </c>
      <c r="R46" s="526">
        <f t="shared" ca="1" si="44"/>
        <v>21547716.046965934</v>
      </c>
      <c r="S46" s="526">
        <f t="shared" ca="1" si="44"/>
        <v>21758943.115571227</v>
      </c>
      <c r="T46" s="526">
        <f t="shared" ca="1" si="44"/>
        <v>21970904.258707345</v>
      </c>
      <c r="U46" s="526">
        <f t="shared" ca="1" si="44"/>
        <v>22183595.007931277</v>
      </c>
      <c r="V46" s="526">
        <f t="shared" ca="1" si="44"/>
        <v>22397010.734983128</v>
      </c>
      <c r="W46" s="526">
        <f t="shared" ca="1" si="44"/>
        <v>22611146.648914773</v>
      </c>
      <c r="X46" s="526">
        <f t="shared" ca="1" si="44"/>
        <v>22825997.793174326</v>
      </c>
      <c r="Y46" s="526">
        <f t="shared" ca="1" si="44"/>
        <v>23043882.821642008</v>
      </c>
      <c r="Z46" s="526">
        <f t="shared" ca="1" si="44"/>
        <v>23262648.882926423</v>
      </c>
      <c r="AA46" s="526">
        <f t="shared" ca="1" si="44"/>
        <v>23482294.806639079</v>
      </c>
      <c r="AB46" s="526">
        <f t="shared" ca="1" si="44"/>
        <v>23702819.32234567</v>
      </c>
      <c r="AC46" s="526">
        <f t="shared" ca="1" si="44"/>
        <v>23924221.05765292</v>
      </c>
      <c r="AD46" s="526">
        <f t="shared" ca="1" si="44"/>
        <v>24146498.536265552</v>
      </c>
      <c r="AE46" s="526">
        <f t="shared" ca="1" si="44"/>
        <v>24369650.176012997</v>
      </c>
      <c r="AF46" s="526">
        <f t="shared" ca="1" si="44"/>
        <v>24593674.286845386</v>
      </c>
      <c r="AG46" s="526">
        <f t="shared" ca="1" si="44"/>
        <v>24818569.068798359</v>
      </c>
      <c r="AH46" s="526">
        <f t="shared" ca="1" si="44"/>
        <v>25044332.609926261</v>
      </c>
      <c r="AI46" s="526">
        <f t="shared" ca="1" si="44"/>
        <v>25270962.884203255</v>
      </c>
      <c r="AJ46" s="526">
        <f t="shared" ca="1" si="44"/>
        <v>25498457.749391899</v>
      </c>
      <c r="AK46" s="526">
        <f t="shared" ca="1" si="44"/>
        <v>25730109.915068116</v>
      </c>
      <c r="AL46" s="526">
        <f t="shared" ca="1" si="44"/>
        <v>25963750.09975009</v>
      </c>
      <c r="AM46" s="526">
        <f t="shared" ca="1" si="44"/>
        <v>26199401.816348109</v>
      </c>
      <c r="AN46" s="526">
        <f t="shared" ca="1" si="44"/>
        <v>26437088.890671365</v>
      </c>
      <c r="AO46" s="526">
        <f t="shared" ca="1" si="44"/>
        <v>26676835.465728097</v>
      </c>
      <c r="AP46" s="526">
        <f t="shared" ca="1" si="44"/>
        <v>26918666.006085325</v>
      </c>
      <c r="AQ46" s="526">
        <f t="shared" ca="1" si="44"/>
        <v>27162605.302288938</v>
      </c>
      <c r="AR46" s="526">
        <f t="shared" ca="1" si="44"/>
        <v>27408678.475345071</v>
      </c>
      <c r="AS46" s="526">
        <f t="shared" ca="1" si="44"/>
        <v>27656910.981263518</v>
      </c>
      <c r="AT46" s="526">
        <f t="shared" ca="1" si="44"/>
        <v>27907328.615664128</v>
      </c>
      <c r="AU46" s="526">
        <f t="shared" ca="1" si="44"/>
        <v>28159957.518447012</v>
      </c>
      <c r="AV46" s="526">
        <f t="shared" ca="1" si="44"/>
        <v>28414824.178527433</v>
      </c>
      <c r="AW46" s="526">
        <f t="shared" ca="1" si="44"/>
        <v>28674220.401073955</v>
      </c>
      <c r="AX46" s="526">
        <f t="shared" ca="1" si="44"/>
        <v>28935939.881835695</v>
      </c>
      <c r="AY46" s="526">
        <f t="shared" ca="1" si="44"/>
        <v>29200010.622728713</v>
      </c>
      <c r="AZ46" s="526">
        <f t="shared" ca="1" si="44"/>
        <v>29466461.000356749</v>
      </c>
      <c r="BA46" s="526">
        <f t="shared" ca="1" si="44"/>
        <v>29735319.771167658</v>
      </c>
      <c r="BB46" s="526">
        <f t="shared" ca="1" si="44"/>
        <v>30006616.076681316</v>
      </c>
      <c r="BC46" s="526">
        <f t="shared" ca="1" si="44"/>
        <v>30280379.448789969</v>
      </c>
      <c r="BD46" s="526">
        <f t="shared" ca="1" si="44"/>
        <v>30556639.815132029</v>
      </c>
      <c r="BE46" s="526">
        <f t="shared" ca="1" si="44"/>
        <v>30835427.504540347</v>
      </c>
      <c r="BF46" s="526">
        <f t="shared" ca="1" si="44"/>
        <v>31116773.252565995</v>
      </c>
      <c r="BG46" s="526">
        <f t="shared" ca="1" si="44"/>
        <v>31400708.20707861</v>
      </c>
      <c r="BH46" s="526">
        <f t="shared" ca="1" si="44"/>
        <v>3707445.3314500041</v>
      </c>
      <c r="BI46" s="526">
        <f t="shared" ca="1" si="44"/>
        <v>3758935.927706385</v>
      </c>
      <c r="BJ46" s="526">
        <f t="shared" ca="1" si="44"/>
        <v>3811141.6475224709</v>
      </c>
      <c r="BK46" s="526">
        <f t="shared" ca="1" si="44"/>
        <v>3864072.4228420109</v>
      </c>
      <c r="BL46" s="526">
        <f t="shared" ca="1" si="44"/>
        <v>3917738.3235478639</v>
      </c>
      <c r="BM46" s="526">
        <f t="shared" ca="1" si="44"/>
        <v>3972149.5593777546</v>
      </c>
      <c r="BN46" s="526">
        <f t="shared" ca="1" si="44"/>
        <v>4027316.4818666396</v>
      </c>
      <c r="BO46" s="526">
        <f t="shared" ca="1" si="44"/>
        <v>4083249.5863160477</v>
      </c>
      <c r="BP46" s="526">
        <f t="shared" ca="1" si="44"/>
        <v>4139959.5137907718</v>
      </c>
      <c r="BQ46" s="526">
        <f t="shared" ca="1" si="44"/>
        <v>4197457.0531432917</v>
      </c>
      <c r="BR46" s="526">
        <f t="shared" ca="1" si="44"/>
        <v>4255753.143066314</v>
      </c>
      <c r="BS46" s="526">
        <f t="shared" ca="1" si="44"/>
        <v>4314858.8741738172</v>
      </c>
      <c r="BT46" s="526">
        <f t="shared" ca="1" si="44"/>
        <v>4374785.4911109991</v>
      </c>
      <c r="BU46" s="526">
        <f t="shared" ca="1" si="44"/>
        <v>4435544.3946935283</v>
      </c>
      <c r="BV46" s="526">
        <f t="shared" ca="1" si="44"/>
        <v>4497147.1440765094</v>
      </c>
      <c r="BW46" s="526">
        <f t="shared" ca="1" si="44"/>
        <v>4559605.4589535668</v>
      </c>
      <c r="BX46" s="526">
        <f t="shared" ref="BX46:EA46" ca="1" si="45">BW51</f>
        <v>4622931.2217864729</v>
      </c>
      <c r="BY46" s="526">
        <f t="shared" ca="1" si="45"/>
        <v>4687136.4800657444</v>
      </c>
      <c r="BZ46" s="526">
        <f t="shared" ca="1" si="45"/>
        <v>4752233.4486026289</v>
      </c>
      <c r="CA46" s="526">
        <f t="shared" ca="1" si="45"/>
        <v>4818234.5118529303</v>
      </c>
      <c r="CB46" s="526">
        <f t="shared" ca="1" si="45"/>
        <v>4885152.2262731045</v>
      </c>
      <c r="CC46" s="526">
        <f t="shared" ca="1" si="45"/>
        <v>4952999.322709078</v>
      </c>
      <c r="CD46" s="526">
        <f t="shared" ca="1" si="45"/>
        <v>5021788.7088182447</v>
      </c>
      <c r="CE46" s="526">
        <f t="shared" ca="1" si="45"/>
        <v>5091533.4715250982</v>
      </c>
      <c r="CF46" s="526">
        <f t="shared" ca="1" si="45"/>
        <v>5162246.8795109726</v>
      </c>
      <c r="CG46" s="526">
        <f t="shared" ca="1" si="45"/>
        <v>5233942.385738357</v>
      </c>
      <c r="CH46" s="526">
        <f t="shared" ca="1" si="45"/>
        <v>5306633.6300102742</v>
      </c>
      <c r="CI46" s="526">
        <f t="shared" ca="1" si="45"/>
        <v>5380334.4415652016</v>
      </c>
      <c r="CJ46" s="526">
        <f t="shared" ca="1" si="45"/>
        <v>5455058.8417080306</v>
      </c>
      <c r="CK46" s="526">
        <f t="shared" ca="1" si="45"/>
        <v>5530821.0464775702</v>
      </c>
      <c r="CL46" s="526">
        <f t="shared" ca="1" si="45"/>
        <v>5607635.4693510933</v>
      </c>
      <c r="CM46" s="526">
        <f t="shared" ca="1" si="45"/>
        <v>5685516.7239864487</v>
      </c>
      <c r="CN46" s="526">
        <f t="shared" ca="1" si="45"/>
        <v>5764479.6270022541</v>
      </c>
      <c r="CO46" s="526">
        <f t="shared" ca="1" si="45"/>
        <v>5844539.2007967029</v>
      </c>
      <c r="CP46" s="526">
        <f t="shared" ca="1" si="45"/>
        <v>5925710.6764055192</v>
      </c>
      <c r="CQ46" s="526">
        <f t="shared" ca="1" si="45"/>
        <v>6008009.4963996066</v>
      </c>
      <c r="CR46" s="526">
        <f t="shared" ca="1" si="45"/>
        <v>6091451.3178229379</v>
      </c>
      <c r="CS46" s="526">
        <f t="shared" ca="1" si="45"/>
        <v>6176052.0151712513</v>
      </c>
      <c r="CT46" s="526">
        <f t="shared" ca="1" si="45"/>
        <v>6261827.6834121142</v>
      </c>
      <c r="CU46" s="526">
        <f t="shared" ca="1" si="45"/>
        <v>6348794.6410469282</v>
      </c>
      <c r="CV46" s="526">
        <f t="shared" ca="1" si="45"/>
        <v>6436969.4332154663</v>
      </c>
      <c r="CW46" s="526">
        <f t="shared" ca="1" si="45"/>
        <v>6526368.8348435229</v>
      </c>
      <c r="CX46" s="526">
        <f t="shared" ca="1" si="45"/>
        <v>6617009.8538342807</v>
      </c>
      <c r="CY46" s="526">
        <f t="shared" ca="1" si="45"/>
        <v>6708909.7343040006</v>
      </c>
      <c r="CZ46" s="526">
        <f t="shared" ca="1" si="45"/>
        <v>6802085.9598626513</v>
      </c>
      <c r="DA46" s="526">
        <f t="shared" ca="1" si="45"/>
        <v>6896556.2569401003</v>
      </c>
      <c r="DB46" s="526">
        <f t="shared" ca="1" si="45"/>
        <v>6992338.5981585039</v>
      </c>
      <c r="DC46" s="526">
        <f t="shared" ca="1" si="45"/>
        <v>7089451.2057515262</v>
      </c>
      <c r="DD46" s="526">
        <f t="shared" ca="1" si="45"/>
        <v>7187912.5550310565</v>
      </c>
      <c r="DE46" s="526">
        <f t="shared" ca="1" si="45"/>
        <v>7287741.3779020663</v>
      </c>
      <c r="DF46" s="526">
        <f t="shared" ca="1" si="45"/>
        <v>7388956.6664262842</v>
      </c>
      <c r="DG46" s="526">
        <f t="shared" ca="1" si="45"/>
        <v>7491577.6764353644</v>
      </c>
      <c r="DH46" s="526">
        <f t="shared" ca="1" si="45"/>
        <v>7595623.9311942393</v>
      </c>
      <c r="DI46" s="526">
        <f t="shared" ca="1" si="45"/>
        <v>7701115.2251153458</v>
      </c>
      <c r="DJ46" s="526">
        <f t="shared" ca="1" si="45"/>
        <v>7808071.6275244392</v>
      </c>
      <c r="DK46" s="526">
        <f t="shared" ca="1" si="45"/>
        <v>7916513.4864787078</v>
      </c>
      <c r="DL46" s="526">
        <f t="shared" ca="1" si="45"/>
        <v>8026461.432637915</v>
      </c>
      <c r="DM46" s="526">
        <f t="shared" ca="1" si="45"/>
        <v>8137936.3831893057</v>
      </c>
      <c r="DN46" s="526">
        <f t="shared" ca="1" si="45"/>
        <v>8250959.5458270209</v>
      </c>
      <c r="DO46" s="526">
        <f t="shared" ca="1" si="45"/>
        <v>8365552.4227867872</v>
      </c>
      <c r="DP46" s="526">
        <f t="shared" ca="1" si="45"/>
        <v>8481736.8149366342</v>
      </c>
      <c r="DQ46" s="526">
        <f t="shared" ca="1" si="45"/>
        <v>8599534.8259244263</v>
      </c>
      <c r="DR46" s="526">
        <f t="shared" ca="1" si="45"/>
        <v>8718968.8663830031</v>
      </c>
      <c r="DS46" s="526">
        <f t="shared" ca="1" si="45"/>
        <v>8840061.6581937186</v>
      </c>
      <c r="DT46" s="526">
        <f t="shared" ca="1" si="45"/>
        <v>8962836.2388091907</v>
      </c>
      <c r="DU46" s="526">
        <f t="shared" ca="1" si="45"/>
        <v>9087315.9656360969</v>
      </c>
      <c r="DV46" s="526">
        <f t="shared" ca="1" si="45"/>
        <v>9213524.5204788279</v>
      </c>
      <c r="DW46" s="526">
        <f t="shared" ca="1" si="45"/>
        <v>9341485.9140448645</v>
      </c>
      <c r="DX46" s="526">
        <f t="shared" ca="1" si="45"/>
        <v>9471224.4905127287</v>
      </c>
      <c r="DY46" s="526">
        <f t="shared" ca="1" si="45"/>
        <v>9602764.9321633689</v>
      </c>
      <c r="DZ46" s="526">
        <f t="shared" ca="1" si="45"/>
        <v>9736132.2640758734</v>
      </c>
      <c r="EA46" s="526">
        <f t="shared" ca="1" si="45"/>
        <v>9871351.858888397</v>
      </c>
      <c r="EB46" s="523" t="s">
        <v>557</v>
      </c>
    </row>
    <row r="47" spans="7:132">
      <c r="G47" s="518" t="s">
        <v>1172</v>
      </c>
      <c r="H47" s="537">
        <f>E16</f>
        <v>0.18</v>
      </c>
      <c r="I47" s="538">
        <f>((H47+1)^(1/12)-1)</f>
        <v>1.3888430348409919E-2</v>
      </c>
      <c r="K47" s="526">
        <f>K46*$I47</f>
        <v>0</v>
      </c>
      <c r="L47" s="526">
        <f t="shared" ref="L47:BW47" ca="1" si="46">L46*$I47</f>
        <v>281879.5823513277</v>
      </c>
      <c r="M47" s="526">
        <f t="shared" ca="1" si="46"/>
        <v>284750.84009458235</v>
      </c>
      <c r="N47" s="526">
        <f t="shared" ca="1" si="46"/>
        <v>287632.62088504393</v>
      </c>
      <c r="O47" s="526">
        <f t="shared" ca="1" si="46"/>
        <v>290524.87517654756</v>
      </c>
      <c r="P47" s="526">
        <f t="shared" ca="1" si="46"/>
        <v>293427.55143017793</v>
      </c>
      <c r="Q47" s="526">
        <f t="shared" ca="1" si="46"/>
        <v>296340.59607789584</v>
      </c>
      <c r="R47" s="526">
        <f t="shared" ca="1" si="46"/>
        <v>299263.95348560112</v>
      </c>
      <c r="S47" s="526">
        <f t="shared" ca="1" si="46"/>
        <v>302197.56591562449</v>
      </c>
      <c r="T47" s="526">
        <f t="shared" ca="1" si="46"/>
        <v>305141.37348863983</v>
      </c>
      <c r="U47" s="526">
        <f t="shared" ca="1" si="46"/>
        <v>308095.31414498755</v>
      </c>
      <c r="V47" s="526">
        <f t="shared" ca="1" si="46"/>
        <v>311059.32360540243</v>
      </c>
      <c r="W47" s="526">
        <f t="shared" ca="1" si="46"/>
        <v>314033.3353311352</v>
      </c>
      <c r="X47" s="526">
        <f t="shared" ca="1" si="46"/>
        <v>317017.28048346017</v>
      </c>
      <c r="Y47" s="526">
        <f t="shared" ca="1" si="46"/>
        <v>320043.36152529484</v>
      </c>
      <c r="Z47" s="526">
        <f t="shared" ca="1" si="46"/>
        <v>323081.67873003945</v>
      </c>
      <c r="AA47" s="526">
        <f t="shared" ca="1" si="46"/>
        <v>326132.21584283485</v>
      </c>
      <c r="AB47" s="526">
        <f t="shared" ca="1" si="46"/>
        <v>329194.95521934266</v>
      </c>
      <c r="AC47" s="526">
        <f t="shared" ca="1" si="46"/>
        <v>332269.87779917446</v>
      </c>
      <c r="AD47" s="526">
        <f t="shared" ca="1" si="46"/>
        <v>335356.96307890618</v>
      </c>
      <c r="AE47" s="526">
        <f t="shared" ca="1" si="46"/>
        <v>338456.18908467202</v>
      </c>
      <c r="AF47" s="526">
        <f t="shared" ca="1" si="46"/>
        <v>341567.53234433214</v>
      </c>
      <c r="AG47" s="526">
        <f t="shared" ca="1" si="46"/>
        <v>344690.96785920684</v>
      </c>
      <c r="AH47" s="526">
        <f t="shared" ca="1" si="46"/>
        <v>347826.46907537209</v>
      </c>
      <c r="AI47" s="526">
        <f t="shared" ca="1" si="46"/>
        <v>350974.00785450917</v>
      </c>
      <c r="AJ47" s="526">
        <f t="shared" ca="1" si="46"/>
        <v>354133.55444430251</v>
      </c>
      <c r="AK47" s="526">
        <f t="shared" ca="1" si="46"/>
        <v>357350.83941235498</v>
      </c>
      <c r="AL47" s="526">
        <f t="shared" ca="1" si="46"/>
        <v>360595.73484390019</v>
      </c>
      <c r="AM47" s="526">
        <f t="shared" ca="1" si="46"/>
        <v>363868.56729635503</v>
      </c>
      <c r="AN47" s="526">
        <f t="shared" ca="1" si="46"/>
        <v>367169.6676728109</v>
      </c>
      <c r="AO47" s="526">
        <f t="shared" ca="1" si="46"/>
        <v>370499.37128175615</v>
      </c>
      <c r="AP47" s="526">
        <f t="shared" ca="1" si="46"/>
        <v>373858.01789762586</v>
      </c>
      <c r="AQ47" s="526">
        <f t="shared" ca="1" si="46"/>
        <v>377245.95182218991</v>
      </c>
      <c r="AR47" s="526">
        <f t="shared" ca="1" si="46"/>
        <v>380663.5219467922</v>
      </c>
      <c r="AS47" s="526">
        <f t="shared" ca="1" si="46"/>
        <v>384111.08181545179</v>
      </c>
      <c r="AT47" s="526">
        <f t="shared" ca="1" si="46"/>
        <v>387588.98968883825</v>
      </c>
      <c r="AU47" s="526">
        <f t="shared" ca="1" si="46"/>
        <v>391097.60860913357</v>
      </c>
      <c r="AV47" s="526">
        <f t="shared" ca="1" si="46"/>
        <v>394637.30646579235</v>
      </c>
      <c r="AW47" s="526">
        <f t="shared" ca="1" si="46"/>
        <v>398239.91283527034</v>
      </c>
      <c r="AX47" s="526">
        <f t="shared" ca="1" si="46"/>
        <v>401874.7856146518</v>
      </c>
      <c r="AY47" s="526">
        <f t="shared" ca="1" si="46"/>
        <v>405542.31370659749</v>
      </c>
      <c r="AZ47" s="526">
        <f t="shared" ca="1" si="46"/>
        <v>409242.891217592</v>
      </c>
      <c r="BA47" s="526">
        <f t="shared" ca="1" si="46"/>
        <v>412976.91752955841</v>
      </c>
      <c r="BB47" s="526">
        <f t="shared" ca="1" si="46"/>
        <v>416744.79737246578</v>
      </c>
      <c r="BC47" s="526">
        <f t="shared" ca="1" si="46"/>
        <v>420546.94089794264</v>
      </c>
      <c r="BD47" s="526">
        <f t="shared" ca="1" si="46"/>
        <v>424383.76375391055</v>
      </c>
      <c r="BE47" s="526">
        <f t="shared" ca="1" si="46"/>
        <v>428255.68716025207</v>
      </c>
      <c r="BF47" s="526">
        <f t="shared" ca="1" si="46"/>
        <v>432163.13798552757</v>
      </c>
      <c r="BG47" s="526">
        <f t="shared" ca="1" si="46"/>
        <v>436106.54882475501</v>
      </c>
      <c r="BH47" s="526">
        <f t="shared" ca="1" si="46"/>
        <v>51490.596256380908</v>
      </c>
      <c r="BI47" s="526">
        <f t="shared" ca="1" si="46"/>
        <v>52205.719816085752</v>
      </c>
      <c r="BJ47" s="526">
        <f t="shared" ca="1" si="46"/>
        <v>52930.775319540066</v>
      </c>
      <c r="BK47" s="526">
        <f t="shared" ca="1" si="46"/>
        <v>53665.90070585283</v>
      </c>
      <c r="BL47" s="526">
        <f t="shared" ca="1" si="46"/>
        <v>54411.235829890749</v>
      </c>
      <c r="BM47" s="526">
        <f t="shared" ca="1" si="46"/>
        <v>55166.922488885095</v>
      </c>
      <c r="BN47" s="526">
        <f t="shared" ca="1" si="46"/>
        <v>55933.1044494081</v>
      </c>
      <c r="BO47" s="526">
        <f t="shared" ca="1" si="46"/>
        <v>56709.927474724042</v>
      </c>
      <c r="BP47" s="526">
        <f t="shared" ca="1" si="46"/>
        <v>57497.539352520129</v>
      </c>
      <c r="BQ47" s="526">
        <f t="shared" ca="1" si="46"/>
        <v>58296.089923022562</v>
      </c>
      <c r="BR47" s="526">
        <f t="shared" ca="1" si="46"/>
        <v>59105.731107503096</v>
      </c>
      <c r="BS47" s="526">
        <f t="shared" ca="1" si="46"/>
        <v>59926.616937181498</v>
      </c>
      <c r="BT47" s="526">
        <f t="shared" ca="1" si="46"/>
        <v>60758.90358252939</v>
      </c>
      <c r="BU47" s="526">
        <f t="shared" ca="1" si="46"/>
        <v>61602.749382981106</v>
      </c>
      <c r="BV47" s="526">
        <f t="shared" ca="1" si="46"/>
        <v>62458.314877057186</v>
      </c>
      <c r="BW47" s="526">
        <f t="shared" ca="1" si="46"/>
        <v>63325.762832906257</v>
      </c>
      <c r="BX47" s="526">
        <f t="shared" ref="BX47:EA47" ca="1" si="47">BX46*$I47</f>
        <v>64205.258279270995</v>
      </c>
      <c r="BY47" s="526">
        <f t="shared" ca="1" si="47"/>
        <v>65096.968536884327</v>
      </c>
      <c r="BZ47" s="526">
        <f t="shared" ca="1" si="47"/>
        <v>66001.063250301479</v>
      </c>
      <c r="CA47" s="526">
        <f t="shared" ca="1" si="47"/>
        <v>66917.714420174292</v>
      </c>
      <c r="CB47" s="526">
        <f t="shared" ca="1" si="47"/>
        <v>67847.096435973668</v>
      </c>
      <c r="CC47" s="526">
        <f t="shared" ca="1" si="47"/>
        <v>68789.386109166531</v>
      </c>
      <c r="CD47" s="526">
        <f t="shared" ca="1" si="47"/>
        <v>69744.76270685358</v>
      </c>
      <c r="CE47" s="526">
        <f t="shared" ca="1" si="47"/>
        <v>70713.407985874088</v>
      </c>
      <c r="CF47" s="526">
        <f t="shared" ca="1" si="47"/>
        <v>71695.506227384598</v>
      </c>
      <c r="CG47" s="526">
        <f t="shared" ca="1" si="47"/>
        <v>72691.244271917618</v>
      </c>
      <c r="CH47" s="526">
        <f t="shared" ca="1" si="47"/>
        <v>73700.811554927393</v>
      </c>
      <c r="CI47" s="526">
        <f t="shared" ca="1" si="47"/>
        <v>74724.400142829283</v>
      </c>
      <c r="CJ47" s="526">
        <f t="shared" ca="1" si="47"/>
        <v>75762.204769539676</v>
      </c>
      <c r="CK47" s="526">
        <f t="shared" ca="1" si="47"/>
        <v>76814.422873523392</v>
      </c>
      <c r="CL47" s="526">
        <f t="shared" ca="1" si="47"/>
        <v>77881.254635355624</v>
      </c>
      <c r="CM47" s="526">
        <f t="shared" ca="1" si="47"/>
        <v>78962.903015805539</v>
      </c>
      <c r="CN47" s="526">
        <f t="shared" ca="1" si="47"/>
        <v>80059.573794448792</v>
      </c>
      <c r="CO47" s="526">
        <f t="shared" ca="1" si="47"/>
        <v>81171.475608816385</v>
      </c>
      <c r="CP47" s="526">
        <f t="shared" ca="1" si="47"/>
        <v>82298.819994087084</v>
      </c>
      <c r="CQ47" s="526">
        <f t="shared" ca="1" si="47"/>
        <v>83441.82142333129</v>
      </c>
      <c r="CR47" s="526">
        <f t="shared" ca="1" si="47"/>
        <v>84600.697348313683</v>
      </c>
      <c r="CS47" s="526">
        <f t="shared" ca="1" si="47"/>
        <v>85775.668240862651</v>
      </c>
      <c r="CT47" s="526">
        <f t="shared" ca="1" si="47"/>
        <v>86966.957634814185</v>
      </c>
      <c r="CU47" s="526">
        <f t="shared" ca="1" si="47"/>
        <v>88174.792168538421</v>
      </c>
      <c r="CV47" s="526">
        <f t="shared" ca="1" si="47"/>
        <v>89399.401628056672</v>
      </c>
      <c r="CW47" s="526">
        <f t="shared" ca="1" si="47"/>
        <v>90641.018990757468</v>
      </c>
      <c r="CX47" s="526">
        <f t="shared" ca="1" si="47"/>
        <v>91899.880469719501</v>
      </c>
      <c r="CY47" s="526">
        <f t="shared" ca="1" si="47"/>
        <v>93176.225558650403</v>
      </c>
      <c r="CZ47" s="526">
        <f t="shared" ca="1" si="47"/>
        <v>94470.297077449461</v>
      </c>
      <c r="DA47" s="526">
        <f t="shared" ca="1" si="47"/>
        <v>95782.341218403206</v>
      </c>
      <c r="DB47" s="526">
        <f t="shared" ca="1" si="47"/>
        <v>97112.607593022636</v>
      </c>
      <c r="DC47" s="526">
        <f t="shared" ca="1" si="47"/>
        <v>98461.349279530798</v>
      </c>
      <c r="DD47" s="526">
        <f t="shared" ca="1" si="47"/>
        <v>99828.822871010008</v>
      </c>
      <c r="DE47" s="526">
        <f t="shared" ca="1" si="47"/>
        <v>101215.28852421777</v>
      </c>
      <c r="DF47" s="526">
        <f t="shared" ca="1" si="47"/>
        <v>102621.01000908059</v>
      </c>
      <c r="DG47" s="526">
        <f t="shared" ca="1" si="47"/>
        <v>104046.25475887518</v>
      </c>
      <c r="DH47" s="526">
        <f t="shared" ca="1" si="47"/>
        <v>105491.29392110673</v>
      </c>
      <c r="DI47" s="526">
        <f t="shared" ca="1" si="47"/>
        <v>106956.40240909366</v>
      </c>
      <c r="DJ47" s="526">
        <f t="shared" ca="1" si="47"/>
        <v>108441.85895426886</v>
      </c>
      <c r="DK47" s="526">
        <f t="shared" ca="1" si="47"/>
        <v>109947.94615920731</v>
      </c>
      <c r="DL47" s="526">
        <f t="shared" ca="1" si="47"/>
        <v>111474.95055139018</v>
      </c>
      <c r="DM47" s="526">
        <f t="shared" ca="1" si="47"/>
        <v>113023.16263771561</v>
      </c>
      <c r="DN47" s="526">
        <f t="shared" ca="1" si="47"/>
        <v>114592.87695976652</v>
      </c>
      <c r="DO47" s="526">
        <f t="shared" ca="1" si="47"/>
        <v>116184.39214984614</v>
      </c>
      <c r="DP47" s="526">
        <f t="shared" ca="1" si="47"/>
        <v>117798.01098779164</v>
      </c>
      <c r="DQ47" s="526">
        <f t="shared" ca="1" si="47"/>
        <v>119434.04045857681</v>
      </c>
      <c r="DR47" s="526">
        <f t="shared" ca="1" si="47"/>
        <v>121092.79181071493</v>
      </c>
      <c r="DS47" s="526">
        <f t="shared" ca="1" si="47"/>
        <v>122774.58061547256</v>
      </c>
      <c r="DT47" s="526">
        <f t="shared" ca="1" si="47"/>
        <v>124479.72682690578</v>
      </c>
      <c r="DU47" s="526">
        <f t="shared" ca="1" si="47"/>
        <v>126208.55484273036</v>
      </c>
      <c r="DV47" s="526">
        <f t="shared" ca="1" si="47"/>
        <v>127961.39356603711</v>
      </c>
      <c r="DW47" s="526">
        <f t="shared" ca="1" si="47"/>
        <v>129738.57646786446</v>
      </c>
      <c r="DX47" s="526">
        <f t="shared" ca="1" si="47"/>
        <v>131540.44165064025</v>
      </c>
      <c r="DY47" s="526">
        <f t="shared" ca="1" si="47"/>
        <v>133367.33191250425</v>
      </c>
      <c r="DZ47" s="526">
        <f t="shared" ca="1" si="47"/>
        <v>135219.59481252433</v>
      </c>
      <c r="EA47" s="526">
        <f t="shared" ca="1" si="47"/>
        <v>137097.58273681829</v>
      </c>
      <c r="EB47" s="523" t="s">
        <v>557</v>
      </c>
    </row>
    <row r="48" spans="7:132">
      <c r="G48" s="518" t="s">
        <v>1145</v>
      </c>
      <c r="K48" s="526">
        <f ca="1">K30</f>
        <v>20296000</v>
      </c>
      <c r="L48" s="526">
        <f t="shared" ref="L48:BW48" si="48">L30</f>
        <v>0</v>
      </c>
      <c r="M48" s="526">
        <f t="shared" si="48"/>
        <v>0</v>
      </c>
      <c r="N48" s="526">
        <f t="shared" si="48"/>
        <v>0</v>
      </c>
      <c r="O48" s="526">
        <f t="shared" si="48"/>
        <v>0</v>
      </c>
      <c r="P48" s="526">
        <f t="shared" si="48"/>
        <v>0</v>
      </c>
      <c r="Q48" s="526">
        <f t="shared" si="48"/>
        <v>0</v>
      </c>
      <c r="R48" s="526">
        <f t="shared" si="48"/>
        <v>0</v>
      </c>
      <c r="S48" s="526">
        <f t="shared" si="48"/>
        <v>0</v>
      </c>
      <c r="T48" s="526">
        <f t="shared" si="48"/>
        <v>0</v>
      </c>
      <c r="U48" s="526">
        <f t="shared" si="48"/>
        <v>0</v>
      </c>
      <c r="V48" s="526">
        <f t="shared" si="48"/>
        <v>0</v>
      </c>
      <c r="W48" s="526">
        <f t="shared" si="48"/>
        <v>0</v>
      </c>
      <c r="X48" s="526">
        <f t="shared" si="48"/>
        <v>0</v>
      </c>
      <c r="Y48" s="526">
        <f t="shared" si="48"/>
        <v>0</v>
      </c>
      <c r="Z48" s="526">
        <f t="shared" si="48"/>
        <v>0</v>
      </c>
      <c r="AA48" s="526">
        <f t="shared" si="48"/>
        <v>0</v>
      </c>
      <c r="AB48" s="526">
        <f t="shared" si="48"/>
        <v>0</v>
      </c>
      <c r="AC48" s="526">
        <f t="shared" si="48"/>
        <v>0</v>
      </c>
      <c r="AD48" s="526">
        <f t="shared" si="48"/>
        <v>0</v>
      </c>
      <c r="AE48" s="526">
        <f t="shared" si="48"/>
        <v>0</v>
      </c>
      <c r="AF48" s="526">
        <f t="shared" si="48"/>
        <v>0</v>
      </c>
      <c r="AG48" s="526">
        <f t="shared" si="48"/>
        <v>0</v>
      </c>
      <c r="AH48" s="526">
        <f t="shared" si="48"/>
        <v>0</v>
      </c>
      <c r="AI48" s="526">
        <f t="shared" si="48"/>
        <v>0</v>
      </c>
      <c r="AJ48" s="526">
        <f t="shared" si="48"/>
        <v>0</v>
      </c>
      <c r="AK48" s="526">
        <f t="shared" si="48"/>
        <v>0</v>
      </c>
      <c r="AL48" s="526">
        <f t="shared" si="48"/>
        <v>0</v>
      </c>
      <c r="AM48" s="526">
        <f t="shared" si="48"/>
        <v>0</v>
      </c>
      <c r="AN48" s="526">
        <f t="shared" si="48"/>
        <v>0</v>
      </c>
      <c r="AO48" s="526">
        <f t="shared" si="48"/>
        <v>0</v>
      </c>
      <c r="AP48" s="526">
        <f t="shared" si="48"/>
        <v>0</v>
      </c>
      <c r="AQ48" s="526">
        <f t="shared" si="48"/>
        <v>0</v>
      </c>
      <c r="AR48" s="526">
        <f t="shared" si="48"/>
        <v>0</v>
      </c>
      <c r="AS48" s="526">
        <f t="shared" si="48"/>
        <v>0</v>
      </c>
      <c r="AT48" s="526">
        <f t="shared" si="48"/>
        <v>0</v>
      </c>
      <c r="AU48" s="526">
        <f t="shared" si="48"/>
        <v>0</v>
      </c>
      <c r="AV48" s="526">
        <f t="shared" si="48"/>
        <v>0</v>
      </c>
      <c r="AW48" s="526">
        <f t="shared" si="48"/>
        <v>0</v>
      </c>
      <c r="AX48" s="526">
        <f t="shared" si="48"/>
        <v>0</v>
      </c>
      <c r="AY48" s="526">
        <f t="shared" si="48"/>
        <v>0</v>
      </c>
      <c r="AZ48" s="526">
        <f t="shared" si="48"/>
        <v>0</v>
      </c>
      <c r="BA48" s="526">
        <f t="shared" si="48"/>
        <v>0</v>
      </c>
      <c r="BB48" s="526">
        <f t="shared" si="48"/>
        <v>0</v>
      </c>
      <c r="BC48" s="526">
        <f t="shared" si="48"/>
        <v>0</v>
      </c>
      <c r="BD48" s="526">
        <f t="shared" si="48"/>
        <v>0</v>
      </c>
      <c r="BE48" s="526">
        <f t="shared" si="48"/>
        <v>0</v>
      </c>
      <c r="BF48" s="526">
        <f t="shared" si="48"/>
        <v>0</v>
      </c>
      <c r="BG48" s="526">
        <f t="shared" si="48"/>
        <v>0</v>
      </c>
      <c r="BH48" s="526">
        <f t="shared" si="48"/>
        <v>0</v>
      </c>
      <c r="BI48" s="526">
        <f t="shared" si="48"/>
        <v>0</v>
      </c>
      <c r="BJ48" s="526">
        <f t="shared" si="48"/>
        <v>0</v>
      </c>
      <c r="BK48" s="526">
        <f t="shared" si="48"/>
        <v>0</v>
      </c>
      <c r="BL48" s="526">
        <f t="shared" si="48"/>
        <v>0</v>
      </c>
      <c r="BM48" s="526">
        <f t="shared" si="48"/>
        <v>0</v>
      </c>
      <c r="BN48" s="526">
        <f t="shared" si="48"/>
        <v>0</v>
      </c>
      <c r="BO48" s="526">
        <f t="shared" si="48"/>
        <v>0</v>
      </c>
      <c r="BP48" s="526">
        <f t="shared" si="48"/>
        <v>0</v>
      </c>
      <c r="BQ48" s="526">
        <f t="shared" si="48"/>
        <v>0</v>
      </c>
      <c r="BR48" s="526">
        <f t="shared" si="48"/>
        <v>0</v>
      </c>
      <c r="BS48" s="526">
        <f t="shared" si="48"/>
        <v>0</v>
      </c>
      <c r="BT48" s="526">
        <f t="shared" si="48"/>
        <v>0</v>
      </c>
      <c r="BU48" s="526">
        <f t="shared" si="48"/>
        <v>0</v>
      </c>
      <c r="BV48" s="526">
        <f t="shared" si="48"/>
        <v>0</v>
      </c>
      <c r="BW48" s="526">
        <f t="shared" si="48"/>
        <v>0</v>
      </c>
      <c r="BX48" s="526">
        <f t="shared" ref="BX48:EA48" si="49">BX30</f>
        <v>0</v>
      </c>
      <c r="BY48" s="526">
        <f t="shared" si="49"/>
        <v>0</v>
      </c>
      <c r="BZ48" s="526">
        <f t="shared" si="49"/>
        <v>0</v>
      </c>
      <c r="CA48" s="526">
        <f t="shared" si="49"/>
        <v>0</v>
      </c>
      <c r="CB48" s="526">
        <f t="shared" si="49"/>
        <v>0</v>
      </c>
      <c r="CC48" s="526">
        <f t="shared" si="49"/>
        <v>0</v>
      </c>
      <c r="CD48" s="526">
        <f t="shared" si="49"/>
        <v>0</v>
      </c>
      <c r="CE48" s="526">
        <f t="shared" si="49"/>
        <v>0</v>
      </c>
      <c r="CF48" s="526">
        <f t="shared" si="49"/>
        <v>0</v>
      </c>
      <c r="CG48" s="526">
        <f t="shared" si="49"/>
        <v>0</v>
      </c>
      <c r="CH48" s="526">
        <f t="shared" si="49"/>
        <v>0</v>
      </c>
      <c r="CI48" s="526">
        <f t="shared" si="49"/>
        <v>0</v>
      </c>
      <c r="CJ48" s="526">
        <f t="shared" si="49"/>
        <v>0</v>
      </c>
      <c r="CK48" s="526">
        <f t="shared" si="49"/>
        <v>0</v>
      </c>
      <c r="CL48" s="526">
        <f t="shared" si="49"/>
        <v>0</v>
      </c>
      <c r="CM48" s="526">
        <f t="shared" si="49"/>
        <v>0</v>
      </c>
      <c r="CN48" s="526">
        <f t="shared" si="49"/>
        <v>0</v>
      </c>
      <c r="CO48" s="526">
        <f t="shared" si="49"/>
        <v>0</v>
      </c>
      <c r="CP48" s="526">
        <f t="shared" si="49"/>
        <v>0</v>
      </c>
      <c r="CQ48" s="526">
        <f t="shared" si="49"/>
        <v>0</v>
      </c>
      <c r="CR48" s="526">
        <f t="shared" si="49"/>
        <v>0</v>
      </c>
      <c r="CS48" s="526">
        <f t="shared" si="49"/>
        <v>0</v>
      </c>
      <c r="CT48" s="526">
        <f t="shared" si="49"/>
        <v>0</v>
      </c>
      <c r="CU48" s="526">
        <f t="shared" si="49"/>
        <v>0</v>
      </c>
      <c r="CV48" s="526">
        <f t="shared" si="49"/>
        <v>0</v>
      </c>
      <c r="CW48" s="526">
        <f t="shared" si="49"/>
        <v>0</v>
      </c>
      <c r="CX48" s="526">
        <f t="shared" si="49"/>
        <v>0</v>
      </c>
      <c r="CY48" s="526">
        <f t="shared" si="49"/>
        <v>0</v>
      </c>
      <c r="CZ48" s="526">
        <f t="shared" si="49"/>
        <v>0</v>
      </c>
      <c r="DA48" s="526">
        <f t="shared" si="49"/>
        <v>0</v>
      </c>
      <c r="DB48" s="526">
        <f t="shared" si="49"/>
        <v>0</v>
      </c>
      <c r="DC48" s="526">
        <f t="shared" si="49"/>
        <v>0</v>
      </c>
      <c r="DD48" s="526">
        <f t="shared" si="49"/>
        <v>0</v>
      </c>
      <c r="DE48" s="526">
        <f t="shared" si="49"/>
        <v>0</v>
      </c>
      <c r="DF48" s="526">
        <f t="shared" si="49"/>
        <v>0</v>
      </c>
      <c r="DG48" s="526">
        <f t="shared" si="49"/>
        <v>0</v>
      </c>
      <c r="DH48" s="526">
        <f t="shared" si="49"/>
        <v>0</v>
      </c>
      <c r="DI48" s="526">
        <f t="shared" si="49"/>
        <v>0</v>
      </c>
      <c r="DJ48" s="526">
        <f t="shared" si="49"/>
        <v>0</v>
      </c>
      <c r="DK48" s="526">
        <f t="shared" si="49"/>
        <v>0</v>
      </c>
      <c r="DL48" s="526">
        <f t="shared" si="49"/>
        <v>0</v>
      </c>
      <c r="DM48" s="526">
        <f t="shared" si="49"/>
        <v>0</v>
      </c>
      <c r="DN48" s="526">
        <f t="shared" si="49"/>
        <v>0</v>
      </c>
      <c r="DO48" s="526">
        <f t="shared" si="49"/>
        <v>0</v>
      </c>
      <c r="DP48" s="526">
        <f t="shared" si="49"/>
        <v>0</v>
      </c>
      <c r="DQ48" s="526">
        <f t="shared" si="49"/>
        <v>0</v>
      </c>
      <c r="DR48" s="526">
        <f t="shared" si="49"/>
        <v>0</v>
      </c>
      <c r="DS48" s="526">
        <f t="shared" si="49"/>
        <v>0</v>
      </c>
      <c r="DT48" s="526">
        <f t="shared" si="49"/>
        <v>0</v>
      </c>
      <c r="DU48" s="526">
        <f t="shared" si="49"/>
        <v>0</v>
      </c>
      <c r="DV48" s="526">
        <f t="shared" si="49"/>
        <v>0</v>
      </c>
      <c r="DW48" s="526">
        <f t="shared" si="49"/>
        <v>0</v>
      </c>
      <c r="DX48" s="526">
        <f t="shared" si="49"/>
        <v>0</v>
      </c>
      <c r="DY48" s="526">
        <f t="shared" si="49"/>
        <v>0</v>
      </c>
      <c r="DZ48" s="526">
        <f t="shared" si="49"/>
        <v>0</v>
      </c>
      <c r="EA48" s="526">
        <f t="shared" si="49"/>
        <v>0</v>
      </c>
      <c r="EB48" s="523" t="s">
        <v>557</v>
      </c>
    </row>
    <row r="49" spans="7:132">
      <c r="G49" s="518" t="s">
        <v>1173</v>
      </c>
      <c r="K49" s="526">
        <f t="shared" ref="K49:BW49" ca="1" si="50">K31+K32</f>
        <v>0</v>
      </c>
      <c r="L49" s="526">
        <f t="shared" ca="1" si="50"/>
        <v>75142.199419975848</v>
      </c>
      <c r="M49" s="526">
        <f t="shared" ca="1" si="50"/>
        <v>77255.772749442272</v>
      </c>
      <c r="N49" s="526">
        <f t="shared" ca="1" si="50"/>
        <v>79383.436567771874</v>
      </c>
      <c r="O49" s="526">
        <f t="shared" ca="1" si="50"/>
        <v>81525.284811557081</v>
      </c>
      <c r="P49" s="526">
        <f t="shared" ca="1" si="50"/>
        <v>83681.412043634118</v>
      </c>
      <c r="Q49" s="526">
        <f t="shared" ca="1" si="50"/>
        <v>85851.913457258299</v>
      </c>
      <c r="R49" s="526">
        <f t="shared" ca="1" si="50"/>
        <v>88036.884880306709</v>
      </c>
      <c r="S49" s="526">
        <f t="shared" ca="1" si="50"/>
        <v>90236.422779508677</v>
      </c>
      <c r="T49" s="526">
        <f t="shared" ca="1" si="50"/>
        <v>92450.624264705359</v>
      </c>
      <c r="U49" s="526">
        <f t="shared" ca="1" si="50"/>
        <v>94679.587093136754</v>
      </c>
      <c r="V49" s="526">
        <f t="shared" ca="1" si="50"/>
        <v>96923.409673757662</v>
      </c>
      <c r="W49" s="526">
        <f t="shared" ca="1" si="50"/>
        <v>99182.191071582594</v>
      </c>
      <c r="X49" s="526">
        <f t="shared" ca="1" si="50"/>
        <v>99132.252015780003</v>
      </c>
      <c r="Y49" s="526">
        <f t="shared" ca="1" si="50"/>
        <v>101277.30024087873</v>
      </c>
      <c r="Z49" s="526">
        <f t="shared" ca="1" si="50"/>
        <v>103435.75501738423</v>
      </c>
      <c r="AA49" s="526">
        <f t="shared" ca="1" si="50"/>
        <v>105607.70013624289</v>
      </c>
      <c r="AB49" s="526">
        <f t="shared" ca="1" si="50"/>
        <v>107793.2199120944</v>
      </c>
      <c r="AC49" s="526">
        <f t="shared" ca="1" si="50"/>
        <v>109992.39918654515</v>
      </c>
      <c r="AD49" s="526">
        <f t="shared" ca="1" si="50"/>
        <v>112205.32333146107</v>
      </c>
      <c r="AE49" s="526">
        <f t="shared" ca="1" si="50"/>
        <v>114432.07825228265</v>
      </c>
      <c r="AF49" s="526">
        <f t="shared" ca="1" si="50"/>
        <v>116672.75039135954</v>
      </c>
      <c r="AG49" s="526">
        <f t="shared" ca="1" si="50"/>
        <v>118927.4267313055</v>
      </c>
      <c r="AH49" s="526">
        <f t="shared" ca="1" si="50"/>
        <v>121196.19479837616</v>
      </c>
      <c r="AI49" s="526">
        <f t="shared" ca="1" si="50"/>
        <v>123479.14266586611</v>
      </c>
      <c r="AJ49" s="526">
        <f t="shared" ca="1" si="50"/>
        <v>122481.38876808564</v>
      </c>
      <c r="AK49" s="526">
        <f t="shared" ca="1" si="50"/>
        <v>123710.65473037933</v>
      </c>
      <c r="AL49" s="526">
        <f t="shared" ca="1" si="50"/>
        <v>124944.01824588062</v>
      </c>
      <c r="AM49" s="526">
        <f t="shared" ca="1" si="50"/>
        <v>126181.4929731002</v>
      </c>
      <c r="AN49" s="526">
        <f t="shared" ca="1" si="50"/>
        <v>127423.09261607715</v>
      </c>
      <c r="AO49" s="526">
        <f t="shared" ca="1" si="50"/>
        <v>128668.83092453091</v>
      </c>
      <c r="AP49" s="526">
        <f t="shared" ca="1" si="50"/>
        <v>129918.72169401268</v>
      </c>
      <c r="AQ49" s="526">
        <f t="shared" ca="1" si="50"/>
        <v>131172.77876605943</v>
      </c>
      <c r="AR49" s="526">
        <f t="shared" ca="1" si="50"/>
        <v>132431.01602834626</v>
      </c>
      <c r="AS49" s="526">
        <f t="shared" ca="1" si="50"/>
        <v>133693.44741484086</v>
      </c>
      <c r="AT49" s="526">
        <f t="shared" ca="1" si="50"/>
        <v>134960.08690595691</v>
      </c>
      <c r="AU49" s="526">
        <f t="shared" ca="1" si="50"/>
        <v>136230.94852871029</v>
      </c>
      <c r="AV49" s="526">
        <f t="shared" ca="1" si="50"/>
        <v>135241.08391927258</v>
      </c>
      <c r="AW49" s="526">
        <f t="shared" ca="1" si="50"/>
        <v>136520.43207352899</v>
      </c>
      <c r="AX49" s="526">
        <f t="shared" ca="1" si="50"/>
        <v>137804.04472163261</v>
      </c>
      <c r="AY49" s="526">
        <f t="shared" ca="1" si="50"/>
        <v>139091.93607856351</v>
      </c>
      <c r="AZ49" s="526">
        <f t="shared" ca="1" si="50"/>
        <v>140384.12040668412</v>
      </c>
      <c r="BA49" s="526">
        <f t="shared" ca="1" si="50"/>
        <v>141680.61201589828</v>
      </c>
      <c r="BB49" s="526">
        <f t="shared" ca="1" si="50"/>
        <v>142981.42526381009</v>
      </c>
      <c r="BC49" s="526">
        <f t="shared" ca="1" si="50"/>
        <v>144286.57455588144</v>
      </c>
      <c r="BD49" s="526">
        <f t="shared" ca="1" si="50"/>
        <v>145596.07434559317</v>
      </c>
      <c r="BE49" s="526">
        <f t="shared" ca="1" si="50"/>
        <v>146909.93913460377</v>
      </c>
      <c r="BF49" s="526">
        <f t="shared" ca="1" si="50"/>
        <v>148228.18347291125</v>
      </c>
      <c r="BG49" s="526">
        <f t="shared" ca="1" si="50"/>
        <v>28129369.424453359</v>
      </c>
      <c r="BH49" s="526">
        <f t="shared" ca="1" si="50"/>
        <v>0</v>
      </c>
      <c r="BI49" s="526">
        <f t="shared" ca="1" si="50"/>
        <v>0</v>
      </c>
      <c r="BJ49" s="526">
        <f t="shared" ca="1" si="50"/>
        <v>0</v>
      </c>
      <c r="BK49" s="526">
        <f t="shared" ca="1" si="50"/>
        <v>0</v>
      </c>
      <c r="BL49" s="526">
        <f t="shared" ca="1" si="50"/>
        <v>0</v>
      </c>
      <c r="BM49" s="526">
        <f t="shared" ca="1" si="50"/>
        <v>0</v>
      </c>
      <c r="BN49" s="526">
        <f t="shared" ca="1" si="50"/>
        <v>0</v>
      </c>
      <c r="BO49" s="526">
        <f t="shared" ca="1" si="50"/>
        <v>0</v>
      </c>
      <c r="BP49" s="526">
        <f t="shared" ca="1" si="50"/>
        <v>0</v>
      </c>
      <c r="BQ49" s="526">
        <f t="shared" ca="1" si="50"/>
        <v>0</v>
      </c>
      <c r="BR49" s="526">
        <f t="shared" ca="1" si="50"/>
        <v>0</v>
      </c>
      <c r="BS49" s="526">
        <f t="shared" ca="1" si="50"/>
        <v>0</v>
      </c>
      <c r="BT49" s="526">
        <f t="shared" ca="1" si="50"/>
        <v>0</v>
      </c>
      <c r="BU49" s="526">
        <f t="shared" ca="1" si="50"/>
        <v>0</v>
      </c>
      <c r="BV49" s="526">
        <f t="shared" ca="1" si="50"/>
        <v>0</v>
      </c>
      <c r="BW49" s="526">
        <f t="shared" ca="1" si="50"/>
        <v>0</v>
      </c>
      <c r="BX49" s="526">
        <f t="shared" ref="BX49:EA49" ca="1" si="51">BX31+BX32</f>
        <v>0</v>
      </c>
      <c r="BY49" s="526">
        <f t="shared" ca="1" si="51"/>
        <v>0</v>
      </c>
      <c r="BZ49" s="526">
        <f t="shared" ca="1" si="51"/>
        <v>0</v>
      </c>
      <c r="CA49" s="526">
        <f t="shared" ca="1" si="51"/>
        <v>0</v>
      </c>
      <c r="CB49" s="526">
        <f t="shared" ca="1" si="51"/>
        <v>0</v>
      </c>
      <c r="CC49" s="526">
        <f t="shared" ca="1" si="51"/>
        <v>0</v>
      </c>
      <c r="CD49" s="526">
        <f t="shared" ca="1" si="51"/>
        <v>0</v>
      </c>
      <c r="CE49" s="526">
        <f t="shared" ca="1" si="51"/>
        <v>0</v>
      </c>
      <c r="CF49" s="526">
        <f t="shared" ca="1" si="51"/>
        <v>0</v>
      </c>
      <c r="CG49" s="526">
        <f t="shared" ca="1" si="51"/>
        <v>0</v>
      </c>
      <c r="CH49" s="526">
        <f t="shared" ca="1" si="51"/>
        <v>0</v>
      </c>
      <c r="CI49" s="526">
        <f t="shared" ca="1" si="51"/>
        <v>0</v>
      </c>
      <c r="CJ49" s="526">
        <f t="shared" ca="1" si="51"/>
        <v>0</v>
      </c>
      <c r="CK49" s="526">
        <f t="shared" ca="1" si="51"/>
        <v>0</v>
      </c>
      <c r="CL49" s="526">
        <f t="shared" ca="1" si="51"/>
        <v>0</v>
      </c>
      <c r="CM49" s="526">
        <f t="shared" ca="1" si="51"/>
        <v>0</v>
      </c>
      <c r="CN49" s="526">
        <f t="shared" ca="1" si="51"/>
        <v>0</v>
      </c>
      <c r="CO49" s="526">
        <f t="shared" ca="1" si="51"/>
        <v>0</v>
      </c>
      <c r="CP49" s="526">
        <f t="shared" ca="1" si="51"/>
        <v>0</v>
      </c>
      <c r="CQ49" s="526">
        <f t="shared" ca="1" si="51"/>
        <v>0</v>
      </c>
      <c r="CR49" s="526">
        <f t="shared" ca="1" si="51"/>
        <v>0</v>
      </c>
      <c r="CS49" s="526">
        <f t="shared" ca="1" si="51"/>
        <v>0</v>
      </c>
      <c r="CT49" s="526">
        <f t="shared" ca="1" si="51"/>
        <v>0</v>
      </c>
      <c r="CU49" s="526">
        <f t="shared" ca="1" si="51"/>
        <v>0</v>
      </c>
      <c r="CV49" s="526">
        <f t="shared" ca="1" si="51"/>
        <v>0</v>
      </c>
      <c r="CW49" s="526">
        <f t="shared" ca="1" si="51"/>
        <v>0</v>
      </c>
      <c r="CX49" s="526">
        <f t="shared" ca="1" si="51"/>
        <v>0</v>
      </c>
      <c r="CY49" s="526">
        <f t="shared" ca="1" si="51"/>
        <v>0</v>
      </c>
      <c r="CZ49" s="526">
        <f t="shared" ca="1" si="51"/>
        <v>0</v>
      </c>
      <c r="DA49" s="526">
        <f t="shared" ca="1" si="51"/>
        <v>0</v>
      </c>
      <c r="DB49" s="526">
        <f t="shared" ca="1" si="51"/>
        <v>0</v>
      </c>
      <c r="DC49" s="526">
        <f t="shared" ca="1" si="51"/>
        <v>0</v>
      </c>
      <c r="DD49" s="526">
        <f t="shared" ca="1" si="51"/>
        <v>0</v>
      </c>
      <c r="DE49" s="526">
        <f t="shared" ca="1" si="51"/>
        <v>0</v>
      </c>
      <c r="DF49" s="526">
        <f t="shared" ca="1" si="51"/>
        <v>0</v>
      </c>
      <c r="DG49" s="526">
        <f t="shared" ca="1" si="51"/>
        <v>0</v>
      </c>
      <c r="DH49" s="526">
        <f t="shared" ca="1" si="51"/>
        <v>0</v>
      </c>
      <c r="DI49" s="526">
        <f t="shared" ca="1" si="51"/>
        <v>0</v>
      </c>
      <c r="DJ49" s="526">
        <f t="shared" ca="1" si="51"/>
        <v>0</v>
      </c>
      <c r="DK49" s="526">
        <f t="shared" ca="1" si="51"/>
        <v>0</v>
      </c>
      <c r="DL49" s="526">
        <f t="shared" ca="1" si="51"/>
        <v>0</v>
      </c>
      <c r="DM49" s="526">
        <f t="shared" ca="1" si="51"/>
        <v>0</v>
      </c>
      <c r="DN49" s="526">
        <f t="shared" ca="1" si="51"/>
        <v>0</v>
      </c>
      <c r="DO49" s="526">
        <f t="shared" ca="1" si="51"/>
        <v>0</v>
      </c>
      <c r="DP49" s="526">
        <f t="shared" ca="1" si="51"/>
        <v>0</v>
      </c>
      <c r="DQ49" s="526">
        <f t="shared" ca="1" si="51"/>
        <v>0</v>
      </c>
      <c r="DR49" s="526">
        <f t="shared" ca="1" si="51"/>
        <v>0</v>
      </c>
      <c r="DS49" s="526">
        <f t="shared" ca="1" si="51"/>
        <v>0</v>
      </c>
      <c r="DT49" s="526">
        <f t="shared" ca="1" si="51"/>
        <v>0</v>
      </c>
      <c r="DU49" s="526">
        <f t="shared" ca="1" si="51"/>
        <v>0</v>
      </c>
      <c r="DV49" s="526">
        <f t="shared" ca="1" si="51"/>
        <v>0</v>
      </c>
      <c r="DW49" s="526">
        <f t="shared" ca="1" si="51"/>
        <v>0</v>
      </c>
      <c r="DX49" s="526">
        <f t="shared" ca="1" si="51"/>
        <v>0</v>
      </c>
      <c r="DY49" s="526">
        <f t="shared" ca="1" si="51"/>
        <v>0</v>
      </c>
      <c r="DZ49" s="526">
        <f t="shared" ca="1" si="51"/>
        <v>0</v>
      </c>
      <c r="EA49" s="526">
        <f t="shared" ca="1" si="51"/>
        <v>0</v>
      </c>
      <c r="EB49" s="523" t="s">
        <v>557</v>
      </c>
    </row>
    <row r="50" spans="7:132">
      <c r="G50" s="518" t="s">
        <v>1174</v>
      </c>
      <c r="H50" s="539">
        <f>D16</f>
        <v>0.7</v>
      </c>
      <c r="K50" s="526">
        <f ca="1">MIN(K42*$H50,K46+K47-K49)</f>
        <v>0</v>
      </c>
      <c r="L50" s="526">
        <f t="shared" ref="L50:BW50" ca="1" si="52">MIN(L42*$H50,L46+L47-L49)</f>
        <v>0</v>
      </c>
      <c r="M50" s="526">
        <f t="shared" ca="1" si="52"/>
        <v>0</v>
      </c>
      <c r="N50" s="526">
        <f t="shared" ca="1" si="52"/>
        <v>0</v>
      </c>
      <c r="O50" s="526">
        <f t="shared" ca="1" si="52"/>
        <v>0</v>
      </c>
      <c r="P50" s="526">
        <f t="shared" ca="1" si="52"/>
        <v>0</v>
      </c>
      <c r="Q50" s="526">
        <f t="shared" ca="1" si="52"/>
        <v>0</v>
      </c>
      <c r="R50" s="526">
        <f t="shared" ca="1" si="52"/>
        <v>0</v>
      </c>
      <c r="S50" s="526">
        <f t="shared" ca="1" si="52"/>
        <v>0</v>
      </c>
      <c r="T50" s="526">
        <f t="shared" ca="1" si="52"/>
        <v>0</v>
      </c>
      <c r="U50" s="526">
        <f t="shared" ca="1" si="52"/>
        <v>0</v>
      </c>
      <c r="V50" s="526">
        <f t="shared" ca="1" si="52"/>
        <v>0</v>
      </c>
      <c r="W50" s="526">
        <f t="shared" ca="1" si="52"/>
        <v>0</v>
      </c>
      <c r="X50" s="526">
        <f t="shared" ca="1" si="52"/>
        <v>0</v>
      </c>
      <c r="Y50" s="526">
        <f t="shared" ca="1" si="52"/>
        <v>0</v>
      </c>
      <c r="Z50" s="526">
        <f t="shared" ca="1" si="52"/>
        <v>0</v>
      </c>
      <c r="AA50" s="526">
        <f t="shared" ca="1" si="52"/>
        <v>0</v>
      </c>
      <c r="AB50" s="526">
        <f t="shared" ca="1" si="52"/>
        <v>0</v>
      </c>
      <c r="AC50" s="526">
        <f t="shared" ca="1" si="52"/>
        <v>0</v>
      </c>
      <c r="AD50" s="526">
        <f t="shared" ca="1" si="52"/>
        <v>0</v>
      </c>
      <c r="AE50" s="526">
        <f t="shared" ca="1" si="52"/>
        <v>0</v>
      </c>
      <c r="AF50" s="526">
        <f t="shared" ca="1" si="52"/>
        <v>0</v>
      </c>
      <c r="AG50" s="526">
        <f t="shared" ca="1" si="52"/>
        <v>0</v>
      </c>
      <c r="AH50" s="526">
        <f t="shared" ca="1" si="52"/>
        <v>0</v>
      </c>
      <c r="AI50" s="526">
        <f t="shared" ca="1" si="52"/>
        <v>0</v>
      </c>
      <c r="AJ50" s="526">
        <f t="shared" ca="1" si="52"/>
        <v>0</v>
      </c>
      <c r="AK50" s="526">
        <f t="shared" ca="1" si="52"/>
        <v>0</v>
      </c>
      <c r="AL50" s="526">
        <f t="shared" ca="1" si="52"/>
        <v>0</v>
      </c>
      <c r="AM50" s="526">
        <f t="shared" ca="1" si="52"/>
        <v>0</v>
      </c>
      <c r="AN50" s="526">
        <f t="shared" ca="1" si="52"/>
        <v>0</v>
      </c>
      <c r="AO50" s="526">
        <f t="shared" ca="1" si="52"/>
        <v>0</v>
      </c>
      <c r="AP50" s="526">
        <f t="shared" ca="1" si="52"/>
        <v>0</v>
      </c>
      <c r="AQ50" s="526">
        <f t="shared" ca="1" si="52"/>
        <v>0</v>
      </c>
      <c r="AR50" s="526">
        <f t="shared" ca="1" si="52"/>
        <v>0</v>
      </c>
      <c r="AS50" s="526">
        <f t="shared" ca="1" si="52"/>
        <v>0</v>
      </c>
      <c r="AT50" s="526">
        <f t="shared" ca="1" si="52"/>
        <v>0</v>
      </c>
      <c r="AU50" s="526">
        <f t="shared" ca="1" si="52"/>
        <v>0</v>
      </c>
      <c r="AV50" s="526">
        <f t="shared" ca="1" si="52"/>
        <v>0</v>
      </c>
      <c r="AW50" s="526">
        <f t="shared" ca="1" si="52"/>
        <v>0</v>
      </c>
      <c r="AX50" s="526">
        <f t="shared" ca="1" si="52"/>
        <v>0</v>
      </c>
      <c r="AY50" s="526">
        <f t="shared" ca="1" si="52"/>
        <v>0</v>
      </c>
      <c r="AZ50" s="526">
        <f t="shared" ca="1" si="52"/>
        <v>0</v>
      </c>
      <c r="BA50" s="526">
        <f t="shared" ca="1" si="52"/>
        <v>0</v>
      </c>
      <c r="BB50" s="526">
        <f t="shared" ca="1" si="52"/>
        <v>0</v>
      </c>
      <c r="BC50" s="526">
        <f t="shared" ca="1" si="52"/>
        <v>0</v>
      </c>
      <c r="BD50" s="526">
        <f t="shared" ca="1" si="52"/>
        <v>0</v>
      </c>
      <c r="BE50" s="526">
        <f t="shared" ca="1" si="52"/>
        <v>0</v>
      </c>
      <c r="BF50" s="526">
        <f t="shared" ca="1" si="52"/>
        <v>0</v>
      </c>
      <c r="BG50" s="526">
        <f t="shared" ca="1" si="52"/>
        <v>0</v>
      </c>
      <c r="BH50" s="526">
        <f t="shared" ca="1" si="52"/>
        <v>0</v>
      </c>
      <c r="BI50" s="526">
        <f t="shared" ca="1" si="52"/>
        <v>0</v>
      </c>
      <c r="BJ50" s="526">
        <f t="shared" ca="1" si="52"/>
        <v>0</v>
      </c>
      <c r="BK50" s="526">
        <f t="shared" ca="1" si="52"/>
        <v>0</v>
      </c>
      <c r="BL50" s="526">
        <f t="shared" ca="1" si="52"/>
        <v>0</v>
      </c>
      <c r="BM50" s="526">
        <f t="shared" ca="1" si="52"/>
        <v>0</v>
      </c>
      <c r="BN50" s="526">
        <f t="shared" ca="1" si="52"/>
        <v>0</v>
      </c>
      <c r="BO50" s="526">
        <f t="shared" ca="1" si="52"/>
        <v>0</v>
      </c>
      <c r="BP50" s="526">
        <f t="shared" ca="1" si="52"/>
        <v>0</v>
      </c>
      <c r="BQ50" s="526">
        <f t="shared" ca="1" si="52"/>
        <v>0</v>
      </c>
      <c r="BR50" s="526">
        <f t="shared" ca="1" si="52"/>
        <v>0</v>
      </c>
      <c r="BS50" s="526">
        <f t="shared" ca="1" si="52"/>
        <v>0</v>
      </c>
      <c r="BT50" s="526">
        <f t="shared" ca="1" si="52"/>
        <v>0</v>
      </c>
      <c r="BU50" s="526">
        <f t="shared" ca="1" si="52"/>
        <v>0</v>
      </c>
      <c r="BV50" s="526">
        <f t="shared" ca="1" si="52"/>
        <v>0</v>
      </c>
      <c r="BW50" s="526">
        <f t="shared" ca="1" si="52"/>
        <v>0</v>
      </c>
      <c r="BX50" s="526">
        <f t="shared" ref="BX50:EA50" ca="1" si="53">MIN(BX42*$H50,BX46+BX47-BX49)</f>
        <v>0</v>
      </c>
      <c r="BY50" s="526">
        <f t="shared" ca="1" si="53"/>
        <v>0</v>
      </c>
      <c r="BZ50" s="526">
        <f t="shared" ca="1" si="53"/>
        <v>0</v>
      </c>
      <c r="CA50" s="526">
        <f t="shared" ca="1" si="53"/>
        <v>0</v>
      </c>
      <c r="CB50" s="526">
        <f t="shared" ca="1" si="53"/>
        <v>0</v>
      </c>
      <c r="CC50" s="526">
        <f t="shared" ca="1" si="53"/>
        <v>0</v>
      </c>
      <c r="CD50" s="526">
        <f t="shared" ca="1" si="53"/>
        <v>0</v>
      </c>
      <c r="CE50" s="526">
        <f t="shared" ca="1" si="53"/>
        <v>0</v>
      </c>
      <c r="CF50" s="526">
        <f t="shared" ca="1" si="53"/>
        <v>0</v>
      </c>
      <c r="CG50" s="526">
        <f t="shared" ca="1" si="53"/>
        <v>0</v>
      </c>
      <c r="CH50" s="526">
        <f t="shared" ca="1" si="53"/>
        <v>0</v>
      </c>
      <c r="CI50" s="526">
        <f t="shared" ca="1" si="53"/>
        <v>0</v>
      </c>
      <c r="CJ50" s="526">
        <f t="shared" ca="1" si="53"/>
        <v>0</v>
      </c>
      <c r="CK50" s="526">
        <f t="shared" ca="1" si="53"/>
        <v>0</v>
      </c>
      <c r="CL50" s="526">
        <f t="shared" ca="1" si="53"/>
        <v>0</v>
      </c>
      <c r="CM50" s="526">
        <f t="shared" ca="1" si="53"/>
        <v>0</v>
      </c>
      <c r="CN50" s="526">
        <f t="shared" ca="1" si="53"/>
        <v>0</v>
      </c>
      <c r="CO50" s="526">
        <f t="shared" ca="1" si="53"/>
        <v>0</v>
      </c>
      <c r="CP50" s="526">
        <f t="shared" ca="1" si="53"/>
        <v>0</v>
      </c>
      <c r="CQ50" s="526">
        <f t="shared" ca="1" si="53"/>
        <v>0</v>
      </c>
      <c r="CR50" s="526">
        <f t="shared" ca="1" si="53"/>
        <v>0</v>
      </c>
      <c r="CS50" s="526">
        <f t="shared" ca="1" si="53"/>
        <v>0</v>
      </c>
      <c r="CT50" s="526">
        <f t="shared" ca="1" si="53"/>
        <v>0</v>
      </c>
      <c r="CU50" s="526">
        <f t="shared" ca="1" si="53"/>
        <v>0</v>
      </c>
      <c r="CV50" s="526">
        <f t="shared" ca="1" si="53"/>
        <v>0</v>
      </c>
      <c r="CW50" s="526">
        <f t="shared" ca="1" si="53"/>
        <v>0</v>
      </c>
      <c r="CX50" s="526">
        <f t="shared" ca="1" si="53"/>
        <v>0</v>
      </c>
      <c r="CY50" s="526">
        <f t="shared" ca="1" si="53"/>
        <v>0</v>
      </c>
      <c r="CZ50" s="526">
        <f t="shared" ca="1" si="53"/>
        <v>0</v>
      </c>
      <c r="DA50" s="526">
        <f t="shared" ca="1" si="53"/>
        <v>0</v>
      </c>
      <c r="DB50" s="526">
        <f t="shared" ca="1" si="53"/>
        <v>0</v>
      </c>
      <c r="DC50" s="526">
        <f t="shared" ca="1" si="53"/>
        <v>0</v>
      </c>
      <c r="DD50" s="526">
        <f t="shared" ca="1" si="53"/>
        <v>0</v>
      </c>
      <c r="DE50" s="526">
        <f t="shared" ca="1" si="53"/>
        <v>0</v>
      </c>
      <c r="DF50" s="526">
        <f t="shared" ca="1" si="53"/>
        <v>0</v>
      </c>
      <c r="DG50" s="526">
        <f t="shared" ca="1" si="53"/>
        <v>0</v>
      </c>
      <c r="DH50" s="526">
        <f t="shared" ca="1" si="53"/>
        <v>0</v>
      </c>
      <c r="DI50" s="526">
        <f t="shared" ca="1" si="53"/>
        <v>0</v>
      </c>
      <c r="DJ50" s="526">
        <f t="shared" ca="1" si="53"/>
        <v>0</v>
      </c>
      <c r="DK50" s="526">
        <f t="shared" ca="1" si="53"/>
        <v>0</v>
      </c>
      <c r="DL50" s="526">
        <f t="shared" ca="1" si="53"/>
        <v>0</v>
      </c>
      <c r="DM50" s="526">
        <f t="shared" ca="1" si="53"/>
        <v>0</v>
      </c>
      <c r="DN50" s="526">
        <f t="shared" ca="1" si="53"/>
        <v>0</v>
      </c>
      <c r="DO50" s="526">
        <f t="shared" ca="1" si="53"/>
        <v>0</v>
      </c>
      <c r="DP50" s="526">
        <f t="shared" ca="1" si="53"/>
        <v>0</v>
      </c>
      <c r="DQ50" s="526">
        <f t="shared" ca="1" si="53"/>
        <v>0</v>
      </c>
      <c r="DR50" s="526">
        <f t="shared" ca="1" si="53"/>
        <v>0</v>
      </c>
      <c r="DS50" s="526">
        <f t="shared" ca="1" si="53"/>
        <v>0</v>
      </c>
      <c r="DT50" s="526">
        <f t="shared" ca="1" si="53"/>
        <v>0</v>
      </c>
      <c r="DU50" s="526">
        <f t="shared" ca="1" si="53"/>
        <v>0</v>
      </c>
      <c r="DV50" s="526">
        <f t="shared" ca="1" si="53"/>
        <v>0</v>
      </c>
      <c r="DW50" s="526">
        <f t="shared" ca="1" si="53"/>
        <v>0</v>
      </c>
      <c r="DX50" s="526">
        <f t="shared" ca="1" si="53"/>
        <v>0</v>
      </c>
      <c r="DY50" s="526">
        <f t="shared" ca="1" si="53"/>
        <v>0</v>
      </c>
      <c r="DZ50" s="526">
        <f t="shared" ca="1" si="53"/>
        <v>0</v>
      </c>
      <c r="EA50" s="526">
        <f t="shared" ca="1" si="53"/>
        <v>0</v>
      </c>
      <c r="EB50" s="523"/>
    </row>
    <row r="51" spans="7:132">
      <c r="G51" s="518" t="s">
        <v>1148</v>
      </c>
      <c r="K51" s="526">
        <f ca="1">K46+K47+K48-K49-K50</f>
        <v>20296000</v>
      </c>
      <c r="L51" s="526">
        <f t="shared" ref="L51:BW51" ca="1" si="54">L46+L47+L48-L49-L50</f>
        <v>20502737.382931352</v>
      </c>
      <c r="M51" s="526">
        <f t="shared" ca="1" si="54"/>
        <v>20710232.45027649</v>
      </c>
      <c r="N51" s="526">
        <f t="shared" ca="1" si="54"/>
        <v>20918481.634593762</v>
      </c>
      <c r="O51" s="526">
        <f t="shared" ca="1" si="54"/>
        <v>21127481.224958755</v>
      </c>
      <c r="P51" s="526">
        <f t="shared" ca="1" si="54"/>
        <v>21337227.364345297</v>
      </c>
      <c r="Q51" s="526">
        <f t="shared" ca="1" si="54"/>
        <v>21547716.046965934</v>
      </c>
      <c r="R51" s="526">
        <f t="shared" ca="1" si="54"/>
        <v>21758943.115571227</v>
      </c>
      <c r="S51" s="526">
        <f t="shared" ca="1" si="54"/>
        <v>21970904.258707345</v>
      </c>
      <c r="T51" s="526">
        <f t="shared" ca="1" si="54"/>
        <v>22183595.007931277</v>
      </c>
      <c r="U51" s="526">
        <f t="shared" ca="1" si="54"/>
        <v>22397010.734983128</v>
      </c>
      <c r="V51" s="526">
        <f t="shared" ca="1" si="54"/>
        <v>22611146.648914773</v>
      </c>
      <c r="W51" s="526">
        <f t="shared" ca="1" si="54"/>
        <v>22825997.793174326</v>
      </c>
      <c r="X51" s="526">
        <f t="shared" ca="1" si="54"/>
        <v>23043882.821642008</v>
      </c>
      <c r="Y51" s="526">
        <f t="shared" ca="1" si="54"/>
        <v>23262648.882926423</v>
      </c>
      <c r="Z51" s="526">
        <f t="shared" ca="1" si="54"/>
        <v>23482294.806639079</v>
      </c>
      <c r="AA51" s="526">
        <f t="shared" ca="1" si="54"/>
        <v>23702819.32234567</v>
      </c>
      <c r="AB51" s="526">
        <f t="shared" ca="1" si="54"/>
        <v>23924221.05765292</v>
      </c>
      <c r="AC51" s="526">
        <f t="shared" ca="1" si="54"/>
        <v>24146498.536265552</v>
      </c>
      <c r="AD51" s="526">
        <f t="shared" ca="1" si="54"/>
        <v>24369650.176012997</v>
      </c>
      <c r="AE51" s="526">
        <f t="shared" ca="1" si="54"/>
        <v>24593674.286845386</v>
      </c>
      <c r="AF51" s="526">
        <f t="shared" ca="1" si="54"/>
        <v>24818569.068798359</v>
      </c>
      <c r="AG51" s="526">
        <f t="shared" ca="1" si="54"/>
        <v>25044332.609926261</v>
      </c>
      <c r="AH51" s="526">
        <f t="shared" ca="1" si="54"/>
        <v>25270962.884203255</v>
      </c>
      <c r="AI51" s="526">
        <f t="shared" ca="1" si="54"/>
        <v>25498457.749391899</v>
      </c>
      <c r="AJ51" s="526">
        <f t="shared" ca="1" si="54"/>
        <v>25730109.915068116</v>
      </c>
      <c r="AK51" s="526">
        <f t="shared" ca="1" si="54"/>
        <v>25963750.09975009</v>
      </c>
      <c r="AL51" s="526">
        <f t="shared" ca="1" si="54"/>
        <v>26199401.816348109</v>
      </c>
      <c r="AM51" s="526">
        <f t="shared" ca="1" si="54"/>
        <v>26437088.890671365</v>
      </c>
      <c r="AN51" s="526">
        <f t="shared" ca="1" si="54"/>
        <v>26676835.465728097</v>
      </c>
      <c r="AO51" s="526">
        <f t="shared" ca="1" si="54"/>
        <v>26918666.006085325</v>
      </c>
      <c r="AP51" s="526">
        <f t="shared" ca="1" si="54"/>
        <v>27162605.302288938</v>
      </c>
      <c r="AQ51" s="526">
        <f t="shared" ca="1" si="54"/>
        <v>27408678.475345071</v>
      </c>
      <c r="AR51" s="526">
        <f t="shared" ca="1" si="54"/>
        <v>27656910.981263518</v>
      </c>
      <c r="AS51" s="526">
        <f t="shared" ca="1" si="54"/>
        <v>27907328.615664128</v>
      </c>
      <c r="AT51" s="526">
        <f t="shared" ca="1" si="54"/>
        <v>28159957.518447012</v>
      </c>
      <c r="AU51" s="526">
        <f t="shared" ca="1" si="54"/>
        <v>28414824.178527433</v>
      </c>
      <c r="AV51" s="526">
        <f t="shared" ca="1" si="54"/>
        <v>28674220.401073955</v>
      </c>
      <c r="AW51" s="526">
        <f t="shared" ca="1" si="54"/>
        <v>28935939.881835695</v>
      </c>
      <c r="AX51" s="526">
        <f t="shared" ca="1" si="54"/>
        <v>29200010.622728713</v>
      </c>
      <c r="AY51" s="526">
        <f t="shared" ca="1" si="54"/>
        <v>29466461.000356749</v>
      </c>
      <c r="AZ51" s="526">
        <f t="shared" ca="1" si="54"/>
        <v>29735319.771167658</v>
      </c>
      <c r="BA51" s="526">
        <f t="shared" ca="1" si="54"/>
        <v>30006616.076681316</v>
      </c>
      <c r="BB51" s="526">
        <f t="shared" ca="1" si="54"/>
        <v>30280379.448789969</v>
      </c>
      <c r="BC51" s="526">
        <f t="shared" ca="1" si="54"/>
        <v>30556639.815132029</v>
      </c>
      <c r="BD51" s="526">
        <f t="shared" ca="1" si="54"/>
        <v>30835427.504540347</v>
      </c>
      <c r="BE51" s="526">
        <f t="shared" ca="1" si="54"/>
        <v>31116773.252565995</v>
      </c>
      <c r="BF51" s="526">
        <f t="shared" ca="1" si="54"/>
        <v>31400708.20707861</v>
      </c>
      <c r="BG51" s="526">
        <f t="shared" ca="1" si="54"/>
        <v>3707445.3314500041</v>
      </c>
      <c r="BH51" s="526">
        <f t="shared" ca="1" si="54"/>
        <v>3758935.927706385</v>
      </c>
      <c r="BI51" s="526">
        <f t="shared" ca="1" si="54"/>
        <v>3811141.6475224709</v>
      </c>
      <c r="BJ51" s="526">
        <f t="shared" ca="1" si="54"/>
        <v>3864072.4228420109</v>
      </c>
      <c r="BK51" s="526">
        <f t="shared" ca="1" si="54"/>
        <v>3917738.3235478639</v>
      </c>
      <c r="BL51" s="526">
        <f t="shared" ca="1" si="54"/>
        <v>3972149.5593777546</v>
      </c>
      <c r="BM51" s="526">
        <f t="shared" ca="1" si="54"/>
        <v>4027316.4818666396</v>
      </c>
      <c r="BN51" s="526">
        <f t="shared" ca="1" si="54"/>
        <v>4083249.5863160477</v>
      </c>
      <c r="BO51" s="526">
        <f t="shared" ca="1" si="54"/>
        <v>4139959.5137907718</v>
      </c>
      <c r="BP51" s="526">
        <f t="shared" ca="1" si="54"/>
        <v>4197457.0531432917</v>
      </c>
      <c r="BQ51" s="526">
        <f t="shared" ca="1" si="54"/>
        <v>4255753.143066314</v>
      </c>
      <c r="BR51" s="526">
        <f t="shared" ca="1" si="54"/>
        <v>4314858.8741738172</v>
      </c>
      <c r="BS51" s="526">
        <f t="shared" ca="1" si="54"/>
        <v>4374785.4911109991</v>
      </c>
      <c r="BT51" s="526">
        <f t="shared" ca="1" si="54"/>
        <v>4435544.3946935283</v>
      </c>
      <c r="BU51" s="526">
        <f t="shared" ca="1" si="54"/>
        <v>4497147.1440765094</v>
      </c>
      <c r="BV51" s="526">
        <f t="shared" ca="1" si="54"/>
        <v>4559605.4589535668</v>
      </c>
      <c r="BW51" s="526">
        <f t="shared" ca="1" si="54"/>
        <v>4622931.2217864729</v>
      </c>
      <c r="BX51" s="526">
        <f t="shared" ref="BX51:EA51" ca="1" si="55">BX46+BX47+BX48-BX49-BX50</f>
        <v>4687136.4800657444</v>
      </c>
      <c r="BY51" s="526">
        <f t="shared" ca="1" si="55"/>
        <v>4752233.4486026289</v>
      </c>
      <c r="BZ51" s="526">
        <f t="shared" ca="1" si="55"/>
        <v>4818234.5118529303</v>
      </c>
      <c r="CA51" s="526">
        <f t="shared" ca="1" si="55"/>
        <v>4885152.2262731045</v>
      </c>
      <c r="CB51" s="526">
        <f t="shared" ca="1" si="55"/>
        <v>4952999.322709078</v>
      </c>
      <c r="CC51" s="526">
        <f t="shared" ca="1" si="55"/>
        <v>5021788.7088182447</v>
      </c>
      <c r="CD51" s="526">
        <f t="shared" ca="1" si="55"/>
        <v>5091533.4715250982</v>
      </c>
      <c r="CE51" s="526">
        <f t="shared" ca="1" si="55"/>
        <v>5162246.8795109726</v>
      </c>
      <c r="CF51" s="526">
        <f t="shared" ca="1" si="55"/>
        <v>5233942.385738357</v>
      </c>
      <c r="CG51" s="526">
        <f t="shared" ca="1" si="55"/>
        <v>5306633.6300102742</v>
      </c>
      <c r="CH51" s="526">
        <f t="shared" ca="1" si="55"/>
        <v>5380334.4415652016</v>
      </c>
      <c r="CI51" s="526">
        <f t="shared" ca="1" si="55"/>
        <v>5455058.8417080306</v>
      </c>
      <c r="CJ51" s="526">
        <f t="shared" ca="1" si="55"/>
        <v>5530821.0464775702</v>
      </c>
      <c r="CK51" s="526">
        <f t="shared" ca="1" si="55"/>
        <v>5607635.4693510933</v>
      </c>
      <c r="CL51" s="526">
        <f t="shared" ca="1" si="55"/>
        <v>5685516.7239864487</v>
      </c>
      <c r="CM51" s="526">
        <f t="shared" ca="1" si="55"/>
        <v>5764479.6270022541</v>
      </c>
      <c r="CN51" s="526">
        <f t="shared" ca="1" si="55"/>
        <v>5844539.2007967029</v>
      </c>
      <c r="CO51" s="526">
        <f t="shared" ca="1" si="55"/>
        <v>5925710.6764055192</v>
      </c>
      <c r="CP51" s="526">
        <f t="shared" ca="1" si="55"/>
        <v>6008009.4963996066</v>
      </c>
      <c r="CQ51" s="526">
        <f t="shared" ca="1" si="55"/>
        <v>6091451.3178229379</v>
      </c>
      <c r="CR51" s="526">
        <f t="shared" ca="1" si="55"/>
        <v>6176052.0151712513</v>
      </c>
      <c r="CS51" s="526">
        <f t="shared" ca="1" si="55"/>
        <v>6261827.6834121142</v>
      </c>
      <c r="CT51" s="526">
        <f t="shared" ca="1" si="55"/>
        <v>6348794.6410469282</v>
      </c>
      <c r="CU51" s="526">
        <f t="shared" ca="1" si="55"/>
        <v>6436969.4332154663</v>
      </c>
      <c r="CV51" s="526">
        <f t="shared" ca="1" si="55"/>
        <v>6526368.8348435229</v>
      </c>
      <c r="CW51" s="526">
        <f t="shared" ca="1" si="55"/>
        <v>6617009.8538342807</v>
      </c>
      <c r="CX51" s="526">
        <f t="shared" ca="1" si="55"/>
        <v>6708909.7343040006</v>
      </c>
      <c r="CY51" s="526">
        <f t="shared" ca="1" si="55"/>
        <v>6802085.9598626513</v>
      </c>
      <c r="CZ51" s="526">
        <f t="shared" ca="1" si="55"/>
        <v>6896556.2569401003</v>
      </c>
      <c r="DA51" s="526">
        <f t="shared" ca="1" si="55"/>
        <v>6992338.5981585039</v>
      </c>
      <c r="DB51" s="526">
        <f t="shared" ca="1" si="55"/>
        <v>7089451.2057515262</v>
      </c>
      <c r="DC51" s="526">
        <f t="shared" ca="1" si="55"/>
        <v>7187912.5550310565</v>
      </c>
      <c r="DD51" s="526">
        <f t="shared" ca="1" si="55"/>
        <v>7287741.3779020663</v>
      </c>
      <c r="DE51" s="526">
        <f t="shared" ca="1" si="55"/>
        <v>7388956.6664262842</v>
      </c>
      <c r="DF51" s="526">
        <f t="shared" ca="1" si="55"/>
        <v>7491577.6764353644</v>
      </c>
      <c r="DG51" s="526">
        <f t="shared" ca="1" si="55"/>
        <v>7595623.9311942393</v>
      </c>
      <c r="DH51" s="526">
        <f t="shared" ca="1" si="55"/>
        <v>7701115.2251153458</v>
      </c>
      <c r="DI51" s="526">
        <f t="shared" ca="1" si="55"/>
        <v>7808071.6275244392</v>
      </c>
      <c r="DJ51" s="526">
        <f t="shared" ca="1" si="55"/>
        <v>7916513.4864787078</v>
      </c>
      <c r="DK51" s="526">
        <f t="shared" ca="1" si="55"/>
        <v>8026461.432637915</v>
      </c>
      <c r="DL51" s="526">
        <f t="shared" ca="1" si="55"/>
        <v>8137936.3831893057</v>
      </c>
      <c r="DM51" s="526">
        <f t="shared" ca="1" si="55"/>
        <v>8250959.5458270209</v>
      </c>
      <c r="DN51" s="526">
        <f t="shared" ca="1" si="55"/>
        <v>8365552.4227867872</v>
      </c>
      <c r="DO51" s="526">
        <f t="shared" ca="1" si="55"/>
        <v>8481736.8149366342</v>
      </c>
      <c r="DP51" s="526">
        <f t="shared" ca="1" si="55"/>
        <v>8599534.8259244263</v>
      </c>
      <c r="DQ51" s="526">
        <f t="shared" ca="1" si="55"/>
        <v>8718968.8663830031</v>
      </c>
      <c r="DR51" s="526">
        <f t="shared" ca="1" si="55"/>
        <v>8840061.6581937186</v>
      </c>
      <c r="DS51" s="526">
        <f t="shared" ca="1" si="55"/>
        <v>8962836.2388091907</v>
      </c>
      <c r="DT51" s="526">
        <f t="shared" ca="1" si="55"/>
        <v>9087315.9656360969</v>
      </c>
      <c r="DU51" s="526">
        <f t="shared" ca="1" si="55"/>
        <v>9213524.5204788279</v>
      </c>
      <c r="DV51" s="526">
        <f t="shared" ca="1" si="55"/>
        <v>9341485.9140448645</v>
      </c>
      <c r="DW51" s="526">
        <f t="shared" ca="1" si="55"/>
        <v>9471224.4905127287</v>
      </c>
      <c r="DX51" s="526">
        <f t="shared" ca="1" si="55"/>
        <v>9602764.9321633689</v>
      </c>
      <c r="DY51" s="526">
        <f t="shared" ca="1" si="55"/>
        <v>9736132.2640758734</v>
      </c>
      <c r="DZ51" s="526">
        <f t="shared" ca="1" si="55"/>
        <v>9871351.858888397</v>
      </c>
      <c r="EA51" s="526">
        <f t="shared" ca="1" si="55"/>
        <v>10008449.441625215</v>
      </c>
      <c r="EB51" s="523" t="s">
        <v>557</v>
      </c>
    </row>
    <row r="52" spans="7:132">
      <c r="G52" s="518" t="s">
        <v>1150</v>
      </c>
      <c r="I52" s="543" t="s">
        <v>1105</v>
      </c>
      <c r="K52" s="526">
        <f ca="1">-K48+K49+K50</f>
        <v>-20296000</v>
      </c>
      <c r="L52" s="526">
        <f t="shared" ref="L52:BW52" ca="1" si="56">-L48+L49+L50</f>
        <v>75142.199419975848</v>
      </c>
      <c r="M52" s="526">
        <f t="shared" ca="1" si="56"/>
        <v>77255.772749442272</v>
      </c>
      <c r="N52" s="526">
        <f t="shared" ca="1" si="56"/>
        <v>79383.436567771874</v>
      </c>
      <c r="O52" s="526">
        <f t="shared" ca="1" si="56"/>
        <v>81525.284811557081</v>
      </c>
      <c r="P52" s="526">
        <f t="shared" ca="1" si="56"/>
        <v>83681.412043634118</v>
      </c>
      <c r="Q52" s="526">
        <f t="shared" ca="1" si="56"/>
        <v>85851.913457258299</v>
      </c>
      <c r="R52" s="526">
        <f t="shared" ca="1" si="56"/>
        <v>88036.884880306709</v>
      </c>
      <c r="S52" s="526">
        <f t="shared" ca="1" si="56"/>
        <v>90236.422779508677</v>
      </c>
      <c r="T52" s="526">
        <f t="shared" ca="1" si="56"/>
        <v>92450.624264705359</v>
      </c>
      <c r="U52" s="526">
        <f t="shared" ca="1" si="56"/>
        <v>94679.587093136754</v>
      </c>
      <c r="V52" s="526">
        <f t="shared" ca="1" si="56"/>
        <v>96923.409673757662</v>
      </c>
      <c r="W52" s="526">
        <f t="shared" ca="1" si="56"/>
        <v>99182.191071582594</v>
      </c>
      <c r="X52" s="526">
        <f t="shared" ca="1" si="56"/>
        <v>99132.252015780003</v>
      </c>
      <c r="Y52" s="526">
        <f t="shared" ca="1" si="56"/>
        <v>101277.30024087873</v>
      </c>
      <c r="Z52" s="526">
        <f t="shared" ca="1" si="56"/>
        <v>103435.75501738423</v>
      </c>
      <c r="AA52" s="526">
        <f t="shared" ca="1" si="56"/>
        <v>105607.70013624289</v>
      </c>
      <c r="AB52" s="526">
        <f t="shared" ca="1" si="56"/>
        <v>107793.2199120944</v>
      </c>
      <c r="AC52" s="526">
        <f t="shared" ca="1" si="56"/>
        <v>109992.39918654515</v>
      </c>
      <c r="AD52" s="526">
        <f t="shared" ca="1" si="56"/>
        <v>112205.32333146107</v>
      </c>
      <c r="AE52" s="526">
        <f t="shared" ca="1" si="56"/>
        <v>114432.07825228265</v>
      </c>
      <c r="AF52" s="526">
        <f t="shared" ca="1" si="56"/>
        <v>116672.75039135954</v>
      </c>
      <c r="AG52" s="526">
        <f t="shared" ca="1" si="56"/>
        <v>118927.4267313055</v>
      </c>
      <c r="AH52" s="526">
        <f t="shared" ca="1" si="56"/>
        <v>121196.19479837616</v>
      </c>
      <c r="AI52" s="526">
        <f t="shared" ca="1" si="56"/>
        <v>123479.14266586611</v>
      </c>
      <c r="AJ52" s="526">
        <f t="shared" ca="1" si="56"/>
        <v>122481.38876808564</v>
      </c>
      <c r="AK52" s="526">
        <f t="shared" ca="1" si="56"/>
        <v>123710.65473037933</v>
      </c>
      <c r="AL52" s="526">
        <f t="shared" ca="1" si="56"/>
        <v>124944.01824588062</v>
      </c>
      <c r="AM52" s="526">
        <f t="shared" ca="1" si="56"/>
        <v>126181.4929731002</v>
      </c>
      <c r="AN52" s="526">
        <f t="shared" ca="1" si="56"/>
        <v>127423.09261607715</v>
      </c>
      <c r="AO52" s="526">
        <f t="shared" ca="1" si="56"/>
        <v>128668.83092453091</v>
      </c>
      <c r="AP52" s="526">
        <f t="shared" ca="1" si="56"/>
        <v>129918.72169401268</v>
      </c>
      <c r="AQ52" s="526">
        <f t="shared" ca="1" si="56"/>
        <v>131172.77876605943</v>
      </c>
      <c r="AR52" s="526">
        <f t="shared" ca="1" si="56"/>
        <v>132431.01602834626</v>
      </c>
      <c r="AS52" s="526">
        <f t="shared" ca="1" si="56"/>
        <v>133693.44741484086</v>
      </c>
      <c r="AT52" s="526">
        <f t="shared" ca="1" si="56"/>
        <v>134960.08690595691</v>
      </c>
      <c r="AU52" s="526">
        <f t="shared" ca="1" si="56"/>
        <v>136230.94852871029</v>
      </c>
      <c r="AV52" s="526">
        <f t="shared" ca="1" si="56"/>
        <v>135241.08391927258</v>
      </c>
      <c r="AW52" s="526">
        <f t="shared" ca="1" si="56"/>
        <v>136520.43207352899</v>
      </c>
      <c r="AX52" s="526">
        <f t="shared" ca="1" si="56"/>
        <v>137804.04472163261</v>
      </c>
      <c r="AY52" s="526">
        <f t="shared" ca="1" si="56"/>
        <v>139091.93607856351</v>
      </c>
      <c r="AZ52" s="526">
        <f t="shared" ca="1" si="56"/>
        <v>140384.12040668412</v>
      </c>
      <c r="BA52" s="526">
        <f t="shared" ca="1" si="56"/>
        <v>141680.61201589828</v>
      </c>
      <c r="BB52" s="526">
        <f t="shared" ca="1" si="56"/>
        <v>142981.42526381009</v>
      </c>
      <c r="BC52" s="526">
        <f t="shared" ca="1" si="56"/>
        <v>144286.57455588144</v>
      </c>
      <c r="BD52" s="526">
        <f t="shared" ca="1" si="56"/>
        <v>145596.07434559317</v>
      </c>
      <c r="BE52" s="526">
        <f t="shared" ca="1" si="56"/>
        <v>146909.93913460377</v>
      </c>
      <c r="BF52" s="526">
        <f t="shared" ca="1" si="56"/>
        <v>148228.18347291125</v>
      </c>
      <c r="BG52" s="526">
        <f t="shared" ca="1" si="56"/>
        <v>28129369.424453359</v>
      </c>
      <c r="BH52" s="526">
        <f t="shared" ca="1" si="56"/>
        <v>0</v>
      </c>
      <c r="BI52" s="526">
        <f t="shared" ca="1" si="56"/>
        <v>0</v>
      </c>
      <c r="BJ52" s="526">
        <f t="shared" ca="1" si="56"/>
        <v>0</v>
      </c>
      <c r="BK52" s="526">
        <f t="shared" ca="1" si="56"/>
        <v>0</v>
      </c>
      <c r="BL52" s="526">
        <f t="shared" ca="1" si="56"/>
        <v>0</v>
      </c>
      <c r="BM52" s="526">
        <f t="shared" ca="1" si="56"/>
        <v>0</v>
      </c>
      <c r="BN52" s="526">
        <f t="shared" ca="1" si="56"/>
        <v>0</v>
      </c>
      <c r="BO52" s="526">
        <f t="shared" ca="1" si="56"/>
        <v>0</v>
      </c>
      <c r="BP52" s="526">
        <f t="shared" ca="1" si="56"/>
        <v>0</v>
      </c>
      <c r="BQ52" s="526">
        <f t="shared" ca="1" si="56"/>
        <v>0</v>
      </c>
      <c r="BR52" s="526">
        <f t="shared" ca="1" si="56"/>
        <v>0</v>
      </c>
      <c r="BS52" s="526">
        <f t="shared" ca="1" si="56"/>
        <v>0</v>
      </c>
      <c r="BT52" s="526">
        <f t="shared" ca="1" si="56"/>
        <v>0</v>
      </c>
      <c r="BU52" s="526">
        <f t="shared" ca="1" si="56"/>
        <v>0</v>
      </c>
      <c r="BV52" s="526">
        <f t="shared" ca="1" si="56"/>
        <v>0</v>
      </c>
      <c r="BW52" s="526">
        <f t="shared" ca="1" si="56"/>
        <v>0</v>
      </c>
      <c r="BX52" s="526">
        <f t="shared" ref="BX52:EA52" ca="1" si="57">-BX48+BX49+BX50</f>
        <v>0</v>
      </c>
      <c r="BY52" s="526">
        <f t="shared" ca="1" si="57"/>
        <v>0</v>
      </c>
      <c r="BZ52" s="526">
        <f t="shared" ca="1" si="57"/>
        <v>0</v>
      </c>
      <c r="CA52" s="526">
        <f t="shared" ca="1" si="57"/>
        <v>0</v>
      </c>
      <c r="CB52" s="526">
        <f t="shared" ca="1" si="57"/>
        <v>0</v>
      </c>
      <c r="CC52" s="526">
        <f t="shared" ca="1" si="57"/>
        <v>0</v>
      </c>
      <c r="CD52" s="526">
        <f t="shared" ca="1" si="57"/>
        <v>0</v>
      </c>
      <c r="CE52" s="526">
        <f t="shared" ca="1" si="57"/>
        <v>0</v>
      </c>
      <c r="CF52" s="526">
        <f t="shared" ca="1" si="57"/>
        <v>0</v>
      </c>
      <c r="CG52" s="526">
        <f t="shared" ca="1" si="57"/>
        <v>0</v>
      </c>
      <c r="CH52" s="526">
        <f t="shared" ca="1" si="57"/>
        <v>0</v>
      </c>
      <c r="CI52" s="526">
        <f t="shared" ca="1" si="57"/>
        <v>0</v>
      </c>
      <c r="CJ52" s="526">
        <f t="shared" ca="1" si="57"/>
        <v>0</v>
      </c>
      <c r="CK52" s="526">
        <f t="shared" ca="1" si="57"/>
        <v>0</v>
      </c>
      <c r="CL52" s="526">
        <f t="shared" ca="1" si="57"/>
        <v>0</v>
      </c>
      <c r="CM52" s="526">
        <f t="shared" ca="1" si="57"/>
        <v>0</v>
      </c>
      <c r="CN52" s="526">
        <f t="shared" ca="1" si="57"/>
        <v>0</v>
      </c>
      <c r="CO52" s="526">
        <f t="shared" ca="1" si="57"/>
        <v>0</v>
      </c>
      <c r="CP52" s="526">
        <f t="shared" ca="1" si="57"/>
        <v>0</v>
      </c>
      <c r="CQ52" s="526">
        <f t="shared" ca="1" si="57"/>
        <v>0</v>
      </c>
      <c r="CR52" s="526">
        <f t="shared" ca="1" si="57"/>
        <v>0</v>
      </c>
      <c r="CS52" s="526">
        <f t="shared" ca="1" si="57"/>
        <v>0</v>
      </c>
      <c r="CT52" s="526">
        <f t="shared" ca="1" si="57"/>
        <v>0</v>
      </c>
      <c r="CU52" s="526">
        <f t="shared" ca="1" si="57"/>
        <v>0</v>
      </c>
      <c r="CV52" s="526">
        <f t="shared" ca="1" si="57"/>
        <v>0</v>
      </c>
      <c r="CW52" s="526">
        <f t="shared" ca="1" si="57"/>
        <v>0</v>
      </c>
      <c r="CX52" s="526">
        <f t="shared" ca="1" si="57"/>
        <v>0</v>
      </c>
      <c r="CY52" s="526">
        <f t="shared" ca="1" si="57"/>
        <v>0</v>
      </c>
      <c r="CZ52" s="526">
        <f t="shared" ca="1" si="57"/>
        <v>0</v>
      </c>
      <c r="DA52" s="526">
        <f t="shared" ca="1" si="57"/>
        <v>0</v>
      </c>
      <c r="DB52" s="526">
        <f t="shared" ca="1" si="57"/>
        <v>0</v>
      </c>
      <c r="DC52" s="526">
        <f t="shared" ca="1" si="57"/>
        <v>0</v>
      </c>
      <c r="DD52" s="526">
        <f t="shared" ca="1" si="57"/>
        <v>0</v>
      </c>
      <c r="DE52" s="526">
        <f t="shared" ca="1" si="57"/>
        <v>0</v>
      </c>
      <c r="DF52" s="526">
        <f t="shared" ca="1" si="57"/>
        <v>0</v>
      </c>
      <c r="DG52" s="526">
        <f t="shared" ca="1" si="57"/>
        <v>0</v>
      </c>
      <c r="DH52" s="526">
        <f t="shared" ca="1" si="57"/>
        <v>0</v>
      </c>
      <c r="DI52" s="526">
        <f t="shared" ca="1" si="57"/>
        <v>0</v>
      </c>
      <c r="DJ52" s="526">
        <f t="shared" ca="1" si="57"/>
        <v>0</v>
      </c>
      <c r="DK52" s="526">
        <f t="shared" ca="1" si="57"/>
        <v>0</v>
      </c>
      <c r="DL52" s="526">
        <f t="shared" ca="1" si="57"/>
        <v>0</v>
      </c>
      <c r="DM52" s="526">
        <f t="shared" ca="1" si="57"/>
        <v>0</v>
      </c>
      <c r="DN52" s="526">
        <f t="shared" ca="1" si="57"/>
        <v>0</v>
      </c>
      <c r="DO52" s="526">
        <f t="shared" ca="1" si="57"/>
        <v>0</v>
      </c>
      <c r="DP52" s="526">
        <f t="shared" ca="1" si="57"/>
        <v>0</v>
      </c>
      <c r="DQ52" s="526">
        <f t="shared" ca="1" si="57"/>
        <v>0</v>
      </c>
      <c r="DR52" s="526">
        <f t="shared" ca="1" si="57"/>
        <v>0</v>
      </c>
      <c r="DS52" s="526">
        <f t="shared" ca="1" si="57"/>
        <v>0</v>
      </c>
      <c r="DT52" s="526">
        <f t="shared" ca="1" si="57"/>
        <v>0</v>
      </c>
      <c r="DU52" s="526">
        <f t="shared" ca="1" si="57"/>
        <v>0</v>
      </c>
      <c r="DV52" s="526">
        <f t="shared" ca="1" si="57"/>
        <v>0</v>
      </c>
      <c r="DW52" s="526">
        <f t="shared" ca="1" si="57"/>
        <v>0</v>
      </c>
      <c r="DX52" s="526">
        <f t="shared" ca="1" si="57"/>
        <v>0</v>
      </c>
      <c r="DY52" s="526">
        <f t="shared" ca="1" si="57"/>
        <v>0</v>
      </c>
      <c r="DZ52" s="526">
        <f t="shared" ca="1" si="57"/>
        <v>0</v>
      </c>
      <c r="EA52" s="526">
        <f t="shared" ca="1" si="57"/>
        <v>0</v>
      </c>
      <c r="EB52" s="523" t="s">
        <v>557</v>
      </c>
    </row>
    <row r="53" spans="7:132">
      <c r="G53" s="545" t="s">
        <v>1152</v>
      </c>
      <c r="H53" s="546" t="s">
        <v>1153</v>
      </c>
      <c r="I53" s="547">
        <f ca="1">XIRR(K52:EA52,$K$2:$EA$2,)</f>
        <v>0.14791656136512762</v>
      </c>
      <c r="EB53" s="523" t="s">
        <v>557</v>
      </c>
    </row>
    <row r="54" spans="7:132">
      <c r="H54" s="546" t="s">
        <v>1155</v>
      </c>
      <c r="I54" s="548">
        <f ca="1">SUMIF(K52:EA52,"&gt;0")/-SUMIF(K52:EA52,"&lt;0")</f>
        <v>1.6564057454439265</v>
      </c>
      <c r="EB54" s="523" t="s">
        <v>557</v>
      </c>
    </row>
    <row r="55" spans="7:132">
      <c r="G55" s="520" t="s">
        <v>1135</v>
      </c>
      <c r="H55" s="533"/>
      <c r="I55" s="533"/>
      <c r="J55" s="521"/>
      <c r="K55" s="521"/>
      <c r="L55" s="521"/>
      <c r="M55" s="521"/>
      <c r="N55" s="521"/>
      <c r="O55" s="521"/>
      <c r="P55" s="521"/>
      <c r="Q55" s="521"/>
      <c r="R55" s="521"/>
      <c r="S55" s="521"/>
      <c r="T55" s="521"/>
      <c r="U55" s="521"/>
      <c r="V55" s="521"/>
      <c r="W55" s="521"/>
      <c r="X55" s="521"/>
      <c r="Y55" s="521"/>
      <c r="Z55" s="521"/>
      <c r="AA55" s="521"/>
      <c r="AB55" s="521"/>
      <c r="AC55" s="521"/>
      <c r="AD55" s="521"/>
      <c r="AE55" s="521"/>
      <c r="AF55" s="521"/>
      <c r="AG55" s="521"/>
      <c r="AH55" s="521"/>
      <c r="AI55" s="521"/>
      <c r="AJ55" s="521"/>
      <c r="AK55" s="521"/>
      <c r="AL55" s="521"/>
      <c r="AM55" s="521"/>
      <c r="AN55" s="521"/>
      <c r="AO55" s="521"/>
      <c r="AP55" s="521"/>
      <c r="AQ55" s="521"/>
      <c r="AR55" s="521"/>
      <c r="AS55" s="521"/>
      <c r="AT55" s="521"/>
      <c r="AU55" s="521"/>
      <c r="AV55" s="521"/>
      <c r="AW55" s="521"/>
      <c r="AX55" s="521"/>
      <c r="AY55" s="521"/>
      <c r="AZ55" s="521"/>
      <c r="BA55" s="521"/>
      <c r="BB55" s="521"/>
      <c r="BC55" s="521"/>
      <c r="BD55" s="521"/>
      <c r="BE55" s="521"/>
      <c r="BF55" s="521"/>
      <c r="BG55" s="521"/>
      <c r="BH55" s="521"/>
      <c r="BI55" s="521"/>
      <c r="BJ55" s="521"/>
      <c r="BK55" s="521"/>
      <c r="BL55" s="521"/>
      <c r="BM55" s="521"/>
      <c r="BN55" s="521"/>
      <c r="BO55" s="521"/>
      <c r="BP55" s="521"/>
      <c r="BQ55" s="521"/>
      <c r="BR55" s="521"/>
      <c r="BS55" s="521"/>
      <c r="BT55" s="521"/>
      <c r="BU55" s="521"/>
      <c r="BV55" s="521"/>
      <c r="BW55" s="521"/>
      <c r="BX55" s="521"/>
      <c r="BY55" s="521"/>
      <c r="BZ55" s="521"/>
      <c r="CA55" s="521"/>
      <c r="CB55" s="521"/>
      <c r="CC55" s="521"/>
      <c r="CD55" s="521"/>
      <c r="CE55" s="521"/>
      <c r="CF55" s="521"/>
      <c r="CG55" s="521"/>
      <c r="CH55" s="521"/>
      <c r="CI55" s="521"/>
      <c r="CJ55" s="521"/>
      <c r="CK55" s="521"/>
      <c r="CL55" s="521"/>
      <c r="CM55" s="521"/>
      <c r="CN55" s="521"/>
      <c r="CO55" s="521"/>
      <c r="CP55" s="521"/>
      <c r="CQ55" s="521"/>
      <c r="CR55" s="521"/>
      <c r="CS55" s="521"/>
      <c r="CT55" s="521"/>
      <c r="CU55" s="521"/>
      <c r="CV55" s="521"/>
      <c r="CW55" s="521"/>
      <c r="CX55" s="521"/>
      <c r="CY55" s="521"/>
      <c r="CZ55" s="521"/>
      <c r="DA55" s="521"/>
      <c r="DB55" s="521"/>
      <c r="DC55" s="521"/>
      <c r="DD55" s="521"/>
      <c r="DE55" s="521"/>
      <c r="DF55" s="521"/>
      <c r="DG55" s="521"/>
      <c r="DH55" s="521"/>
      <c r="DI55" s="521"/>
      <c r="DJ55" s="521"/>
      <c r="DK55" s="521"/>
      <c r="DL55" s="521"/>
      <c r="DM55" s="521"/>
      <c r="DN55" s="521"/>
      <c r="DO55" s="521"/>
      <c r="DP55" s="521"/>
      <c r="DQ55" s="521"/>
      <c r="DR55" s="521"/>
      <c r="DS55" s="521"/>
      <c r="DT55" s="521"/>
      <c r="DU55" s="521"/>
      <c r="DV55" s="521"/>
      <c r="DW55" s="521"/>
      <c r="DX55" s="521"/>
      <c r="DY55" s="521"/>
      <c r="DZ55" s="521"/>
      <c r="EA55" s="521"/>
      <c r="EB55" s="523" t="s">
        <v>557</v>
      </c>
    </row>
    <row r="56" spans="7:132">
      <c r="G56" s="518" t="s">
        <v>1158</v>
      </c>
      <c r="K56" s="526">
        <f ca="1">K38</f>
        <v>0</v>
      </c>
      <c r="L56" s="526">
        <f t="shared" ref="L56:BW56" si="58">L36</f>
        <v>0</v>
      </c>
      <c r="M56" s="526">
        <f t="shared" si="58"/>
        <v>0</v>
      </c>
      <c r="N56" s="526">
        <f t="shared" si="58"/>
        <v>0</v>
      </c>
      <c r="O56" s="526">
        <f t="shared" si="58"/>
        <v>0</v>
      </c>
      <c r="P56" s="526">
        <f t="shared" si="58"/>
        <v>0</v>
      </c>
      <c r="Q56" s="526">
        <f t="shared" si="58"/>
        <v>0</v>
      </c>
      <c r="R56" s="526">
        <f t="shared" si="58"/>
        <v>0</v>
      </c>
      <c r="S56" s="526">
        <f t="shared" si="58"/>
        <v>0</v>
      </c>
      <c r="T56" s="526">
        <f t="shared" si="58"/>
        <v>0</v>
      </c>
      <c r="U56" s="526">
        <f t="shared" si="58"/>
        <v>0</v>
      </c>
      <c r="V56" s="526">
        <f t="shared" si="58"/>
        <v>0</v>
      </c>
      <c r="W56" s="526">
        <f t="shared" si="58"/>
        <v>0</v>
      </c>
      <c r="X56" s="526">
        <f t="shared" si="58"/>
        <v>0</v>
      </c>
      <c r="Y56" s="526">
        <f t="shared" si="58"/>
        <v>0</v>
      </c>
      <c r="Z56" s="526">
        <f t="shared" si="58"/>
        <v>0</v>
      </c>
      <c r="AA56" s="526">
        <f t="shared" si="58"/>
        <v>0</v>
      </c>
      <c r="AB56" s="526">
        <f t="shared" si="58"/>
        <v>0</v>
      </c>
      <c r="AC56" s="526">
        <f t="shared" si="58"/>
        <v>0</v>
      </c>
      <c r="AD56" s="526">
        <f t="shared" si="58"/>
        <v>0</v>
      </c>
      <c r="AE56" s="526">
        <f t="shared" si="58"/>
        <v>0</v>
      </c>
      <c r="AF56" s="526">
        <f t="shared" si="58"/>
        <v>0</v>
      </c>
      <c r="AG56" s="526">
        <f t="shared" si="58"/>
        <v>0</v>
      </c>
      <c r="AH56" s="526">
        <f t="shared" si="58"/>
        <v>0</v>
      </c>
      <c r="AI56" s="526">
        <f t="shared" si="58"/>
        <v>0</v>
      </c>
      <c r="AJ56" s="526">
        <f t="shared" si="58"/>
        <v>0</v>
      </c>
      <c r="AK56" s="526">
        <f t="shared" si="58"/>
        <v>0</v>
      </c>
      <c r="AL56" s="526">
        <f t="shared" si="58"/>
        <v>0</v>
      </c>
      <c r="AM56" s="526">
        <f t="shared" si="58"/>
        <v>0</v>
      </c>
      <c r="AN56" s="526">
        <f t="shared" si="58"/>
        <v>0</v>
      </c>
      <c r="AO56" s="526">
        <f t="shared" si="58"/>
        <v>0</v>
      </c>
      <c r="AP56" s="526">
        <f t="shared" si="58"/>
        <v>0</v>
      </c>
      <c r="AQ56" s="526">
        <f t="shared" si="58"/>
        <v>0</v>
      </c>
      <c r="AR56" s="526">
        <f t="shared" si="58"/>
        <v>0</v>
      </c>
      <c r="AS56" s="526">
        <f t="shared" si="58"/>
        <v>0</v>
      </c>
      <c r="AT56" s="526">
        <f t="shared" si="58"/>
        <v>0</v>
      </c>
      <c r="AU56" s="526">
        <f t="shared" si="58"/>
        <v>0</v>
      </c>
      <c r="AV56" s="526">
        <f t="shared" si="58"/>
        <v>0</v>
      </c>
      <c r="AW56" s="526">
        <f t="shared" si="58"/>
        <v>0</v>
      </c>
      <c r="AX56" s="526">
        <f t="shared" si="58"/>
        <v>0</v>
      </c>
      <c r="AY56" s="526">
        <f t="shared" si="58"/>
        <v>0</v>
      </c>
      <c r="AZ56" s="526">
        <f t="shared" si="58"/>
        <v>0</v>
      </c>
      <c r="BA56" s="526">
        <f t="shared" si="58"/>
        <v>0</v>
      </c>
      <c r="BB56" s="526">
        <f t="shared" si="58"/>
        <v>0</v>
      </c>
      <c r="BC56" s="526">
        <f t="shared" si="58"/>
        <v>0</v>
      </c>
      <c r="BD56" s="526">
        <f t="shared" si="58"/>
        <v>0</v>
      </c>
      <c r="BE56" s="526">
        <f t="shared" si="58"/>
        <v>0</v>
      </c>
      <c r="BF56" s="526">
        <f t="shared" si="58"/>
        <v>0</v>
      </c>
      <c r="BG56" s="526">
        <f t="shared" si="58"/>
        <v>0</v>
      </c>
      <c r="BH56" s="526">
        <f t="shared" si="58"/>
        <v>0</v>
      </c>
      <c r="BI56" s="526">
        <f t="shared" si="58"/>
        <v>0</v>
      </c>
      <c r="BJ56" s="526">
        <f t="shared" si="58"/>
        <v>0</v>
      </c>
      <c r="BK56" s="526">
        <f t="shared" si="58"/>
        <v>0</v>
      </c>
      <c r="BL56" s="526">
        <f t="shared" si="58"/>
        <v>0</v>
      </c>
      <c r="BM56" s="526">
        <f t="shared" si="58"/>
        <v>0</v>
      </c>
      <c r="BN56" s="526">
        <f t="shared" si="58"/>
        <v>0</v>
      </c>
      <c r="BO56" s="526">
        <f t="shared" si="58"/>
        <v>0</v>
      </c>
      <c r="BP56" s="526">
        <f t="shared" si="58"/>
        <v>0</v>
      </c>
      <c r="BQ56" s="526">
        <f t="shared" si="58"/>
        <v>0</v>
      </c>
      <c r="BR56" s="526">
        <f t="shared" si="58"/>
        <v>0</v>
      </c>
      <c r="BS56" s="526">
        <f t="shared" si="58"/>
        <v>0</v>
      </c>
      <c r="BT56" s="526">
        <f t="shared" si="58"/>
        <v>0</v>
      </c>
      <c r="BU56" s="526">
        <f t="shared" si="58"/>
        <v>0</v>
      </c>
      <c r="BV56" s="526">
        <f t="shared" si="58"/>
        <v>0</v>
      </c>
      <c r="BW56" s="526">
        <f t="shared" si="58"/>
        <v>0</v>
      </c>
      <c r="BX56" s="526">
        <f t="shared" ref="BX56:EA56" si="59">BX36</f>
        <v>0</v>
      </c>
      <c r="BY56" s="526">
        <f t="shared" si="59"/>
        <v>0</v>
      </c>
      <c r="BZ56" s="526">
        <f t="shared" si="59"/>
        <v>0</v>
      </c>
      <c r="CA56" s="526">
        <f t="shared" si="59"/>
        <v>0</v>
      </c>
      <c r="CB56" s="526">
        <f t="shared" si="59"/>
        <v>0</v>
      </c>
      <c r="CC56" s="526">
        <f t="shared" si="59"/>
        <v>0</v>
      </c>
      <c r="CD56" s="526">
        <f t="shared" si="59"/>
        <v>0</v>
      </c>
      <c r="CE56" s="526">
        <f t="shared" si="59"/>
        <v>0</v>
      </c>
      <c r="CF56" s="526">
        <f t="shared" si="59"/>
        <v>0</v>
      </c>
      <c r="CG56" s="526">
        <f t="shared" si="59"/>
        <v>0</v>
      </c>
      <c r="CH56" s="526">
        <f t="shared" si="59"/>
        <v>0</v>
      </c>
      <c r="CI56" s="526">
        <f t="shared" si="59"/>
        <v>0</v>
      </c>
      <c r="CJ56" s="526">
        <f t="shared" si="59"/>
        <v>0</v>
      </c>
      <c r="CK56" s="526">
        <f t="shared" si="59"/>
        <v>0</v>
      </c>
      <c r="CL56" s="526">
        <f t="shared" si="59"/>
        <v>0</v>
      </c>
      <c r="CM56" s="526">
        <f t="shared" si="59"/>
        <v>0</v>
      </c>
      <c r="CN56" s="526">
        <f t="shared" si="59"/>
        <v>0</v>
      </c>
      <c r="CO56" s="526">
        <f t="shared" si="59"/>
        <v>0</v>
      </c>
      <c r="CP56" s="526">
        <f t="shared" si="59"/>
        <v>0</v>
      </c>
      <c r="CQ56" s="526">
        <f t="shared" si="59"/>
        <v>0</v>
      </c>
      <c r="CR56" s="526">
        <f t="shared" si="59"/>
        <v>0</v>
      </c>
      <c r="CS56" s="526">
        <f t="shared" si="59"/>
        <v>0</v>
      </c>
      <c r="CT56" s="526">
        <f t="shared" si="59"/>
        <v>0</v>
      </c>
      <c r="CU56" s="526">
        <f t="shared" si="59"/>
        <v>0</v>
      </c>
      <c r="CV56" s="526">
        <f t="shared" si="59"/>
        <v>0</v>
      </c>
      <c r="CW56" s="526">
        <f t="shared" si="59"/>
        <v>0</v>
      </c>
      <c r="CX56" s="526">
        <f t="shared" si="59"/>
        <v>0</v>
      </c>
      <c r="CY56" s="526">
        <f t="shared" si="59"/>
        <v>0</v>
      </c>
      <c r="CZ56" s="526">
        <f t="shared" si="59"/>
        <v>0</v>
      </c>
      <c r="DA56" s="526">
        <f t="shared" si="59"/>
        <v>0</v>
      </c>
      <c r="DB56" s="526">
        <f t="shared" si="59"/>
        <v>0</v>
      </c>
      <c r="DC56" s="526">
        <f t="shared" si="59"/>
        <v>0</v>
      </c>
      <c r="DD56" s="526">
        <f t="shared" si="59"/>
        <v>0</v>
      </c>
      <c r="DE56" s="526">
        <f t="shared" si="59"/>
        <v>0</v>
      </c>
      <c r="DF56" s="526">
        <f t="shared" si="59"/>
        <v>0</v>
      </c>
      <c r="DG56" s="526">
        <f t="shared" si="59"/>
        <v>0</v>
      </c>
      <c r="DH56" s="526">
        <f t="shared" si="59"/>
        <v>0</v>
      </c>
      <c r="DI56" s="526">
        <f t="shared" si="59"/>
        <v>0</v>
      </c>
      <c r="DJ56" s="526">
        <f t="shared" si="59"/>
        <v>0</v>
      </c>
      <c r="DK56" s="526">
        <f t="shared" si="59"/>
        <v>0</v>
      </c>
      <c r="DL56" s="526">
        <f t="shared" si="59"/>
        <v>0</v>
      </c>
      <c r="DM56" s="526">
        <f t="shared" si="59"/>
        <v>0</v>
      </c>
      <c r="DN56" s="526">
        <f t="shared" si="59"/>
        <v>0</v>
      </c>
      <c r="DO56" s="526">
        <f t="shared" si="59"/>
        <v>0</v>
      </c>
      <c r="DP56" s="526">
        <f t="shared" si="59"/>
        <v>0</v>
      </c>
      <c r="DQ56" s="526">
        <f t="shared" si="59"/>
        <v>0</v>
      </c>
      <c r="DR56" s="526">
        <f t="shared" si="59"/>
        <v>0</v>
      </c>
      <c r="DS56" s="526">
        <f t="shared" si="59"/>
        <v>0</v>
      </c>
      <c r="DT56" s="526">
        <f t="shared" si="59"/>
        <v>0</v>
      </c>
      <c r="DU56" s="526">
        <f t="shared" si="59"/>
        <v>0</v>
      </c>
      <c r="DV56" s="526">
        <f t="shared" si="59"/>
        <v>0</v>
      </c>
      <c r="DW56" s="526">
        <f t="shared" si="59"/>
        <v>0</v>
      </c>
      <c r="DX56" s="526">
        <f t="shared" si="59"/>
        <v>0</v>
      </c>
      <c r="DY56" s="526">
        <f t="shared" si="59"/>
        <v>0</v>
      </c>
      <c r="DZ56" s="526">
        <f t="shared" si="59"/>
        <v>0</v>
      </c>
      <c r="EA56" s="526">
        <f t="shared" si="59"/>
        <v>0</v>
      </c>
      <c r="EB56" s="523" t="s">
        <v>557</v>
      </c>
    </row>
    <row r="57" spans="7:132">
      <c r="G57" s="518" t="s">
        <v>1160</v>
      </c>
      <c r="H57" s="539">
        <f>C16</f>
        <v>0.3</v>
      </c>
      <c r="K57" s="526">
        <f ca="1">K50/$H50*$H57</f>
        <v>0</v>
      </c>
      <c r="L57" s="526">
        <f t="shared" ref="L57:BW57" ca="1" si="60">L50/$H50*$H57</f>
        <v>0</v>
      </c>
      <c r="M57" s="526">
        <f t="shared" ca="1" si="60"/>
        <v>0</v>
      </c>
      <c r="N57" s="526">
        <f t="shared" ca="1" si="60"/>
        <v>0</v>
      </c>
      <c r="O57" s="526">
        <f t="shared" ca="1" si="60"/>
        <v>0</v>
      </c>
      <c r="P57" s="526">
        <f t="shared" ca="1" si="60"/>
        <v>0</v>
      </c>
      <c r="Q57" s="526">
        <f t="shared" ca="1" si="60"/>
        <v>0</v>
      </c>
      <c r="R57" s="526">
        <f t="shared" ca="1" si="60"/>
        <v>0</v>
      </c>
      <c r="S57" s="526">
        <f t="shared" ca="1" si="60"/>
        <v>0</v>
      </c>
      <c r="T57" s="526">
        <f t="shared" ca="1" si="60"/>
        <v>0</v>
      </c>
      <c r="U57" s="526">
        <f t="shared" ca="1" si="60"/>
        <v>0</v>
      </c>
      <c r="V57" s="526">
        <f t="shared" ca="1" si="60"/>
        <v>0</v>
      </c>
      <c r="W57" s="526">
        <f t="shared" ca="1" si="60"/>
        <v>0</v>
      </c>
      <c r="X57" s="526">
        <f t="shared" ca="1" si="60"/>
        <v>0</v>
      </c>
      <c r="Y57" s="526">
        <f t="shared" ca="1" si="60"/>
        <v>0</v>
      </c>
      <c r="Z57" s="526">
        <f t="shared" ca="1" si="60"/>
        <v>0</v>
      </c>
      <c r="AA57" s="526">
        <f t="shared" ca="1" si="60"/>
        <v>0</v>
      </c>
      <c r="AB57" s="526">
        <f t="shared" ca="1" si="60"/>
        <v>0</v>
      </c>
      <c r="AC57" s="526">
        <f t="shared" ca="1" si="60"/>
        <v>0</v>
      </c>
      <c r="AD57" s="526">
        <f t="shared" ca="1" si="60"/>
        <v>0</v>
      </c>
      <c r="AE57" s="526">
        <f t="shared" ca="1" si="60"/>
        <v>0</v>
      </c>
      <c r="AF57" s="526">
        <f t="shared" ca="1" si="60"/>
        <v>0</v>
      </c>
      <c r="AG57" s="526">
        <f t="shared" ca="1" si="60"/>
        <v>0</v>
      </c>
      <c r="AH57" s="526">
        <f t="shared" ca="1" si="60"/>
        <v>0</v>
      </c>
      <c r="AI57" s="526">
        <f t="shared" ca="1" si="60"/>
        <v>0</v>
      </c>
      <c r="AJ57" s="526">
        <f t="shared" ca="1" si="60"/>
        <v>0</v>
      </c>
      <c r="AK57" s="526">
        <f t="shared" ca="1" si="60"/>
        <v>0</v>
      </c>
      <c r="AL57" s="526">
        <f t="shared" ca="1" si="60"/>
        <v>0</v>
      </c>
      <c r="AM57" s="526">
        <f t="shared" ca="1" si="60"/>
        <v>0</v>
      </c>
      <c r="AN57" s="526">
        <f t="shared" ca="1" si="60"/>
        <v>0</v>
      </c>
      <c r="AO57" s="526">
        <f t="shared" ca="1" si="60"/>
        <v>0</v>
      </c>
      <c r="AP57" s="526">
        <f t="shared" ca="1" si="60"/>
        <v>0</v>
      </c>
      <c r="AQ57" s="526">
        <f t="shared" ca="1" si="60"/>
        <v>0</v>
      </c>
      <c r="AR57" s="526">
        <f t="shared" ca="1" si="60"/>
        <v>0</v>
      </c>
      <c r="AS57" s="526">
        <f t="shared" ca="1" si="60"/>
        <v>0</v>
      </c>
      <c r="AT57" s="526">
        <f t="shared" ca="1" si="60"/>
        <v>0</v>
      </c>
      <c r="AU57" s="526">
        <f t="shared" ca="1" si="60"/>
        <v>0</v>
      </c>
      <c r="AV57" s="526">
        <f t="shared" ca="1" si="60"/>
        <v>0</v>
      </c>
      <c r="AW57" s="526">
        <f t="shared" ca="1" si="60"/>
        <v>0</v>
      </c>
      <c r="AX57" s="526">
        <f t="shared" ca="1" si="60"/>
        <v>0</v>
      </c>
      <c r="AY57" s="526">
        <f t="shared" ca="1" si="60"/>
        <v>0</v>
      </c>
      <c r="AZ57" s="526">
        <f t="shared" ca="1" si="60"/>
        <v>0</v>
      </c>
      <c r="BA57" s="526">
        <f t="shared" ca="1" si="60"/>
        <v>0</v>
      </c>
      <c r="BB57" s="526">
        <f t="shared" ca="1" si="60"/>
        <v>0</v>
      </c>
      <c r="BC57" s="526">
        <f t="shared" ca="1" si="60"/>
        <v>0</v>
      </c>
      <c r="BD57" s="526">
        <f t="shared" ca="1" si="60"/>
        <v>0</v>
      </c>
      <c r="BE57" s="526">
        <f t="shared" ca="1" si="60"/>
        <v>0</v>
      </c>
      <c r="BF57" s="526">
        <f t="shared" ca="1" si="60"/>
        <v>0</v>
      </c>
      <c r="BG57" s="526">
        <f t="shared" ca="1" si="60"/>
        <v>0</v>
      </c>
      <c r="BH57" s="526">
        <f t="shared" ca="1" si="60"/>
        <v>0</v>
      </c>
      <c r="BI57" s="526">
        <f t="shared" ca="1" si="60"/>
        <v>0</v>
      </c>
      <c r="BJ57" s="526">
        <f t="shared" ca="1" si="60"/>
        <v>0</v>
      </c>
      <c r="BK57" s="526">
        <f t="shared" ca="1" si="60"/>
        <v>0</v>
      </c>
      <c r="BL57" s="526">
        <f t="shared" ca="1" si="60"/>
        <v>0</v>
      </c>
      <c r="BM57" s="526">
        <f t="shared" ca="1" si="60"/>
        <v>0</v>
      </c>
      <c r="BN57" s="526">
        <f t="shared" ca="1" si="60"/>
        <v>0</v>
      </c>
      <c r="BO57" s="526">
        <f t="shared" ca="1" si="60"/>
        <v>0</v>
      </c>
      <c r="BP57" s="526">
        <f t="shared" ca="1" si="60"/>
        <v>0</v>
      </c>
      <c r="BQ57" s="526">
        <f t="shared" ca="1" si="60"/>
        <v>0</v>
      </c>
      <c r="BR57" s="526">
        <f t="shared" ca="1" si="60"/>
        <v>0</v>
      </c>
      <c r="BS57" s="526">
        <f t="shared" ca="1" si="60"/>
        <v>0</v>
      </c>
      <c r="BT57" s="526">
        <f t="shared" ca="1" si="60"/>
        <v>0</v>
      </c>
      <c r="BU57" s="526">
        <f t="shared" ca="1" si="60"/>
        <v>0</v>
      </c>
      <c r="BV57" s="526">
        <f t="shared" ca="1" si="60"/>
        <v>0</v>
      </c>
      <c r="BW57" s="526">
        <f t="shared" ca="1" si="60"/>
        <v>0</v>
      </c>
      <c r="BX57" s="526">
        <f t="shared" ref="BX57:EA57" ca="1" si="61">BX50/$H50*$H57</f>
        <v>0</v>
      </c>
      <c r="BY57" s="526">
        <f t="shared" ca="1" si="61"/>
        <v>0</v>
      </c>
      <c r="BZ57" s="526">
        <f t="shared" ca="1" si="61"/>
        <v>0</v>
      </c>
      <c r="CA57" s="526">
        <f t="shared" ca="1" si="61"/>
        <v>0</v>
      </c>
      <c r="CB57" s="526">
        <f t="shared" ca="1" si="61"/>
        <v>0</v>
      </c>
      <c r="CC57" s="526">
        <f t="shared" ca="1" si="61"/>
        <v>0</v>
      </c>
      <c r="CD57" s="526">
        <f t="shared" ca="1" si="61"/>
        <v>0</v>
      </c>
      <c r="CE57" s="526">
        <f t="shared" ca="1" si="61"/>
        <v>0</v>
      </c>
      <c r="CF57" s="526">
        <f t="shared" ca="1" si="61"/>
        <v>0</v>
      </c>
      <c r="CG57" s="526">
        <f t="shared" ca="1" si="61"/>
        <v>0</v>
      </c>
      <c r="CH57" s="526">
        <f t="shared" ca="1" si="61"/>
        <v>0</v>
      </c>
      <c r="CI57" s="526">
        <f t="shared" ca="1" si="61"/>
        <v>0</v>
      </c>
      <c r="CJ57" s="526">
        <f t="shared" ca="1" si="61"/>
        <v>0</v>
      </c>
      <c r="CK57" s="526">
        <f t="shared" ca="1" si="61"/>
        <v>0</v>
      </c>
      <c r="CL57" s="526">
        <f t="shared" ca="1" si="61"/>
        <v>0</v>
      </c>
      <c r="CM57" s="526">
        <f t="shared" ca="1" si="61"/>
        <v>0</v>
      </c>
      <c r="CN57" s="526">
        <f t="shared" ca="1" si="61"/>
        <v>0</v>
      </c>
      <c r="CO57" s="526">
        <f t="shared" ca="1" si="61"/>
        <v>0</v>
      </c>
      <c r="CP57" s="526">
        <f t="shared" ca="1" si="61"/>
        <v>0</v>
      </c>
      <c r="CQ57" s="526">
        <f t="shared" ca="1" si="61"/>
        <v>0</v>
      </c>
      <c r="CR57" s="526">
        <f t="shared" ca="1" si="61"/>
        <v>0</v>
      </c>
      <c r="CS57" s="526">
        <f t="shared" ca="1" si="61"/>
        <v>0</v>
      </c>
      <c r="CT57" s="526">
        <f t="shared" ca="1" si="61"/>
        <v>0</v>
      </c>
      <c r="CU57" s="526">
        <f t="shared" ca="1" si="61"/>
        <v>0</v>
      </c>
      <c r="CV57" s="526">
        <f t="shared" ca="1" si="61"/>
        <v>0</v>
      </c>
      <c r="CW57" s="526">
        <f t="shared" ca="1" si="61"/>
        <v>0</v>
      </c>
      <c r="CX57" s="526">
        <f t="shared" ca="1" si="61"/>
        <v>0</v>
      </c>
      <c r="CY57" s="526">
        <f t="shared" ca="1" si="61"/>
        <v>0</v>
      </c>
      <c r="CZ57" s="526">
        <f t="shared" ca="1" si="61"/>
        <v>0</v>
      </c>
      <c r="DA57" s="526">
        <f t="shared" ca="1" si="61"/>
        <v>0</v>
      </c>
      <c r="DB57" s="526">
        <f t="shared" ca="1" si="61"/>
        <v>0</v>
      </c>
      <c r="DC57" s="526">
        <f t="shared" ca="1" si="61"/>
        <v>0</v>
      </c>
      <c r="DD57" s="526">
        <f t="shared" ca="1" si="61"/>
        <v>0</v>
      </c>
      <c r="DE57" s="526">
        <f t="shared" ca="1" si="61"/>
        <v>0</v>
      </c>
      <c r="DF57" s="526">
        <f t="shared" ca="1" si="61"/>
        <v>0</v>
      </c>
      <c r="DG57" s="526">
        <f t="shared" ca="1" si="61"/>
        <v>0</v>
      </c>
      <c r="DH57" s="526">
        <f t="shared" ca="1" si="61"/>
        <v>0</v>
      </c>
      <c r="DI57" s="526">
        <f t="shared" ca="1" si="61"/>
        <v>0</v>
      </c>
      <c r="DJ57" s="526">
        <f t="shared" ca="1" si="61"/>
        <v>0</v>
      </c>
      <c r="DK57" s="526">
        <f t="shared" ca="1" si="61"/>
        <v>0</v>
      </c>
      <c r="DL57" s="526">
        <f t="shared" ca="1" si="61"/>
        <v>0</v>
      </c>
      <c r="DM57" s="526">
        <f t="shared" ca="1" si="61"/>
        <v>0</v>
      </c>
      <c r="DN57" s="526">
        <f t="shared" ca="1" si="61"/>
        <v>0</v>
      </c>
      <c r="DO57" s="526">
        <f t="shared" ca="1" si="61"/>
        <v>0</v>
      </c>
      <c r="DP57" s="526">
        <f t="shared" ca="1" si="61"/>
        <v>0</v>
      </c>
      <c r="DQ57" s="526">
        <f t="shared" ca="1" si="61"/>
        <v>0</v>
      </c>
      <c r="DR57" s="526">
        <f t="shared" ca="1" si="61"/>
        <v>0</v>
      </c>
      <c r="DS57" s="526">
        <f t="shared" ca="1" si="61"/>
        <v>0</v>
      </c>
      <c r="DT57" s="526">
        <f t="shared" ca="1" si="61"/>
        <v>0</v>
      </c>
      <c r="DU57" s="526">
        <f t="shared" ca="1" si="61"/>
        <v>0</v>
      </c>
      <c r="DV57" s="526">
        <f t="shared" ca="1" si="61"/>
        <v>0</v>
      </c>
      <c r="DW57" s="526">
        <f t="shared" ca="1" si="61"/>
        <v>0</v>
      </c>
      <c r="DX57" s="526">
        <f t="shared" ca="1" si="61"/>
        <v>0</v>
      </c>
      <c r="DY57" s="526">
        <f t="shared" ca="1" si="61"/>
        <v>0</v>
      </c>
      <c r="DZ57" s="526">
        <f t="shared" ca="1" si="61"/>
        <v>0</v>
      </c>
      <c r="EA57" s="526">
        <f t="shared" ca="1" si="61"/>
        <v>0</v>
      </c>
      <c r="EB57" s="523" t="s">
        <v>557</v>
      </c>
    </row>
    <row r="58" spans="7:132">
      <c r="EB58" s="523" t="s">
        <v>557</v>
      </c>
    </row>
    <row r="59" spans="7:132">
      <c r="G59" s="518" t="s">
        <v>1175</v>
      </c>
      <c r="K59" s="526">
        <f ca="1">K50+K57</f>
        <v>0</v>
      </c>
      <c r="L59" s="526">
        <f t="shared" ref="L59:BW59" ca="1" si="62">L50+L57</f>
        <v>0</v>
      </c>
      <c r="M59" s="526">
        <f t="shared" ca="1" si="62"/>
        <v>0</v>
      </c>
      <c r="N59" s="526">
        <f t="shared" ca="1" si="62"/>
        <v>0</v>
      </c>
      <c r="O59" s="526">
        <f t="shared" ca="1" si="62"/>
        <v>0</v>
      </c>
      <c r="P59" s="526">
        <f t="shared" ca="1" si="62"/>
        <v>0</v>
      </c>
      <c r="Q59" s="526">
        <f t="shared" ca="1" si="62"/>
        <v>0</v>
      </c>
      <c r="R59" s="526">
        <f t="shared" ca="1" si="62"/>
        <v>0</v>
      </c>
      <c r="S59" s="526">
        <f t="shared" ca="1" si="62"/>
        <v>0</v>
      </c>
      <c r="T59" s="526">
        <f t="shared" ca="1" si="62"/>
        <v>0</v>
      </c>
      <c r="U59" s="526">
        <f t="shared" ca="1" si="62"/>
        <v>0</v>
      </c>
      <c r="V59" s="526">
        <f t="shared" ca="1" si="62"/>
        <v>0</v>
      </c>
      <c r="W59" s="526">
        <f t="shared" ca="1" si="62"/>
        <v>0</v>
      </c>
      <c r="X59" s="526">
        <f t="shared" ca="1" si="62"/>
        <v>0</v>
      </c>
      <c r="Y59" s="526">
        <f t="shared" ca="1" si="62"/>
        <v>0</v>
      </c>
      <c r="Z59" s="526">
        <f t="shared" ca="1" si="62"/>
        <v>0</v>
      </c>
      <c r="AA59" s="526">
        <f t="shared" ca="1" si="62"/>
        <v>0</v>
      </c>
      <c r="AB59" s="526">
        <f t="shared" ca="1" si="62"/>
        <v>0</v>
      </c>
      <c r="AC59" s="526">
        <f t="shared" ca="1" si="62"/>
        <v>0</v>
      </c>
      <c r="AD59" s="526">
        <f t="shared" ca="1" si="62"/>
        <v>0</v>
      </c>
      <c r="AE59" s="526">
        <f t="shared" ca="1" si="62"/>
        <v>0</v>
      </c>
      <c r="AF59" s="526">
        <f t="shared" ca="1" si="62"/>
        <v>0</v>
      </c>
      <c r="AG59" s="526">
        <f t="shared" ca="1" si="62"/>
        <v>0</v>
      </c>
      <c r="AH59" s="526">
        <f t="shared" ca="1" si="62"/>
        <v>0</v>
      </c>
      <c r="AI59" s="526">
        <f t="shared" ca="1" si="62"/>
        <v>0</v>
      </c>
      <c r="AJ59" s="526">
        <f t="shared" ca="1" si="62"/>
        <v>0</v>
      </c>
      <c r="AK59" s="526">
        <f t="shared" ca="1" si="62"/>
        <v>0</v>
      </c>
      <c r="AL59" s="526">
        <f t="shared" ca="1" si="62"/>
        <v>0</v>
      </c>
      <c r="AM59" s="526">
        <f t="shared" ca="1" si="62"/>
        <v>0</v>
      </c>
      <c r="AN59" s="526">
        <f t="shared" ca="1" si="62"/>
        <v>0</v>
      </c>
      <c r="AO59" s="526">
        <f t="shared" ca="1" si="62"/>
        <v>0</v>
      </c>
      <c r="AP59" s="526">
        <f t="shared" ca="1" si="62"/>
        <v>0</v>
      </c>
      <c r="AQ59" s="526">
        <f t="shared" ca="1" si="62"/>
        <v>0</v>
      </c>
      <c r="AR59" s="526">
        <f t="shared" ca="1" si="62"/>
        <v>0</v>
      </c>
      <c r="AS59" s="526">
        <f t="shared" ca="1" si="62"/>
        <v>0</v>
      </c>
      <c r="AT59" s="526">
        <f t="shared" ca="1" si="62"/>
        <v>0</v>
      </c>
      <c r="AU59" s="526">
        <f t="shared" ca="1" si="62"/>
        <v>0</v>
      </c>
      <c r="AV59" s="526">
        <f t="shared" ca="1" si="62"/>
        <v>0</v>
      </c>
      <c r="AW59" s="526">
        <f t="shared" ca="1" si="62"/>
        <v>0</v>
      </c>
      <c r="AX59" s="526">
        <f t="shared" ca="1" si="62"/>
        <v>0</v>
      </c>
      <c r="AY59" s="526">
        <f t="shared" ca="1" si="62"/>
        <v>0</v>
      </c>
      <c r="AZ59" s="526">
        <f t="shared" ca="1" si="62"/>
        <v>0</v>
      </c>
      <c r="BA59" s="526">
        <f t="shared" ca="1" si="62"/>
        <v>0</v>
      </c>
      <c r="BB59" s="526">
        <f t="shared" ca="1" si="62"/>
        <v>0</v>
      </c>
      <c r="BC59" s="526">
        <f t="shared" ca="1" si="62"/>
        <v>0</v>
      </c>
      <c r="BD59" s="526">
        <f t="shared" ca="1" si="62"/>
        <v>0</v>
      </c>
      <c r="BE59" s="526">
        <f t="shared" ca="1" si="62"/>
        <v>0</v>
      </c>
      <c r="BF59" s="526">
        <f t="shared" ca="1" si="62"/>
        <v>0</v>
      </c>
      <c r="BG59" s="526">
        <f t="shared" ca="1" si="62"/>
        <v>0</v>
      </c>
      <c r="BH59" s="526">
        <f t="shared" ca="1" si="62"/>
        <v>0</v>
      </c>
      <c r="BI59" s="526">
        <f t="shared" ca="1" si="62"/>
        <v>0</v>
      </c>
      <c r="BJ59" s="526">
        <f t="shared" ca="1" si="62"/>
        <v>0</v>
      </c>
      <c r="BK59" s="526">
        <f t="shared" ca="1" si="62"/>
        <v>0</v>
      </c>
      <c r="BL59" s="526">
        <f t="shared" ca="1" si="62"/>
        <v>0</v>
      </c>
      <c r="BM59" s="526">
        <f t="shared" ca="1" si="62"/>
        <v>0</v>
      </c>
      <c r="BN59" s="526">
        <f t="shared" ca="1" si="62"/>
        <v>0</v>
      </c>
      <c r="BO59" s="526">
        <f t="shared" ca="1" si="62"/>
        <v>0</v>
      </c>
      <c r="BP59" s="526">
        <f t="shared" ca="1" si="62"/>
        <v>0</v>
      </c>
      <c r="BQ59" s="526">
        <f t="shared" ca="1" si="62"/>
        <v>0</v>
      </c>
      <c r="BR59" s="526">
        <f t="shared" ca="1" si="62"/>
        <v>0</v>
      </c>
      <c r="BS59" s="526">
        <f t="shared" ca="1" si="62"/>
        <v>0</v>
      </c>
      <c r="BT59" s="526">
        <f t="shared" ca="1" si="62"/>
        <v>0</v>
      </c>
      <c r="BU59" s="526">
        <f t="shared" ca="1" si="62"/>
        <v>0</v>
      </c>
      <c r="BV59" s="526">
        <f t="shared" ca="1" si="62"/>
        <v>0</v>
      </c>
      <c r="BW59" s="526">
        <f t="shared" ca="1" si="62"/>
        <v>0</v>
      </c>
      <c r="BX59" s="526">
        <f t="shared" ref="BX59:EA59" ca="1" si="63">BX50+BX57</f>
        <v>0</v>
      </c>
      <c r="BY59" s="526">
        <f t="shared" ca="1" si="63"/>
        <v>0</v>
      </c>
      <c r="BZ59" s="526">
        <f t="shared" ca="1" si="63"/>
        <v>0</v>
      </c>
      <c r="CA59" s="526">
        <f t="shared" ca="1" si="63"/>
        <v>0</v>
      </c>
      <c r="CB59" s="526">
        <f t="shared" ca="1" si="63"/>
        <v>0</v>
      </c>
      <c r="CC59" s="526">
        <f t="shared" ca="1" si="63"/>
        <v>0</v>
      </c>
      <c r="CD59" s="526">
        <f t="shared" ca="1" si="63"/>
        <v>0</v>
      </c>
      <c r="CE59" s="526">
        <f t="shared" ca="1" si="63"/>
        <v>0</v>
      </c>
      <c r="CF59" s="526">
        <f t="shared" ca="1" si="63"/>
        <v>0</v>
      </c>
      <c r="CG59" s="526">
        <f t="shared" ca="1" si="63"/>
        <v>0</v>
      </c>
      <c r="CH59" s="526">
        <f t="shared" ca="1" si="63"/>
        <v>0</v>
      </c>
      <c r="CI59" s="526">
        <f t="shared" ca="1" si="63"/>
        <v>0</v>
      </c>
      <c r="CJ59" s="526">
        <f t="shared" ca="1" si="63"/>
        <v>0</v>
      </c>
      <c r="CK59" s="526">
        <f t="shared" ca="1" si="63"/>
        <v>0</v>
      </c>
      <c r="CL59" s="526">
        <f t="shared" ca="1" si="63"/>
        <v>0</v>
      </c>
      <c r="CM59" s="526">
        <f t="shared" ca="1" si="63"/>
        <v>0</v>
      </c>
      <c r="CN59" s="526">
        <f t="shared" ca="1" si="63"/>
        <v>0</v>
      </c>
      <c r="CO59" s="526">
        <f t="shared" ca="1" si="63"/>
        <v>0</v>
      </c>
      <c r="CP59" s="526">
        <f t="shared" ca="1" si="63"/>
        <v>0</v>
      </c>
      <c r="CQ59" s="526">
        <f t="shared" ca="1" si="63"/>
        <v>0</v>
      </c>
      <c r="CR59" s="526">
        <f t="shared" ca="1" si="63"/>
        <v>0</v>
      </c>
      <c r="CS59" s="526">
        <f t="shared" ca="1" si="63"/>
        <v>0</v>
      </c>
      <c r="CT59" s="526">
        <f t="shared" ca="1" si="63"/>
        <v>0</v>
      </c>
      <c r="CU59" s="526">
        <f t="shared" ca="1" si="63"/>
        <v>0</v>
      </c>
      <c r="CV59" s="526">
        <f t="shared" ca="1" si="63"/>
        <v>0</v>
      </c>
      <c r="CW59" s="526">
        <f t="shared" ca="1" si="63"/>
        <v>0</v>
      </c>
      <c r="CX59" s="526">
        <f t="shared" ca="1" si="63"/>
        <v>0</v>
      </c>
      <c r="CY59" s="526">
        <f t="shared" ca="1" si="63"/>
        <v>0</v>
      </c>
      <c r="CZ59" s="526">
        <f t="shared" ca="1" si="63"/>
        <v>0</v>
      </c>
      <c r="DA59" s="526">
        <f t="shared" ca="1" si="63"/>
        <v>0</v>
      </c>
      <c r="DB59" s="526">
        <f t="shared" ca="1" si="63"/>
        <v>0</v>
      </c>
      <c r="DC59" s="526">
        <f t="shared" ca="1" si="63"/>
        <v>0</v>
      </c>
      <c r="DD59" s="526">
        <f t="shared" ca="1" si="63"/>
        <v>0</v>
      </c>
      <c r="DE59" s="526">
        <f t="shared" ca="1" si="63"/>
        <v>0</v>
      </c>
      <c r="DF59" s="526">
        <f t="shared" ca="1" si="63"/>
        <v>0</v>
      </c>
      <c r="DG59" s="526">
        <f t="shared" ca="1" si="63"/>
        <v>0</v>
      </c>
      <c r="DH59" s="526">
        <f t="shared" ca="1" si="63"/>
        <v>0</v>
      </c>
      <c r="DI59" s="526">
        <f t="shared" ca="1" si="63"/>
        <v>0</v>
      </c>
      <c r="DJ59" s="526">
        <f t="shared" ca="1" si="63"/>
        <v>0</v>
      </c>
      <c r="DK59" s="526">
        <f t="shared" ca="1" si="63"/>
        <v>0</v>
      </c>
      <c r="DL59" s="526">
        <f t="shared" ca="1" si="63"/>
        <v>0</v>
      </c>
      <c r="DM59" s="526">
        <f t="shared" ca="1" si="63"/>
        <v>0</v>
      </c>
      <c r="DN59" s="526">
        <f t="shared" ca="1" si="63"/>
        <v>0</v>
      </c>
      <c r="DO59" s="526">
        <f t="shared" ca="1" si="63"/>
        <v>0</v>
      </c>
      <c r="DP59" s="526">
        <f t="shared" ca="1" si="63"/>
        <v>0</v>
      </c>
      <c r="DQ59" s="526">
        <f t="shared" ca="1" si="63"/>
        <v>0</v>
      </c>
      <c r="DR59" s="526">
        <f t="shared" ca="1" si="63"/>
        <v>0</v>
      </c>
      <c r="DS59" s="526">
        <f t="shared" ca="1" si="63"/>
        <v>0</v>
      </c>
      <c r="DT59" s="526">
        <f t="shared" ca="1" si="63"/>
        <v>0</v>
      </c>
      <c r="DU59" s="526">
        <f t="shared" ca="1" si="63"/>
        <v>0</v>
      </c>
      <c r="DV59" s="526">
        <f t="shared" ca="1" si="63"/>
        <v>0</v>
      </c>
      <c r="DW59" s="526">
        <f t="shared" ca="1" si="63"/>
        <v>0</v>
      </c>
      <c r="DX59" s="526">
        <f t="shared" ca="1" si="63"/>
        <v>0</v>
      </c>
      <c r="DY59" s="526">
        <f t="shared" ca="1" si="63"/>
        <v>0</v>
      </c>
      <c r="DZ59" s="526">
        <f t="shared" ca="1" si="63"/>
        <v>0</v>
      </c>
      <c r="EA59" s="526">
        <f t="shared" ca="1" si="63"/>
        <v>0</v>
      </c>
      <c r="EB59" s="523" t="s">
        <v>557</v>
      </c>
    </row>
    <row r="60" spans="7:132" ht="18" thickBot="1">
      <c r="G60" s="554" t="s">
        <v>1167</v>
      </c>
      <c r="H60" s="555"/>
      <c r="I60" s="555"/>
      <c r="J60" s="555"/>
      <c r="K60" s="556">
        <f ca="1">K42-K59</f>
        <v>0</v>
      </c>
      <c r="L60" s="556">
        <f t="shared" ref="L60:BW60" ca="1" si="64">L42-L59</f>
        <v>0</v>
      </c>
      <c r="M60" s="556">
        <f t="shared" ca="1" si="64"/>
        <v>0</v>
      </c>
      <c r="N60" s="556">
        <f t="shared" ca="1" si="64"/>
        <v>0</v>
      </c>
      <c r="O60" s="556">
        <f t="shared" ca="1" si="64"/>
        <v>0</v>
      </c>
      <c r="P60" s="556">
        <f t="shared" ca="1" si="64"/>
        <v>0</v>
      </c>
      <c r="Q60" s="556">
        <f t="shared" ca="1" si="64"/>
        <v>0</v>
      </c>
      <c r="R60" s="556">
        <f t="shared" ca="1" si="64"/>
        <v>0</v>
      </c>
      <c r="S60" s="556">
        <f t="shared" ca="1" si="64"/>
        <v>0</v>
      </c>
      <c r="T60" s="556">
        <f t="shared" ca="1" si="64"/>
        <v>0</v>
      </c>
      <c r="U60" s="556">
        <f t="shared" ca="1" si="64"/>
        <v>0</v>
      </c>
      <c r="V60" s="556">
        <f t="shared" ca="1" si="64"/>
        <v>0</v>
      </c>
      <c r="W60" s="556">
        <f t="shared" ca="1" si="64"/>
        <v>0</v>
      </c>
      <c r="X60" s="556">
        <f t="shared" ca="1" si="64"/>
        <v>0</v>
      </c>
      <c r="Y60" s="556">
        <f t="shared" ca="1" si="64"/>
        <v>0</v>
      </c>
      <c r="Z60" s="556">
        <f t="shared" ca="1" si="64"/>
        <v>0</v>
      </c>
      <c r="AA60" s="556">
        <f t="shared" ca="1" si="64"/>
        <v>0</v>
      </c>
      <c r="AB60" s="556">
        <f t="shared" ca="1" si="64"/>
        <v>0</v>
      </c>
      <c r="AC60" s="556">
        <f t="shared" ca="1" si="64"/>
        <v>0</v>
      </c>
      <c r="AD60" s="556">
        <f t="shared" ca="1" si="64"/>
        <v>0</v>
      </c>
      <c r="AE60" s="556">
        <f t="shared" ca="1" si="64"/>
        <v>0</v>
      </c>
      <c r="AF60" s="556">
        <f t="shared" ca="1" si="64"/>
        <v>0</v>
      </c>
      <c r="AG60" s="556">
        <f t="shared" ca="1" si="64"/>
        <v>0</v>
      </c>
      <c r="AH60" s="556">
        <f t="shared" ca="1" si="64"/>
        <v>0</v>
      </c>
      <c r="AI60" s="556">
        <f t="shared" ca="1" si="64"/>
        <v>0</v>
      </c>
      <c r="AJ60" s="556">
        <f t="shared" ca="1" si="64"/>
        <v>0</v>
      </c>
      <c r="AK60" s="556">
        <f t="shared" ca="1" si="64"/>
        <v>0</v>
      </c>
      <c r="AL60" s="556">
        <f t="shared" ca="1" si="64"/>
        <v>0</v>
      </c>
      <c r="AM60" s="556">
        <f t="shared" ca="1" si="64"/>
        <v>0</v>
      </c>
      <c r="AN60" s="556">
        <f t="shared" ca="1" si="64"/>
        <v>0</v>
      </c>
      <c r="AO60" s="556">
        <f t="shared" ca="1" si="64"/>
        <v>0</v>
      </c>
      <c r="AP60" s="556">
        <f t="shared" ca="1" si="64"/>
        <v>0</v>
      </c>
      <c r="AQ60" s="556">
        <f t="shared" ca="1" si="64"/>
        <v>0</v>
      </c>
      <c r="AR60" s="556">
        <f t="shared" ca="1" si="64"/>
        <v>0</v>
      </c>
      <c r="AS60" s="556">
        <f t="shared" ca="1" si="64"/>
        <v>0</v>
      </c>
      <c r="AT60" s="556">
        <f t="shared" ca="1" si="64"/>
        <v>0</v>
      </c>
      <c r="AU60" s="556">
        <f t="shared" ca="1" si="64"/>
        <v>0</v>
      </c>
      <c r="AV60" s="556">
        <f t="shared" ca="1" si="64"/>
        <v>0</v>
      </c>
      <c r="AW60" s="556">
        <f t="shared" ca="1" si="64"/>
        <v>0</v>
      </c>
      <c r="AX60" s="556">
        <f t="shared" ca="1" si="64"/>
        <v>0</v>
      </c>
      <c r="AY60" s="556">
        <f t="shared" ca="1" si="64"/>
        <v>0</v>
      </c>
      <c r="AZ60" s="556">
        <f t="shared" ca="1" si="64"/>
        <v>0</v>
      </c>
      <c r="BA60" s="556">
        <f t="shared" ca="1" si="64"/>
        <v>0</v>
      </c>
      <c r="BB60" s="556">
        <f t="shared" ca="1" si="64"/>
        <v>0</v>
      </c>
      <c r="BC60" s="556">
        <f t="shared" ca="1" si="64"/>
        <v>0</v>
      </c>
      <c r="BD60" s="556">
        <f t="shared" ca="1" si="64"/>
        <v>0</v>
      </c>
      <c r="BE60" s="556">
        <f t="shared" ca="1" si="64"/>
        <v>0</v>
      </c>
      <c r="BF60" s="556">
        <f t="shared" ca="1" si="64"/>
        <v>0</v>
      </c>
      <c r="BG60" s="556">
        <f t="shared" ca="1" si="64"/>
        <v>0</v>
      </c>
      <c r="BH60" s="556">
        <f t="shared" ca="1" si="64"/>
        <v>0</v>
      </c>
      <c r="BI60" s="556">
        <f t="shared" ca="1" si="64"/>
        <v>0</v>
      </c>
      <c r="BJ60" s="556">
        <f t="shared" ca="1" si="64"/>
        <v>0</v>
      </c>
      <c r="BK60" s="556">
        <f t="shared" ca="1" si="64"/>
        <v>0</v>
      </c>
      <c r="BL60" s="556">
        <f t="shared" ca="1" si="64"/>
        <v>0</v>
      </c>
      <c r="BM60" s="556">
        <f t="shared" ca="1" si="64"/>
        <v>0</v>
      </c>
      <c r="BN60" s="556">
        <f t="shared" ca="1" si="64"/>
        <v>0</v>
      </c>
      <c r="BO60" s="556">
        <f t="shared" ca="1" si="64"/>
        <v>0</v>
      </c>
      <c r="BP60" s="556">
        <f t="shared" ca="1" si="64"/>
        <v>0</v>
      </c>
      <c r="BQ60" s="556">
        <f t="shared" ca="1" si="64"/>
        <v>0</v>
      </c>
      <c r="BR60" s="556">
        <f t="shared" ca="1" si="64"/>
        <v>0</v>
      </c>
      <c r="BS60" s="556">
        <f t="shared" ca="1" si="64"/>
        <v>0</v>
      </c>
      <c r="BT60" s="556">
        <f t="shared" ca="1" si="64"/>
        <v>0</v>
      </c>
      <c r="BU60" s="556">
        <f t="shared" ca="1" si="64"/>
        <v>0</v>
      </c>
      <c r="BV60" s="556">
        <f t="shared" ca="1" si="64"/>
        <v>0</v>
      </c>
      <c r="BW60" s="556">
        <f t="shared" ca="1" si="64"/>
        <v>0</v>
      </c>
      <c r="BX60" s="556">
        <f t="shared" ref="BX60:EA60" ca="1" si="65">BX42-BX59</f>
        <v>0</v>
      </c>
      <c r="BY60" s="556">
        <f t="shared" ca="1" si="65"/>
        <v>0</v>
      </c>
      <c r="BZ60" s="556">
        <f t="shared" ca="1" si="65"/>
        <v>0</v>
      </c>
      <c r="CA60" s="556">
        <f t="shared" ca="1" si="65"/>
        <v>0</v>
      </c>
      <c r="CB60" s="556">
        <f t="shared" ca="1" si="65"/>
        <v>0</v>
      </c>
      <c r="CC60" s="556">
        <f t="shared" ca="1" si="65"/>
        <v>0</v>
      </c>
      <c r="CD60" s="556">
        <f t="shared" ca="1" si="65"/>
        <v>0</v>
      </c>
      <c r="CE60" s="556">
        <f t="shared" ca="1" si="65"/>
        <v>0</v>
      </c>
      <c r="CF60" s="556">
        <f t="shared" ca="1" si="65"/>
        <v>0</v>
      </c>
      <c r="CG60" s="556">
        <f t="shared" ca="1" si="65"/>
        <v>0</v>
      </c>
      <c r="CH60" s="556">
        <f t="shared" ca="1" si="65"/>
        <v>0</v>
      </c>
      <c r="CI60" s="556">
        <f t="shared" ca="1" si="65"/>
        <v>0</v>
      </c>
      <c r="CJ60" s="556">
        <f t="shared" ca="1" si="65"/>
        <v>0</v>
      </c>
      <c r="CK60" s="556">
        <f t="shared" ca="1" si="65"/>
        <v>0</v>
      </c>
      <c r="CL60" s="556">
        <f t="shared" ca="1" si="65"/>
        <v>0</v>
      </c>
      <c r="CM60" s="556">
        <f t="shared" ca="1" si="65"/>
        <v>0</v>
      </c>
      <c r="CN60" s="556">
        <f t="shared" ca="1" si="65"/>
        <v>0</v>
      </c>
      <c r="CO60" s="556">
        <f t="shared" ca="1" si="65"/>
        <v>0</v>
      </c>
      <c r="CP60" s="556">
        <f t="shared" ca="1" si="65"/>
        <v>0</v>
      </c>
      <c r="CQ60" s="556">
        <f t="shared" ca="1" si="65"/>
        <v>0</v>
      </c>
      <c r="CR60" s="556">
        <f t="shared" ca="1" si="65"/>
        <v>0</v>
      </c>
      <c r="CS60" s="556">
        <f t="shared" ca="1" si="65"/>
        <v>0</v>
      </c>
      <c r="CT60" s="556">
        <f t="shared" ca="1" si="65"/>
        <v>0</v>
      </c>
      <c r="CU60" s="556">
        <f t="shared" ca="1" si="65"/>
        <v>0</v>
      </c>
      <c r="CV60" s="556">
        <f t="shared" ca="1" si="65"/>
        <v>0</v>
      </c>
      <c r="CW60" s="556">
        <f t="shared" ca="1" si="65"/>
        <v>0</v>
      </c>
      <c r="CX60" s="556">
        <f t="shared" ca="1" si="65"/>
        <v>0</v>
      </c>
      <c r="CY60" s="556">
        <f t="shared" ca="1" si="65"/>
        <v>0</v>
      </c>
      <c r="CZ60" s="556">
        <f t="shared" ca="1" si="65"/>
        <v>0</v>
      </c>
      <c r="DA60" s="556">
        <f t="shared" ca="1" si="65"/>
        <v>0</v>
      </c>
      <c r="DB60" s="556">
        <f t="shared" ca="1" si="65"/>
        <v>0</v>
      </c>
      <c r="DC60" s="556">
        <f t="shared" ca="1" si="65"/>
        <v>0</v>
      </c>
      <c r="DD60" s="556">
        <f t="shared" ca="1" si="65"/>
        <v>0</v>
      </c>
      <c r="DE60" s="556">
        <f t="shared" ca="1" si="65"/>
        <v>0</v>
      </c>
      <c r="DF60" s="556">
        <f t="shared" ca="1" si="65"/>
        <v>0</v>
      </c>
      <c r="DG60" s="556">
        <f t="shared" ca="1" si="65"/>
        <v>0</v>
      </c>
      <c r="DH60" s="556">
        <f t="shared" ca="1" si="65"/>
        <v>0</v>
      </c>
      <c r="DI60" s="556">
        <f t="shared" ca="1" si="65"/>
        <v>0</v>
      </c>
      <c r="DJ60" s="556">
        <f t="shared" ca="1" si="65"/>
        <v>0</v>
      </c>
      <c r="DK60" s="556">
        <f t="shared" ca="1" si="65"/>
        <v>0</v>
      </c>
      <c r="DL60" s="556">
        <f t="shared" ca="1" si="65"/>
        <v>0</v>
      </c>
      <c r="DM60" s="556">
        <f t="shared" ca="1" si="65"/>
        <v>0</v>
      </c>
      <c r="DN60" s="556">
        <f t="shared" ca="1" si="65"/>
        <v>0</v>
      </c>
      <c r="DO60" s="556">
        <f t="shared" ca="1" si="65"/>
        <v>0</v>
      </c>
      <c r="DP60" s="556">
        <f t="shared" ca="1" si="65"/>
        <v>0</v>
      </c>
      <c r="DQ60" s="556">
        <f t="shared" ca="1" si="65"/>
        <v>0</v>
      </c>
      <c r="DR60" s="556">
        <f t="shared" ca="1" si="65"/>
        <v>0</v>
      </c>
      <c r="DS60" s="556">
        <f t="shared" ca="1" si="65"/>
        <v>0</v>
      </c>
      <c r="DT60" s="556">
        <f t="shared" ca="1" si="65"/>
        <v>0</v>
      </c>
      <c r="DU60" s="556">
        <f t="shared" ca="1" si="65"/>
        <v>0</v>
      </c>
      <c r="DV60" s="556">
        <f t="shared" ca="1" si="65"/>
        <v>0</v>
      </c>
      <c r="DW60" s="556">
        <f t="shared" ca="1" si="65"/>
        <v>0</v>
      </c>
      <c r="DX60" s="556">
        <f t="shared" ca="1" si="65"/>
        <v>0</v>
      </c>
      <c r="DY60" s="556">
        <f t="shared" ca="1" si="65"/>
        <v>0</v>
      </c>
      <c r="DZ60" s="556">
        <f t="shared" ca="1" si="65"/>
        <v>0</v>
      </c>
      <c r="EA60" s="556">
        <f t="shared" ca="1" si="65"/>
        <v>0</v>
      </c>
      <c r="EB60" s="523" t="s">
        <v>557</v>
      </c>
    </row>
    <row r="61" spans="7:132">
      <c r="EB61" s="523" t="s">
        <v>557</v>
      </c>
    </row>
    <row r="62" spans="7:132" ht="19">
      <c r="G62" s="173" t="s">
        <v>1156</v>
      </c>
      <c r="H62" s="530"/>
      <c r="I62" s="530"/>
      <c r="J62" s="530"/>
      <c r="K62" s="530"/>
      <c r="L62" s="530"/>
      <c r="M62" s="530"/>
      <c r="N62" s="530"/>
      <c r="O62" s="530"/>
      <c r="P62" s="530"/>
      <c r="Q62" s="530"/>
      <c r="R62" s="530"/>
      <c r="S62" s="530"/>
      <c r="T62" s="530"/>
      <c r="U62" s="530"/>
      <c r="V62" s="530"/>
      <c r="W62" s="530"/>
      <c r="X62" s="530"/>
      <c r="Y62" s="530"/>
      <c r="Z62" s="530"/>
      <c r="AA62" s="530"/>
      <c r="AB62" s="530"/>
      <c r="AC62" s="530"/>
      <c r="AD62" s="530"/>
      <c r="AE62" s="530"/>
      <c r="AF62" s="530"/>
      <c r="AG62" s="530"/>
      <c r="AH62" s="530"/>
      <c r="AI62" s="530"/>
      <c r="AJ62" s="530"/>
      <c r="AK62" s="530"/>
      <c r="AL62" s="530"/>
      <c r="AM62" s="530"/>
      <c r="AN62" s="530"/>
      <c r="AO62" s="530"/>
      <c r="AP62" s="530"/>
      <c r="AQ62" s="530"/>
      <c r="AR62" s="530"/>
      <c r="AS62" s="530"/>
      <c r="AT62" s="530"/>
      <c r="AU62" s="530"/>
      <c r="AV62" s="530"/>
      <c r="AW62" s="530"/>
      <c r="AX62" s="530"/>
      <c r="AY62" s="530"/>
      <c r="AZ62" s="530"/>
      <c r="BA62" s="530"/>
      <c r="BB62" s="530"/>
      <c r="BC62" s="530"/>
      <c r="BD62" s="530"/>
      <c r="BE62" s="530"/>
      <c r="BF62" s="530"/>
      <c r="BG62" s="530"/>
      <c r="BH62" s="530"/>
      <c r="BI62" s="530"/>
      <c r="BJ62" s="530"/>
      <c r="BK62" s="530"/>
      <c r="BL62" s="530"/>
      <c r="BM62" s="530"/>
      <c r="BN62" s="530"/>
      <c r="BO62" s="530"/>
      <c r="BP62" s="530"/>
      <c r="BQ62" s="530"/>
      <c r="BR62" s="530"/>
      <c r="BS62" s="530"/>
      <c r="BT62" s="530"/>
      <c r="BU62" s="530"/>
      <c r="BV62" s="530"/>
      <c r="BW62" s="530"/>
      <c r="BX62" s="530"/>
      <c r="BY62" s="530"/>
      <c r="BZ62" s="530"/>
      <c r="CA62" s="530"/>
      <c r="CB62" s="530"/>
      <c r="CC62" s="530"/>
      <c r="CD62" s="530"/>
      <c r="CE62" s="530"/>
      <c r="CF62" s="530"/>
      <c r="CG62" s="530"/>
      <c r="CH62" s="530"/>
      <c r="CI62" s="530"/>
      <c r="CJ62" s="530"/>
      <c r="CK62" s="530"/>
      <c r="CL62" s="530"/>
      <c r="CM62" s="530"/>
      <c r="CN62" s="530"/>
      <c r="CO62" s="530"/>
      <c r="CP62" s="530"/>
      <c r="CQ62" s="530"/>
      <c r="CR62" s="530"/>
      <c r="CS62" s="530"/>
      <c r="CT62" s="530"/>
      <c r="CU62" s="530"/>
      <c r="CV62" s="530"/>
      <c r="CW62" s="530"/>
      <c r="CX62" s="530"/>
      <c r="CY62" s="530"/>
      <c r="CZ62" s="530"/>
      <c r="DA62" s="530"/>
      <c r="DB62" s="530"/>
      <c r="DC62" s="530"/>
      <c r="DD62" s="530"/>
      <c r="DE62" s="530"/>
      <c r="DF62" s="530"/>
      <c r="DG62" s="530"/>
      <c r="DH62" s="530"/>
      <c r="DI62" s="530"/>
      <c r="DJ62" s="530"/>
      <c r="DK62" s="530"/>
      <c r="DL62" s="530"/>
      <c r="DM62" s="530"/>
      <c r="DN62" s="530"/>
      <c r="DO62" s="530"/>
      <c r="DP62" s="530"/>
      <c r="DQ62" s="530"/>
      <c r="DR62" s="530"/>
      <c r="DS62" s="530"/>
      <c r="DT62" s="530"/>
      <c r="DU62" s="530"/>
      <c r="DV62" s="530"/>
      <c r="DW62" s="530"/>
      <c r="DX62" s="530"/>
      <c r="DY62" s="530"/>
      <c r="DZ62" s="530"/>
      <c r="EA62" s="530"/>
      <c r="EB62" s="523" t="s">
        <v>557</v>
      </c>
    </row>
    <row r="63" spans="7:132">
      <c r="G63" s="520" t="s">
        <v>1136</v>
      </c>
      <c r="H63" s="533"/>
      <c r="I63" s="533"/>
      <c r="J63" s="521"/>
      <c r="K63" s="521"/>
      <c r="L63" s="521"/>
      <c r="M63" s="521"/>
      <c r="N63" s="521"/>
      <c r="O63" s="521"/>
      <c r="P63" s="521"/>
      <c r="Q63" s="521"/>
      <c r="R63" s="521"/>
      <c r="S63" s="521"/>
      <c r="T63" s="521"/>
      <c r="U63" s="521"/>
      <c r="V63" s="521"/>
      <c r="W63" s="521"/>
      <c r="X63" s="521"/>
      <c r="Y63" s="521"/>
      <c r="Z63" s="521"/>
      <c r="AA63" s="521"/>
      <c r="AB63" s="521"/>
      <c r="AC63" s="521"/>
      <c r="AD63" s="521"/>
      <c r="AE63" s="521"/>
      <c r="AF63" s="521"/>
      <c r="AG63" s="521"/>
      <c r="AH63" s="521"/>
      <c r="AI63" s="521"/>
      <c r="AJ63" s="521"/>
      <c r="AK63" s="521"/>
      <c r="AL63" s="521"/>
      <c r="AM63" s="521"/>
      <c r="AN63" s="521"/>
      <c r="AO63" s="521"/>
      <c r="AP63" s="521"/>
      <c r="AQ63" s="521"/>
      <c r="AR63" s="521"/>
      <c r="AS63" s="521"/>
      <c r="AT63" s="521"/>
      <c r="AU63" s="521"/>
      <c r="AV63" s="521"/>
      <c r="AW63" s="521"/>
      <c r="AX63" s="521"/>
      <c r="AY63" s="521"/>
      <c r="AZ63" s="521"/>
      <c r="BA63" s="521"/>
      <c r="BB63" s="521"/>
      <c r="BC63" s="521"/>
      <c r="BD63" s="521"/>
      <c r="BE63" s="521"/>
      <c r="BF63" s="521"/>
      <c r="BG63" s="521"/>
      <c r="BH63" s="521"/>
      <c r="BI63" s="521"/>
      <c r="BJ63" s="521"/>
      <c r="BK63" s="521"/>
      <c r="BL63" s="521"/>
      <c r="BM63" s="521"/>
      <c r="BN63" s="521"/>
      <c r="BO63" s="521"/>
      <c r="BP63" s="521"/>
      <c r="BQ63" s="521"/>
      <c r="BR63" s="521"/>
      <c r="BS63" s="521"/>
      <c r="BT63" s="521"/>
      <c r="BU63" s="521"/>
      <c r="BV63" s="521"/>
      <c r="BW63" s="521"/>
      <c r="BX63" s="521"/>
      <c r="BY63" s="521"/>
      <c r="BZ63" s="521"/>
      <c r="CA63" s="521"/>
      <c r="CB63" s="521"/>
      <c r="CC63" s="521"/>
      <c r="CD63" s="521"/>
      <c r="CE63" s="521"/>
      <c r="CF63" s="521"/>
      <c r="CG63" s="521"/>
      <c r="CH63" s="521"/>
      <c r="CI63" s="521"/>
      <c r="CJ63" s="521"/>
      <c r="CK63" s="521"/>
      <c r="CL63" s="521"/>
      <c r="CM63" s="521"/>
      <c r="CN63" s="521"/>
      <c r="CO63" s="521"/>
      <c r="CP63" s="521"/>
      <c r="CQ63" s="521"/>
      <c r="CR63" s="521"/>
      <c r="CS63" s="521"/>
      <c r="CT63" s="521"/>
      <c r="CU63" s="521"/>
      <c r="CV63" s="521"/>
      <c r="CW63" s="521"/>
      <c r="CX63" s="521"/>
      <c r="CY63" s="521"/>
      <c r="CZ63" s="521"/>
      <c r="DA63" s="521"/>
      <c r="DB63" s="521"/>
      <c r="DC63" s="521"/>
      <c r="DD63" s="521"/>
      <c r="DE63" s="521"/>
      <c r="DF63" s="521"/>
      <c r="DG63" s="521"/>
      <c r="DH63" s="521"/>
      <c r="DI63" s="521"/>
      <c r="DJ63" s="521"/>
      <c r="DK63" s="521"/>
      <c r="DL63" s="521"/>
      <c r="DM63" s="521"/>
      <c r="DN63" s="521"/>
      <c r="DO63" s="521"/>
      <c r="DP63" s="521"/>
      <c r="DQ63" s="521"/>
      <c r="DR63" s="521"/>
      <c r="DS63" s="521"/>
      <c r="DT63" s="521"/>
      <c r="DU63" s="521"/>
      <c r="DV63" s="521"/>
      <c r="DW63" s="521"/>
      <c r="DX63" s="521"/>
      <c r="DY63" s="521"/>
      <c r="DZ63" s="521"/>
      <c r="EA63" s="521"/>
      <c r="EB63" s="523" t="s">
        <v>557</v>
      </c>
    </row>
    <row r="64" spans="7:132">
      <c r="G64" s="518" t="s">
        <v>1141</v>
      </c>
      <c r="I64" s="534" t="s">
        <v>1142</v>
      </c>
      <c r="K64" s="526">
        <f>J69</f>
        <v>0</v>
      </c>
      <c r="L64" s="526">
        <f ca="1">K69</f>
        <v>20296000</v>
      </c>
      <c r="M64" s="526">
        <f t="shared" ref="M64:BX64" ca="1" si="66">L69</f>
        <v>20220857.800580025</v>
      </c>
      <c r="N64" s="526">
        <f t="shared" ca="1" si="66"/>
        <v>20143602.027830582</v>
      </c>
      <c r="O64" s="526">
        <f t="shared" ca="1" si="66"/>
        <v>20064218.59126281</v>
      </c>
      <c r="P64" s="526">
        <f t="shared" ca="1" si="66"/>
        <v>19982693.306451254</v>
      </c>
      <c r="Q64" s="526">
        <f t="shared" ca="1" si="66"/>
        <v>19899011.894407619</v>
      </c>
      <c r="R64" s="526">
        <f t="shared" ca="1" si="66"/>
        <v>19813159.980950359</v>
      </c>
      <c r="S64" s="526">
        <f t="shared" ca="1" si="66"/>
        <v>19725123.096070051</v>
      </c>
      <c r="T64" s="526">
        <f t="shared" ca="1" si="66"/>
        <v>19634886.673290543</v>
      </c>
      <c r="U64" s="526">
        <f t="shared" ca="1" si="66"/>
        <v>19542436.049025837</v>
      </c>
      <c r="V64" s="526">
        <f t="shared" ca="1" si="66"/>
        <v>19447756.4619327</v>
      </c>
      <c r="W64" s="526">
        <f t="shared" ca="1" si="66"/>
        <v>19350833.052258942</v>
      </c>
      <c r="X64" s="526">
        <f t="shared" ca="1" si="66"/>
        <v>19251650.861187361</v>
      </c>
      <c r="Y64" s="526">
        <f t="shared" ca="1" si="66"/>
        <v>19152518.609171581</v>
      </c>
      <c r="Z64" s="526">
        <f t="shared" ca="1" si="66"/>
        <v>19051241.308930703</v>
      </c>
      <c r="AA64" s="526">
        <f t="shared" ca="1" si="66"/>
        <v>18947805.553913318</v>
      </c>
      <c r="AB64" s="526">
        <f t="shared" ca="1" si="66"/>
        <v>18842197.853777073</v>
      </c>
      <c r="AC64" s="526">
        <f t="shared" ca="1" si="66"/>
        <v>18734404.63386498</v>
      </c>
      <c r="AD64" s="526">
        <f t="shared" ca="1" si="66"/>
        <v>18624412.234678436</v>
      </c>
      <c r="AE64" s="526">
        <f t="shared" ca="1" si="66"/>
        <v>18512206.911346976</v>
      </c>
      <c r="AF64" s="526">
        <f t="shared" ca="1" si="66"/>
        <v>18397774.833094694</v>
      </c>
      <c r="AG64" s="526">
        <f t="shared" ca="1" si="66"/>
        <v>18281102.082703333</v>
      </c>
      <c r="AH64" s="526">
        <f t="shared" ca="1" si="66"/>
        <v>18162174.655972026</v>
      </c>
      <c r="AI64" s="526">
        <f t="shared" ca="1" si="66"/>
        <v>18040978.46117365</v>
      </c>
      <c r="AJ64" s="526">
        <f t="shared" ca="1" si="66"/>
        <v>17917499.318507783</v>
      </c>
      <c r="AK64" s="526">
        <f t="shared" ca="1" si="66"/>
        <v>17795017.929739699</v>
      </c>
      <c r="AL64" s="526">
        <f t="shared" ca="1" si="66"/>
        <v>17671307.275009319</v>
      </c>
      <c r="AM64" s="526">
        <f t="shared" ca="1" si="66"/>
        <v>17546363.25676344</v>
      </c>
      <c r="AN64" s="526">
        <f t="shared" ca="1" si="66"/>
        <v>17420181.763790339</v>
      </c>
      <c r="AO64" s="526">
        <f t="shared" ca="1" si="66"/>
        <v>17292758.671174262</v>
      </c>
      <c r="AP64" s="526">
        <f t="shared" ca="1" si="66"/>
        <v>17164089.840249732</v>
      </c>
      <c r="AQ64" s="526">
        <f t="shared" ca="1" si="66"/>
        <v>17034171.118555721</v>
      </c>
      <c r="AR64" s="526">
        <f t="shared" ca="1" si="66"/>
        <v>16902998.339789663</v>
      </c>
      <c r="AS64" s="526">
        <f t="shared" ca="1" si="66"/>
        <v>16770567.323761316</v>
      </c>
      <c r="AT64" s="526">
        <f t="shared" ca="1" si="66"/>
        <v>16636873.876346475</v>
      </c>
      <c r="AU64" s="526">
        <f t="shared" ca="1" si="66"/>
        <v>16501913.789440518</v>
      </c>
      <c r="AV64" s="526">
        <f t="shared" ca="1" si="66"/>
        <v>16365682.840911807</v>
      </c>
      <c r="AW64" s="526">
        <f t="shared" ca="1" si="66"/>
        <v>16230441.756992536</v>
      </c>
      <c r="AX64" s="526">
        <f t="shared" ca="1" si="66"/>
        <v>16093921.324919006</v>
      </c>
      <c r="AY64" s="526">
        <f t="shared" ca="1" si="66"/>
        <v>15956117.280197373</v>
      </c>
      <c r="AZ64" s="526">
        <f t="shared" ca="1" si="66"/>
        <v>15817025.344118809</v>
      </c>
      <c r="BA64" s="526">
        <f t="shared" ca="1" si="66"/>
        <v>15676641.223712126</v>
      </c>
      <c r="BB64" s="526">
        <f t="shared" ca="1" si="66"/>
        <v>15534960.611696228</v>
      </c>
      <c r="BC64" s="526">
        <f t="shared" ca="1" si="66"/>
        <v>15391979.186432417</v>
      </c>
      <c r="BD64" s="526">
        <f t="shared" ca="1" si="66"/>
        <v>15247692.611876536</v>
      </c>
      <c r="BE64" s="526">
        <f t="shared" ca="1" si="66"/>
        <v>15102096.537530944</v>
      </c>
      <c r="BF64" s="526">
        <f t="shared" ca="1" si="66"/>
        <v>14955186.59839634</v>
      </c>
      <c r="BG64" s="526">
        <f t="shared" ca="1" si="66"/>
        <v>14806958.414923429</v>
      </c>
      <c r="BH64" s="526">
        <f t="shared" ca="1" si="66"/>
        <v>0</v>
      </c>
      <c r="BI64" s="526">
        <f t="shared" ca="1" si="66"/>
        <v>0</v>
      </c>
      <c r="BJ64" s="526">
        <f t="shared" ca="1" si="66"/>
        <v>0</v>
      </c>
      <c r="BK64" s="526">
        <f t="shared" ca="1" si="66"/>
        <v>0</v>
      </c>
      <c r="BL64" s="526">
        <f t="shared" ca="1" si="66"/>
        <v>0</v>
      </c>
      <c r="BM64" s="526">
        <f t="shared" ca="1" si="66"/>
        <v>0</v>
      </c>
      <c r="BN64" s="526">
        <f t="shared" ca="1" si="66"/>
        <v>0</v>
      </c>
      <c r="BO64" s="526">
        <f t="shared" ca="1" si="66"/>
        <v>0</v>
      </c>
      <c r="BP64" s="526">
        <f t="shared" ca="1" si="66"/>
        <v>0</v>
      </c>
      <c r="BQ64" s="526">
        <f t="shared" ca="1" si="66"/>
        <v>0</v>
      </c>
      <c r="BR64" s="526">
        <f t="shared" ca="1" si="66"/>
        <v>0</v>
      </c>
      <c r="BS64" s="526">
        <f t="shared" ca="1" si="66"/>
        <v>0</v>
      </c>
      <c r="BT64" s="526">
        <f t="shared" ca="1" si="66"/>
        <v>0</v>
      </c>
      <c r="BU64" s="526">
        <f t="shared" ca="1" si="66"/>
        <v>0</v>
      </c>
      <c r="BV64" s="526">
        <f t="shared" ca="1" si="66"/>
        <v>0</v>
      </c>
      <c r="BW64" s="526">
        <f t="shared" ca="1" si="66"/>
        <v>0</v>
      </c>
      <c r="BX64" s="526">
        <f t="shared" ca="1" si="66"/>
        <v>0</v>
      </c>
      <c r="BY64" s="526">
        <f t="shared" ref="BY64:EA64" ca="1" si="67">BX69</f>
        <v>0</v>
      </c>
      <c r="BZ64" s="526">
        <f t="shared" ca="1" si="67"/>
        <v>0</v>
      </c>
      <c r="CA64" s="526">
        <f t="shared" ca="1" si="67"/>
        <v>0</v>
      </c>
      <c r="CB64" s="526">
        <f t="shared" ca="1" si="67"/>
        <v>0</v>
      </c>
      <c r="CC64" s="526">
        <f t="shared" ca="1" si="67"/>
        <v>0</v>
      </c>
      <c r="CD64" s="526">
        <f t="shared" ca="1" si="67"/>
        <v>0</v>
      </c>
      <c r="CE64" s="526">
        <f t="shared" ca="1" si="67"/>
        <v>0</v>
      </c>
      <c r="CF64" s="526">
        <f t="shared" ca="1" si="67"/>
        <v>0</v>
      </c>
      <c r="CG64" s="526">
        <f t="shared" ca="1" si="67"/>
        <v>0</v>
      </c>
      <c r="CH64" s="526">
        <f t="shared" ca="1" si="67"/>
        <v>0</v>
      </c>
      <c r="CI64" s="526">
        <f t="shared" ca="1" si="67"/>
        <v>0</v>
      </c>
      <c r="CJ64" s="526">
        <f t="shared" ca="1" si="67"/>
        <v>0</v>
      </c>
      <c r="CK64" s="526">
        <f t="shared" ca="1" si="67"/>
        <v>0</v>
      </c>
      <c r="CL64" s="526">
        <f t="shared" ca="1" si="67"/>
        <v>0</v>
      </c>
      <c r="CM64" s="526">
        <f t="shared" ca="1" si="67"/>
        <v>0</v>
      </c>
      <c r="CN64" s="526">
        <f t="shared" ca="1" si="67"/>
        <v>0</v>
      </c>
      <c r="CO64" s="526">
        <f t="shared" ca="1" si="67"/>
        <v>0</v>
      </c>
      <c r="CP64" s="526">
        <f t="shared" ca="1" si="67"/>
        <v>0</v>
      </c>
      <c r="CQ64" s="526">
        <f t="shared" ca="1" si="67"/>
        <v>0</v>
      </c>
      <c r="CR64" s="526">
        <f t="shared" ca="1" si="67"/>
        <v>0</v>
      </c>
      <c r="CS64" s="526">
        <f t="shared" ca="1" si="67"/>
        <v>0</v>
      </c>
      <c r="CT64" s="526">
        <f t="shared" ca="1" si="67"/>
        <v>0</v>
      </c>
      <c r="CU64" s="526">
        <f t="shared" ca="1" si="67"/>
        <v>0</v>
      </c>
      <c r="CV64" s="526">
        <f t="shared" ca="1" si="67"/>
        <v>0</v>
      </c>
      <c r="CW64" s="526">
        <f t="shared" ca="1" si="67"/>
        <v>0</v>
      </c>
      <c r="CX64" s="526">
        <f t="shared" ca="1" si="67"/>
        <v>0</v>
      </c>
      <c r="CY64" s="526">
        <f t="shared" ca="1" si="67"/>
        <v>0</v>
      </c>
      <c r="CZ64" s="526">
        <f t="shared" ca="1" si="67"/>
        <v>0</v>
      </c>
      <c r="DA64" s="526">
        <f t="shared" ca="1" si="67"/>
        <v>0</v>
      </c>
      <c r="DB64" s="526">
        <f t="shared" ca="1" si="67"/>
        <v>0</v>
      </c>
      <c r="DC64" s="526">
        <f t="shared" ca="1" si="67"/>
        <v>0</v>
      </c>
      <c r="DD64" s="526">
        <f t="shared" ca="1" si="67"/>
        <v>0</v>
      </c>
      <c r="DE64" s="526">
        <f t="shared" ca="1" si="67"/>
        <v>0</v>
      </c>
      <c r="DF64" s="526">
        <f t="shared" ca="1" si="67"/>
        <v>0</v>
      </c>
      <c r="DG64" s="526">
        <f t="shared" ca="1" si="67"/>
        <v>0</v>
      </c>
      <c r="DH64" s="526">
        <f t="shared" ca="1" si="67"/>
        <v>0</v>
      </c>
      <c r="DI64" s="526">
        <f t="shared" ca="1" si="67"/>
        <v>0</v>
      </c>
      <c r="DJ64" s="526">
        <f t="shared" ca="1" si="67"/>
        <v>0</v>
      </c>
      <c r="DK64" s="526">
        <f t="shared" ca="1" si="67"/>
        <v>0</v>
      </c>
      <c r="DL64" s="526">
        <f t="shared" ca="1" si="67"/>
        <v>0</v>
      </c>
      <c r="DM64" s="526">
        <f t="shared" ca="1" si="67"/>
        <v>0</v>
      </c>
      <c r="DN64" s="526">
        <f t="shared" ca="1" si="67"/>
        <v>0</v>
      </c>
      <c r="DO64" s="526">
        <f t="shared" ca="1" si="67"/>
        <v>0</v>
      </c>
      <c r="DP64" s="526">
        <f t="shared" ca="1" si="67"/>
        <v>0</v>
      </c>
      <c r="DQ64" s="526">
        <f t="shared" ca="1" si="67"/>
        <v>0</v>
      </c>
      <c r="DR64" s="526">
        <f t="shared" ca="1" si="67"/>
        <v>0</v>
      </c>
      <c r="DS64" s="526">
        <f t="shared" ca="1" si="67"/>
        <v>0</v>
      </c>
      <c r="DT64" s="526">
        <f t="shared" ca="1" si="67"/>
        <v>0</v>
      </c>
      <c r="DU64" s="526">
        <f t="shared" ca="1" si="67"/>
        <v>0</v>
      </c>
      <c r="DV64" s="526">
        <f t="shared" ca="1" si="67"/>
        <v>0</v>
      </c>
      <c r="DW64" s="526">
        <f t="shared" ca="1" si="67"/>
        <v>0</v>
      </c>
      <c r="DX64" s="526">
        <f t="shared" ca="1" si="67"/>
        <v>0</v>
      </c>
      <c r="DY64" s="526">
        <f t="shared" ca="1" si="67"/>
        <v>0</v>
      </c>
      <c r="DZ64" s="526">
        <f t="shared" ca="1" si="67"/>
        <v>0</v>
      </c>
      <c r="EA64" s="526">
        <f t="shared" ca="1" si="67"/>
        <v>0</v>
      </c>
      <c r="EB64" s="523" t="s">
        <v>557</v>
      </c>
    </row>
    <row r="65" spans="7:132">
      <c r="G65" s="518" t="s">
        <v>1176</v>
      </c>
      <c r="H65" s="537">
        <f>E17</f>
        <v>0</v>
      </c>
      <c r="I65" s="538">
        <f>((H65+1)^(1/12)-1)</f>
        <v>0</v>
      </c>
      <c r="K65" s="526">
        <f>K64*$I65</f>
        <v>0</v>
      </c>
      <c r="L65" s="526">
        <f t="shared" ref="L65:BW65" ca="1" si="68">L64*$I65</f>
        <v>0</v>
      </c>
      <c r="M65" s="526">
        <f t="shared" ca="1" si="68"/>
        <v>0</v>
      </c>
      <c r="N65" s="526">
        <f t="shared" ca="1" si="68"/>
        <v>0</v>
      </c>
      <c r="O65" s="526">
        <f t="shared" ca="1" si="68"/>
        <v>0</v>
      </c>
      <c r="P65" s="526">
        <f t="shared" ca="1" si="68"/>
        <v>0</v>
      </c>
      <c r="Q65" s="526">
        <f t="shared" ca="1" si="68"/>
        <v>0</v>
      </c>
      <c r="R65" s="526">
        <f t="shared" ca="1" si="68"/>
        <v>0</v>
      </c>
      <c r="S65" s="526">
        <f t="shared" ca="1" si="68"/>
        <v>0</v>
      </c>
      <c r="T65" s="526">
        <f t="shared" ca="1" si="68"/>
        <v>0</v>
      </c>
      <c r="U65" s="526">
        <f t="shared" ca="1" si="68"/>
        <v>0</v>
      </c>
      <c r="V65" s="526">
        <f t="shared" ca="1" si="68"/>
        <v>0</v>
      </c>
      <c r="W65" s="526">
        <f t="shared" ca="1" si="68"/>
        <v>0</v>
      </c>
      <c r="X65" s="526">
        <f t="shared" ca="1" si="68"/>
        <v>0</v>
      </c>
      <c r="Y65" s="526">
        <f t="shared" ca="1" si="68"/>
        <v>0</v>
      </c>
      <c r="Z65" s="526">
        <f t="shared" ca="1" si="68"/>
        <v>0</v>
      </c>
      <c r="AA65" s="526">
        <f t="shared" ca="1" si="68"/>
        <v>0</v>
      </c>
      <c r="AB65" s="526">
        <f t="shared" ca="1" si="68"/>
        <v>0</v>
      </c>
      <c r="AC65" s="526">
        <f t="shared" ca="1" si="68"/>
        <v>0</v>
      </c>
      <c r="AD65" s="526">
        <f t="shared" ca="1" si="68"/>
        <v>0</v>
      </c>
      <c r="AE65" s="526">
        <f t="shared" ca="1" si="68"/>
        <v>0</v>
      </c>
      <c r="AF65" s="526">
        <f t="shared" ca="1" si="68"/>
        <v>0</v>
      </c>
      <c r="AG65" s="526">
        <f t="shared" ca="1" si="68"/>
        <v>0</v>
      </c>
      <c r="AH65" s="526">
        <f t="shared" ca="1" si="68"/>
        <v>0</v>
      </c>
      <c r="AI65" s="526">
        <f t="shared" ca="1" si="68"/>
        <v>0</v>
      </c>
      <c r="AJ65" s="526">
        <f t="shared" ca="1" si="68"/>
        <v>0</v>
      </c>
      <c r="AK65" s="526">
        <f t="shared" ca="1" si="68"/>
        <v>0</v>
      </c>
      <c r="AL65" s="526">
        <f t="shared" ca="1" si="68"/>
        <v>0</v>
      </c>
      <c r="AM65" s="526">
        <f t="shared" ca="1" si="68"/>
        <v>0</v>
      </c>
      <c r="AN65" s="526">
        <f t="shared" ca="1" si="68"/>
        <v>0</v>
      </c>
      <c r="AO65" s="526">
        <f t="shared" ca="1" si="68"/>
        <v>0</v>
      </c>
      <c r="AP65" s="526">
        <f t="shared" ca="1" si="68"/>
        <v>0</v>
      </c>
      <c r="AQ65" s="526">
        <f t="shared" ca="1" si="68"/>
        <v>0</v>
      </c>
      <c r="AR65" s="526">
        <f t="shared" ca="1" si="68"/>
        <v>0</v>
      </c>
      <c r="AS65" s="526">
        <f t="shared" ca="1" si="68"/>
        <v>0</v>
      </c>
      <c r="AT65" s="526">
        <f t="shared" ca="1" si="68"/>
        <v>0</v>
      </c>
      <c r="AU65" s="526">
        <f t="shared" ca="1" si="68"/>
        <v>0</v>
      </c>
      <c r="AV65" s="526">
        <f t="shared" ca="1" si="68"/>
        <v>0</v>
      </c>
      <c r="AW65" s="526">
        <f t="shared" ca="1" si="68"/>
        <v>0</v>
      </c>
      <c r="AX65" s="526">
        <f t="shared" ca="1" si="68"/>
        <v>0</v>
      </c>
      <c r="AY65" s="526">
        <f t="shared" ca="1" si="68"/>
        <v>0</v>
      </c>
      <c r="AZ65" s="526">
        <f t="shared" ca="1" si="68"/>
        <v>0</v>
      </c>
      <c r="BA65" s="526">
        <f t="shared" ca="1" si="68"/>
        <v>0</v>
      </c>
      <c r="BB65" s="526">
        <f t="shared" ca="1" si="68"/>
        <v>0</v>
      </c>
      <c r="BC65" s="526">
        <f t="shared" ca="1" si="68"/>
        <v>0</v>
      </c>
      <c r="BD65" s="526">
        <f t="shared" ca="1" si="68"/>
        <v>0</v>
      </c>
      <c r="BE65" s="526">
        <f t="shared" ca="1" si="68"/>
        <v>0</v>
      </c>
      <c r="BF65" s="526">
        <f t="shared" ca="1" si="68"/>
        <v>0</v>
      </c>
      <c r="BG65" s="526">
        <f t="shared" ca="1" si="68"/>
        <v>0</v>
      </c>
      <c r="BH65" s="526">
        <f t="shared" ca="1" si="68"/>
        <v>0</v>
      </c>
      <c r="BI65" s="526">
        <f t="shared" ca="1" si="68"/>
        <v>0</v>
      </c>
      <c r="BJ65" s="526">
        <f t="shared" ca="1" si="68"/>
        <v>0</v>
      </c>
      <c r="BK65" s="526">
        <f t="shared" ca="1" si="68"/>
        <v>0</v>
      </c>
      <c r="BL65" s="526">
        <f t="shared" ca="1" si="68"/>
        <v>0</v>
      </c>
      <c r="BM65" s="526">
        <f t="shared" ca="1" si="68"/>
        <v>0</v>
      </c>
      <c r="BN65" s="526">
        <f t="shared" ca="1" si="68"/>
        <v>0</v>
      </c>
      <c r="BO65" s="526">
        <f t="shared" ca="1" si="68"/>
        <v>0</v>
      </c>
      <c r="BP65" s="526">
        <f t="shared" ca="1" si="68"/>
        <v>0</v>
      </c>
      <c r="BQ65" s="526">
        <f t="shared" ca="1" si="68"/>
        <v>0</v>
      </c>
      <c r="BR65" s="526">
        <f t="shared" ca="1" si="68"/>
        <v>0</v>
      </c>
      <c r="BS65" s="526">
        <f t="shared" ca="1" si="68"/>
        <v>0</v>
      </c>
      <c r="BT65" s="526">
        <f t="shared" ca="1" si="68"/>
        <v>0</v>
      </c>
      <c r="BU65" s="526">
        <f t="shared" ca="1" si="68"/>
        <v>0</v>
      </c>
      <c r="BV65" s="526">
        <f t="shared" ca="1" si="68"/>
        <v>0</v>
      </c>
      <c r="BW65" s="526">
        <f t="shared" ca="1" si="68"/>
        <v>0</v>
      </c>
      <c r="BX65" s="526">
        <f t="shared" ref="BX65:EA65" ca="1" si="69">BX64*$I65</f>
        <v>0</v>
      </c>
      <c r="BY65" s="526">
        <f t="shared" ca="1" si="69"/>
        <v>0</v>
      </c>
      <c r="BZ65" s="526">
        <f t="shared" ca="1" si="69"/>
        <v>0</v>
      </c>
      <c r="CA65" s="526">
        <f t="shared" ca="1" si="69"/>
        <v>0</v>
      </c>
      <c r="CB65" s="526">
        <f t="shared" ca="1" si="69"/>
        <v>0</v>
      </c>
      <c r="CC65" s="526">
        <f t="shared" ca="1" si="69"/>
        <v>0</v>
      </c>
      <c r="CD65" s="526">
        <f t="shared" ca="1" si="69"/>
        <v>0</v>
      </c>
      <c r="CE65" s="526">
        <f t="shared" ca="1" si="69"/>
        <v>0</v>
      </c>
      <c r="CF65" s="526">
        <f t="shared" ca="1" si="69"/>
        <v>0</v>
      </c>
      <c r="CG65" s="526">
        <f t="shared" ca="1" si="69"/>
        <v>0</v>
      </c>
      <c r="CH65" s="526">
        <f t="shared" ca="1" si="69"/>
        <v>0</v>
      </c>
      <c r="CI65" s="526">
        <f t="shared" ca="1" si="69"/>
        <v>0</v>
      </c>
      <c r="CJ65" s="526">
        <f t="shared" ca="1" si="69"/>
        <v>0</v>
      </c>
      <c r="CK65" s="526">
        <f t="shared" ca="1" si="69"/>
        <v>0</v>
      </c>
      <c r="CL65" s="526">
        <f t="shared" ca="1" si="69"/>
        <v>0</v>
      </c>
      <c r="CM65" s="526">
        <f t="shared" ca="1" si="69"/>
        <v>0</v>
      </c>
      <c r="CN65" s="526">
        <f t="shared" ca="1" si="69"/>
        <v>0</v>
      </c>
      <c r="CO65" s="526">
        <f t="shared" ca="1" si="69"/>
        <v>0</v>
      </c>
      <c r="CP65" s="526">
        <f t="shared" ca="1" si="69"/>
        <v>0</v>
      </c>
      <c r="CQ65" s="526">
        <f t="shared" ca="1" si="69"/>
        <v>0</v>
      </c>
      <c r="CR65" s="526">
        <f t="shared" ca="1" si="69"/>
        <v>0</v>
      </c>
      <c r="CS65" s="526">
        <f t="shared" ca="1" si="69"/>
        <v>0</v>
      </c>
      <c r="CT65" s="526">
        <f t="shared" ca="1" si="69"/>
        <v>0</v>
      </c>
      <c r="CU65" s="526">
        <f t="shared" ca="1" si="69"/>
        <v>0</v>
      </c>
      <c r="CV65" s="526">
        <f t="shared" ca="1" si="69"/>
        <v>0</v>
      </c>
      <c r="CW65" s="526">
        <f t="shared" ca="1" si="69"/>
        <v>0</v>
      </c>
      <c r="CX65" s="526">
        <f t="shared" ca="1" si="69"/>
        <v>0</v>
      </c>
      <c r="CY65" s="526">
        <f t="shared" ca="1" si="69"/>
        <v>0</v>
      </c>
      <c r="CZ65" s="526">
        <f t="shared" ca="1" si="69"/>
        <v>0</v>
      </c>
      <c r="DA65" s="526">
        <f t="shared" ca="1" si="69"/>
        <v>0</v>
      </c>
      <c r="DB65" s="526">
        <f t="shared" ca="1" si="69"/>
        <v>0</v>
      </c>
      <c r="DC65" s="526">
        <f t="shared" ca="1" si="69"/>
        <v>0</v>
      </c>
      <c r="DD65" s="526">
        <f t="shared" ca="1" si="69"/>
        <v>0</v>
      </c>
      <c r="DE65" s="526">
        <f t="shared" ca="1" si="69"/>
        <v>0</v>
      </c>
      <c r="DF65" s="526">
        <f t="shared" ca="1" si="69"/>
        <v>0</v>
      </c>
      <c r="DG65" s="526">
        <f t="shared" ca="1" si="69"/>
        <v>0</v>
      </c>
      <c r="DH65" s="526">
        <f t="shared" ca="1" si="69"/>
        <v>0</v>
      </c>
      <c r="DI65" s="526">
        <f t="shared" ca="1" si="69"/>
        <v>0</v>
      </c>
      <c r="DJ65" s="526">
        <f t="shared" ca="1" si="69"/>
        <v>0</v>
      </c>
      <c r="DK65" s="526">
        <f t="shared" ca="1" si="69"/>
        <v>0</v>
      </c>
      <c r="DL65" s="526">
        <f t="shared" ca="1" si="69"/>
        <v>0</v>
      </c>
      <c r="DM65" s="526">
        <f t="shared" ca="1" si="69"/>
        <v>0</v>
      </c>
      <c r="DN65" s="526">
        <f t="shared" ca="1" si="69"/>
        <v>0</v>
      </c>
      <c r="DO65" s="526">
        <f t="shared" ca="1" si="69"/>
        <v>0</v>
      </c>
      <c r="DP65" s="526">
        <f t="shared" ca="1" si="69"/>
        <v>0</v>
      </c>
      <c r="DQ65" s="526">
        <f t="shared" ca="1" si="69"/>
        <v>0</v>
      </c>
      <c r="DR65" s="526">
        <f t="shared" ca="1" si="69"/>
        <v>0</v>
      </c>
      <c r="DS65" s="526">
        <f t="shared" ca="1" si="69"/>
        <v>0</v>
      </c>
      <c r="DT65" s="526">
        <f t="shared" ca="1" si="69"/>
        <v>0</v>
      </c>
      <c r="DU65" s="526">
        <f t="shared" ca="1" si="69"/>
        <v>0</v>
      </c>
      <c r="DV65" s="526">
        <f t="shared" ca="1" si="69"/>
        <v>0</v>
      </c>
      <c r="DW65" s="526">
        <f t="shared" ca="1" si="69"/>
        <v>0</v>
      </c>
      <c r="DX65" s="526">
        <f t="shared" ca="1" si="69"/>
        <v>0</v>
      </c>
      <c r="DY65" s="526">
        <f t="shared" ca="1" si="69"/>
        <v>0</v>
      </c>
      <c r="DZ65" s="526">
        <f t="shared" ca="1" si="69"/>
        <v>0</v>
      </c>
      <c r="EA65" s="526">
        <f t="shared" ca="1" si="69"/>
        <v>0</v>
      </c>
      <c r="EB65" s="523" t="s">
        <v>557</v>
      </c>
    </row>
    <row r="66" spans="7:132">
      <c r="G66" s="518" t="s">
        <v>1145</v>
      </c>
      <c r="K66" s="526">
        <f ca="1">K48</f>
        <v>20296000</v>
      </c>
      <c r="L66" s="526">
        <f>L48</f>
        <v>0</v>
      </c>
      <c r="M66" s="526">
        <f t="shared" ref="M66:BX66" si="70">M48</f>
        <v>0</v>
      </c>
      <c r="N66" s="526">
        <f t="shared" si="70"/>
        <v>0</v>
      </c>
      <c r="O66" s="526">
        <f t="shared" si="70"/>
        <v>0</v>
      </c>
      <c r="P66" s="526">
        <f t="shared" si="70"/>
        <v>0</v>
      </c>
      <c r="Q66" s="526">
        <f t="shared" si="70"/>
        <v>0</v>
      </c>
      <c r="R66" s="526">
        <f t="shared" si="70"/>
        <v>0</v>
      </c>
      <c r="S66" s="526">
        <f t="shared" si="70"/>
        <v>0</v>
      </c>
      <c r="T66" s="526">
        <f t="shared" si="70"/>
        <v>0</v>
      </c>
      <c r="U66" s="526">
        <f t="shared" si="70"/>
        <v>0</v>
      </c>
      <c r="V66" s="526">
        <f t="shared" si="70"/>
        <v>0</v>
      </c>
      <c r="W66" s="526">
        <f t="shared" si="70"/>
        <v>0</v>
      </c>
      <c r="X66" s="526">
        <f t="shared" si="70"/>
        <v>0</v>
      </c>
      <c r="Y66" s="526">
        <f t="shared" si="70"/>
        <v>0</v>
      </c>
      <c r="Z66" s="526">
        <f t="shared" si="70"/>
        <v>0</v>
      </c>
      <c r="AA66" s="526">
        <f t="shared" si="70"/>
        <v>0</v>
      </c>
      <c r="AB66" s="526">
        <f t="shared" si="70"/>
        <v>0</v>
      </c>
      <c r="AC66" s="526">
        <f t="shared" si="70"/>
        <v>0</v>
      </c>
      <c r="AD66" s="526">
        <f t="shared" si="70"/>
        <v>0</v>
      </c>
      <c r="AE66" s="526">
        <f t="shared" si="70"/>
        <v>0</v>
      </c>
      <c r="AF66" s="526">
        <f t="shared" si="70"/>
        <v>0</v>
      </c>
      <c r="AG66" s="526">
        <f t="shared" si="70"/>
        <v>0</v>
      </c>
      <c r="AH66" s="526">
        <f t="shared" si="70"/>
        <v>0</v>
      </c>
      <c r="AI66" s="526">
        <f t="shared" si="70"/>
        <v>0</v>
      </c>
      <c r="AJ66" s="526">
        <f t="shared" si="70"/>
        <v>0</v>
      </c>
      <c r="AK66" s="526">
        <f t="shared" si="70"/>
        <v>0</v>
      </c>
      <c r="AL66" s="526">
        <f t="shared" si="70"/>
        <v>0</v>
      </c>
      <c r="AM66" s="526">
        <f t="shared" si="70"/>
        <v>0</v>
      </c>
      <c r="AN66" s="526">
        <f t="shared" si="70"/>
        <v>0</v>
      </c>
      <c r="AO66" s="526">
        <f t="shared" si="70"/>
        <v>0</v>
      </c>
      <c r="AP66" s="526">
        <f t="shared" si="70"/>
        <v>0</v>
      </c>
      <c r="AQ66" s="526">
        <f t="shared" si="70"/>
        <v>0</v>
      </c>
      <c r="AR66" s="526">
        <f t="shared" si="70"/>
        <v>0</v>
      </c>
      <c r="AS66" s="526">
        <f t="shared" si="70"/>
        <v>0</v>
      </c>
      <c r="AT66" s="526">
        <f t="shared" si="70"/>
        <v>0</v>
      </c>
      <c r="AU66" s="526">
        <f t="shared" si="70"/>
        <v>0</v>
      </c>
      <c r="AV66" s="526">
        <f t="shared" si="70"/>
        <v>0</v>
      </c>
      <c r="AW66" s="526">
        <f t="shared" si="70"/>
        <v>0</v>
      </c>
      <c r="AX66" s="526">
        <f t="shared" si="70"/>
        <v>0</v>
      </c>
      <c r="AY66" s="526">
        <f t="shared" si="70"/>
        <v>0</v>
      </c>
      <c r="AZ66" s="526">
        <f t="shared" si="70"/>
        <v>0</v>
      </c>
      <c r="BA66" s="526">
        <f t="shared" si="70"/>
        <v>0</v>
      </c>
      <c r="BB66" s="526">
        <f t="shared" si="70"/>
        <v>0</v>
      </c>
      <c r="BC66" s="526">
        <f t="shared" si="70"/>
        <v>0</v>
      </c>
      <c r="BD66" s="526">
        <f t="shared" si="70"/>
        <v>0</v>
      </c>
      <c r="BE66" s="526">
        <f t="shared" si="70"/>
        <v>0</v>
      </c>
      <c r="BF66" s="526">
        <f t="shared" si="70"/>
        <v>0</v>
      </c>
      <c r="BG66" s="526">
        <f t="shared" si="70"/>
        <v>0</v>
      </c>
      <c r="BH66" s="526">
        <f t="shared" si="70"/>
        <v>0</v>
      </c>
      <c r="BI66" s="526">
        <f t="shared" si="70"/>
        <v>0</v>
      </c>
      <c r="BJ66" s="526">
        <f t="shared" si="70"/>
        <v>0</v>
      </c>
      <c r="BK66" s="526">
        <f t="shared" si="70"/>
        <v>0</v>
      </c>
      <c r="BL66" s="526">
        <f t="shared" si="70"/>
        <v>0</v>
      </c>
      <c r="BM66" s="526">
        <f t="shared" si="70"/>
        <v>0</v>
      </c>
      <c r="BN66" s="526">
        <f t="shared" si="70"/>
        <v>0</v>
      </c>
      <c r="BO66" s="526">
        <f t="shared" si="70"/>
        <v>0</v>
      </c>
      <c r="BP66" s="526">
        <f t="shared" si="70"/>
        <v>0</v>
      </c>
      <c r="BQ66" s="526">
        <f t="shared" si="70"/>
        <v>0</v>
      </c>
      <c r="BR66" s="526">
        <f t="shared" si="70"/>
        <v>0</v>
      </c>
      <c r="BS66" s="526">
        <f t="shared" si="70"/>
        <v>0</v>
      </c>
      <c r="BT66" s="526">
        <f t="shared" si="70"/>
        <v>0</v>
      </c>
      <c r="BU66" s="526">
        <f t="shared" si="70"/>
        <v>0</v>
      </c>
      <c r="BV66" s="526">
        <f t="shared" si="70"/>
        <v>0</v>
      </c>
      <c r="BW66" s="526">
        <f t="shared" si="70"/>
        <v>0</v>
      </c>
      <c r="BX66" s="526">
        <f t="shared" si="70"/>
        <v>0</v>
      </c>
      <c r="BY66" s="526">
        <f t="shared" ref="BY66:EA66" si="71">BY48</f>
        <v>0</v>
      </c>
      <c r="BZ66" s="526">
        <f t="shared" si="71"/>
        <v>0</v>
      </c>
      <c r="CA66" s="526">
        <f t="shared" si="71"/>
        <v>0</v>
      </c>
      <c r="CB66" s="526">
        <f t="shared" si="71"/>
        <v>0</v>
      </c>
      <c r="CC66" s="526">
        <f t="shared" si="71"/>
        <v>0</v>
      </c>
      <c r="CD66" s="526">
        <f t="shared" si="71"/>
        <v>0</v>
      </c>
      <c r="CE66" s="526">
        <f t="shared" si="71"/>
        <v>0</v>
      </c>
      <c r="CF66" s="526">
        <f t="shared" si="71"/>
        <v>0</v>
      </c>
      <c r="CG66" s="526">
        <f t="shared" si="71"/>
        <v>0</v>
      </c>
      <c r="CH66" s="526">
        <f t="shared" si="71"/>
        <v>0</v>
      </c>
      <c r="CI66" s="526">
        <f t="shared" si="71"/>
        <v>0</v>
      </c>
      <c r="CJ66" s="526">
        <f t="shared" si="71"/>
        <v>0</v>
      </c>
      <c r="CK66" s="526">
        <f t="shared" si="71"/>
        <v>0</v>
      </c>
      <c r="CL66" s="526">
        <f t="shared" si="71"/>
        <v>0</v>
      </c>
      <c r="CM66" s="526">
        <f t="shared" si="71"/>
        <v>0</v>
      </c>
      <c r="CN66" s="526">
        <f t="shared" si="71"/>
        <v>0</v>
      </c>
      <c r="CO66" s="526">
        <f t="shared" si="71"/>
        <v>0</v>
      </c>
      <c r="CP66" s="526">
        <f t="shared" si="71"/>
        <v>0</v>
      </c>
      <c r="CQ66" s="526">
        <f t="shared" si="71"/>
        <v>0</v>
      </c>
      <c r="CR66" s="526">
        <f t="shared" si="71"/>
        <v>0</v>
      </c>
      <c r="CS66" s="526">
        <f t="shared" si="71"/>
        <v>0</v>
      </c>
      <c r="CT66" s="526">
        <f t="shared" si="71"/>
        <v>0</v>
      </c>
      <c r="CU66" s="526">
        <f t="shared" si="71"/>
        <v>0</v>
      </c>
      <c r="CV66" s="526">
        <f t="shared" si="71"/>
        <v>0</v>
      </c>
      <c r="CW66" s="526">
        <f t="shared" si="71"/>
        <v>0</v>
      </c>
      <c r="CX66" s="526">
        <f t="shared" si="71"/>
        <v>0</v>
      </c>
      <c r="CY66" s="526">
        <f t="shared" si="71"/>
        <v>0</v>
      </c>
      <c r="CZ66" s="526">
        <f t="shared" si="71"/>
        <v>0</v>
      </c>
      <c r="DA66" s="526">
        <f t="shared" si="71"/>
        <v>0</v>
      </c>
      <c r="DB66" s="526">
        <f t="shared" si="71"/>
        <v>0</v>
      </c>
      <c r="DC66" s="526">
        <f t="shared" si="71"/>
        <v>0</v>
      </c>
      <c r="DD66" s="526">
        <f t="shared" si="71"/>
        <v>0</v>
      </c>
      <c r="DE66" s="526">
        <f t="shared" si="71"/>
        <v>0</v>
      </c>
      <c r="DF66" s="526">
        <f t="shared" si="71"/>
        <v>0</v>
      </c>
      <c r="DG66" s="526">
        <f t="shared" si="71"/>
        <v>0</v>
      </c>
      <c r="DH66" s="526">
        <f t="shared" si="71"/>
        <v>0</v>
      </c>
      <c r="DI66" s="526">
        <f t="shared" si="71"/>
        <v>0</v>
      </c>
      <c r="DJ66" s="526">
        <f t="shared" si="71"/>
        <v>0</v>
      </c>
      <c r="DK66" s="526">
        <f t="shared" si="71"/>
        <v>0</v>
      </c>
      <c r="DL66" s="526">
        <f t="shared" si="71"/>
        <v>0</v>
      </c>
      <c r="DM66" s="526">
        <f t="shared" si="71"/>
        <v>0</v>
      </c>
      <c r="DN66" s="526">
        <f t="shared" si="71"/>
        <v>0</v>
      </c>
      <c r="DO66" s="526">
        <f t="shared" si="71"/>
        <v>0</v>
      </c>
      <c r="DP66" s="526">
        <f t="shared" si="71"/>
        <v>0</v>
      </c>
      <c r="DQ66" s="526">
        <f t="shared" si="71"/>
        <v>0</v>
      </c>
      <c r="DR66" s="526">
        <f t="shared" si="71"/>
        <v>0</v>
      </c>
      <c r="DS66" s="526">
        <f t="shared" si="71"/>
        <v>0</v>
      </c>
      <c r="DT66" s="526">
        <f t="shared" si="71"/>
        <v>0</v>
      </c>
      <c r="DU66" s="526">
        <f t="shared" si="71"/>
        <v>0</v>
      </c>
      <c r="DV66" s="526">
        <f t="shared" si="71"/>
        <v>0</v>
      </c>
      <c r="DW66" s="526">
        <f t="shared" si="71"/>
        <v>0</v>
      </c>
      <c r="DX66" s="526">
        <f t="shared" si="71"/>
        <v>0</v>
      </c>
      <c r="DY66" s="526">
        <f t="shared" si="71"/>
        <v>0</v>
      </c>
      <c r="DZ66" s="526">
        <f t="shared" si="71"/>
        <v>0</v>
      </c>
      <c r="EA66" s="526">
        <f t="shared" si="71"/>
        <v>0</v>
      </c>
      <c r="EB66" s="523" t="s">
        <v>557</v>
      </c>
    </row>
    <row r="67" spans="7:132">
      <c r="G67" s="518" t="s">
        <v>1177</v>
      </c>
      <c r="K67" s="526">
        <f ca="1">K49+K50</f>
        <v>0</v>
      </c>
      <c r="L67" s="526">
        <f t="shared" ref="L67:BW67" ca="1" si="72">L49+L50</f>
        <v>75142.199419975848</v>
      </c>
      <c r="M67" s="526">
        <f t="shared" ca="1" si="72"/>
        <v>77255.772749442272</v>
      </c>
      <c r="N67" s="526">
        <f t="shared" ca="1" si="72"/>
        <v>79383.436567771874</v>
      </c>
      <c r="O67" s="526">
        <f t="shared" ca="1" si="72"/>
        <v>81525.284811557081</v>
      </c>
      <c r="P67" s="526">
        <f t="shared" ca="1" si="72"/>
        <v>83681.412043634118</v>
      </c>
      <c r="Q67" s="526">
        <f t="shared" ca="1" si="72"/>
        <v>85851.913457258299</v>
      </c>
      <c r="R67" s="526">
        <f t="shared" ca="1" si="72"/>
        <v>88036.884880306709</v>
      </c>
      <c r="S67" s="526">
        <f t="shared" ca="1" si="72"/>
        <v>90236.422779508677</v>
      </c>
      <c r="T67" s="526">
        <f t="shared" ca="1" si="72"/>
        <v>92450.624264705359</v>
      </c>
      <c r="U67" s="526">
        <f t="shared" ca="1" si="72"/>
        <v>94679.587093136754</v>
      </c>
      <c r="V67" s="526">
        <f t="shared" ca="1" si="72"/>
        <v>96923.409673757662</v>
      </c>
      <c r="W67" s="526">
        <f t="shared" ca="1" si="72"/>
        <v>99182.191071582594</v>
      </c>
      <c r="X67" s="526">
        <f t="shared" ca="1" si="72"/>
        <v>99132.252015780003</v>
      </c>
      <c r="Y67" s="526">
        <f t="shared" ca="1" si="72"/>
        <v>101277.30024087873</v>
      </c>
      <c r="Z67" s="526">
        <f t="shared" ca="1" si="72"/>
        <v>103435.75501738423</v>
      </c>
      <c r="AA67" s="526">
        <f t="shared" ca="1" si="72"/>
        <v>105607.70013624289</v>
      </c>
      <c r="AB67" s="526">
        <f t="shared" ca="1" si="72"/>
        <v>107793.2199120944</v>
      </c>
      <c r="AC67" s="526">
        <f t="shared" ca="1" si="72"/>
        <v>109992.39918654515</v>
      </c>
      <c r="AD67" s="526">
        <f t="shared" ca="1" si="72"/>
        <v>112205.32333146107</v>
      </c>
      <c r="AE67" s="526">
        <f t="shared" ca="1" si="72"/>
        <v>114432.07825228265</v>
      </c>
      <c r="AF67" s="526">
        <f t="shared" ca="1" si="72"/>
        <v>116672.75039135954</v>
      </c>
      <c r="AG67" s="526">
        <f t="shared" ca="1" si="72"/>
        <v>118927.4267313055</v>
      </c>
      <c r="AH67" s="526">
        <f t="shared" ca="1" si="72"/>
        <v>121196.19479837616</v>
      </c>
      <c r="AI67" s="526">
        <f t="shared" ca="1" si="72"/>
        <v>123479.14266586611</v>
      </c>
      <c r="AJ67" s="526">
        <f t="shared" ca="1" si="72"/>
        <v>122481.38876808564</v>
      </c>
      <c r="AK67" s="526">
        <f t="shared" ca="1" si="72"/>
        <v>123710.65473037933</v>
      </c>
      <c r="AL67" s="526">
        <f t="shared" ca="1" si="72"/>
        <v>124944.01824588062</v>
      </c>
      <c r="AM67" s="526">
        <f t="shared" ca="1" si="72"/>
        <v>126181.4929731002</v>
      </c>
      <c r="AN67" s="526">
        <f t="shared" ca="1" si="72"/>
        <v>127423.09261607715</v>
      </c>
      <c r="AO67" s="526">
        <f t="shared" ca="1" si="72"/>
        <v>128668.83092453091</v>
      </c>
      <c r="AP67" s="526">
        <f t="shared" ca="1" si="72"/>
        <v>129918.72169401268</v>
      </c>
      <c r="AQ67" s="526">
        <f t="shared" ca="1" si="72"/>
        <v>131172.77876605943</v>
      </c>
      <c r="AR67" s="526">
        <f t="shared" ca="1" si="72"/>
        <v>132431.01602834626</v>
      </c>
      <c r="AS67" s="526">
        <f t="shared" ca="1" si="72"/>
        <v>133693.44741484086</v>
      </c>
      <c r="AT67" s="526">
        <f t="shared" ca="1" si="72"/>
        <v>134960.08690595691</v>
      </c>
      <c r="AU67" s="526">
        <f t="shared" ca="1" si="72"/>
        <v>136230.94852871029</v>
      </c>
      <c r="AV67" s="526">
        <f t="shared" ca="1" si="72"/>
        <v>135241.08391927258</v>
      </c>
      <c r="AW67" s="526">
        <f t="shared" ca="1" si="72"/>
        <v>136520.43207352899</v>
      </c>
      <c r="AX67" s="526">
        <f t="shared" ca="1" si="72"/>
        <v>137804.04472163261</v>
      </c>
      <c r="AY67" s="526">
        <f t="shared" ca="1" si="72"/>
        <v>139091.93607856351</v>
      </c>
      <c r="AZ67" s="526">
        <f t="shared" ca="1" si="72"/>
        <v>140384.12040668412</v>
      </c>
      <c r="BA67" s="526">
        <f t="shared" ca="1" si="72"/>
        <v>141680.61201589828</v>
      </c>
      <c r="BB67" s="526">
        <f t="shared" ca="1" si="72"/>
        <v>142981.42526381009</v>
      </c>
      <c r="BC67" s="526">
        <f t="shared" ca="1" si="72"/>
        <v>144286.57455588144</v>
      </c>
      <c r="BD67" s="526">
        <f t="shared" ca="1" si="72"/>
        <v>145596.07434559317</v>
      </c>
      <c r="BE67" s="526">
        <f t="shared" ca="1" si="72"/>
        <v>146909.93913460377</v>
      </c>
      <c r="BF67" s="526">
        <f t="shared" ca="1" si="72"/>
        <v>148228.18347291125</v>
      </c>
      <c r="BG67" s="526">
        <f t="shared" ca="1" si="72"/>
        <v>28129369.424453359</v>
      </c>
      <c r="BH67" s="526">
        <f t="shared" ca="1" si="72"/>
        <v>0</v>
      </c>
      <c r="BI67" s="526">
        <f t="shared" ca="1" si="72"/>
        <v>0</v>
      </c>
      <c r="BJ67" s="526">
        <f t="shared" ca="1" si="72"/>
        <v>0</v>
      </c>
      <c r="BK67" s="526">
        <f t="shared" ca="1" si="72"/>
        <v>0</v>
      </c>
      <c r="BL67" s="526">
        <f t="shared" ca="1" si="72"/>
        <v>0</v>
      </c>
      <c r="BM67" s="526">
        <f t="shared" ca="1" si="72"/>
        <v>0</v>
      </c>
      <c r="BN67" s="526">
        <f t="shared" ca="1" si="72"/>
        <v>0</v>
      </c>
      <c r="BO67" s="526">
        <f t="shared" ca="1" si="72"/>
        <v>0</v>
      </c>
      <c r="BP67" s="526">
        <f t="shared" ca="1" si="72"/>
        <v>0</v>
      </c>
      <c r="BQ67" s="526">
        <f t="shared" ca="1" si="72"/>
        <v>0</v>
      </c>
      <c r="BR67" s="526">
        <f t="shared" ca="1" si="72"/>
        <v>0</v>
      </c>
      <c r="BS67" s="526">
        <f t="shared" ca="1" si="72"/>
        <v>0</v>
      </c>
      <c r="BT67" s="526">
        <f t="shared" ca="1" si="72"/>
        <v>0</v>
      </c>
      <c r="BU67" s="526">
        <f t="shared" ca="1" si="72"/>
        <v>0</v>
      </c>
      <c r="BV67" s="526">
        <f t="shared" ca="1" si="72"/>
        <v>0</v>
      </c>
      <c r="BW67" s="526">
        <f t="shared" ca="1" si="72"/>
        <v>0</v>
      </c>
      <c r="BX67" s="526">
        <f t="shared" ref="BX67:EA67" ca="1" si="73">BX49+BX50</f>
        <v>0</v>
      </c>
      <c r="BY67" s="526">
        <f t="shared" ca="1" si="73"/>
        <v>0</v>
      </c>
      <c r="BZ67" s="526">
        <f t="shared" ca="1" si="73"/>
        <v>0</v>
      </c>
      <c r="CA67" s="526">
        <f t="shared" ca="1" si="73"/>
        <v>0</v>
      </c>
      <c r="CB67" s="526">
        <f t="shared" ca="1" si="73"/>
        <v>0</v>
      </c>
      <c r="CC67" s="526">
        <f t="shared" ca="1" si="73"/>
        <v>0</v>
      </c>
      <c r="CD67" s="526">
        <f t="shared" ca="1" si="73"/>
        <v>0</v>
      </c>
      <c r="CE67" s="526">
        <f t="shared" ca="1" si="73"/>
        <v>0</v>
      </c>
      <c r="CF67" s="526">
        <f t="shared" ca="1" si="73"/>
        <v>0</v>
      </c>
      <c r="CG67" s="526">
        <f t="shared" ca="1" si="73"/>
        <v>0</v>
      </c>
      <c r="CH67" s="526">
        <f t="shared" ca="1" si="73"/>
        <v>0</v>
      </c>
      <c r="CI67" s="526">
        <f t="shared" ca="1" si="73"/>
        <v>0</v>
      </c>
      <c r="CJ67" s="526">
        <f t="shared" ca="1" si="73"/>
        <v>0</v>
      </c>
      <c r="CK67" s="526">
        <f t="shared" ca="1" si="73"/>
        <v>0</v>
      </c>
      <c r="CL67" s="526">
        <f t="shared" ca="1" si="73"/>
        <v>0</v>
      </c>
      <c r="CM67" s="526">
        <f t="shared" ca="1" si="73"/>
        <v>0</v>
      </c>
      <c r="CN67" s="526">
        <f t="shared" ca="1" si="73"/>
        <v>0</v>
      </c>
      <c r="CO67" s="526">
        <f t="shared" ca="1" si="73"/>
        <v>0</v>
      </c>
      <c r="CP67" s="526">
        <f t="shared" ca="1" si="73"/>
        <v>0</v>
      </c>
      <c r="CQ67" s="526">
        <f t="shared" ca="1" si="73"/>
        <v>0</v>
      </c>
      <c r="CR67" s="526">
        <f t="shared" ca="1" si="73"/>
        <v>0</v>
      </c>
      <c r="CS67" s="526">
        <f t="shared" ca="1" si="73"/>
        <v>0</v>
      </c>
      <c r="CT67" s="526">
        <f t="shared" ca="1" si="73"/>
        <v>0</v>
      </c>
      <c r="CU67" s="526">
        <f t="shared" ca="1" si="73"/>
        <v>0</v>
      </c>
      <c r="CV67" s="526">
        <f t="shared" ca="1" si="73"/>
        <v>0</v>
      </c>
      <c r="CW67" s="526">
        <f t="shared" ca="1" si="73"/>
        <v>0</v>
      </c>
      <c r="CX67" s="526">
        <f t="shared" ca="1" si="73"/>
        <v>0</v>
      </c>
      <c r="CY67" s="526">
        <f t="shared" ca="1" si="73"/>
        <v>0</v>
      </c>
      <c r="CZ67" s="526">
        <f t="shared" ca="1" si="73"/>
        <v>0</v>
      </c>
      <c r="DA67" s="526">
        <f t="shared" ca="1" si="73"/>
        <v>0</v>
      </c>
      <c r="DB67" s="526">
        <f t="shared" ca="1" si="73"/>
        <v>0</v>
      </c>
      <c r="DC67" s="526">
        <f t="shared" ca="1" si="73"/>
        <v>0</v>
      </c>
      <c r="DD67" s="526">
        <f t="shared" ca="1" si="73"/>
        <v>0</v>
      </c>
      <c r="DE67" s="526">
        <f t="shared" ca="1" si="73"/>
        <v>0</v>
      </c>
      <c r="DF67" s="526">
        <f t="shared" ca="1" si="73"/>
        <v>0</v>
      </c>
      <c r="DG67" s="526">
        <f t="shared" ca="1" si="73"/>
        <v>0</v>
      </c>
      <c r="DH67" s="526">
        <f t="shared" ca="1" si="73"/>
        <v>0</v>
      </c>
      <c r="DI67" s="526">
        <f t="shared" ca="1" si="73"/>
        <v>0</v>
      </c>
      <c r="DJ67" s="526">
        <f t="shared" ca="1" si="73"/>
        <v>0</v>
      </c>
      <c r="DK67" s="526">
        <f t="shared" ca="1" si="73"/>
        <v>0</v>
      </c>
      <c r="DL67" s="526">
        <f t="shared" ca="1" si="73"/>
        <v>0</v>
      </c>
      <c r="DM67" s="526">
        <f t="shared" ca="1" si="73"/>
        <v>0</v>
      </c>
      <c r="DN67" s="526">
        <f t="shared" ca="1" si="73"/>
        <v>0</v>
      </c>
      <c r="DO67" s="526">
        <f t="shared" ca="1" si="73"/>
        <v>0</v>
      </c>
      <c r="DP67" s="526">
        <f t="shared" ca="1" si="73"/>
        <v>0</v>
      </c>
      <c r="DQ67" s="526">
        <f t="shared" ca="1" si="73"/>
        <v>0</v>
      </c>
      <c r="DR67" s="526">
        <f t="shared" ca="1" si="73"/>
        <v>0</v>
      </c>
      <c r="DS67" s="526">
        <f t="shared" ca="1" si="73"/>
        <v>0</v>
      </c>
      <c r="DT67" s="526">
        <f t="shared" ca="1" si="73"/>
        <v>0</v>
      </c>
      <c r="DU67" s="526">
        <f t="shared" ca="1" si="73"/>
        <v>0</v>
      </c>
      <c r="DV67" s="526">
        <f t="shared" ca="1" si="73"/>
        <v>0</v>
      </c>
      <c r="DW67" s="526">
        <f t="shared" ca="1" si="73"/>
        <v>0</v>
      </c>
      <c r="DX67" s="526">
        <f t="shared" ca="1" si="73"/>
        <v>0</v>
      </c>
      <c r="DY67" s="526">
        <f t="shared" ca="1" si="73"/>
        <v>0</v>
      </c>
      <c r="DZ67" s="526">
        <f t="shared" ca="1" si="73"/>
        <v>0</v>
      </c>
      <c r="EA67" s="526">
        <f t="shared" ca="1" si="73"/>
        <v>0</v>
      </c>
      <c r="EB67" s="523" t="s">
        <v>557</v>
      </c>
    </row>
    <row r="68" spans="7:132">
      <c r="G68" s="518" t="s">
        <v>1178</v>
      </c>
      <c r="H68" s="539">
        <f>D17</f>
        <v>0.6</v>
      </c>
      <c r="K68" s="526">
        <f ca="1">MIN(K60*$H68,K64+K65-K67)</f>
        <v>0</v>
      </c>
      <c r="L68" s="526">
        <f t="shared" ref="L68:BW68" ca="1" si="74">MIN(L60*$H68,L64+L65-L67)</f>
        <v>0</v>
      </c>
      <c r="M68" s="526">
        <f t="shared" ca="1" si="74"/>
        <v>0</v>
      </c>
      <c r="N68" s="526">
        <f t="shared" ca="1" si="74"/>
        <v>0</v>
      </c>
      <c r="O68" s="526">
        <f t="shared" ca="1" si="74"/>
        <v>0</v>
      </c>
      <c r="P68" s="526">
        <f t="shared" ca="1" si="74"/>
        <v>0</v>
      </c>
      <c r="Q68" s="526">
        <f t="shared" ca="1" si="74"/>
        <v>0</v>
      </c>
      <c r="R68" s="526">
        <f t="shared" ca="1" si="74"/>
        <v>0</v>
      </c>
      <c r="S68" s="526">
        <f t="shared" ca="1" si="74"/>
        <v>0</v>
      </c>
      <c r="T68" s="526">
        <f t="shared" ca="1" si="74"/>
        <v>0</v>
      </c>
      <c r="U68" s="526">
        <f t="shared" ca="1" si="74"/>
        <v>0</v>
      </c>
      <c r="V68" s="526">
        <f t="shared" ca="1" si="74"/>
        <v>0</v>
      </c>
      <c r="W68" s="526">
        <f t="shared" ca="1" si="74"/>
        <v>0</v>
      </c>
      <c r="X68" s="526">
        <f t="shared" ca="1" si="74"/>
        <v>0</v>
      </c>
      <c r="Y68" s="526">
        <f t="shared" ca="1" si="74"/>
        <v>0</v>
      </c>
      <c r="Z68" s="526">
        <f t="shared" ca="1" si="74"/>
        <v>0</v>
      </c>
      <c r="AA68" s="526">
        <f t="shared" ca="1" si="74"/>
        <v>0</v>
      </c>
      <c r="AB68" s="526">
        <f t="shared" ca="1" si="74"/>
        <v>0</v>
      </c>
      <c r="AC68" s="526">
        <f t="shared" ca="1" si="74"/>
        <v>0</v>
      </c>
      <c r="AD68" s="526">
        <f t="shared" ca="1" si="74"/>
        <v>0</v>
      </c>
      <c r="AE68" s="526">
        <f t="shared" ca="1" si="74"/>
        <v>0</v>
      </c>
      <c r="AF68" s="526">
        <f t="shared" ca="1" si="74"/>
        <v>0</v>
      </c>
      <c r="AG68" s="526">
        <f t="shared" ca="1" si="74"/>
        <v>0</v>
      </c>
      <c r="AH68" s="526">
        <f t="shared" ca="1" si="74"/>
        <v>0</v>
      </c>
      <c r="AI68" s="526">
        <f t="shared" ca="1" si="74"/>
        <v>0</v>
      </c>
      <c r="AJ68" s="526">
        <f t="shared" ca="1" si="74"/>
        <v>0</v>
      </c>
      <c r="AK68" s="526">
        <f t="shared" ca="1" si="74"/>
        <v>0</v>
      </c>
      <c r="AL68" s="526">
        <f t="shared" ca="1" si="74"/>
        <v>0</v>
      </c>
      <c r="AM68" s="526">
        <f t="shared" ca="1" si="74"/>
        <v>0</v>
      </c>
      <c r="AN68" s="526">
        <f t="shared" ca="1" si="74"/>
        <v>0</v>
      </c>
      <c r="AO68" s="526">
        <f t="shared" ca="1" si="74"/>
        <v>0</v>
      </c>
      <c r="AP68" s="526">
        <f t="shared" ca="1" si="74"/>
        <v>0</v>
      </c>
      <c r="AQ68" s="526">
        <f t="shared" ca="1" si="74"/>
        <v>0</v>
      </c>
      <c r="AR68" s="526">
        <f t="shared" ca="1" si="74"/>
        <v>0</v>
      </c>
      <c r="AS68" s="526">
        <f t="shared" ca="1" si="74"/>
        <v>0</v>
      </c>
      <c r="AT68" s="526">
        <f t="shared" ca="1" si="74"/>
        <v>0</v>
      </c>
      <c r="AU68" s="526">
        <f t="shared" ca="1" si="74"/>
        <v>0</v>
      </c>
      <c r="AV68" s="526">
        <f t="shared" ca="1" si="74"/>
        <v>0</v>
      </c>
      <c r="AW68" s="526">
        <f t="shared" ca="1" si="74"/>
        <v>0</v>
      </c>
      <c r="AX68" s="526">
        <f t="shared" ca="1" si="74"/>
        <v>0</v>
      </c>
      <c r="AY68" s="526">
        <f t="shared" ca="1" si="74"/>
        <v>0</v>
      </c>
      <c r="AZ68" s="526">
        <f t="shared" ca="1" si="74"/>
        <v>0</v>
      </c>
      <c r="BA68" s="526">
        <f t="shared" ca="1" si="74"/>
        <v>0</v>
      </c>
      <c r="BB68" s="526">
        <f t="shared" ca="1" si="74"/>
        <v>0</v>
      </c>
      <c r="BC68" s="526">
        <f t="shared" ca="1" si="74"/>
        <v>0</v>
      </c>
      <c r="BD68" s="526">
        <f t="shared" ca="1" si="74"/>
        <v>0</v>
      </c>
      <c r="BE68" s="526">
        <f t="shared" ca="1" si="74"/>
        <v>0</v>
      </c>
      <c r="BF68" s="526">
        <f t="shared" ca="1" si="74"/>
        <v>0</v>
      </c>
      <c r="BG68" s="526">
        <f t="shared" ca="1" si="74"/>
        <v>-13322411.00952993</v>
      </c>
      <c r="BH68" s="526">
        <f t="shared" ca="1" si="74"/>
        <v>0</v>
      </c>
      <c r="BI68" s="526">
        <f t="shared" ca="1" si="74"/>
        <v>0</v>
      </c>
      <c r="BJ68" s="526">
        <f t="shared" ca="1" si="74"/>
        <v>0</v>
      </c>
      <c r="BK68" s="526">
        <f t="shared" ca="1" si="74"/>
        <v>0</v>
      </c>
      <c r="BL68" s="526">
        <f t="shared" ca="1" si="74"/>
        <v>0</v>
      </c>
      <c r="BM68" s="526">
        <f t="shared" ca="1" si="74"/>
        <v>0</v>
      </c>
      <c r="BN68" s="526">
        <f t="shared" ca="1" si="74"/>
        <v>0</v>
      </c>
      <c r="BO68" s="526">
        <f t="shared" ca="1" si="74"/>
        <v>0</v>
      </c>
      <c r="BP68" s="526">
        <f t="shared" ca="1" si="74"/>
        <v>0</v>
      </c>
      <c r="BQ68" s="526">
        <f t="shared" ca="1" si="74"/>
        <v>0</v>
      </c>
      <c r="BR68" s="526">
        <f t="shared" ca="1" si="74"/>
        <v>0</v>
      </c>
      <c r="BS68" s="526">
        <f t="shared" ca="1" si="74"/>
        <v>0</v>
      </c>
      <c r="BT68" s="526">
        <f t="shared" ca="1" si="74"/>
        <v>0</v>
      </c>
      <c r="BU68" s="526">
        <f t="shared" ca="1" si="74"/>
        <v>0</v>
      </c>
      <c r="BV68" s="526">
        <f t="shared" ca="1" si="74"/>
        <v>0</v>
      </c>
      <c r="BW68" s="526">
        <f t="shared" ca="1" si="74"/>
        <v>0</v>
      </c>
      <c r="BX68" s="526">
        <f t="shared" ref="BX68:EA68" ca="1" si="75">MIN(BX60*$H68,BX64+BX65-BX67)</f>
        <v>0</v>
      </c>
      <c r="BY68" s="526">
        <f t="shared" ca="1" si="75"/>
        <v>0</v>
      </c>
      <c r="BZ68" s="526">
        <f t="shared" ca="1" si="75"/>
        <v>0</v>
      </c>
      <c r="CA68" s="526">
        <f t="shared" ca="1" si="75"/>
        <v>0</v>
      </c>
      <c r="CB68" s="526">
        <f t="shared" ca="1" si="75"/>
        <v>0</v>
      </c>
      <c r="CC68" s="526">
        <f t="shared" ca="1" si="75"/>
        <v>0</v>
      </c>
      <c r="CD68" s="526">
        <f t="shared" ca="1" si="75"/>
        <v>0</v>
      </c>
      <c r="CE68" s="526">
        <f t="shared" ca="1" si="75"/>
        <v>0</v>
      </c>
      <c r="CF68" s="526">
        <f t="shared" ca="1" si="75"/>
        <v>0</v>
      </c>
      <c r="CG68" s="526">
        <f t="shared" ca="1" si="75"/>
        <v>0</v>
      </c>
      <c r="CH68" s="526">
        <f t="shared" ca="1" si="75"/>
        <v>0</v>
      </c>
      <c r="CI68" s="526">
        <f t="shared" ca="1" si="75"/>
        <v>0</v>
      </c>
      <c r="CJ68" s="526">
        <f t="shared" ca="1" si="75"/>
        <v>0</v>
      </c>
      <c r="CK68" s="526">
        <f t="shared" ca="1" si="75"/>
        <v>0</v>
      </c>
      <c r="CL68" s="526">
        <f t="shared" ca="1" si="75"/>
        <v>0</v>
      </c>
      <c r="CM68" s="526">
        <f t="shared" ca="1" si="75"/>
        <v>0</v>
      </c>
      <c r="CN68" s="526">
        <f t="shared" ca="1" si="75"/>
        <v>0</v>
      </c>
      <c r="CO68" s="526">
        <f t="shared" ca="1" si="75"/>
        <v>0</v>
      </c>
      <c r="CP68" s="526">
        <f t="shared" ca="1" si="75"/>
        <v>0</v>
      </c>
      <c r="CQ68" s="526">
        <f t="shared" ca="1" si="75"/>
        <v>0</v>
      </c>
      <c r="CR68" s="526">
        <f t="shared" ca="1" si="75"/>
        <v>0</v>
      </c>
      <c r="CS68" s="526">
        <f t="shared" ca="1" si="75"/>
        <v>0</v>
      </c>
      <c r="CT68" s="526">
        <f t="shared" ca="1" si="75"/>
        <v>0</v>
      </c>
      <c r="CU68" s="526">
        <f t="shared" ca="1" si="75"/>
        <v>0</v>
      </c>
      <c r="CV68" s="526">
        <f t="shared" ca="1" si="75"/>
        <v>0</v>
      </c>
      <c r="CW68" s="526">
        <f t="shared" ca="1" si="75"/>
        <v>0</v>
      </c>
      <c r="CX68" s="526">
        <f t="shared" ca="1" si="75"/>
        <v>0</v>
      </c>
      <c r="CY68" s="526">
        <f t="shared" ca="1" si="75"/>
        <v>0</v>
      </c>
      <c r="CZ68" s="526">
        <f t="shared" ca="1" si="75"/>
        <v>0</v>
      </c>
      <c r="DA68" s="526">
        <f t="shared" ca="1" si="75"/>
        <v>0</v>
      </c>
      <c r="DB68" s="526">
        <f t="shared" ca="1" si="75"/>
        <v>0</v>
      </c>
      <c r="DC68" s="526">
        <f t="shared" ca="1" si="75"/>
        <v>0</v>
      </c>
      <c r="DD68" s="526">
        <f t="shared" ca="1" si="75"/>
        <v>0</v>
      </c>
      <c r="DE68" s="526">
        <f t="shared" ca="1" si="75"/>
        <v>0</v>
      </c>
      <c r="DF68" s="526">
        <f t="shared" ca="1" si="75"/>
        <v>0</v>
      </c>
      <c r="DG68" s="526">
        <f t="shared" ca="1" si="75"/>
        <v>0</v>
      </c>
      <c r="DH68" s="526">
        <f t="shared" ca="1" si="75"/>
        <v>0</v>
      </c>
      <c r="DI68" s="526">
        <f t="shared" ca="1" si="75"/>
        <v>0</v>
      </c>
      <c r="DJ68" s="526">
        <f t="shared" ca="1" si="75"/>
        <v>0</v>
      </c>
      <c r="DK68" s="526">
        <f t="shared" ca="1" si="75"/>
        <v>0</v>
      </c>
      <c r="DL68" s="526">
        <f t="shared" ca="1" si="75"/>
        <v>0</v>
      </c>
      <c r="DM68" s="526">
        <f t="shared" ca="1" si="75"/>
        <v>0</v>
      </c>
      <c r="DN68" s="526">
        <f t="shared" ca="1" si="75"/>
        <v>0</v>
      </c>
      <c r="DO68" s="526">
        <f t="shared" ca="1" si="75"/>
        <v>0</v>
      </c>
      <c r="DP68" s="526">
        <f t="shared" ca="1" si="75"/>
        <v>0</v>
      </c>
      <c r="DQ68" s="526">
        <f t="shared" ca="1" si="75"/>
        <v>0</v>
      </c>
      <c r="DR68" s="526">
        <f t="shared" ca="1" si="75"/>
        <v>0</v>
      </c>
      <c r="DS68" s="526">
        <f t="shared" ca="1" si="75"/>
        <v>0</v>
      </c>
      <c r="DT68" s="526">
        <f t="shared" ca="1" si="75"/>
        <v>0</v>
      </c>
      <c r="DU68" s="526">
        <f t="shared" ca="1" si="75"/>
        <v>0</v>
      </c>
      <c r="DV68" s="526">
        <f t="shared" ca="1" si="75"/>
        <v>0</v>
      </c>
      <c r="DW68" s="526">
        <f t="shared" ca="1" si="75"/>
        <v>0</v>
      </c>
      <c r="DX68" s="526">
        <f t="shared" ca="1" si="75"/>
        <v>0</v>
      </c>
      <c r="DY68" s="526">
        <f t="shared" ca="1" si="75"/>
        <v>0</v>
      </c>
      <c r="DZ68" s="526">
        <f t="shared" ca="1" si="75"/>
        <v>0</v>
      </c>
      <c r="EA68" s="526">
        <f t="shared" ca="1" si="75"/>
        <v>0</v>
      </c>
      <c r="EB68" s="523"/>
    </row>
    <row r="69" spans="7:132">
      <c r="G69" s="518" t="s">
        <v>1148</v>
      </c>
      <c r="K69" s="526">
        <f ca="1">K64+K65+K66-K67-K68</f>
        <v>20296000</v>
      </c>
      <c r="L69" s="526">
        <f t="shared" ref="L69:BW69" ca="1" si="76">L64+L65+L66-L67-L68</f>
        <v>20220857.800580025</v>
      </c>
      <c r="M69" s="526">
        <f t="shared" ca="1" si="76"/>
        <v>20143602.027830582</v>
      </c>
      <c r="N69" s="526">
        <f t="shared" ca="1" si="76"/>
        <v>20064218.59126281</v>
      </c>
      <c r="O69" s="526">
        <f t="shared" ca="1" si="76"/>
        <v>19982693.306451254</v>
      </c>
      <c r="P69" s="526">
        <f t="shared" ca="1" si="76"/>
        <v>19899011.894407619</v>
      </c>
      <c r="Q69" s="526">
        <f t="shared" ca="1" si="76"/>
        <v>19813159.980950359</v>
      </c>
      <c r="R69" s="526">
        <f t="shared" ca="1" si="76"/>
        <v>19725123.096070051</v>
      </c>
      <c r="S69" s="526">
        <f t="shared" ca="1" si="76"/>
        <v>19634886.673290543</v>
      </c>
      <c r="T69" s="526">
        <f t="shared" ca="1" si="76"/>
        <v>19542436.049025837</v>
      </c>
      <c r="U69" s="526">
        <f t="shared" ca="1" si="76"/>
        <v>19447756.4619327</v>
      </c>
      <c r="V69" s="526">
        <f t="shared" ca="1" si="76"/>
        <v>19350833.052258942</v>
      </c>
      <c r="W69" s="526">
        <f t="shared" ca="1" si="76"/>
        <v>19251650.861187361</v>
      </c>
      <c r="X69" s="526">
        <f t="shared" ca="1" si="76"/>
        <v>19152518.609171581</v>
      </c>
      <c r="Y69" s="526">
        <f t="shared" ca="1" si="76"/>
        <v>19051241.308930703</v>
      </c>
      <c r="Z69" s="526">
        <f t="shared" ca="1" si="76"/>
        <v>18947805.553913318</v>
      </c>
      <c r="AA69" s="526">
        <f t="shared" ca="1" si="76"/>
        <v>18842197.853777073</v>
      </c>
      <c r="AB69" s="526">
        <f t="shared" ca="1" si="76"/>
        <v>18734404.63386498</v>
      </c>
      <c r="AC69" s="526">
        <f t="shared" ca="1" si="76"/>
        <v>18624412.234678436</v>
      </c>
      <c r="AD69" s="526">
        <f t="shared" ca="1" si="76"/>
        <v>18512206.911346976</v>
      </c>
      <c r="AE69" s="526">
        <f t="shared" ca="1" si="76"/>
        <v>18397774.833094694</v>
      </c>
      <c r="AF69" s="526">
        <f t="shared" ca="1" si="76"/>
        <v>18281102.082703333</v>
      </c>
      <c r="AG69" s="526">
        <f t="shared" ca="1" si="76"/>
        <v>18162174.655972026</v>
      </c>
      <c r="AH69" s="526">
        <f t="shared" ca="1" si="76"/>
        <v>18040978.46117365</v>
      </c>
      <c r="AI69" s="526">
        <f t="shared" ca="1" si="76"/>
        <v>17917499.318507783</v>
      </c>
      <c r="AJ69" s="526">
        <f t="shared" ca="1" si="76"/>
        <v>17795017.929739699</v>
      </c>
      <c r="AK69" s="526">
        <f t="shared" ca="1" si="76"/>
        <v>17671307.275009319</v>
      </c>
      <c r="AL69" s="526">
        <f t="shared" ca="1" si="76"/>
        <v>17546363.25676344</v>
      </c>
      <c r="AM69" s="526">
        <f t="shared" ca="1" si="76"/>
        <v>17420181.763790339</v>
      </c>
      <c r="AN69" s="526">
        <f t="shared" ca="1" si="76"/>
        <v>17292758.671174262</v>
      </c>
      <c r="AO69" s="526">
        <f t="shared" ca="1" si="76"/>
        <v>17164089.840249732</v>
      </c>
      <c r="AP69" s="526">
        <f t="shared" ca="1" si="76"/>
        <v>17034171.118555721</v>
      </c>
      <c r="AQ69" s="526">
        <f t="shared" ca="1" si="76"/>
        <v>16902998.339789663</v>
      </c>
      <c r="AR69" s="526">
        <f t="shared" ca="1" si="76"/>
        <v>16770567.323761316</v>
      </c>
      <c r="AS69" s="526">
        <f t="shared" ca="1" si="76"/>
        <v>16636873.876346475</v>
      </c>
      <c r="AT69" s="526">
        <f t="shared" ca="1" si="76"/>
        <v>16501913.789440518</v>
      </c>
      <c r="AU69" s="526">
        <f t="shared" ca="1" si="76"/>
        <v>16365682.840911807</v>
      </c>
      <c r="AV69" s="526">
        <f t="shared" ca="1" si="76"/>
        <v>16230441.756992536</v>
      </c>
      <c r="AW69" s="526">
        <f t="shared" ca="1" si="76"/>
        <v>16093921.324919006</v>
      </c>
      <c r="AX69" s="526">
        <f t="shared" ca="1" si="76"/>
        <v>15956117.280197373</v>
      </c>
      <c r="AY69" s="526">
        <f t="shared" ca="1" si="76"/>
        <v>15817025.344118809</v>
      </c>
      <c r="AZ69" s="526">
        <f t="shared" ca="1" si="76"/>
        <v>15676641.223712126</v>
      </c>
      <c r="BA69" s="526">
        <f t="shared" ca="1" si="76"/>
        <v>15534960.611696228</v>
      </c>
      <c r="BB69" s="526">
        <f t="shared" ca="1" si="76"/>
        <v>15391979.186432417</v>
      </c>
      <c r="BC69" s="526">
        <f t="shared" ca="1" si="76"/>
        <v>15247692.611876536</v>
      </c>
      <c r="BD69" s="526">
        <f t="shared" ca="1" si="76"/>
        <v>15102096.537530944</v>
      </c>
      <c r="BE69" s="526">
        <f t="shared" ca="1" si="76"/>
        <v>14955186.59839634</v>
      </c>
      <c r="BF69" s="526">
        <f t="shared" ca="1" si="76"/>
        <v>14806958.414923429</v>
      </c>
      <c r="BG69" s="526">
        <f t="shared" ca="1" si="76"/>
        <v>0</v>
      </c>
      <c r="BH69" s="526">
        <f t="shared" ca="1" si="76"/>
        <v>0</v>
      </c>
      <c r="BI69" s="526">
        <f t="shared" ca="1" si="76"/>
        <v>0</v>
      </c>
      <c r="BJ69" s="526">
        <f t="shared" ca="1" si="76"/>
        <v>0</v>
      </c>
      <c r="BK69" s="526">
        <f t="shared" ca="1" si="76"/>
        <v>0</v>
      </c>
      <c r="BL69" s="526">
        <f t="shared" ca="1" si="76"/>
        <v>0</v>
      </c>
      <c r="BM69" s="526">
        <f t="shared" ca="1" si="76"/>
        <v>0</v>
      </c>
      <c r="BN69" s="526">
        <f t="shared" ca="1" si="76"/>
        <v>0</v>
      </c>
      <c r="BO69" s="526">
        <f t="shared" ca="1" si="76"/>
        <v>0</v>
      </c>
      <c r="BP69" s="526">
        <f t="shared" ca="1" si="76"/>
        <v>0</v>
      </c>
      <c r="BQ69" s="526">
        <f t="shared" ca="1" si="76"/>
        <v>0</v>
      </c>
      <c r="BR69" s="526">
        <f t="shared" ca="1" si="76"/>
        <v>0</v>
      </c>
      <c r="BS69" s="526">
        <f t="shared" ca="1" si="76"/>
        <v>0</v>
      </c>
      <c r="BT69" s="526">
        <f t="shared" ca="1" si="76"/>
        <v>0</v>
      </c>
      <c r="BU69" s="526">
        <f t="shared" ca="1" si="76"/>
        <v>0</v>
      </c>
      <c r="BV69" s="526">
        <f t="shared" ca="1" si="76"/>
        <v>0</v>
      </c>
      <c r="BW69" s="526">
        <f t="shared" ca="1" si="76"/>
        <v>0</v>
      </c>
      <c r="BX69" s="526">
        <f t="shared" ref="BX69:EA69" ca="1" si="77">BX64+BX65+BX66-BX67-BX68</f>
        <v>0</v>
      </c>
      <c r="BY69" s="526">
        <f t="shared" ca="1" si="77"/>
        <v>0</v>
      </c>
      <c r="BZ69" s="526">
        <f t="shared" ca="1" si="77"/>
        <v>0</v>
      </c>
      <c r="CA69" s="526">
        <f t="shared" ca="1" si="77"/>
        <v>0</v>
      </c>
      <c r="CB69" s="526">
        <f t="shared" ca="1" si="77"/>
        <v>0</v>
      </c>
      <c r="CC69" s="526">
        <f t="shared" ca="1" si="77"/>
        <v>0</v>
      </c>
      <c r="CD69" s="526">
        <f t="shared" ca="1" si="77"/>
        <v>0</v>
      </c>
      <c r="CE69" s="526">
        <f t="shared" ca="1" si="77"/>
        <v>0</v>
      </c>
      <c r="CF69" s="526">
        <f t="shared" ca="1" si="77"/>
        <v>0</v>
      </c>
      <c r="CG69" s="526">
        <f t="shared" ca="1" si="77"/>
        <v>0</v>
      </c>
      <c r="CH69" s="526">
        <f t="shared" ca="1" si="77"/>
        <v>0</v>
      </c>
      <c r="CI69" s="526">
        <f t="shared" ca="1" si="77"/>
        <v>0</v>
      </c>
      <c r="CJ69" s="526">
        <f t="shared" ca="1" si="77"/>
        <v>0</v>
      </c>
      <c r="CK69" s="526">
        <f t="shared" ca="1" si="77"/>
        <v>0</v>
      </c>
      <c r="CL69" s="526">
        <f t="shared" ca="1" si="77"/>
        <v>0</v>
      </c>
      <c r="CM69" s="526">
        <f t="shared" ca="1" si="77"/>
        <v>0</v>
      </c>
      <c r="CN69" s="526">
        <f t="shared" ca="1" si="77"/>
        <v>0</v>
      </c>
      <c r="CO69" s="526">
        <f t="shared" ca="1" si="77"/>
        <v>0</v>
      </c>
      <c r="CP69" s="526">
        <f t="shared" ca="1" si="77"/>
        <v>0</v>
      </c>
      <c r="CQ69" s="526">
        <f t="shared" ca="1" si="77"/>
        <v>0</v>
      </c>
      <c r="CR69" s="526">
        <f t="shared" ca="1" si="77"/>
        <v>0</v>
      </c>
      <c r="CS69" s="526">
        <f t="shared" ca="1" si="77"/>
        <v>0</v>
      </c>
      <c r="CT69" s="526">
        <f t="shared" ca="1" si="77"/>
        <v>0</v>
      </c>
      <c r="CU69" s="526">
        <f t="shared" ca="1" si="77"/>
        <v>0</v>
      </c>
      <c r="CV69" s="526">
        <f t="shared" ca="1" si="77"/>
        <v>0</v>
      </c>
      <c r="CW69" s="526">
        <f t="shared" ca="1" si="77"/>
        <v>0</v>
      </c>
      <c r="CX69" s="526">
        <f t="shared" ca="1" si="77"/>
        <v>0</v>
      </c>
      <c r="CY69" s="526">
        <f t="shared" ca="1" si="77"/>
        <v>0</v>
      </c>
      <c r="CZ69" s="526">
        <f t="shared" ca="1" si="77"/>
        <v>0</v>
      </c>
      <c r="DA69" s="526">
        <f t="shared" ca="1" si="77"/>
        <v>0</v>
      </c>
      <c r="DB69" s="526">
        <f t="shared" ca="1" si="77"/>
        <v>0</v>
      </c>
      <c r="DC69" s="526">
        <f t="shared" ca="1" si="77"/>
        <v>0</v>
      </c>
      <c r="DD69" s="526">
        <f t="shared" ca="1" si="77"/>
        <v>0</v>
      </c>
      <c r="DE69" s="526">
        <f t="shared" ca="1" si="77"/>
        <v>0</v>
      </c>
      <c r="DF69" s="526">
        <f t="shared" ca="1" si="77"/>
        <v>0</v>
      </c>
      <c r="DG69" s="526">
        <f t="shared" ca="1" si="77"/>
        <v>0</v>
      </c>
      <c r="DH69" s="526">
        <f t="shared" ca="1" si="77"/>
        <v>0</v>
      </c>
      <c r="DI69" s="526">
        <f t="shared" ca="1" si="77"/>
        <v>0</v>
      </c>
      <c r="DJ69" s="526">
        <f t="shared" ca="1" si="77"/>
        <v>0</v>
      </c>
      <c r="DK69" s="526">
        <f t="shared" ca="1" si="77"/>
        <v>0</v>
      </c>
      <c r="DL69" s="526">
        <f t="shared" ca="1" si="77"/>
        <v>0</v>
      </c>
      <c r="DM69" s="526">
        <f t="shared" ca="1" si="77"/>
        <v>0</v>
      </c>
      <c r="DN69" s="526">
        <f t="shared" ca="1" si="77"/>
        <v>0</v>
      </c>
      <c r="DO69" s="526">
        <f t="shared" ca="1" si="77"/>
        <v>0</v>
      </c>
      <c r="DP69" s="526">
        <f t="shared" ca="1" si="77"/>
        <v>0</v>
      </c>
      <c r="DQ69" s="526">
        <f t="shared" ca="1" si="77"/>
        <v>0</v>
      </c>
      <c r="DR69" s="526">
        <f t="shared" ca="1" si="77"/>
        <v>0</v>
      </c>
      <c r="DS69" s="526">
        <f t="shared" ca="1" si="77"/>
        <v>0</v>
      </c>
      <c r="DT69" s="526">
        <f t="shared" ca="1" si="77"/>
        <v>0</v>
      </c>
      <c r="DU69" s="526">
        <f t="shared" ca="1" si="77"/>
        <v>0</v>
      </c>
      <c r="DV69" s="526">
        <f t="shared" ca="1" si="77"/>
        <v>0</v>
      </c>
      <c r="DW69" s="526">
        <f t="shared" ca="1" si="77"/>
        <v>0</v>
      </c>
      <c r="DX69" s="526">
        <f t="shared" ca="1" si="77"/>
        <v>0</v>
      </c>
      <c r="DY69" s="526">
        <f t="shared" ca="1" si="77"/>
        <v>0</v>
      </c>
      <c r="DZ69" s="526">
        <f t="shared" ca="1" si="77"/>
        <v>0</v>
      </c>
      <c r="EA69" s="526">
        <f t="shared" ca="1" si="77"/>
        <v>0</v>
      </c>
      <c r="EB69" s="523" t="s">
        <v>557</v>
      </c>
    </row>
    <row r="70" spans="7:132">
      <c r="G70" s="518" t="s">
        <v>1150</v>
      </c>
      <c r="I70" s="543" t="s">
        <v>1105</v>
      </c>
      <c r="K70" s="526">
        <f ca="1">-K66+K67+K68</f>
        <v>-20296000</v>
      </c>
      <c r="L70" s="526">
        <f t="shared" ref="L70:BW70" ca="1" si="78">-L66+L67+L68</f>
        <v>75142.199419975848</v>
      </c>
      <c r="M70" s="526">
        <f t="shared" ca="1" si="78"/>
        <v>77255.772749442272</v>
      </c>
      <c r="N70" s="526">
        <f t="shared" ca="1" si="78"/>
        <v>79383.436567771874</v>
      </c>
      <c r="O70" s="526">
        <f t="shared" ca="1" si="78"/>
        <v>81525.284811557081</v>
      </c>
      <c r="P70" s="526">
        <f t="shared" ca="1" si="78"/>
        <v>83681.412043634118</v>
      </c>
      <c r="Q70" s="526">
        <f t="shared" ca="1" si="78"/>
        <v>85851.913457258299</v>
      </c>
      <c r="R70" s="526">
        <f t="shared" ca="1" si="78"/>
        <v>88036.884880306709</v>
      </c>
      <c r="S70" s="526">
        <f t="shared" ca="1" si="78"/>
        <v>90236.422779508677</v>
      </c>
      <c r="T70" s="526">
        <f t="shared" ca="1" si="78"/>
        <v>92450.624264705359</v>
      </c>
      <c r="U70" s="526">
        <f t="shared" ca="1" si="78"/>
        <v>94679.587093136754</v>
      </c>
      <c r="V70" s="526">
        <f t="shared" ca="1" si="78"/>
        <v>96923.409673757662</v>
      </c>
      <c r="W70" s="526">
        <f t="shared" ca="1" si="78"/>
        <v>99182.191071582594</v>
      </c>
      <c r="X70" s="526">
        <f t="shared" ca="1" si="78"/>
        <v>99132.252015780003</v>
      </c>
      <c r="Y70" s="526">
        <f t="shared" ca="1" si="78"/>
        <v>101277.30024087873</v>
      </c>
      <c r="Z70" s="526">
        <f t="shared" ca="1" si="78"/>
        <v>103435.75501738423</v>
      </c>
      <c r="AA70" s="526">
        <f t="shared" ca="1" si="78"/>
        <v>105607.70013624289</v>
      </c>
      <c r="AB70" s="526">
        <f t="shared" ca="1" si="78"/>
        <v>107793.2199120944</v>
      </c>
      <c r="AC70" s="526">
        <f t="shared" ca="1" si="78"/>
        <v>109992.39918654515</v>
      </c>
      <c r="AD70" s="526">
        <f t="shared" ca="1" si="78"/>
        <v>112205.32333146107</v>
      </c>
      <c r="AE70" s="526">
        <f t="shared" ca="1" si="78"/>
        <v>114432.07825228265</v>
      </c>
      <c r="AF70" s="526">
        <f t="shared" ca="1" si="78"/>
        <v>116672.75039135954</v>
      </c>
      <c r="AG70" s="526">
        <f t="shared" ca="1" si="78"/>
        <v>118927.4267313055</v>
      </c>
      <c r="AH70" s="526">
        <f t="shared" ca="1" si="78"/>
        <v>121196.19479837616</v>
      </c>
      <c r="AI70" s="526">
        <f t="shared" ca="1" si="78"/>
        <v>123479.14266586611</v>
      </c>
      <c r="AJ70" s="526">
        <f t="shared" ca="1" si="78"/>
        <v>122481.38876808564</v>
      </c>
      <c r="AK70" s="526">
        <f t="shared" ca="1" si="78"/>
        <v>123710.65473037933</v>
      </c>
      <c r="AL70" s="526">
        <f t="shared" ca="1" si="78"/>
        <v>124944.01824588062</v>
      </c>
      <c r="AM70" s="526">
        <f t="shared" ca="1" si="78"/>
        <v>126181.4929731002</v>
      </c>
      <c r="AN70" s="526">
        <f t="shared" ca="1" si="78"/>
        <v>127423.09261607715</v>
      </c>
      <c r="AO70" s="526">
        <f t="shared" ca="1" si="78"/>
        <v>128668.83092453091</v>
      </c>
      <c r="AP70" s="526">
        <f t="shared" ca="1" si="78"/>
        <v>129918.72169401268</v>
      </c>
      <c r="AQ70" s="526">
        <f t="shared" ca="1" si="78"/>
        <v>131172.77876605943</v>
      </c>
      <c r="AR70" s="526">
        <f t="shared" ca="1" si="78"/>
        <v>132431.01602834626</v>
      </c>
      <c r="AS70" s="526">
        <f t="shared" ca="1" si="78"/>
        <v>133693.44741484086</v>
      </c>
      <c r="AT70" s="526">
        <f t="shared" ca="1" si="78"/>
        <v>134960.08690595691</v>
      </c>
      <c r="AU70" s="526">
        <f t="shared" ca="1" si="78"/>
        <v>136230.94852871029</v>
      </c>
      <c r="AV70" s="526">
        <f t="shared" ca="1" si="78"/>
        <v>135241.08391927258</v>
      </c>
      <c r="AW70" s="526">
        <f t="shared" ca="1" si="78"/>
        <v>136520.43207352899</v>
      </c>
      <c r="AX70" s="526">
        <f t="shared" ca="1" si="78"/>
        <v>137804.04472163261</v>
      </c>
      <c r="AY70" s="526">
        <f t="shared" ca="1" si="78"/>
        <v>139091.93607856351</v>
      </c>
      <c r="AZ70" s="526">
        <f t="shared" ca="1" si="78"/>
        <v>140384.12040668412</v>
      </c>
      <c r="BA70" s="526">
        <f t="shared" ca="1" si="78"/>
        <v>141680.61201589828</v>
      </c>
      <c r="BB70" s="526">
        <f t="shared" ca="1" si="78"/>
        <v>142981.42526381009</v>
      </c>
      <c r="BC70" s="526">
        <f t="shared" ca="1" si="78"/>
        <v>144286.57455588144</v>
      </c>
      <c r="BD70" s="526">
        <f t="shared" ca="1" si="78"/>
        <v>145596.07434559317</v>
      </c>
      <c r="BE70" s="526">
        <f t="shared" ca="1" si="78"/>
        <v>146909.93913460377</v>
      </c>
      <c r="BF70" s="526">
        <f t="shared" ca="1" si="78"/>
        <v>148228.18347291125</v>
      </c>
      <c r="BG70" s="526">
        <f t="shared" ca="1" si="78"/>
        <v>14806958.414923429</v>
      </c>
      <c r="BH70" s="526">
        <f t="shared" ca="1" si="78"/>
        <v>0</v>
      </c>
      <c r="BI70" s="526">
        <f t="shared" ca="1" si="78"/>
        <v>0</v>
      </c>
      <c r="BJ70" s="526">
        <f t="shared" ca="1" si="78"/>
        <v>0</v>
      </c>
      <c r="BK70" s="526">
        <f t="shared" ca="1" si="78"/>
        <v>0</v>
      </c>
      <c r="BL70" s="526">
        <f t="shared" ca="1" si="78"/>
        <v>0</v>
      </c>
      <c r="BM70" s="526">
        <f t="shared" ca="1" si="78"/>
        <v>0</v>
      </c>
      <c r="BN70" s="526">
        <f t="shared" ca="1" si="78"/>
        <v>0</v>
      </c>
      <c r="BO70" s="526">
        <f t="shared" ca="1" si="78"/>
        <v>0</v>
      </c>
      <c r="BP70" s="526">
        <f t="shared" ca="1" si="78"/>
        <v>0</v>
      </c>
      <c r="BQ70" s="526">
        <f t="shared" ca="1" si="78"/>
        <v>0</v>
      </c>
      <c r="BR70" s="526">
        <f t="shared" ca="1" si="78"/>
        <v>0</v>
      </c>
      <c r="BS70" s="526">
        <f t="shared" ca="1" si="78"/>
        <v>0</v>
      </c>
      <c r="BT70" s="526">
        <f t="shared" ca="1" si="78"/>
        <v>0</v>
      </c>
      <c r="BU70" s="526">
        <f t="shared" ca="1" si="78"/>
        <v>0</v>
      </c>
      <c r="BV70" s="526">
        <f t="shared" ca="1" si="78"/>
        <v>0</v>
      </c>
      <c r="BW70" s="526">
        <f t="shared" ca="1" si="78"/>
        <v>0</v>
      </c>
      <c r="BX70" s="526">
        <f t="shared" ref="BX70:EA70" ca="1" si="79">-BX66+BX67+BX68</f>
        <v>0</v>
      </c>
      <c r="BY70" s="526">
        <f t="shared" ca="1" si="79"/>
        <v>0</v>
      </c>
      <c r="BZ70" s="526">
        <f t="shared" ca="1" si="79"/>
        <v>0</v>
      </c>
      <c r="CA70" s="526">
        <f t="shared" ca="1" si="79"/>
        <v>0</v>
      </c>
      <c r="CB70" s="526">
        <f t="shared" ca="1" si="79"/>
        <v>0</v>
      </c>
      <c r="CC70" s="526">
        <f t="shared" ca="1" si="79"/>
        <v>0</v>
      </c>
      <c r="CD70" s="526">
        <f t="shared" ca="1" si="79"/>
        <v>0</v>
      </c>
      <c r="CE70" s="526">
        <f t="shared" ca="1" si="79"/>
        <v>0</v>
      </c>
      <c r="CF70" s="526">
        <f t="shared" ca="1" si="79"/>
        <v>0</v>
      </c>
      <c r="CG70" s="526">
        <f t="shared" ca="1" si="79"/>
        <v>0</v>
      </c>
      <c r="CH70" s="526">
        <f t="shared" ca="1" si="79"/>
        <v>0</v>
      </c>
      <c r="CI70" s="526">
        <f t="shared" ca="1" si="79"/>
        <v>0</v>
      </c>
      <c r="CJ70" s="526">
        <f t="shared" ca="1" si="79"/>
        <v>0</v>
      </c>
      <c r="CK70" s="526">
        <f t="shared" ca="1" si="79"/>
        <v>0</v>
      </c>
      <c r="CL70" s="526">
        <f t="shared" ca="1" si="79"/>
        <v>0</v>
      </c>
      <c r="CM70" s="526">
        <f t="shared" ca="1" si="79"/>
        <v>0</v>
      </c>
      <c r="CN70" s="526">
        <f t="shared" ca="1" si="79"/>
        <v>0</v>
      </c>
      <c r="CO70" s="526">
        <f t="shared" ca="1" si="79"/>
        <v>0</v>
      </c>
      <c r="CP70" s="526">
        <f t="shared" ca="1" si="79"/>
        <v>0</v>
      </c>
      <c r="CQ70" s="526">
        <f t="shared" ca="1" si="79"/>
        <v>0</v>
      </c>
      <c r="CR70" s="526">
        <f t="shared" ca="1" si="79"/>
        <v>0</v>
      </c>
      <c r="CS70" s="526">
        <f t="shared" ca="1" si="79"/>
        <v>0</v>
      </c>
      <c r="CT70" s="526">
        <f t="shared" ca="1" si="79"/>
        <v>0</v>
      </c>
      <c r="CU70" s="526">
        <f t="shared" ca="1" si="79"/>
        <v>0</v>
      </c>
      <c r="CV70" s="526">
        <f t="shared" ca="1" si="79"/>
        <v>0</v>
      </c>
      <c r="CW70" s="526">
        <f t="shared" ca="1" si="79"/>
        <v>0</v>
      </c>
      <c r="CX70" s="526">
        <f t="shared" ca="1" si="79"/>
        <v>0</v>
      </c>
      <c r="CY70" s="526">
        <f t="shared" ca="1" si="79"/>
        <v>0</v>
      </c>
      <c r="CZ70" s="526">
        <f t="shared" ca="1" si="79"/>
        <v>0</v>
      </c>
      <c r="DA70" s="526">
        <f t="shared" ca="1" si="79"/>
        <v>0</v>
      </c>
      <c r="DB70" s="526">
        <f t="shared" ca="1" si="79"/>
        <v>0</v>
      </c>
      <c r="DC70" s="526">
        <f t="shared" ca="1" si="79"/>
        <v>0</v>
      </c>
      <c r="DD70" s="526">
        <f t="shared" ca="1" si="79"/>
        <v>0</v>
      </c>
      <c r="DE70" s="526">
        <f t="shared" ca="1" si="79"/>
        <v>0</v>
      </c>
      <c r="DF70" s="526">
        <f t="shared" ca="1" si="79"/>
        <v>0</v>
      </c>
      <c r="DG70" s="526">
        <f t="shared" ca="1" si="79"/>
        <v>0</v>
      </c>
      <c r="DH70" s="526">
        <f t="shared" ca="1" si="79"/>
        <v>0</v>
      </c>
      <c r="DI70" s="526">
        <f t="shared" ca="1" si="79"/>
        <v>0</v>
      </c>
      <c r="DJ70" s="526">
        <f t="shared" ca="1" si="79"/>
        <v>0</v>
      </c>
      <c r="DK70" s="526">
        <f t="shared" ca="1" si="79"/>
        <v>0</v>
      </c>
      <c r="DL70" s="526">
        <f t="shared" ca="1" si="79"/>
        <v>0</v>
      </c>
      <c r="DM70" s="526">
        <f t="shared" ca="1" si="79"/>
        <v>0</v>
      </c>
      <c r="DN70" s="526">
        <f t="shared" ca="1" si="79"/>
        <v>0</v>
      </c>
      <c r="DO70" s="526">
        <f t="shared" ca="1" si="79"/>
        <v>0</v>
      </c>
      <c r="DP70" s="526">
        <f t="shared" ca="1" si="79"/>
        <v>0</v>
      </c>
      <c r="DQ70" s="526">
        <f t="shared" ca="1" si="79"/>
        <v>0</v>
      </c>
      <c r="DR70" s="526">
        <f t="shared" ca="1" si="79"/>
        <v>0</v>
      </c>
      <c r="DS70" s="526">
        <f t="shared" ca="1" si="79"/>
        <v>0</v>
      </c>
      <c r="DT70" s="526">
        <f t="shared" ca="1" si="79"/>
        <v>0</v>
      </c>
      <c r="DU70" s="526">
        <f t="shared" ca="1" si="79"/>
        <v>0</v>
      </c>
      <c r="DV70" s="526">
        <f t="shared" ca="1" si="79"/>
        <v>0</v>
      </c>
      <c r="DW70" s="526">
        <f t="shared" ca="1" si="79"/>
        <v>0</v>
      </c>
      <c r="DX70" s="526">
        <f t="shared" ca="1" si="79"/>
        <v>0</v>
      </c>
      <c r="DY70" s="526">
        <f t="shared" ca="1" si="79"/>
        <v>0</v>
      </c>
      <c r="DZ70" s="526">
        <f t="shared" ca="1" si="79"/>
        <v>0</v>
      </c>
      <c r="EA70" s="526">
        <f t="shared" ca="1" si="79"/>
        <v>0</v>
      </c>
      <c r="EB70" s="523" t="s">
        <v>557</v>
      </c>
    </row>
    <row r="71" spans="7:132">
      <c r="G71" s="545" t="s">
        <v>1152</v>
      </c>
      <c r="H71" s="546" t="s">
        <v>1153</v>
      </c>
      <c r="I71" s="547">
        <f ca="1">XIRR(K70:EA70,$K$2:$EA$2,)</f>
        <v>2.9802322387695314E-9</v>
      </c>
      <c r="EB71" s="523" t="s">
        <v>557</v>
      </c>
    </row>
    <row r="72" spans="7:132">
      <c r="H72" s="546" t="s">
        <v>1155</v>
      </c>
      <c r="I72" s="548">
        <f ca="1">SUMIF(K70:EA70,"&gt;0")/-SUMIF(K70:EA70,"&lt;0")</f>
        <v>1</v>
      </c>
      <c r="EB72" s="523" t="s">
        <v>557</v>
      </c>
    </row>
    <row r="73" spans="7:132">
      <c r="G73" s="520" t="s">
        <v>1135</v>
      </c>
      <c r="H73" s="533"/>
      <c r="I73" s="533"/>
      <c r="J73" s="521"/>
      <c r="K73" s="521"/>
      <c r="L73" s="521"/>
      <c r="M73" s="521"/>
      <c r="N73" s="521"/>
      <c r="O73" s="521"/>
      <c r="P73" s="521"/>
      <c r="Q73" s="521"/>
      <c r="R73" s="521"/>
      <c r="S73" s="521"/>
      <c r="T73" s="521"/>
      <c r="U73" s="521"/>
      <c r="V73" s="521"/>
      <c r="W73" s="521"/>
      <c r="X73" s="521"/>
      <c r="Y73" s="521"/>
      <c r="Z73" s="521"/>
      <c r="AA73" s="521"/>
      <c r="AB73" s="521"/>
      <c r="AC73" s="521"/>
      <c r="AD73" s="521"/>
      <c r="AE73" s="521"/>
      <c r="AF73" s="521"/>
      <c r="AG73" s="521"/>
      <c r="AH73" s="521"/>
      <c r="AI73" s="521"/>
      <c r="AJ73" s="521"/>
      <c r="AK73" s="521"/>
      <c r="AL73" s="521"/>
      <c r="AM73" s="521"/>
      <c r="AN73" s="521"/>
      <c r="AO73" s="521"/>
      <c r="AP73" s="521"/>
      <c r="AQ73" s="521"/>
      <c r="AR73" s="521"/>
      <c r="AS73" s="521"/>
      <c r="AT73" s="521"/>
      <c r="AU73" s="521"/>
      <c r="AV73" s="521"/>
      <c r="AW73" s="521"/>
      <c r="AX73" s="521"/>
      <c r="AY73" s="521"/>
      <c r="AZ73" s="521"/>
      <c r="BA73" s="521"/>
      <c r="BB73" s="521"/>
      <c r="BC73" s="521"/>
      <c r="BD73" s="521"/>
      <c r="BE73" s="521"/>
      <c r="BF73" s="521"/>
      <c r="BG73" s="521"/>
      <c r="BH73" s="521"/>
      <c r="BI73" s="521"/>
      <c r="BJ73" s="521"/>
      <c r="BK73" s="521"/>
      <c r="BL73" s="521"/>
      <c r="BM73" s="521"/>
      <c r="BN73" s="521"/>
      <c r="BO73" s="521"/>
      <c r="BP73" s="521"/>
      <c r="BQ73" s="521"/>
      <c r="BR73" s="521"/>
      <c r="BS73" s="521"/>
      <c r="BT73" s="521"/>
      <c r="BU73" s="521"/>
      <c r="BV73" s="521"/>
      <c r="BW73" s="521"/>
      <c r="BX73" s="521"/>
      <c r="BY73" s="521"/>
      <c r="BZ73" s="521"/>
      <c r="CA73" s="521"/>
      <c r="CB73" s="521"/>
      <c r="CC73" s="521"/>
      <c r="CD73" s="521"/>
      <c r="CE73" s="521"/>
      <c r="CF73" s="521"/>
      <c r="CG73" s="521"/>
      <c r="CH73" s="521"/>
      <c r="CI73" s="521"/>
      <c r="CJ73" s="521"/>
      <c r="CK73" s="521"/>
      <c r="CL73" s="521"/>
      <c r="CM73" s="521"/>
      <c r="CN73" s="521"/>
      <c r="CO73" s="521"/>
      <c r="CP73" s="521"/>
      <c r="CQ73" s="521"/>
      <c r="CR73" s="521"/>
      <c r="CS73" s="521"/>
      <c r="CT73" s="521"/>
      <c r="CU73" s="521"/>
      <c r="CV73" s="521"/>
      <c r="CW73" s="521"/>
      <c r="CX73" s="521"/>
      <c r="CY73" s="521"/>
      <c r="CZ73" s="521"/>
      <c r="DA73" s="521"/>
      <c r="DB73" s="521"/>
      <c r="DC73" s="521"/>
      <c r="DD73" s="521"/>
      <c r="DE73" s="521"/>
      <c r="DF73" s="521"/>
      <c r="DG73" s="521"/>
      <c r="DH73" s="521"/>
      <c r="DI73" s="521"/>
      <c r="DJ73" s="521"/>
      <c r="DK73" s="521"/>
      <c r="DL73" s="521"/>
      <c r="DM73" s="521"/>
      <c r="DN73" s="521"/>
      <c r="DO73" s="521"/>
      <c r="DP73" s="521"/>
      <c r="DQ73" s="521"/>
      <c r="DR73" s="521"/>
      <c r="DS73" s="521"/>
      <c r="DT73" s="521"/>
      <c r="DU73" s="521"/>
      <c r="DV73" s="521"/>
      <c r="DW73" s="521"/>
      <c r="DX73" s="521"/>
      <c r="DY73" s="521"/>
      <c r="DZ73" s="521"/>
      <c r="EA73" s="521"/>
      <c r="EB73" s="523" t="s">
        <v>557</v>
      </c>
    </row>
    <row r="74" spans="7:132">
      <c r="G74" s="518" t="s">
        <v>1158</v>
      </c>
      <c r="K74" s="526">
        <f ca="1">K56</f>
        <v>0</v>
      </c>
      <c r="L74" s="526">
        <f t="shared" ref="L74:BW74" si="80">L54</f>
        <v>0</v>
      </c>
      <c r="M74" s="526">
        <f t="shared" si="80"/>
        <v>0</v>
      </c>
      <c r="N74" s="526">
        <f t="shared" si="80"/>
        <v>0</v>
      </c>
      <c r="O74" s="526">
        <f t="shared" si="80"/>
        <v>0</v>
      </c>
      <c r="P74" s="526">
        <f t="shared" si="80"/>
        <v>0</v>
      </c>
      <c r="Q74" s="526">
        <f t="shared" si="80"/>
        <v>0</v>
      </c>
      <c r="R74" s="526">
        <f t="shared" si="80"/>
        <v>0</v>
      </c>
      <c r="S74" s="526">
        <f t="shared" si="80"/>
        <v>0</v>
      </c>
      <c r="T74" s="526">
        <f t="shared" si="80"/>
        <v>0</v>
      </c>
      <c r="U74" s="526">
        <f t="shared" si="80"/>
        <v>0</v>
      </c>
      <c r="V74" s="526">
        <f t="shared" si="80"/>
        <v>0</v>
      </c>
      <c r="W74" s="526">
        <f t="shared" si="80"/>
        <v>0</v>
      </c>
      <c r="X74" s="526">
        <f t="shared" si="80"/>
        <v>0</v>
      </c>
      <c r="Y74" s="526">
        <f t="shared" si="80"/>
        <v>0</v>
      </c>
      <c r="Z74" s="526">
        <f t="shared" si="80"/>
        <v>0</v>
      </c>
      <c r="AA74" s="526">
        <f t="shared" si="80"/>
        <v>0</v>
      </c>
      <c r="AB74" s="526">
        <f t="shared" si="80"/>
        <v>0</v>
      </c>
      <c r="AC74" s="526">
        <f t="shared" si="80"/>
        <v>0</v>
      </c>
      <c r="AD74" s="526">
        <f t="shared" si="80"/>
        <v>0</v>
      </c>
      <c r="AE74" s="526">
        <f t="shared" si="80"/>
        <v>0</v>
      </c>
      <c r="AF74" s="526">
        <f t="shared" si="80"/>
        <v>0</v>
      </c>
      <c r="AG74" s="526">
        <f t="shared" si="80"/>
        <v>0</v>
      </c>
      <c r="AH74" s="526">
        <f t="shared" si="80"/>
        <v>0</v>
      </c>
      <c r="AI74" s="526">
        <f t="shared" si="80"/>
        <v>0</v>
      </c>
      <c r="AJ74" s="526">
        <f t="shared" si="80"/>
        <v>0</v>
      </c>
      <c r="AK74" s="526">
        <f t="shared" si="80"/>
        <v>0</v>
      </c>
      <c r="AL74" s="526">
        <f t="shared" si="80"/>
        <v>0</v>
      </c>
      <c r="AM74" s="526">
        <f t="shared" si="80"/>
        <v>0</v>
      </c>
      <c r="AN74" s="526">
        <f t="shared" si="80"/>
        <v>0</v>
      </c>
      <c r="AO74" s="526">
        <f t="shared" si="80"/>
        <v>0</v>
      </c>
      <c r="AP74" s="526">
        <f t="shared" si="80"/>
        <v>0</v>
      </c>
      <c r="AQ74" s="526">
        <f t="shared" si="80"/>
        <v>0</v>
      </c>
      <c r="AR74" s="526">
        <f t="shared" si="80"/>
        <v>0</v>
      </c>
      <c r="AS74" s="526">
        <f t="shared" si="80"/>
        <v>0</v>
      </c>
      <c r="AT74" s="526">
        <f t="shared" si="80"/>
        <v>0</v>
      </c>
      <c r="AU74" s="526">
        <f t="shared" si="80"/>
        <v>0</v>
      </c>
      <c r="AV74" s="526">
        <f t="shared" si="80"/>
        <v>0</v>
      </c>
      <c r="AW74" s="526">
        <f t="shared" si="80"/>
        <v>0</v>
      </c>
      <c r="AX74" s="526">
        <f t="shared" si="80"/>
        <v>0</v>
      </c>
      <c r="AY74" s="526">
        <f t="shared" si="80"/>
        <v>0</v>
      </c>
      <c r="AZ74" s="526">
        <f t="shared" si="80"/>
        <v>0</v>
      </c>
      <c r="BA74" s="526">
        <f t="shared" si="80"/>
        <v>0</v>
      </c>
      <c r="BB74" s="526">
        <f t="shared" si="80"/>
        <v>0</v>
      </c>
      <c r="BC74" s="526">
        <f t="shared" si="80"/>
        <v>0</v>
      </c>
      <c r="BD74" s="526">
        <f t="shared" si="80"/>
        <v>0</v>
      </c>
      <c r="BE74" s="526">
        <f t="shared" si="80"/>
        <v>0</v>
      </c>
      <c r="BF74" s="526">
        <f t="shared" si="80"/>
        <v>0</v>
      </c>
      <c r="BG74" s="526">
        <f t="shared" si="80"/>
        <v>0</v>
      </c>
      <c r="BH74" s="526">
        <f t="shared" si="80"/>
        <v>0</v>
      </c>
      <c r="BI74" s="526">
        <f t="shared" si="80"/>
        <v>0</v>
      </c>
      <c r="BJ74" s="526">
        <f t="shared" si="80"/>
        <v>0</v>
      </c>
      <c r="BK74" s="526">
        <f t="shared" si="80"/>
        <v>0</v>
      </c>
      <c r="BL74" s="526">
        <f t="shared" si="80"/>
        <v>0</v>
      </c>
      <c r="BM74" s="526">
        <f t="shared" si="80"/>
        <v>0</v>
      </c>
      <c r="BN74" s="526">
        <f t="shared" si="80"/>
        <v>0</v>
      </c>
      <c r="BO74" s="526">
        <f t="shared" si="80"/>
        <v>0</v>
      </c>
      <c r="BP74" s="526">
        <f t="shared" si="80"/>
        <v>0</v>
      </c>
      <c r="BQ74" s="526">
        <f t="shared" si="80"/>
        <v>0</v>
      </c>
      <c r="BR74" s="526">
        <f t="shared" si="80"/>
        <v>0</v>
      </c>
      <c r="BS74" s="526">
        <f t="shared" si="80"/>
        <v>0</v>
      </c>
      <c r="BT74" s="526">
        <f t="shared" si="80"/>
        <v>0</v>
      </c>
      <c r="BU74" s="526">
        <f t="shared" si="80"/>
        <v>0</v>
      </c>
      <c r="BV74" s="526">
        <f t="shared" si="80"/>
        <v>0</v>
      </c>
      <c r="BW74" s="526">
        <f t="shared" si="80"/>
        <v>0</v>
      </c>
      <c r="BX74" s="526">
        <f t="shared" ref="BX74:EA74" si="81">BX54</f>
        <v>0</v>
      </c>
      <c r="BY74" s="526">
        <f t="shared" si="81"/>
        <v>0</v>
      </c>
      <c r="BZ74" s="526">
        <f t="shared" si="81"/>
        <v>0</v>
      </c>
      <c r="CA74" s="526">
        <f t="shared" si="81"/>
        <v>0</v>
      </c>
      <c r="CB74" s="526">
        <f t="shared" si="81"/>
        <v>0</v>
      </c>
      <c r="CC74" s="526">
        <f t="shared" si="81"/>
        <v>0</v>
      </c>
      <c r="CD74" s="526">
        <f t="shared" si="81"/>
        <v>0</v>
      </c>
      <c r="CE74" s="526">
        <f t="shared" si="81"/>
        <v>0</v>
      </c>
      <c r="CF74" s="526">
        <f t="shared" si="81"/>
        <v>0</v>
      </c>
      <c r="CG74" s="526">
        <f t="shared" si="81"/>
        <v>0</v>
      </c>
      <c r="CH74" s="526">
        <f t="shared" si="81"/>
        <v>0</v>
      </c>
      <c r="CI74" s="526">
        <f t="shared" si="81"/>
        <v>0</v>
      </c>
      <c r="CJ74" s="526">
        <f t="shared" si="81"/>
        <v>0</v>
      </c>
      <c r="CK74" s="526">
        <f t="shared" si="81"/>
        <v>0</v>
      </c>
      <c r="CL74" s="526">
        <f t="shared" si="81"/>
        <v>0</v>
      </c>
      <c r="CM74" s="526">
        <f t="shared" si="81"/>
        <v>0</v>
      </c>
      <c r="CN74" s="526">
        <f t="shared" si="81"/>
        <v>0</v>
      </c>
      <c r="CO74" s="526">
        <f t="shared" si="81"/>
        <v>0</v>
      </c>
      <c r="CP74" s="526">
        <f t="shared" si="81"/>
        <v>0</v>
      </c>
      <c r="CQ74" s="526">
        <f t="shared" si="81"/>
        <v>0</v>
      </c>
      <c r="CR74" s="526">
        <f t="shared" si="81"/>
        <v>0</v>
      </c>
      <c r="CS74" s="526">
        <f t="shared" si="81"/>
        <v>0</v>
      </c>
      <c r="CT74" s="526">
        <f t="shared" si="81"/>
        <v>0</v>
      </c>
      <c r="CU74" s="526">
        <f t="shared" si="81"/>
        <v>0</v>
      </c>
      <c r="CV74" s="526">
        <f t="shared" si="81"/>
        <v>0</v>
      </c>
      <c r="CW74" s="526">
        <f t="shared" si="81"/>
        <v>0</v>
      </c>
      <c r="CX74" s="526">
        <f t="shared" si="81"/>
        <v>0</v>
      </c>
      <c r="CY74" s="526">
        <f t="shared" si="81"/>
        <v>0</v>
      </c>
      <c r="CZ74" s="526">
        <f t="shared" si="81"/>
        <v>0</v>
      </c>
      <c r="DA74" s="526">
        <f t="shared" si="81"/>
        <v>0</v>
      </c>
      <c r="DB74" s="526">
        <f t="shared" si="81"/>
        <v>0</v>
      </c>
      <c r="DC74" s="526">
        <f t="shared" si="81"/>
        <v>0</v>
      </c>
      <c r="DD74" s="526">
        <f t="shared" si="81"/>
        <v>0</v>
      </c>
      <c r="DE74" s="526">
        <f t="shared" si="81"/>
        <v>0</v>
      </c>
      <c r="DF74" s="526">
        <f t="shared" si="81"/>
        <v>0</v>
      </c>
      <c r="DG74" s="526">
        <f t="shared" si="81"/>
        <v>0</v>
      </c>
      <c r="DH74" s="526">
        <f t="shared" si="81"/>
        <v>0</v>
      </c>
      <c r="DI74" s="526">
        <f t="shared" si="81"/>
        <v>0</v>
      </c>
      <c r="DJ74" s="526">
        <f t="shared" si="81"/>
        <v>0</v>
      </c>
      <c r="DK74" s="526">
        <f t="shared" si="81"/>
        <v>0</v>
      </c>
      <c r="DL74" s="526">
        <f t="shared" si="81"/>
        <v>0</v>
      </c>
      <c r="DM74" s="526">
        <f t="shared" si="81"/>
        <v>0</v>
      </c>
      <c r="DN74" s="526">
        <f t="shared" si="81"/>
        <v>0</v>
      </c>
      <c r="DO74" s="526">
        <f t="shared" si="81"/>
        <v>0</v>
      </c>
      <c r="DP74" s="526">
        <f t="shared" si="81"/>
        <v>0</v>
      </c>
      <c r="DQ74" s="526">
        <f t="shared" si="81"/>
        <v>0</v>
      </c>
      <c r="DR74" s="526">
        <f t="shared" si="81"/>
        <v>0</v>
      </c>
      <c r="DS74" s="526">
        <f t="shared" si="81"/>
        <v>0</v>
      </c>
      <c r="DT74" s="526">
        <f t="shared" si="81"/>
        <v>0</v>
      </c>
      <c r="DU74" s="526">
        <f t="shared" si="81"/>
        <v>0</v>
      </c>
      <c r="DV74" s="526">
        <f t="shared" si="81"/>
        <v>0</v>
      </c>
      <c r="DW74" s="526">
        <f t="shared" si="81"/>
        <v>0</v>
      </c>
      <c r="DX74" s="526">
        <f t="shared" si="81"/>
        <v>0</v>
      </c>
      <c r="DY74" s="526">
        <f t="shared" si="81"/>
        <v>0</v>
      </c>
      <c r="DZ74" s="526">
        <f t="shared" si="81"/>
        <v>0</v>
      </c>
      <c r="EA74" s="526">
        <f t="shared" si="81"/>
        <v>0</v>
      </c>
      <c r="EB74" s="523" t="s">
        <v>557</v>
      </c>
    </row>
    <row r="75" spans="7:132">
      <c r="G75" s="518" t="s">
        <v>1160</v>
      </c>
      <c r="H75" s="539">
        <f>C17</f>
        <v>0.4</v>
      </c>
      <c r="K75" s="526">
        <f ca="1">K68/$H68*$H75</f>
        <v>0</v>
      </c>
      <c r="L75" s="526">
        <f t="shared" ref="L75:BW75" ca="1" si="82">L68/$H68*$H75</f>
        <v>0</v>
      </c>
      <c r="M75" s="526">
        <f t="shared" ca="1" si="82"/>
        <v>0</v>
      </c>
      <c r="N75" s="526">
        <f t="shared" ca="1" si="82"/>
        <v>0</v>
      </c>
      <c r="O75" s="526">
        <f t="shared" ca="1" si="82"/>
        <v>0</v>
      </c>
      <c r="P75" s="526">
        <f t="shared" ca="1" si="82"/>
        <v>0</v>
      </c>
      <c r="Q75" s="526">
        <f t="shared" ca="1" si="82"/>
        <v>0</v>
      </c>
      <c r="R75" s="526">
        <f t="shared" ca="1" si="82"/>
        <v>0</v>
      </c>
      <c r="S75" s="526">
        <f t="shared" ca="1" si="82"/>
        <v>0</v>
      </c>
      <c r="T75" s="526">
        <f t="shared" ca="1" si="82"/>
        <v>0</v>
      </c>
      <c r="U75" s="526">
        <f t="shared" ca="1" si="82"/>
        <v>0</v>
      </c>
      <c r="V75" s="526">
        <f t="shared" ca="1" si="82"/>
        <v>0</v>
      </c>
      <c r="W75" s="526">
        <f t="shared" ca="1" si="82"/>
        <v>0</v>
      </c>
      <c r="X75" s="526">
        <f t="shared" ca="1" si="82"/>
        <v>0</v>
      </c>
      <c r="Y75" s="526">
        <f t="shared" ca="1" si="82"/>
        <v>0</v>
      </c>
      <c r="Z75" s="526">
        <f t="shared" ca="1" si="82"/>
        <v>0</v>
      </c>
      <c r="AA75" s="526">
        <f t="shared" ca="1" si="82"/>
        <v>0</v>
      </c>
      <c r="AB75" s="526">
        <f t="shared" ca="1" si="82"/>
        <v>0</v>
      </c>
      <c r="AC75" s="526">
        <f t="shared" ca="1" si="82"/>
        <v>0</v>
      </c>
      <c r="AD75" s="526">
        <f t="shared" ca="1" si="82"/>
        <v>0</v>
      </c>
      <c r="AE75" s="526">
        <f t="shared" ca="1" si="82"/>
        <v>0</v>
      </c>
      <c r="AF75" s="526">
        <f t="shared" ca="1" si="82"/>
        <v>0</v>
      </c>
      <c r="AG75" s="526">
        <f t="shared" ca="1" si="82"/>
        <v>0</v>
      </c>
      <c r="AH75" s="526">
        <f t="shared" ca="1" si="82"/>
        <v>0</v>
      </c>
      <c r="AI75" s="526">
        <f t="shared" ca="1" si="82"/>
        <v>0</v>
      </c>
      <c r="AJ75" s="526">
        <f t="shared" ca="1" si="82"/>
        <v>0</v>
      </c>
      <c r="AK75" s="526">
        <f t="shared" ca="1" si="82"/>
        <v>0</v>
      </c>
      <c r="AL75" s="526">
        <f t="shared" ca="1" si="82"/>
        <v>0</v>
      </c>
      <c r="AM75" s="526">
        <f t="shared" ca="1" si="82"/>
        <v>0</v>
      </c>
      <c r="AN75" s="526">
        <f t="shared" ca="1" si="82"/>
        <v>0</v>
      </c>
      <c r="AO75" s="526">
        <f t="shared" ca="1" si="82"/>
        <v>0</v>
      </c>
      <c r="AP75" s="526">
        <f t="shared" ca="1" si="82"/>
        <v>0</v>
      </c>
      <c r="AQ75" s="526">
        <f t="shared" ca="1" si="82"/>
        <v>0</v>
      </c>
      <c r="AR75" s="526">
        <f t="shared" ca="1" si="82"/>
        <v>0</v>
      </c>
      <c r="AS75" s="526">
        <f t="shared" ca="1" si="82"/>
        <v>0</v>
      </c>
      <c r="AT75" s="526">
        <f t="shared" ca="1" si="82"/>
        <v>0</v>
      </c>
      <c r="AU75" s="526">
        <f t="shared" ca="1" si="82"/>
        <v>0</v>
      </c>
      <c r="AV75" s="526">
        <f t="shared" ca="1" si="82"/>
        <v>0</v>
      </c>
      <c r="AW75" s="526">
        <f t="shared" ca="1" si="82"/>
        <v>0</v>
      </c>
      <c r="AX75" s="526">
        <f t="shared" ca="1" si="82"/>
        <v>0</v>
      </c>
      <c r="AY75" s="526">
        <f t="shared" ca="1" si="82"/>
        <v>0</v>
      </c>
      <c r="AZ75" s="526">
        <f t="shared" ca="1" si="82"/>
        <v>0</v>
      </c>
      <c r="BA75" s="526">
        <f t="shared" ca="1" si="82"/>
        <v>0</v>
      </c>
      <c r="BB75" s="526">
        <f t="shared" ca="1" si="82"/>
        <v>0</v>
      </c>
      <c r="BC75" s="526">
        <f t="shared" ca="1" si="82"/>
        <v>0</v>
      </c>
      <c r="BD75" s="526">
        <f t="shared" ca="1" si="82"/>
        <v>0</v>
      </c>
      <c r="BE75" s="526">
        <f t="shared" ca="1" si="82"/>
        <v>0</v>
      </c>
      <c r="BF75" s="526">
        <f t="shared" ca="1" si="82"/>
        <v>0</v>
      </c>
      <c r="BG75" s="526">
        <f t="shared" ca="1" si="82"/>
        <v>-8881607.339686621</v>
      </c>
      <c r="BH75" s="526">
        <f t="shared" ca="1" si="82"/>
        <v>0</v>
      </c>
      <c r="BI75" s="526">
        <f t="shared" ca="1" si="82"/>
        <v>0</v>
      </c>
      <c r="BJ75" s="526">
        <f t="shared" ca="1" si="82"/>
        <v>0</v>
      </c>
      <c r="BK75" s="526">
        <f t="shared" ca="1" si="82"/>
        <v>0</v>
      </c>
      <c r="BL75" s="526">
        <f t="shared" ca="1" si="82"/>
        <v>0</v>
      </c>
      <c r="BM75" s="526">
        <f t="shared" ca="1" si="82"/>
        <v>0</v>
      </c>
      <c r="BN75" s="526">
        <f t="shared" ca="1" si="82"/>
        <v>0</v>
      </c>
      <c r="BO75" s="526">
        <f t="shared" ca="1" si="82"/>
        <v>0</v>
      </c>
      <c r="BP75" s="526">
        <f t="shared" ca="1" si="82"/>
        <v>0</v>
      </c>
      <c r="BQ75" s="526">
        <f t="shared" ca="1" si="82"/>
        <v>0</v>
      </c>
      <c r="BR75" s="526">
        <f t="shared" ca="1" si="82"/>
        <v>0</v>
      </c>
      <c r="BS75" s="526">
        <f t="shared" ca="1" si="82"/>
        <v>0</v>
      </c>
      <c r="BT75" s="526">
        <f t="shared" ca="1" si="82"/>
        <v>0</v>
      </c>
      <c r="BU75" s="526">
        <f t="shared" ca="1" si="82"/>
        <v>0</v>
      </c>
      <c r="BV75" s="526">
        <f t="shared" ca="1" si="82"/>
        <v>0</v>
      </c>
      <c r="BW75" s="526">
        <f t="shared" ca="1" si="82"/>
        <v>0</v>
      </c>
      <c r="BX75" s="526">
        <f t="shared" ref="BX75:EA75" ca="1" si="83">BX68/$H68*$H75</f>
        <v>0</v>
      </c>
      <c r="BY75" s="526">
        <f t="shared" ca="1" si="83"/>
        <v>0</v>
      </c>
      <c r="BZ75" s="526">
        <f t="shared" ca="1" si="83"/>
        <v>0</v>
      </c>
      <c r="CA75" s="526">
        <f t="shared" ca="1" si="83"/>
        <v>0</v>
      </c>
      <c r="CB75" s="526">
        <f t="shared" ca="1" si="83"/>
        <v>0</v>
      </c>
      <c r="CC75" s="526">
        <f t="shared" ca="1" si="83"/>
        <v>0</v>
      </c>
      <c r="CD75" s="526">
        <f t="shared" ca="1" si="83"/>
        <v>0</v>
      </c>
      <c r="CE75" s="526">
        <f t="shared" ca="1" si="83"/>
        <v>0</v>
      </c>
      <c r="CF75" s="526">
        <f t="shared" ca="1" si="83"/>
        <v>0</v>
      </c>
      <c r="CG75" s="526">
        <f t="shared" ca="1" si="83"/>
        <v>0</v>
      </c>
      <c r="CH75" s="526">
        <f t="shared" ca="1" si="83"/>
        <v>0</v>
      </c>
      <c r="CI75" s="526">
        <f t="shared" ca="1" si="83"/>
        <v>0</v>
      </c>
      <c r="CJ75" s="526">
        <f t="shared" ca="1" si="83"/>
        <v>0</v>
      </c>
      <c r="CK75" s="526">
        <f t="shared" ca="1" si="83"/>
        <v>0</v>
      </c>
      <c r="CL75" s="526">
        <f t="shared" ca="1" si="83"/>
        <v>0</v>
      </c>
      <c r="CM75" s="526">
        <f t="shared" ca="1" si="83"/>
        <v>0</v>
      </c>
      <c r="CN75" s="526">
        <f t="shared" ca="1" si="83"/>
        <v>0</v>
      </c>
      <c r="CO75" s="526">
        <f t="shared" ca="1" si="83"/>
        <v>0</v>
      </c>
      <c r="CP75" s="526">
        <f t="shared" ca="1" si="83"/>
        <v>0</v>
      </c>
      <c r="CQ75" s="526">
        <f t="shared" ca="1" si="83"/>
        <v>0</v>
      </c>
      <c r="CR75" s="526">
        <f t="shared" ca="1" si="83"/>
        <v>0</v>
      </c>
      <c r="CS75" s="526">
        <f t="shared" ca="1" si="83"/>
        <v>0</v>
      </c>
      <c r="CT75" s="526">
        <f t="shared" ca="1" si="83"/>
        <v>0</v>
      </c>
      <c r="CU75" s="526">
        <f t="shared" ca="1" si="83"/>
        <v>0</v>
      </c>
      <c r="CV75" s="526">
        <f t="shared" ca="1" si="83"/>
        <v>0</v>
      </c>
      <c r="CW75" s="526">
        <f t="shared" ca="1" si="83"/>
        <v>0</v>
      </c>
      <c r="CX75" s="526">
        <f t="shared" ca="1" si="83"/>
        <v>0</v>
      </c>
      <c r="CY75" s="526">
        <f t="shared" ca="1" si="83"/>
        <v>0</v>
      </c>
      <c r="CZ75" s="526">
        <f t="shared" ca="1" si="83"/>
        <v>0</v>
      </c>
      <c r="DA75" s="526">
        <f t="shared" ca="1" si="83"/>
        <v>0</v>
      </c>
      <c r="DB75" s="526">
        <f t="shared" ca="1" si="83"/>
        <v>0</v>
      </c>
      <c r="DC75" s="526">
        <f t="shared" ca="1" si="83"/>
        <v>0</v>
      </c>
      <c r="DD75" s="526">
        <f t="shared" ca="1" si="83"/>
        <v>0</v>
      </c>
      <c r="DE75" s="526">
        <f t="shared" ca="1" si="83"/>
        <v>0</v>
      </c>
      <c r="DF75" s="526">
        <f t="shared" ca="1" si="83"/>
        <v>0</v>
      </c>
      <c r="DG75" s="526">
        <f t="shared" ca="1" si="83"/>
        <v>0</v>
      </c>
      <c r="DH75" s="526">
        <f t="shared" ca="1" si="83"/>
        <v>0</v>
      </c>
      <c r="DI75" s="526">
        <f t="shared" ca="1" si="83"/>
        <v>0</v>
      </c>
      <c r="DJ75" s="526">
        <f t="shared" ca="1" si="83"/>
        <v>0</v>
      </c>
      <c r="DK75" s="526">
        <f t="shared" ca="1" si="83"/>
        <v>0</v>
      </c>
      <c r="DL75" s="526">
        <f t="shared" ca="1" si="83"/>
        <v>0</v>
      </c>
      <c r="DM75" s="526">
        <f t="shared" ca="1" si="83"/>
        <v>0</v>
      </c>
      <c r="DN75" s="526">
        <f t="shared" ca="1" si="83"/>
        <v>0</v>
      </c>
      <c r="DO75" s="526">
        <f t="shared" ca="1" si="83"/>
        <v>0</v>
      </c>
      <c r="DP75" s="526">
        <f t="shared" ca="1" si="83"/>
        <v>0</v>
      </c>
      <c r="DQ75" s="526">
        <f t="shared" ca="1" si="83"/>
        <v>0</v>
      </c>
      <c r="DR75" s="526">
        <f t="shared" ca="1" si="83"/>
        <v>0</v>
      </c>
      <c r="DS75" s="526">
        <f t="shared" ca="1" si="83"/>
        <v>0</v>
      </c>
      <c r="DT75" s="526">
        <f t="shared" ca="1" si="83"/>
        <v>0</v>
      </c>
      <c r="DU75" s="526">
        <f t="shared" ca="1" si="83"/>
        <v>0</v>
      </c>
      <c r="DV75" s="526">
        <f t="shared" ca="1" si="83"/>
        <v>0</v>
      </c>
      <c r="DW75" s="526">
        <f t="shared" ca="1" si="83"/>
        <v>0</v>
      </c>
      <c r="DX75" s="526">
        <f t="shared" ca="1" si="83"/>
        <v>0</v>
      </c>
      <c r="DY75" s="526">
        <f t="shared" ca="1" si="83"/>
        <v>0</v>
      </c>
      <c r="DZ75" s="526">
        <f t="shared" ca="1" si="83"/>
        <v>0</v>
      </c>
      <c r="EA75" s="526">
        <f t="shared" ca="1" si="83"/>
        <v>0</v>
      </c>
      <c r="EB75" s="523" t="s">
        <v>557</v>
      </c>
    </row>
    <row r="76" spans="7:132">
      <c r="EB76" s="523" t="s">
        <v>557</v>
      </c>
    </row>
    <row r="77" spans="7:132">
      <c r="G77" s="518" t="s">
        <v>1179</v>
      </c>
      <c r="K77" s="526">
        <f ca="1">K68+K75</f>
        <v>0</v>
      </c>
      <c r="L77" s="526">
        <f t="shared" ref="L77:BW77" ca="1" si="84">L68+L75</f>
        <v>0</v>
      </c>
      <c r="M77" s="526">
        <f t="shared" ca="1" si="84"/>
        <v>0</v>
      </c>
      <c r="N77" s="526">
        <f t="shared" ca="1" si="84"/>
        <v>0</v>
      </c>
      <c r="O77" s="526">
        <f t="shared" ca="1" si="84"/>
        <v>0</v>
      </c>
      <c r="P77" s="526">
        <f t="shared" ca="1" si="84"/>
        <v>0</v>
      </c>
      <c r="Q77" s="526">
        <f t="shared" ca="1" si="84"/>
        <v>0</v>
      </c>
      <c r="R77" s="526">
        <f t="shared" ca="1" si="84"/>
        <v>0</v>
      </c>
      <c r="S77" s="526">
        <f t="shared" ca="1" si="84"/>
        <v>0</v>
      </c>
      <c r="T77" s="526">
        <f t="shared" ca="1" si="84"/>
        <v>0</v>
      </c>
      <c r="U77" s="526">
        <f t="shared" ca="1" si="84"/>
        <v>0</v>
      </c>
      <c r="V77" s="526">
        <f t="shared" ca="1" si="84"/>
        <v>0</v>
      </c>
      <c r="W77" s="526">
        <f t="shared" ca="1" si="84"/>
        <v>0</v>
      </c>
      <c r="X77" s="526">
        <f t="shared" ca="1" si="84"/>
        <v>0</v>
      </c>
      <c r="Y77" s="526">
        <f t="shared" ca="1" si="84"/>
        <v>0</v>
      </c>
      <c r="Z77" s="526">
        <f t="shared" ca="1" si="84"/>
        <v>0</v>
      </c>
      <c r="AA77" s="526">
        <f t="shared" ca="1" si="84"/>
        <v>0</v>
      </c>
      <c r="AB77" s="526">
        <f t="shared" ca="1" si="84"/>
        <v>0</v>
      </c>
      <c r="AC77" s="526">
        <f t="shared" ca="1" si="84"/>
        <v>0</v>
      </c>
      <c r="AD77" s="526">
        <f t="shared" ca="1" si="84"/>
        <v>0</v>
      </c>
      <c r="AE77" s="526">
        <f t="shared" ca="1" si="84"/>
        <v>0</v>
      </c>
      <c r="AF77" s="526">
        <f t="shared" ca="1" si="84"/>
        <v>0</v>
      </c>
      <c r="AG77" s="526">
        <f t="shared" ca="1" si="84"/>
        <v>0</v>
      </c>
      <c r="AH77" s="526">
        <f t="shared" ca="1" si="84"/>
        <v>0</v>
      </c>
      <c r="AI77" s="526">
        <f t="shared" ca="1" si="84"/>
        <v>0</v>
      </c>
      <c r="AJ77" s="526">
        <f t="shared" ca="1" si="84"/>
        <v>0</v>
      </c>
      <c r="AK77" s="526">
        <f t="shared" ca="1" si="84"/>
        <v>0</v>
      </c>
      <c r="AL77" s="526">
        <f t="shared" ca="1" si="84"/>
        <v>0</v>
      </c>
      <c r="AM77" s="526">
        <f t="shared" ca="1" si="84"/>
        <v>0</v>
      </c>
      <c r="AN77" s="526">
        <f t="shared" ca="1" si="84"/>
        <v>0</v>
      </c>
      <c r="AO77" s="526">
        <f t="shared" ca="1" si="84"/>
        <v>0</v>
      </c>
      <c r="AP77" s="526">
        <f t="shared" ca="1" si="84"/>
        <v>0</v>
      </c>
      <c r="AQ77" s="526">
        <f t="shared" ca="1" si="84"/>
        <v>0</v>
      </c>
      <c r="AR77" s="526">
        <f t="shared" ca="1" si="84"/>
        <v>0</v>
      </c>
      <c r="AS77" s="526">
        <f t="shared" ca="1" si="84"/>
        <v>0</v>
      </c>
      <c r="AT77" s="526">
        <f t="shared" ca="1" si="84"/>
        <v>0</v>
      </c>
      <c r="AU77" s="526">
        <f t="shared" ca="1" si="84"/>
        <v>0</v>
      </c>
      <c r="AV77" s="526">
        <f t="shared" ca="1" si="84"/>
        <v>0</v>
      </c>
      <c r="AW77" s="526">
        <f t="shared" ca="1" si="84"/>
        <v>0</v>
      </c>
      <c r="AX77" s="526">
        <f t="shared" ca="1" si="84"/>
        <v>0</v>
      </c>
      <c r="AY77" s="526">
        <f t="shared" ca="1" si="84"/>
        <v>0</v>
      </c>
      <c r="AZ77" s="526">
        <f t="shared" ca="1" si="84"/>
        <v>0</v>
      </c>
      <c r="BA77" s="526">
        <f t="shared" ca="1" si="84"/>
        <v>0</v>
      </c>
      <c r="BB77" s="526">
        <f t="shared" ca="1" si="84"/>
        <v>0</v>
      </c>
      <c r="BC77" s="526">
        <f t="shared" ca="1" si="84"/>
        <v>0</v>
      </c>
      <c r="BD77" s="526">
        <f t="shared" ca="1" si="84"/>
        <v>0</v>
      </c>
      <c r="BE77" s="526">
        <f t="shared" ca="1" si="84"/>
        <v>0</v>
      </c>
      <c r="BF77" s="526">
        <f t="shared" ca="1" si="84"/>
        <v>0</v>
      </c>
      <c r="BG77" s="526">
        <f t="shared" ca="1" si="84"/>
        <v>-22204018.349216551</v>
      </c>
      <c r="BH77" s="526">
        <f t="shared" ca="1" si="84"/>
        <v>0</v>
      </c>
      <c r="BI77" s="526">
        <f t="shared" ca="1" si="84"/>
        <v>0</v>
      </c>
      <c r="BJ77" s="526">
        <f t="shared" ca="1" si="84"/>
        <v>0</v>
      </c>
      <c r="BK77" s="526">
        <f t="shared" ca="1" si="84"/>
        <v>0</v>
      </c>
      <c r="BL77" s="526">
        <f t="shared" ca="1" si="84"/>
        <v>0</v>
      </c>
      <c r="BM77" s="526">
        <f t="shared" ca="1" si="84"/>
        <v>0</v>
      </c>
      <c r="BN77" s="526">
        <f t="shared" ca="1" si="84"/>
        <v>0</v>
      </c>
      <c r="BO77" s="526">
        <f t="shared" ca="1" si="84"/>
        <v>0</v>
      </c>
      <c r="BP77" s="526">
        <f t="shared" ca="1" si="84"/>
        <v>0</v>
      </c>
      <c r="BQ77" s="526">
        <f t="shared" ca="1" si="84"/>
        <v>0</v>
      </c>
      <c r="BR77" s="526">
        <f t="shared" ca="1" si="84"/>
        <v>0</v>
      </c>
      <c r="BS77" s="526">
        <f t="shared" ca="1" si="84"/>
        <v>0</v>
      </c>
      <c r="BT77" s="526">
        <f t="shared" ca="1" si="84"/>
        <v>0</v>
      </c>
      <c r="BU77" s="526">
        <f t="shared" ca="1" si="84"/>
        <v>0</v>
      </c>
      <c r="BV77" s="526">
        <f t="shared" ca="1" si="84"/>
        <v>0</v>
      </c>
      <c r="BW77" s="526">
        <f t="shared" ca="1" si="84"/>
        <v>0</v>
      </c>
      <c r="BX77" s="526">
        <f t="shared" ref="BX77:EA77" ca="1" si="85">BX68+BX75</f>
        <v>0</v>
      </c>
      <c r="BY77" s="526">
        <f t="shared" ca="1" si="85"/>
        <v>0</v>
      </c>
      <c r="BZ77" s="526">
        <f t="shared" ca="1" si="85"/>
        <v>0</v>
      </c>
      <c r="CA77" s="526">
        <f t="shared" ca="1" si="85"/>
        <v>0</v>
      </c>
      <c r="CB77" s="526">
        <f t="shared" ca="1" si="85"/>
        <v>0</v>
      </c>
      <c r="CC77" s="526">
        <f t="shared" ca="1" si="85"/>
        <v>0</v>
      </c>
      <c r="CD77" s="526">
        <f t="shared" ca="1" si="85"/>
        <v>0</v>
      </c>
      <c r="CE77" s="526">
        <f t="shared" ca="1" si="85"/>
        <v>0</v>
      </c>
      <c r="CF77" s="526">
        <f t="shared" ca="1" si="85"/>
        <v>0</v>
      </c>
      <c r="CG77" s="526">
        <f t="shared" ca="1" si="85"/>
        <v>0</v>
      </c>
      <c r="CH77" s="526">
        <f t="shared" ca="1" si="85"/>
        <v>0</v>
      </c>
      <c r="CI77" s="526">
        <f t="shared" ca="1" si="85"/>
        <v>0</v>
      </c>
      <c r="CJ77" s="526">
        <f t="shared" ca="1" si="85"/>
        <v>0</v>
      </c>
      <c r="CK77" s="526">
        <f t="shared" ca="1" si="85"/>
        <v>0</v>
      </c>
      <c r="CL77" s="526">
        <f t="shared" ca="1" si="85"/>
        <v>0</v>
      </c>
      <c r="CM77" s="526">
        <f t="shared" ca="1" si="85"/>
        <v>0</v>
      </c>
      <c r="CN77" s="526">
        <f t="shared" ca="1" si="85"/>
        <v>0</v>
      </c>
      <c r="CO77" s="526">
        <f t="shared" ca="1" si="85"/>
        <v>0</v>
      </c>
      <c r="CP77" s="526">
        <f t="shared" ca="1" si="85"/>
        <v>0</v>
      </c>
      <c r="CQ77" s="526">
        <f t="shared" ca="1" si="85"/>
        <v>0</v>
      </c>
      <c r="CR77" s="526">
        <f t="shared" ca="1" si="85"/>
        <v>0</v>
      </c>
      <c r="CS77" s="526">
        <f t="shared" ca="1" si="85"/>
        <v>0</v>
      </c>
      <c r="CT77" s="526">
        <f t="shared" ca="1" si="85"/>
        <v>0</v>
      </c>
      <c r="CU77" s="526">
        <f t="shared" ca="1" si="85"/>
        <v>0</v>
      </c>
      <c r="CV77" s="526">
        <f t="shared" ca="1" si="85"/>
        <v>0</v>
      </c>
      <c r="CW77" s="526">
        <f t="shared" ca="1" si="85"/>
        <v>0</v>
      </c>
      <c r="CX77" s="526">
        <f t="shared" ca="1" si="85"/>
        <v>0</v>
      </c>
      <c r="CY77" s="526">
        <f t="shared" ca="1" si="85"/>
        <v>0</v>
      </c>
      <c r="CZ77" s="526">
        <f t="shared" ca="1" si="85"/>
        <v>0</v>
      </c>
      <c r="DA77" s="526">
        <f t="shared" ca="1" si="85"/>
        <v>0</v>
      </c>
      <c r="DB77" s="526">
        <f t="shared" ca="1" si="85"/>
        <v>0</v>
      </c>
      <c r="DC77" s="526">
        <f t="shared" ca="1" si="85"/>
        <v>0</v>
      </c>
      <c r="DD77" s="526">
        <f t="shared" ca="1" si="85"/>
        <v>0</v>
      </c>
      <c r="DE77" s="526">
        <f t="shared" ca="1" si="85"/>
        <v>0</v>
      </c>
      <c r="DF77" s="526">
        <f t="shared" ca="1" si="85"/>
        <v>0</v>
      </c>
      <c r="DG77" s="526">
        <f t="shared" ca="1" si="85"/>
        <v>0</v>
      </c>
      <c r="DH77" s="526">
        <f t="shared" ca="1" si="85"/>
        <v>0</v>
      </c>
      <c r="DI77" s="526">
        <f t="shared" ca="1" si="85"/>
        <v>0</v>
      </c>
      <c r="DJ77" s="526">
        <f t="shared" ca="1" si="85"/>
        <v>0</v>
      </c>
      <c r="DK77" s="526">
        <f t="shared" ca="1" si="85"/>
        <v>0</v>
      </c>
      <c r="DL77" s="526">
        <f t="shared" ca="1" si="85"/>
        <v>0</v>
      </c>
      <c r="DM77" s="526">
        <f t="shared" ca="1" si="85"/>
        <v>0</v>
      </c>
      <c r="DN77" s="526">
        <f t="shared" ca="1" si="85"/>
        <v>0</v>
      </c>
      <c r="DO77" s="526">
        <f t="shared" ca="1" si="85"/>
        <v>0</v>
      </c>
      <c r="DP77" s="526">
        <f t="shared" ca="1" si="85"/>
        <v>0</v>
      </c>
      <c r="DQ77" s="526">
        <f t="shared" ca="1" si="85"/>
        <v>0</v>
      </c>
      <c r="DR77" s="526">
        <f t="shared" ca="1" si="85"/>
        <v>0</v>
      </c>
      <c r="DS77" s="526">
        <f t="shared" ca="1" si="85"/>
        <v>0</v>
      </c>
      <c r="DT77" s="526">
        <f t="shared" ca="1" si="85"/>
        <v>0</v>
      </c>
      <c r="DU77" s="526">
        <f t="shared" ca="1" si="85"/>
        <v>0</v>
      </c>
      <c r="DV77" s="526">
        <f t="shared" ca="1" si="85"/>
        <v>0</v>
      </c>
      <c r="DW77" s="526">
        <f t="shared" ca="1" si="85"/>
        <v>0</v>
      </c>
      <c r="DX77" s="526">
        <f t="shared" ca="1" si="85"/>
        <v>0</v>
      </c>
      <c r="DY77" s="526">
        <f t="shared" ca="1" si="85"/>
        <v>0</v>
      </c>
      <c r="DZ77" s="526">
        <f t="shared" ca="1" si="85"/>
        <v>0</v>
      </c>
      <c r="EA77" s="526">
        <f t="shared" ca="1" si="85"/>
        <v>0</v>
      </c>
      <c r="EB77" s="523" t="s">
        <v>557</v>
      </c>
    </row>
    <row r="78" spans="7:132" ht="18" thickBot="1">
      <c r="G78" s="554" t="s">
        <v>1167</v>
      </c>
      <c r="H78" s="555"/>
      <c r="I78" s="555"/>
      <c r="J78" s="555"/>
      <c r="K78" s="556">
        <f ca="1">K60-K77</f>
        <v>0</v>
      </c>
      <c r="L78" s="556">
        <f t="shared" ref="L78:BW78" ca="1" si="86">L60-L77</f>
        <v>0</v>
      </c>
      <c r="M78" s="556">
        <f t="shared" ca="1" si="86"/>
        <v>0</v>
      </c>
      <c r="N78" s="556">
        <f t="shared" ca="1" si="86"/>
        <v>0</v>
      </c>
      <c r="O78" s="556">
        <f t="shared" ca="1" si="86"/>
        <v>0</v>
      </c>
      <c r="P78" s="556">
        <f t="shared" ca="1" si="86"/>
        <v>0</v>
      </c>
      <c r="Q78" s="556">
        <f t="shared" ca="1" si="86"/>
        <v>0</v>
      </c>
      <c r="R78" s="556">
        <f t="shared" ca="1" si="86"/>
        <v>0</v>
      </c>
      <c r="S78" s="556">
        <f t="shared" ca="1" si="86"/>
        <v>0</v>
      </c>
      <c r="T78" s="556">
        <f t="shared" ca="1" si="86"/>
        <v>0</v>
      </c>
      <c r="U78" s="556">
        <f t="shared" ca="1" si="86"/>
        <v>0</v>
      </c>
      <c r="V78" s="556">
        <f t="shared" ca="1" si="86"/>
        <v>0</v>
      </c>
      <c r="W78" s="556">
        <f t="shared" ca="1" si="86"/>
        <v>0</v>
      </c>
      <c r="X78" s="556">
        <f t="shared" ca="1" si="86"/>
        <v>0</v>
      </c>
      <c r="Y78" s="556">
        <f t="shared" ca="1" si="86"/>
        <v>0</v>
      </c>
      <c r="Z78" s="556">
        <f t="shared" ca="1" si="86"/>
        <v>0</v>
      </c>
      <c r="AA78" s="556">
        <f t="shared" ca="1" si="86"/>
        <v>0</v>
      </c>
      <c r="AB78" s="556">
        <f t="shared" ca="1" si="86"/>
        <v>0</v>
      </c>
      <c r="AC78" s="556">
        <f t="shared" ca="1" si="86"/>
        <v>0</v>
      </c>
      <c r="AD78" s="556">
        <f t="shared" ca="1" si="86"/>
        <v>0</v>
      </c>
      <c r="AE78" s="556">
        <f t="shared" ca="1" si="86"/>
        <v>0</v>
      </c>
      <c r="AF78" s="556">
        <f t="shared" ca="1" si="86"/>
        <v>0</v>
      </c>
      <c r="AG78" s="556">
        <f t="shared" ca="1" si="86"/>
        <v>0</v>
      </c>
      <c r="AH78" s="556">
        <f t="shared" ca="1" si="86"/>
        <v>0</v>
      </c>
      <c r="AI78" s="556">
        <f t="shared" ca="1" si="86"/>
        <v>0</v>
      </c>
      <c r="AJ78" s="556">
        <f t="shared" ca="1" si="86"/>
        <v>0</v>
      </c>
      <c r="AK78" s="556">
        <f t="shared" ca="1" si="86"/>
        <v>0</v>
      </c>
      <c r="AL78" s="556">
        <f t="shared" ca="1" si="86"/>
        <v>0</v>
      </c>
      <c r="AM78" s="556">
        <f t="shared" ca="1" si="86"/>
        <v>0</v>
      </c>
      <c r="AN78" s="556">
        <f t="shared" ca="1" si="86"/>
        <v>0</v>
      </c>
      <c r="AO78" s="556">
        <f t="shared" ca="1" si="86"/>
        <v>0</v>
      </c>
      <c r="AP78" s="556">
        <f t="shared" ca="1" si="86"/>
        <v>0</v>
      </c>
      <c r="AQ78" s="556">
        <f t="shared" ca="1" si="86"/>
        <v>0</v>
      </c>
      <c r="AR78" s="556">
        <f t="shared" ca="1" si="86"/>
        <v>0</v>
      </c>
      <c r="AS78" s="556">
        <f t="shared" ca="1" si="86"/>
        <v>0</v>
      </c>
      <c r="AT78" s="556">
        <f t="shared" ca="1" si="86"/>
        <v>0</v>
      </c>
      <c r="AU78" s="556">
        <f t="shared" ca="1" si="86"/>
        <v>0</v>
      </c>
      <c r="AV78" s="556">
        <f t="shared" ca="1" si="86"/>
        <v>0</v>
      </c>
      <c r="AW78" s="556">
        <f t="shared" ca="1" si="86"/>
        <v>0</v>
      </c>
      <c r="AX78" s="556">
        <f t="shared" ca="1" si="86"/>
        <v>0</v>
      </c>
      <c r="AY78" s="556">
        <f t="shared" ca="1" si="86"/>
        <v>0</v>
      </c>
      <c r="AZ78" s="556">
        <f t="shared" ca="1" si="86"/>
        <v>0</v>
      </c>
      <c r="BA78" s="556">
        <f t="shared" ca="1" si="86"/>
        <v>0</v>
      </c>
      <c r="BB78" s="556">
        <f t="shared" ca="1" si="86"/>
        <v>0</v>
      </c>
      <c r="BC78" s="556">
        <f t="shared" ca="1" si="86"/>
        <v>0</v>
      </c>
      <c r="BD78" s="556">
        <f t="shared" ca="1" si="86"/>
        <v>0</v>
      </c>
      <c r="BE78" s="556">
        <f t="shared" ca="1" si="86"/>
        <v>0</v>
      </c>
      <c r="BF78" s="556">
        <f t="shared" ca="1" si="86"/>
        <v>0</v>
      </c>
      <c r="BG78" s="556">
        <f t="shared" ca="1" si="86"/>
        <v>22204018.349216551</v>
      </c>
      <c r="BH78" s="556">
        <f t="shared" ca="1" si="86"/>
        <v>0</v>
      </c>
      <c r="BI78" s="556">
        <f t="shared" ca="1" si="86"/>
        <v>0</v>
      </c>
      <c r="BJ78" s="556">
        <f t="shared" ca="1" si="86"/>
        <v>0</v>
      </c>
      <c r="BK78" s="556">
        <f t="shared" ca="1" si="86"/>
        <v>0</v>
      </c>
      <c r="BL78" s="556">
        <f t="shared" ca="1" si="86"/>
        <v>0</v>
      </c>
      <c r="BM78" s="556">
        <f t="shared" ca="1" si="86"/>
        <v>0</v>
      </c>
      <c r="BN78" s="556">
        <f t="shared" ca="1" si="86"/>
        <v>0</v>
      </c>
      <c r="BO78" s="556">
        <f t="shared" ca="1" si="86"/>
        <v>0</v>
      </c>
      <c r="BP78" s="556">
        <f t="shared" ca="1" si="86"/>
        <v>0</v>
      </c>
      <c r="BQ78" s="556">
        <f t="shared" ca="1" si="86"/>
        <v>0</v>
      </c>
      <c r="BR78" s="556">
        <f t="shared" ca="1" si="86"/>
        <v>0</v>
      </c>
      <c r="BS78" s="556">
        <f t="shared" ca="1" si="86"/>
        <v>0</v>
      </c>
      <c r="BT78" s="556">
        <f t="shared" ca="1" si="86"/>
        <v>0</v>
      </c>
      <c r="BU78" s="556">
        <f t="shared" ca="1" si="86"/>
        <v>0</v>
      </c>
      <c r="BV78" s="556">
        <f t="shared" ca="1" si="86"/>
        <v>0</v>
      </c>
      <c r="BW78" s="556">
        <f t="shared" ca="1" si="86"/>
        <v>0</v>
      </c>
      <c r="BX78" s="556">
        <f t="shared" ref="BX78:EA78" ca="1" si="87">BX60-BX77</f>
        <v>0</v>
      </c>
      <c r="BY78" s="556">
        <f t="shared" ca="1" si="87"/>
        <v>0</v>
      </c>
      <c r="BZ78" s="556">
        <f t="shared" ca="1" si="87"/>
        <v>0</v>
      </c>
      <c r="CA78" s="556">
        <f t="shared" ca="1" si="87"/>
        <v>0</v>
      </c>
      <c r="CB78" s="556">
        <f t="shared" ca="1" si="87"/>
        <v>0</v>
      </c>
      <c r="CC78" s="556">
        <f t="shared" ca="1" si="87"/>
        <v>0</v>
      </c>
      <c r="CD78" s="556">
        <f t="shared" ca="1" si="87"/>
        <v>0</v>
      </c>
      <c r="CE78" s="556">
        <f t="shared" ca="1" si="87"/>
        <v>0</v>
      </c>
      <c r="CF78" s="556">
        <f t="shared" ca="1" si="87"/>
        <v>0</v>
      </c>
      <c r="CG78" s="556">
        <f t="shared" ca="1" si="87"/>
        <v>0</v>
      </c>
      <c r="CH78" s="556">
        <f t="shared" ca="1" si="87"/>
        <v>0</v>
      </c>
      <c r="CI78" s="556">
        <f t="shared" ca="1" si="87"/>
        <v>0</v>
      </c>
      <c r="CJ78" s="556">
        <f t="shared" ca="1" si="87"/>
        <v>0</v>
      </c>
      <c r="CK78" s="556">
        <f t="shared" ca="1" si="87"/>
        <v>0</v>
      </c>
      <c r="CL78" s="556">
        <f t="shared" ca="1" si="87"/>
        <v>0</v>
      </c>
      <c r="CM78" s="556">
        <f t="shared" ca="1" si="87"/>
        <v>0</v>
      </c>
      <c r="CN78" s="556">
        <f t="shared" ca="1" si="87"/>
        <v>0</v>
      </c>
      <c r="CO78" s="556">
        <f t="shared" ca="1" si="87"/>
        <v>0</v>
      </c>
      <c r="CP78" s="556">
        <f t="shared" ca="1" si="87"/>
        <v>0</v>
      </c>
      <c r="CQ78" s="556">
        <f t="shared" ca="1" si="87"/>
        <v>0</v>
      </c>
      <c r="CR78" s="556">
        <f t="shared" ca="1" si="87"/>
        <v>0</v>
      </c>
      <c r="CS78" s="556">
        <f t="shared" ca="1" si="87"/>
        <v>0</v>
      </c>
      <c r="CT78" s="556">
        <f t="shared" ca="1" si="87"/>
        <v>0</v>
      </c>
      <c r="CU78" s="556">
        <f t="shared" ca="1" si="87"/>
        <v>0</v>
      </c>
      <c r="CV78" s="556">
        <f t="shared" ca="1" si="87"/>
        <v>0</v>
      </c>
      <c r="CW78" s="556">
        <f t="shared" ca="1" si="87"/>
        <v>0</v>
      </c>
      <c r="CX78" s="556">
        <f t="shared" ca="1" si="87"/>
        <v>0</v>
      </c>
      <c r="CY78" s="556">
        <f t="shared" ca="1" si="87"/>
        <v>0</v>
      </c>
      <c r="CZ78" s="556">
        <f t="shared" ca="1" si="87"/>
        <v>0</v>
      </c>
      <c r="DA78" s="556">
        <f t="shared" ca="1" si="87"/>
        <v>0</v>
      </c>
      <c r="DB78" s="556">
        <f t="shared" ca="1" si="87"/>
        <v>0</v>
      </c>
      <c r="DC78" s="556">
        <f t="shared" ca="1" si="87"/>
        <v>0</v>
      </c>
      <c r="DD78" s="556">
        <f t="shared" ca="1" si="87"/>
        <v>0</v>
      </c>
      <c r="DE78" s="556">
        <f t="shared" ca="1" si="87"/>
        <v>0</v>
      </c>
      <c r="DF78" s="556">
        <f t="shared" ca="1" si="87"/>
        <v>0</v>
      </c>
      <c r="DG78" s="556">
        <f t="shared" ca="1" si="87"/>
        <v>0</v>
      </c>
      <c r="DH78" s="556">
        <f t="shared" ca="1" si="87"/>
        <v>0</v>
      </c>
      <c r="DI78" s="556">
        <f t="shared" ca="1" si="87"/>
        <v>0</v>
      </c>
      <c r="DJ78" s="556">
        <f t="shared" ca="1" si="87"/>
        <v>0</v>
      </c>
      <c r="DK78" s="556">
        <f t="shared" ca="1" si="87"/>
        <v>0</v>
      </c>
      <c r="DL78" s="556">
        <f t="shared" ca="1" si="87"/>
        <v>0</v>
      </c>
      <c r="DM78" s="556">
        <f t="shared" ca="1" si="87"/>
        <v>0</v>
      </c>
      <c r="DN78" s="556">
        <f t="shared" ca="1" si="87"/>
        <v>0</v>
      </c>
      <c r="DO78" s="556">
        <f t="shared" ca="1" si="87"/>
        <v>0</v>
      </c>
      <c r="DP78" s="556">
        <f t="shared" ca="1" si="87"/>
        <v>0</v>
      </c>
      <c r="DQ78" s="556">
        <f t="shared" ca="1" si="87"/>
        <v>0</v>
      </c>
      <c r="DR78" s="556">
        <f t="shared" ca="1" si="87"/>
        <v>0</v>
      </c>
      <c r="DS78" s="556">
        <f t="shared" ca="1" si="87"/>
        <v>0</v>
      </c>
      <c r="DT78" s="556">
        <f t="shared" ca="1" si="87"/>
        <v>0</v>
      </c>
      <c r="DU78" s="556">
        <f t="shared" ca="1" si="87"/>
        <v>0</v>
      </c>
      <c r="DV78" s="556">
        <f t="shared" ca="1" si="87"/>
        <v>0</v>
      </c>
      <c r="DW78" s="556">
        <f t="shared" ca="1" si="87"/>
        <v>0</v>
      </c>
      <c r="DX78" s="556">
        <f t="shared" ca="1" si="87"/>
        <v>0</v>
      </c>
      <c r="DY78" s="556">
        <f t="shared" ca="1" si="87"/>
        <v>0</v>
      </c>
      <c r="DZ78" s="556">
        <f t="shared" ca="1" si="87"/>
        <v>0</v>
      </c>
      <c r="EA78" s="556">
        <f t="shared" ca="1" si="87"/>
        <v>0</v>
      </c>
      <c r="EB78" s="523" t="s">
        <v>557</v>
      </c>
    </row>
    <row r="79" spans="7:132">
      <c r="K79" s="526"/>
      <c r="L79" s="526"/>
      <c r="M79" s="526"/>
      <c r="N79" s="526"/>
      <c r="O79" s="526"/>
      <c r="P79" s="526"/>
      <c r="Q79" s="526"/>
      <c r="R79" s="526"/>
      <c r="S79" s="526"/>
      <c r="T79" s="526"/>
      <c r="U79" s="526"/>
      <c r="V79" s="526"/>
      <c r="W79" s="526"/>
      <c r="X79" s="526"/>
      <c r="Y79" s="526"/>
      <c r="Z79" s="526"/>
      <c r="AA79" s="526"/>
      <c r="AB79" s="526"/>
      <c r="AC79" s="526"/>
      <c r="AD79" s="526"/>
      <c r="AE79" s="526"/>
      <c r="AF79" s="526"/>
      <c r="AG79" s="526"/>
      <c r="AH79" s="526"/>
      <c r="AI79" s="526"/>
      <c r="AJ79" s="526"/>
      <c r="AK79" s="526"/>
      <c r="AL79" s="526"/>
      <c r="AM79" s="526"/>
      <c r="AN79" s="526"/>
      <c r="AO79" s="526"/>
      <c r="AP79" s="526"/>
      <c r="AQ79" s="526"/>
      <c r="AR79" s="526"/>
      <c r="AS79" s="526"/>
      <c r="AT79" s="526"/>
      <c r="AU79" s="526"/>
      <c r="AV79" s="526"/>
      <c r="AW79" s="526"/>
      <c r="AX79" s="526"/>
      <c r="AY79" s="526"/>
      <c r="AZ79" s="526"/>
      <c r="BA79" s="526"/>
      <c r="BB79" s="526"/>
      <c r="BC79" s="526"/>
      <c r="BD79" s="526"/>
      <c r="BE79" s="526"/>
      <c r="BF79" s="526"/>
      <c r="BG79" s="526"/>
      <c r="BH79" s="526"/>
      <c r="BI79" s="526"/>
      <c r="BJ79" s="526"/>
      <c r="BK79" s="526"/>
      <c r="BL79" s="526"/>
      <c r="BM79" s="526"/>
      <c r="BN79" s="526"/>
      <c r="BO79" s="526"/>
      <c r="BP79" s="526"/>
      <c r="BQ79" s="526"/>
      <c r="BR79" s="526"/>
      <c r="BS79" s="526"/>
      <c r="BT79" s="526"/>
      <c r="BU79" s="526"/>
      <c r="BV79" s="526"/>
      <c r="BW79" s="526"/>
      <c r="BX79" s="526"/>
      <c r="BY79" s="526"/>
      <c r="BZ79" s="526"/>
      <c r="CA79" s="526"/>
      <c r="CB79" s="526"/>
      <c r="CC79" s="526"/>
      <c r="CD79" s="526"/>
      <c r="CE79" s="526"/>
      <c r="CF79" s="526"/>
      <c r="CG79" s="526"/>
      <c r="CH79" s="526"/>
      <c r="CI79" s="526"/>
      <c r="CJ79" s="526"/>
      <c r="CK79" s="526"/>
      <c r="CL79" s="526"/>
      <c r="CM79" s="526"/>
      <c r="CN79" s="526"/>
      <c r="CO79" s="526"/>
      <c r="CP79" s="526"/>
      <c r="CQ79" s="526"/>
      <c r="CR79" s="526"/>
      <c r="CS79" s="526"/>
      <c r="CT79" s="526"/>
      <c r="CU79" s="526"/>
      <c r="CV79" s="526"/>
      <c r="CW79" s="526"/>
      <c r="CX79" s="526"/>
      <c r="CY79" s="526"/>
      <c r="CZ79" s="526"/>
      <c r="DA79" s="526"/>
      <c r="DB79" s="526"/>
      <c r="DC79" s="526"/>
      <c r="DD79" s="526"/>
      <c r="DE79" s="526"/>
      <c r="DF79" s="526"/>
      <c r="DG79" s="526"/>
      <c r="DH79" s="526"/>
      <c r="DI79" s="526"/>
      <c r="DJ79" s="526"/>
      <c r="DK79" s="526"/>
      <c r="DL79" s="526"/>
      <c r="DM79" s="526"/>
      <c r="DN79" s="526"/>
      <c r="DO79" s="526"/>
      <c r="DP79" s="526"/>
      <c r="DQ79" s="526"/>
      <c r="DR79" s="526"/>
      <c r="DS79" s="526"/>
      <c r="DT79" s="526"/>
      <c r="DU79" s="526"/>
      <c r="DV79" s="526"/>
      <c r="DW79" s="526"/>
      <c r="DX79" s="526"/>
      <c r="DY79" s="526"/>
      <c r="DZ79" s="526"/>
      <c r="EA79" s="526"/>
      <c r="EB79" s="523"/>
    </row>
    <row r="80" spans="7:132" ht="19">
      <c r="G80" s="173" t="s">
        <v>1157</v>
      </c>
      <c r="H80" s="530"/>
      <c r="I80" s="530"/>
      <c r="J80" s="530"/>
      <c r="K80" s="530"/>
      <c r="L80" s="530"/>
      <c r="M80" s="530"/>
      <c r="N80" s="530"/>
      <c r="O80" s="530"/>
      <c r="P80" s="530"/>
      <c r="Q80" s="530"/>
      <c r="R80" s="530"/>
      <c r="S80" s="530"/>
      <c r="T80" s="530"/>
      <c r="U80" s="530"/>
      <c r="V80" s="530"/>
      <c r="W80" s="530"/>
      <c r="X80" s="530"/>
      <c r="Y80" s="530"/>
      <c r="Z80" s="530"/>
      <c r="AA80" s="530"/>
      <c r="AB80" s="530"/>
      <c r="AC80" s="530"/>
      <c r="AD80" s="530"/>
      <c r="AE80" s="530"/>
      <c r="AF80" s="530"/>
      <c r="AG80" s="530"/>
      <c r="AH80" s="530"/>
      <c r="AI80" s="530"/>
      <c r="AJ80" s="530"/>
      <c r="AK80" s="530"/>
      <c r="AL80" s="530"/>
      <c r="AM80" s="530"/>
      <c r="AN80" s="530"/>
      <c r="AO80" s="530"/>
      <c r="AP80" s="530"/>
      <c r="AQ80" s="530"/>
      <c r="AR80" s="530"/>
      <c r="AS80" s="530"/>
      <c r="AT80" s="530"/>
      <c r="AU80" s="530"/>
      <c r="AV80" s="530"/>
      <c r="AW80" s="530"/>
      <c r="AX80" s="530"/>
      <c r="AY80" s="530"/>
      <c r="AZ80" s="530"/>
      <c r="BA80" s="530"/>
      <c r="BB80" s="530"/>
      <c r="BC80" s="530"/>
      <c r="BD80" s="530"/>
      <c r="BE80" s="530"/>
      <c r="BF80" s="530"/>
      <c r="BG80" s="530"/>
      <c r="BH80" s="530"/>
      <c r="BI80" s="530"/>
      <c r="BJ80" s="530"/>
      <c r="BK80" s="530"/>
      <c r="BL80" s="530"/>
      <c r="BM80" s="530"/>
      <c r="BN80" s="530"/>
      <c r="BO80" s="530"/>
      <c r="BP80" s="530"/>
      <c r="BQ80" s="530"/>
      <c r="BR80" s="530"/>
      <c r="BS80" s="530"/>
      <c r="BT80" s="530"/>
      <c r="BU80" s="530"/>
      <c r="BV80" s="530"/>
      <c r="BW80" s="530"/>
      <c r="BX80" s="530"/>
      <c r="BY80" s="530"/>
      <c r="BZ80" s="530"/>
      <c r="CA80" s="530"/>
      <c r="CB80" s="530"/>
      <c r="CC80" s="530"/>
      <c r="CD80" s="530"/>
      <c r="CE80" s="530"/>
      <c r="CF80" s="530"/>
      <c r="CG80" s="530"/>
      <c r="CH80" s="530"/>
      <c r="CI80" s="530"/>
      <c r="CJ80" s="530"/>
      <c r="CK80" s="530"/>
      <c r="CL80" s="530"/>
      <c r="CM80" s="530"/>
      <c r="CN80" s="530"/>
      <c r="CO80" s="530"/>
      <c r="CP80" s="530"/>
      <c r="CQ80" s="530"/>
      <c r="CR80" s="530"/>
      <c r="CS80" s="530"/>
      <c r="CT80" s="530"/>
      <c r="CU80" s="530"/>
      <c r="CV80" s="530"/>
      <c r="CW80" s="530"/>
      <c r="CX80" s="530"/>
      <c r="CY80" s="530"/>
      <c r="CZ80" s="530"/>
      <c r="DA80" s="530"/>
      <c r="DB80" s="530"/>
      <c r="DC80" s="530"/>
      <c r="DD80" s="530"/>
      <c r="DE80" s="530"/>
      <c r="DF80" s="530"/>
      <c r="DG80" s="530"/>
      <c r="DH80" s="530"/>
      <c r="DI80" s="530"/>
      <c r="DJ80" s="530"/>
      <c r="DK80" s="530"/>
      <c r="DL80" s="530"/>
      <c r="DM80" s="530"/>
      <c r="DN80" s="530"/>
      <c r="DO80" s="530"/>
      <c r="DP80" s="530"/>
      <c r="DQ80" s="530"/>
      <c r="DR80" s="530"/>
      <c r="DS80" s="530"/>
      <c r="DT80" s="530"/>
      <c r="DU80" s="530"/>
      <c r="DV80" s="530"/>
      <c r="DW80" s="530"/>
      <c r="DX80" s="530"/>
      <c r="DY80" s="530"/>
      <c r="DZ80" s="530"/>
      <c r="EA80" s="530"/>
      <c r="EB80" s="523" t="s">
        <v>557</v>
      </c>
    </row>
    <row r="81" spans="7:132">
      <c r="G81" s="520" t="s">
        <v>1136</v>
      </c>
      <c r="H81" s="533"/>
      <c r="I81" s="533"/>
      <c r="J81" s="521"/>
      <c r="K81" s="521"/>
      <c r="L81" s="521"/>
      <c r="M81" s="521"/>
      <c r="N81" s="521"/>
      <c r="O81" s="521"/>
      <c r="P81" s="521"/>
      <c r="Q81" s="521"/>
      <c r="R81" s="521"/>
      <c r="S81" s="521"/>
      <c r="T81" s="521"/>
      <c r="U81" s="521"/>
      <c r="V81" s="521"/>
      <c r="W81" s="521"/>
      <c r="X81" s="521"/>
      <c r="Y81" s="521"/>
      <c r="Z81" s="521"/>
      <c r="AA81" s="521"/>
      <c r="AB81" s="521"/>
      <c r="AC81" s="521"/>
      <c r="AD81" s="521"/>
      <c r="AE81" s="521"/>
      <c r="AF81" s="521"/>
      <c r="AG81" s="521"/>
      <c r="AH81" s="521"/>
      <c r="AI81" s="521"/>
      <c r="AJ81" s="521"/>
      <c r="AK81" s="521"/>
      <c r="AL81" s="521"/>
      <c r="AM81" s="521"/>
      <c r="AN81" s="521"/>
      <c r="AO81" s="521"/>
      <c r="AP81" s="521"/>
      <c r="AQ81" s="521"/>
      <c r="AR81" s="521"/>
      <c r="AS81" s="521"/>
      <c r="AT81" s="521"/>
      <c r="AU81" s="521"/>
      <c r="AV81" s="521"/>
      <c r="AW81" s="521"/>
      <c r="AX81" s="521"/>
      <c r="AY81" s="521"/>
      <c r="AZ81" s="521"/>
      <c r="BA81" s="521"/>
      <c r="BB81" s="521"/>
      <c r="BC81" s="521"/>
      <c r="BD81" s="521"/>
      <c r="BE81" s="521"/>
      <c r="BF81" s="521"/>
      <c r="BG81" s="521"/>
      <c r="BH81" s="521"/>
      <c r="BI81" s="521"/>
      <c r="BJ81" s="521"/>
      <c r="BK81" s="521"/>
      <c r="BL81" s="521"/>
      <c r="BM81" s="521"/>
      <c r="BN81" s="521"/>
      <c r="BO81" s="521"/>
      <c r="BP81" s="521"/>
      <c r="BQ81" s="521"/>
      <c r="BR81" s="521"/>
      <c r="BS81" s="521"/>
      <c r="BT81" s="521"/>
      <c r="BU81" s="521"/>
      <c r="BV81" s="521"/>
      <c r="BW81" s="521"/>
      <c r="BX81" s="521"/>
      <c r="BY81" s="521"/>
      <c r="BZ81" s="521"/>
      <c r="CA81" s="521"/>
      <c r="CB81" s="521"/>
      <c r="CC81" s="521"/>
      <c r="CD81" s="521"/>
      <c r="CE81" s="521"/>
      <c r="CF81" s="521"/>
      <c r="CG81" s="521"/>
      <c r="CH81" s="521"/>
      <c r="CI81" s="521"/>
      <c r="CJ81" s="521"/>
      <c r="CK81" s="521"/>
      <c r="CL81" s="521"/>
      <c r="CM81" s="521"/>
      <c r="CN81" s="521"/>
      <c r="CO81" s="521"/>
      <c r="CP81" s="521"/>
      <c r="CQ81" s="521"/>
      <c r="CR81" s="521"/>
      <c r="CS81" s="521"/>
      <c r="CT81" s="521"/>
      <c r="CU81" s="521"/>
      <c r="CV81" s="521"/>
      <c r="CW81" s="521"/>
      <c r="CX81" s="521"/>
      <c r="CY81" s="521"/>
      <c r="CZ81" s="521"/>
      <c r="DA81" s="521"/>
      <c r="DB81" s="521"/>
      <c r="DC81" s="521"/>
      <c r="DD81" s="521"/>
      <c r="DE81" s="521"/>
      <c r="DF81" s="521"/>
      <c r="DG81" s="521"/>
      <c r="DH81" s="521"/>
      <c r="DI81" s="521"/>
      <c r="DJ81" s="521"/>
      <c r="DK81" s="521"/>
      <c r="DL81" s="521"/>
      <c r="DM81" s="521"/>
      <c r="DN81" s="521"/>
      <c r="DO81" s="521"/>
      <c r="DP81" s="521"/>
      <c r="DQ81" s="521"/>
      <c r="DR81" s="521"/>
      <c r="DS81" s="521"/>
      <c r="DT81" s="521"/>
      <c r="DU81" s="521"/>
      <c r="DV81" s="521"/>
      <c r="DW81" s="521"/>
      <c r="DX81" s="521"/>
      <c r="DY81" s="521"/>
      <c r="DZ81" s="521"/>
      <c r="EA81" s="521"/>
      <c r="EB81" s="523" t="s">
        <v>557</v>
      </c>
    </row>
    <row r="82" spans="7:132">
      <c r="G82" s="518" t="s">
        <v>1141</v>
      </c>
      <c r="I82" s="534" t="s">
        <v>1142</v>
      </c>
      <c r="K82" s="526">
        <f>J87</f>
        <v>0</v>
      </c>
      <c r="L82" s="526">
        <f ca="1">K87</f>
        <v>20296000</v>
      </c>
      <c r="M82" s="526">
        <f t="shared" ref="M82" ca="1" si="88">L87</f>
        <v>20220857.800580025</v>
      </c>
      <c r="N82" s="526">
        <f t="shared" ref="N82" ca="1" si="89">M87</f>
        <v>20143602.027830582</v>
      </c>
      <c r="O82" s="526">
        <f t="shared" ref="O82" ca="1" si="90">N87</f>
        <v>20064218.59126281</v>
      </c>
      <c r="P82" s="526">
        <f t="shared" ref="P82" ca="1" si="91">O87</f>
        <v>19982693.306451254</v>
      </c>
      <c r="Q82" s="526">
        <f t="shared" ref="Q82" ca="1" si="92">P87</f>
        <v>19899011.894407619</v>
      </c>
      <c r="R82" s="526">
        <f t="shared" ref="R82" ca="1" si="93">Q87</f>
        <v>19813159.980950359</v>
      </c>
      <c r="S82" s="526">
        <f t="shared" ref="S82" ca="1" si="94">R87</f>
        <v>19725123.096070051</v>
      </c>
      <c r="T82" s="526">
        <f t="shared" ref="T82" ca="1" si="95">S87</f>
        <v>19634886.673290543</v>
      </c>
      <c r="U82" s="526">
        <f t="shared" ref="U82" ca="1" si="96">T87</f>
        <v>19542436.049025837</v>
      </c>
      <c r="V82" s="526">
        <f t="shared" ref="V82" ca="1" si="97">U87</f>
        <v>19447756.4619327</v>
      </c>
      <c r="W82" s="526">
        <f t="shared" ref="W82" ca="1" si="98">V87</f>
        <v>19350833.052258942</v>
      </c>
      <c r="X82" s="526">
        <f t="shared" ref="X82" ca="1" si="99">W87</f>
        <v>19251650.861187361</v>
      </c>
      <c r="Y82" s="526">
        <f t="shared" ref="Y82" ca="1" si="100">X87</f>
        <v>19152518.609171581</v>
      </c>
      <c r="Z82" s="526">
        <f t="shared" ref="Z82" ca="1" si="101">Y87</f>
        <v>19051241.308930703</v>
      </c>
      <c r="AA82" s="526">
        <f t="shared" ref="AA82" ca="1" si="102">Z87</f>
        <v>18947805.553913318</v>
      </c>
      <c r="AB82" s="526">
        <f t="shared" ref="AB82" ca="1" si="103">AA87</f>
        <v>18842197.853777073</v>
      </c>
      <c r="AC82" s="526">
        <f t="shared" ref="AC82" ca="1" si="104">AB87</f>
        <v>18734404.63386498</v>
      </c>
      <c r="AD82" s="526">
        <f t="shared" ref="AD82" ca="1" si="105">AC87</f>
        <v>18624412.234678436</v>
      </c>
      <c r="AE82" s="526">
        <f t="shared" ref="AE82" ca="1" si="106">AD87</f>
        <v>18512206.911346976</v>
      </c>
      <c r="AF82" s="526">
        <f t="shared" ref="AF82" ca="1" si="107">AE87</f>
        <v>18397774.833094694</v>
      </c>
      <c r="AG82" s="526">
        <f t="shared" ref="AG82" ca="1" si="108">AF87</f>
        <v>18281102.082703333</v>
      </c>
      <c r="AH82" s="526">
        <f t="shared" ref="AH82" ca="1" si="109">AG87</f>
        <v>18162174.655972026</v>
      </c>
      <c r="AI82" s="526">
        <f t="shared" ref="AI82" ca="1" si="110">AH87</f>
        <v>18040978.46117365</v>
      </c>
      <c r="AJ82" s="526">
        <f t="shared" ref="AJ82" ca="1" si="111">AI87</f>
        <v>17917499.318507783</v>
      </c>
      <c r="AK82" s="526">
        <f t="shared" ref="AK82" ca="1" si="112">AJ87</f>
        <v>17795017.929739699</v>
      </c>
      <c r="AL82" s="526">
        <f t="shared" ref="AL82" ca="1" si="113">AK87</f>
        <v>17671307.275009319</v>
      </c>
      <c r="AM82" s="526">
        <f t="shared" ref="AM82" ca="1" si="114">AL87</f>
        <v>17546363.25676344</v>
      </c>
      <c r="AN82" s="526">
        <f t="shared" ref="AN82" ca="1" si="115">AM87</f>
        <v>17420181.763790339</v>
      </c>
      <c r="AO82" s="526">
        <f t="shared" ref="AO82" ca="1" si="116">AN87</f>
        <v>17292758.671174262</v>
      </c>
      <c r="AP82" s="526">
        <f t="shared" ref="AP82" ca="1" si="117">AO87</f>
        <v>17164089.840249732</v>
      </c>
      <c r="AQ82" s="526">
        <f t="shared" ref="AQ82" ca="1" si="118">AP87</f>
        <v>17034171.118555721</v>
      </c>
      <c r="AR82" s="526">
        <f t="shared" ref="AR82" ca="1" si="119">AQ87</f>
        <v>16902998.339789663</v>
      </c>
      <c r="AS82" s="526">
        <f t="shared" ref="AS82" ca="1" si="120">AR87</f>
        <v>16770567.323761316</v>
      </c>
      <c r="AT82" s="526">
        <f t="shared" ref="AT82" ca="1" si="121">AS87</f>
        <v>16636873.876346475</v>
      </c>
      <c r="AU82" s="526">
        <f t="shared" ref="AU82" ca="1" si="122">AT87</f>
        <v>16501913.789440518</v>
      </c>
      <c r="AV82" s="526">
        <f t="shared" ref="AV82" ca="1" si="123">AU87</f>
        <v>16365682.840911807</v>
      </c>
      <c r="AW82" s="526">
        <f t="shared" ref="AW82" ca="1" si="124">AV87</f>
        <v>16230441.756992536</v>
      </c>
      <c r="AX82" s="526">
        <f t="shared" ref="AX82" ca="1" si="125">AW87</f>
        <v>16093921.324919006</v>
      </c>
      <c r="AY82" s="526">
        <f t="shared" ref="AY82" ca="1" si="126">AX87</f>
        <v>15956117.280197373</v>
      </c>
      <c r="AZ82" s="526">
        <f t="shared" ref="AZ82" ca="1" si="127">AY87</f>
        <v>15817025.344118809</v>
      </c>
      <c r="BA82" s="526">
        <f t="shared" ref="BA82" ca="1" si="128">AZ87</f>
        <v>15676641.223712126</v>
      </c>
      <c r="BB82" s="526">
        <f t="shared" ref="BB82" ca="1" si="129">BA87</f>
        <v>15534960.611696228</v>
      </c>
      <c r="BC82" s="526">
        <f t="shared" ref="BC82" ca="1" si="130">BB87</f>
        <v>15391979.186432417</v>
      </c>
      <c r="BD82" s="526">
        <f t="shared" ref="BD82" ca="1" si="131">BC87</f>
        <v>15247692.611876536</v>
      </c>
      <c r="BE82" s="526">
        <f t="shared" ref="BE82" ca="1" si="132">BD87</f>
        <v>15102096.537530944</v>
      </c>
      <c r="BF82" s="526">
        <f t="shared" ref="BF82" ca="1" si="133">BE87</f>
        <v>14955186.59839634</v>
      </c>
      <c r="BG82" s="526">
        <f t="shared" ref="BG82" ca="1" si="134">BF87</f>
        <v>14806958.414923429</v>
      </c>
      <c r="BH82" s="526">
        <f t="shared" ref="BH82" ca="1" si="135">BG87</f>
        <v>0</v>
      </c>
      <c r="BI82" s="526">
        <f t="shared" ref="BI82" ca="1" si="136">BH87</f>
        <v>0</v>
      </c>
      <c r="BJ82" s="526">
        <f t="shared" ref="BJ82" ca="1" si="137">BI87</f>
        <v>0</v>
      </c>
      <c r="BK82" s="526">
        <f t="shared" ref="BK82" ca="1" si="138">BJ87</f>
        <v>0</v>
      </c>
      <c r="BL82" s="526">
        <f t="shared" ref="BL82" ca="1" si="139">BK87</f>
        <v>0</v>
      </c>
      <c r="BM82" s="526">
        <f t="shared" ref="BM82" ca="1" si="140">BL87</f>
        <v>0</v>
      </c>
      <c r="BN82" s="526">
        <f t="shared" ref="BN82" ca="1" si="141">BM87</f>
        <v>0</v>
      </c>
      <c r="BO82" s="526">
        <f t="shared" ref="BO82" ca="1" si="142">BN87</f>
        <v>0</v>
      </c>
      <c r="BP82" s="526">
        <f t="shared" ref="BP82" ca="1" si="143">BO87</f>
        <v>0</v>
      </c>
      <c r="BQ82" s="526">
        <f t="shared" ref="BQ82" ca="1" si="144">BP87</f>
        <v>0</v>
      </c>
      <c r="BR82" s="526">
        <f t="shared" ref="BR82" ca="1" si="145">BQ87</f>
        <v>0</v>
      </c>
      <c r="BS82" s="526">
        <f t="shared" ref="BS82" ca="1" si="146">BR87</f>
        <v>0</v>
      </c>
      <c r="BT82" s="526">
        <f t="shared" ref="BT82" ca="1" si="147">BS87</f>
        <v>0</v>
      </c>
      <c r="BU82" s="526">
        <f t="shared" ref="BU82" ca="1" si="148">BT87</f>
        <v>0</v>
      </c>
      <c r="BV82" s="526">
        <f t="shared" ref="BV82" ca="1" si="149">BU87</f>
        <v>0</v>
      </c>
      <c r="BW82" s="526">
        <f t="shared" ref="BW82" ca="1" si="150">BV87</f>
        <v>0</v>
      </c>
      <c r="BX82" s="526">
        <f t="shared" ref="BX82" ca="1" si="151">BW87</f>
        <v>0</v>
      </c>
      <c r="BY82" s="526">
        <f t="shared" ref="BY82" ca="1" si="152">BX87</f>
        <v>0</v>
      </c>
      <c r="BZ82" s="526">
        <f t="shared" ref="BZ82" ca="1" si="153">BY87</f>
        <v>0</v>
      </c>
      <c r="CA82" s="526">
        <f t="shared" ref="CA82" ca="1" si="154">BZ87</f>
        <v>0</v>
      </c>
      <c r="CB82" s="526">
        <f t="shared" ref="CB82" ca="1" si="155">CA87</f>
        <v>0</v>
      </c>
      <c r="CC82" s="526">
        <f t="shared" ref="CC82" ca="1" si="156">CB87</f>
        <v>0</v>
      </c>
      <c r="CD82" s="526">
        <f t="shared" ref="CD82" ca="1" si="157">CC87</f>
        <v>0</v>
      </c>
      <c r="CE82" s="526">
        <f t="shared" ref="CE82" ca="1" si="158">CD87</f>
        <v>0</v>
      </c>
      <c r="CF82" s="526">
        <f t="shared" ref="CF82" ca="1" si="159">CE87</f>
        <v>0</v>
      </c>
      <c r="CG82" s="526">
        <f t="shared" ref="CG82" ca="1" si="160">CF87</f>
        <v>0</v>
      </c>
      <c r="CH82" s="526">
        <f t="shared" ref="CH82" ca="1" si="161">CG87</f>
        <v>0</v>
      </c>
      <c r="CI82" s="526">
        <f t="shared" ref="CI82" ca="1" si="162">CH87</f>
        <v>0</v>
      </c>
      <c r="CJ82" s="526">
        <f t="shared" ref="CJ82" ca="1" si="163">CI87</f>
        <v>0</v>
      </c>
      <c r="CK82" s="526">
        <f t="shared" ref="CK82" ca="1" si="164">CJ87</f>
        <v>0</v>
      </c>
      <c r="CL82" s="526">
        <f t="shared" ref="CL82" ca="1" si="165">CK87</f>
        <v>0</v>
      </c>
      <c r="CM82" s="526">
        <f t="shared" ref="CM82" ca="1" si="166">CL87</f>
        <v>0</v>
      </c>
      <c r="CN82" s="526">
        <f t="shared" ref="CN82" ca="1" si="167">CM87</f>
        <v>0</v>
      </c>
      <c r="CO82" s="526">
        <f t="shared" ref="CO82" ca="1" si="168">CN87</f>
        <v>0</v>
      </c>
      <c r="CP82" s="526">
        <f t="shared" ref="CP82" ca="1" si="169">CO87</f>
        <v>0</v>
      </c>
      <c r="CQ82" s="526">
        <f t="shared" ref="CQ82" ca="1" si="170">CP87</f>
        <v>0</v>
      </c>
      <c r="CR82" s="526">
        <f t="shared" ref="CR82" ca="1" si="171">CQ87</f>
        <v>0</v>
      </c>
      <c r="CS82" s="526">
        <f t="shared" ref="CS82" ca="1" si="172">CR87</f>
        <v>0</v>
      </c>
      <c r="CT82" s="526">
        <f t="shared" ref="CT82" ca="1" si="173">CS87</f>
        <v>0</v>
      </c>
      <c r="CU82" s="526">
        <f t="shared" ref="CU82" ca="1" si="174">CT87</f>
        <v>0</v>
      </c>
      <c r="CV82" s="526">
        <f t="shared" ref="CV82" ca="1" si="175">CU87</f>
        <v>0</v>
      </c>
      <c r="CW82" s="526">
        <f t="shared" ref="CW82" ca="1" si="176">CV87</f>
        <v>0</v>
      </c>
      <c r="CX82" s="526">
        <f t="shared" ref="CX82" ca="1" si="177">CW87</f>
        <v>0</v>
      </c>
      <c r="CY82" s="526">
        <f t="shared" ref="CY82" ca="1" si="178">CX87</f>
        <v>0</v>
      </c>
      <c r="CZ82" s="526">
        <f t="shared" ref="CZ82" ca="1" si="179">CY87</f>
        <v>0</v>
      </c>
      <c r="DA82" s="526">
        <f t="shared" ref="DA82" ca="1" si="180">CZ87</f>
        <v>0</v>
      </c>
      <c r="DB82" s="526">
        <f t="shared" ref="DB82" ca="1" si="181">DA87</f>
        <v>0</v>
      </c>
      <c r="DC82" s="526">
        <f t="shared" ref="DC82" ca="1" si="182">DB87</f>
        <v>0</v>
      </c>
      <c r="DD82" s="526">
        <f t="shared" ref="DD82" ca="1" si="183">DC87</f>
        <v>0</v>
      </c>
      <c r="DE82" s="526">
        <f t="shared" ref="DE82" ca="1" si="184">DD87</f>
        <v>0</v>
      </c>
      <c r="DF82" s="526">
        <f t="shared" ref="DF82" ca="1" si="185">DE87</f>
        <v>0</v>
      </c>
      <c r="DG82" s="526">
        <f t="shared" ref="DG82" ca="1" si="186">DF87</f>
        <v>0</v>
      </c>
      <c r="DH82" s="526">
        <f t="shared" ref="DH82" ca="1" si="187">DG87</f>
        <v>0</v>
      </c>
      <c r="DI82" s="526">
        <f t="shared" ref="DI82" ca="1" si="188">DH87</f>
        <v>0</v>
      </c>
      <c r="DJ82" s="526">
        <f t="shared" ref="DJ82" ca="1" si="189">DI87</f>
        <v>0</v>
      </c>
      <c r="DK82" s="526">
        <f t="shared" ref="DK82" ca="1" si="190">DJ87</f>
        <v>0</v>
      </c>
      <c r="DL82" s="526">
        <f t="shared" ref="DL82" ca="1" si="191">DK87</f>
        <v>0</v>
      </c>
      <c r="DM82" s="526">
        <f t="shared" ref="DM82" ca="1" si="192">DL87</f>
        <v>0</v>
      </c>
      <c r="DN82" s="526">
        <f t="shared" ref="DN82" ca="1" si="193">DM87</f>
        <v>0</v>
      </c>
      <c r="DO82" s="526">
        <f t="shared" ref="DO82" ca="1" si="194">DN87</f>
        <v>0</v>
      </c>
      <c r="DP82" s="526">
        <f t="shared" ref="DP82" ca="1" si="195">DO87</f>
        <v>0</v>
      </c>
      <c r="DQ82" s="526">
        <f t="shared" ref="DQ82" ca="1" si="196">DP87</f>
        <v>0</v>
      </c>
      <c r="DR82" s="526">
        <f t="shared" ref="DR82" ca="1" si="197">DQ87</f>
        <v>0</v>
      </c>
      <c r="DS82" s="526">
        <f t="shared" ref="DS82" ca="1" si="198">DR87</f>
        <v>0</v>
      </c>
      <c r="DT82" s="526">
        <f t="shared" ref="DT82" ca="1" si="199">DS87</f>
        <v>0</v>
      </c>
      <c r="DU82" s="526">
        <f t="shared" ref="DU82" ca="1" si="200">DT87</f>
        <v>0</v>
      </c>
      <c r="DV82" s="526">
        <f t="shared" ref="DV82" ca="1" si="201">DU87</f>
        <v>0</v>
      </c>
      <c r="DW82" s="526">
        <f t="shared" ref="DW82" ca="1" si="202">DV87</f>
        <v>0</v>
      </c>
      <c r="DX82" s="526">
        <f t="shared" ref="DX82" ca="1" si="203">DW87</f>
        <v>0</v>
      </c>
      <c r="DY82" s="526">
        <f t="shared" ref="DY82" ca="1" si="204">DX87</f>
        <v>0</v>
      </c>
      <c r="DZ82" s="526">
        <f t="shared" ref="DZ82" ca="1" si="205">DY87</f>
        <v>0</v>
      </c>
      <c r="EA82" s="526">
        <f t="shared" ref="EA82" ca="1" si="206">DZ87</f>
        <v>0</v>
      </c>
      <c r="EB82" s="523" t="s">
        <v>557</v>
      </c>
    </row>
    <row r="83" spans="7:132">
      <c r="G83" s="518" t="s">
        <v>1180</v>
      </c>
      <c r="H83" s="537">
        <f>E18</f>
        <v>0</v>
      </c>
      <c r="I83" s="538">
        <f>((H83+1)^(1/12)-1)</f>
        <v>0</v>
      </c>
      <c r="K83" s="526">
        <f>K82*$I83</f>
        <v>0</v>
      </c>
      <c r="L83" s="526">
        <f t="shared" ref="L83:BW83" ca="1" si="207">L82*$I83</f>
        <v>0</v>
      </c>
      <c r="M83" s="526">
        <f t="shared" ca="1" si="207"/>
        <v>0</v>
      </c>
      <c r="N83" s="526">
        <f t="shared" ca="1" si="207"/>
        <v>0</v>
      </c>
      <c r="O83" s="526">
        <f t="shared" ca="1" si="207"/>
        <v>0</v>
      </c>
      <c r="P83" s="526">
        <f t="shared" ca="1" si="207"/>
        <v>0</v>
      </c>
      <c r="Q83" s="526">
        <f t="shared" ca="1" si="207"/>
        <v>0</v>
      </c>
      <c r="R83" s="526">
        <f t="shared" ca="1" si="207"/>
        <v>0</v>
      </c>
      <c r="S83" s="526">
        <f t="shared" ca="1" si="207"/>
        <v>0</v>
      </c>
      <c r="T83" s="526">
        <f t="shared" ca="1" si="207"/>
        <v>0</v>
      </c>
      <c r="U83" s="526">
        <f t="shared" ca="1" si="207"/>
        <v>0</v>
      </c>
      <c r="V83" s="526">
        <f t="shared" ca="1" si="207"/>
        <v>0</v>
      </c>
      <c r="W83" s="526">
        <f t="shared" ca="1" si="207"/>
        <v>0</v>
      </c>
      <c r="X83" s="526">
        <f t="shared" ca="1" si="207"/>
        <v>0</v>
      </c>
      <c r="Y83" s="526">
        <f t="shared" ca="1" si="207"/>
        <v>0</v>
      </c>
      <c r="Z83" s="526">
        <f t="shared" ca="1" si="207"/>
        <v>0</v>
      </c>
      <c r="AA83" s="526">
        <f t="shared" ca="1" si="207"/>
        <v>0</v>
      </c>
      <c r="AB83" s="526">
        <f t="shared" ca="1" si="207"/>
        <v>0</v>
      </c>
      <c r="AC83" s="526">
        <f t="shared" ca="1" si="207"/>
        <v>0</v>
      </c>
      <c r="AD83" s="526">
        <f t="shared" ca="1" si="207"/>
        <v>0</v>
      </c>
      <c r="AE83" s="526">
        <f t="shared" ca="1" si="207"/>
        <v>0</v>
      </c>
      <c r="AF83" s="526">
        <f t="shared" ca="1" si="207"/>
        <v>0</v>
      </c>
      <c r="AG83" s="526">
        <f t="shared" ca="1" si="207"/>
        <v>0</v>
      </c>
      <c r="AH83" s="526">
        <f t="shared" ca="1" si="207"/>
        <v>0</v>
      </c>
      <c r="AI83" s="526">
        <f t="shared" ca="1" si="207"/>
        <v>0</v>
      </c>
      <c r="AJ83" s="526">
        <f t="shared" ca="1" si="207"/>
        <v>0</v>
      </c>
      <c r="AK83" s="526">
        <f t="shared" ca="1" si="207"/>
        <v>0</v>
      </c>
      <c r="AL83" s="526">
        <f t="shared" ca="1" si="207"/>
        <v>0</v>
      </c>
      <c r="AM83" s="526">
        <f t="shared" ca="1" si="207"/>
        <v>0</v>
      </c>
      <c r="AN83" s="526">
        <f t="shared" ca="1" si="207"/>
        <v>0</v>
      </c>
      <c r="AO83" s="526">
        <f t="shared" ca="1" si="207"/>
        <v>0</v>
      </c>
      <c r="AP83" s="526">
        <f t="shared" ca="1" si="207"/>
        <v>0</v>
      </c>
      <c r="AQ83" s="526">
        <f t="shared" ca="1" si="207"/>
        <v>0</v>
      </c>
      <c r="AR83" s="526">
        <f t="shared" ca="1" si="207"/>
        <v>0</v>
      </c>
      <c r="AS83" s="526">
        <f t="shared" ca="1" si="207"/>
        <v>0</v>
      </c>
      <c r="AT83" s="526">
        <f t="shared" ca="1" si="207"/>
        <v>0</v>
      </c>
      <c r="AU83" s="526">
        <f t="shared" ca="1" si="207"/>
        <v>0</v>
      </c>
      <c r="AV83" s="526">
        <f t="shared" ca="1" si="207"/>
        <v>0</v>
      </c>
      <c r="AW83" s="526">
        <f t="shared" ca="1" si="207"/>
        <v>0</v>
      </c>
      <c r="AX83" s="526">
        <f t="shared" ca="1" si="207"/>
        <v>0</v>
      </c>
      <c r="AY83" s="526">
        <f t="shared" ca="1" si="207"/>
        <v>0</v>
      </c>
      <c r="AZ83" s="526">
        <f t="shared" ca="1" si="207"/>
        <v>0</v>
      </c>
      <c r="BA83" s="526">
        <f t="shared" ca="1" si="207"/>
        <v>0</v>
      </c>
      <c r="BB83" s="526">
        <f t="shared" ca="1" si="207"/>
        <v>0</v>
      </c>
      <c r="BC83" s="526">
        <f t="shared" ca="1" si="207"/>
        <v>0</v>
      </c>
      <c r="BD83" s="526">
        <f t="shared" ca="1" si="207"/>
        <v>0</v>
      </c>
      <c r="BE83" s="526">
        <f t="shared" ca="1" si="207"/>
        <v>0</v>
      </c>
      <c r="BF83" s="526">
        <f t="shared" ca="1" si="207"/>
        <v>0</v>
      </c>
      <c r="BG83" s="526">
        <f t="shared" ca="1" si="207"/>
        <v>0</v>
      </c>
      <c r="BH83" s="526">
        <f t="shared" ca="1" si="207"/>
        <v>0</v>
      </c>
      <c r="BI83" s="526">
        <f t="shared" ca="1" si="207"/>
        <v>0</v>
      </c>
      <c r="BJ83" s="526">
        <f t="shared" ca="1" si="207"/>
        <v>0</v>
      </c>
      <c r="BK83" s="526">
        <f t="shared" ca="1" si="207"/>
        <v>0</v>
      </c>
      <c r="BL83" s="526">
        <f t="shared" ca="1" si="207"/>
        <v>0</v>
      </c>
      <c r="BM83" s="526">
        <f t="shared" ca="1" si="207"/>
        <v>0</v>
      </c>
      <c r="BN83" s="526">
        <f t="shared" ca="1" si="207"/>
        <v>0</v>
      </c>
      <c r="BO83" s="526">
        <f t="shared" ca="1" si="207"/>
        <v>0</v>
      </c>
      <c r="BP83" s="526">
        <f t="shared" ca="1" si="207"/>
        <v>0</v>
      </c>
      <c r="BQ83" s="526">
        <f t="shared" ca="1" si="207"/>
        <v>0</v>
      </c>
      <c r="BR83" s="526">
        <f t="shared" ca="1" si="207"/>
        <v>0</v>
      </c>
      <c r="BS83" s="526">
        <f t="shared" ca="1" si="207"/>
        <v>0</v>
      </c>
      <c r="BT83" s="526">
        <f t="shared" ca="1" si="207"/>
        <v>0</v>
      </c>
      <c r="BU83" s="526">
        <f t="shared" ca="1" si="207"/>
        <v>0</v>
      </c>
      <c r="BV83" s="526">
        <f t="shared" ca="1" si="207"/>
        <v>0</v>
      </c>
      <c r="BW83" s="526">
        <f t="shared" ca="1" si="207"/>
        <v>0</v>
      </c>
      <c r="BX83" s="526">
        <f t="shared" ref="BX83:EA83" ca="1" si="208">BX82*$I83</f>
        <v>0</v>
      </c>
      <c r="BY83" s="526">
        <f t="shared" ca="1" si="208"/>
        <v>0</v>
      </c>
      <c r="BZ83" s="526">
        <f t="shared" ca="1" si="208"/>
        <v>0</v>
      </c>
      <c r="CA83" s="526">
        <f t="shared" ca="1" si="208"/>
        <v>0</v>
      </c>
      <c r="CB83" s="526">
        <f t="shared" ca="1" si="208"/>
        <v>0</v>
      </c>
      <c r="CC83" s="526">
        <f t="shared" ca="1" si="208"/>
        <v>0</v>
      </c>
      <c r="CD83" s="526">
        <f t="shared" ca="1" si="208"/>
        <v>0</v>
      </c>
      <c r="CE83" s="526">
        <f t="shared" ca="1" si="208"/>
        <v>0</v>
      </c>
      <c r="CF83" s="526">
        <f t="shared" ca="1" si="208"/>
        <v>0</v>
      </c>
      <c r="CG83" s="526">
        <f t="shared" ca="1" si="208"/>
        <v>0</v>
      </c>
      <c r="CH83" s="526">
        <f t="shared" ca="1" si="208"/>
        <v>0</v>
      </c>
      <c r="CI83" s="526">
        <f t="shared" ca="1" si="208"/>
        <v>0</v>
      </c>
      <c r="CJ83" s="526">
        <f t="shared" ca="1" si="208"/>
        <v>0</v>
      </c>
      <c r="CK83" s="526">
        <f t="shared" ca="1" si="208"/>
        <v>0</v>
      </c>
      <c r="CL83" s="526">
        <f t="shared" ca="1" si="208"/>
        <v>0</v>
      </c>
      <c r="CM83" s="526">
        <f t="shared" ca="1" si="208"/>
        <v>0</v>
      </c>
      <c r="CN83" s="526">
        <f t="shared" ca="1" si="208"/>
        <v>0</v>
      </c>
      <c r="CO83" s="526">
        <f t="shared" ca="1" si="208"/>
        <v>0</v>
      </c>
      <c r="CP83" s="526">
        <f t="shared" ca="1" si="208"/>
        <v>0</v>
      </c>
      <c r="CQ83" s="526">
        <f t="shared" ca="1" si="208"/>
        <v>0</v>
      </c>
      <c r="CR83" s="526">
        <f t="shared" ca="1" si="208"/>
        <v>0</v>
      </c>
      <c r="CS83" s="526">
        <f t="shared" ca="1" si="208"/>
        <v>0</v>
      </c>
      <c r="CT83" s="526">
        <f t="shared" ca="1" si="208"/>
        <v>0</v>
      </c>
      <c r="CU83" s="526">
        <f t="shared" ca="1" si="208"/>
        <v>0</v>
      </c>
      <c r="CV83" s="526">
        <f t="shared" ca="1" si="208"/>
        <v>0</v>
      </c>
      <c r="CW83" s="526">
        <f t="shared" ca="1" si="208"/>
        <v>0</v>
      </c>
      <c r="CX83" s="526">
        <f t="shared" ca="1" si="208"/>
        <v>0</v>
      </c>
      <c r="CY83" s="526">
        <f t="shared" ca="1" si="208"/>
        <v>0</v>
      </c>
      <c r="CZ83" s="526">
        <f t="shared" ca="1" si="208"/>
        <v>0</v>
      </c>
      <c r="DA83" s="526">
        <f t="shared" ca="1" si="208"/>
        <v>0</v>
      </c>
      <c r="DB83" s="526">
        <f t="shared" ca="1" si="208"/>
        <v>0</v>
      </c>
      <c r="DC83" s="526">
        <f t="shared" ca="1" si="208"/>
        <v>0</v>
      </c>
      <c r="DD83" s="526">
        <f t="shared" ca="1" si="208"/>
        <v>0</v>
      </c>
      <c r="DE83" s="526">
        <f t="shared" ca="1" si="208"/>
        <v>0</v>
      </c>
      <c r="DF83" s="526">
        <f t="shared" ca="1" si="208"/>
        <v>0</v>
      </c>
      <c r="DG83" s="526">
        <f t="shared" ca="1" si="208"/>
        <v>0</v>
      </c>
      <c r="DH83" s="526">
        <f t="shared" ca="1" si="208"/>
        <v>0</v>
      </c>
      <c r="DI83" s="526">
        <f t="shared" ca="1" si="208"/>
        <v>0</v>
      </c>
      <c r="DJ83" s="526">
        <f t="shared" ca="1" si="208"/>
        <v>0</v>
      </c>
      <c r="DK83" s="526">
        <f t="shared" ca="1" si="208"/>
        <v>0</v>
      </c>
      <c r="DL83" s="526">
        <f t="shared" ca="1" si="208"/>
        <v>0</v>
      </c>
      <c r="DM83" s="526">
        <f t="shared" ca="1" si="208"/>
        <v>0</v>
      </c>
      <c r="DN83" s="526">
        <f t="shared" ca="1" si="208"/>
        <v>0</v>
      </c>
      <c r="DO83" s="526">
        <f t="shared" ca="1" si="208"/>
        <v>0</v>
      </c>
      <c r="DP83" s="526">
        <f t="shared" ca="1" si="208"/>
        <v>0</v>
      </c>
      <c r="DQ83" s="526">
        <f t="shared" ca="1" si="208"/>
        <v>0</v>
      </c>
      <c r="DR83" s="526">
        <f t="shared" ca="1" si="208"/>
        <v>0</v>
      </c>
      <c r="DS83" s="526">
        <f t="shared" ca="1" si="208"/>
        <v>0</v>
      </c>
      <c r="DT83" s="526">
        <f t="shared" ca="1" si="208"/>
        <v>0</v>
      </c>
      <c r="DU83" s="526">
        <f t="shared" ca="1" si="208"/>
        <v>0</v>
      </c>
      <c r="DV83" s="526">
        <f t="shared" ca="1" si="208"/>
        <v>0</v>
      </c>
      <c r="DW83" s="526">
        <f t="shared" ca="1" si="208"/>
        <v>0</v>
      </c>
      <c r="DX83" s="526">
        <f t="shared" ca="1" si="208"/>
        <v>0</v>
      </c>
      <c r="DY83" s="526">
        <f t="shared" ca="1" si="208"/>
        <v>0</v>
      </c>
      <c r="DZ83" s="526">
        <f t="shared" ca="1" si="208"/>
        <v>0</v>
      </c>
      <c r="EA83" s="526">
        <f t="shared" ca="1" si="208"/>
        <v>0</v>
      </c>
      <c r="EB83" s="523" t="s">
        <v>557</v>
      </c>
    </row>
    <row r="84" spans="7:132">
      <c r="G84" s="518" t="s">
        <v>1145</v>
      </c>
      <c r="K84" s="526">
        <f ca="1">K66</f>
        <v>20296000</v>
      </c>
      <c r="L84" s="526">
        <f>L66</f>
        <v>0</v>
      </c>
      <c r="M84" s="526">
        <f t="shared" ref="M84:BX84" si="209">M66</f>
        <v>0</v>
      </c>
      <c r="N84" s="526">
        <f t="shared" si="209"/>
        <v>0</v>
      </c>
      <c r="O84" s="526">
        <f t="shared" si="209"/>
        <v>0</v>
      </c>
      <c r="P84" s="526">
        <f t="shared" si="209"/>
        <v>0</v>
      </c>
      <c r="Q84" s="526">
        <f t="shared" si="209"/>
        <v>0</v>
      </c>
      <c r="R84" s="526">
        <f t="shared" si="209"/>
        <v>0</v>
      </c>
      <c r="S84" s="526">
        <f t="shared" si="209"/>
        <v>0</v>
      </c>
      <c r="T84" s="526">
        <f t="shared" si="209"/>
        <v>0</v>
      </c>
      <c r="U84" s="526">
        <f t="shared" si="209"/>
        <v>0</v>
      </c>
      <c r="V84" s="526">
        <f t="shared" si="209"/>
        <v>0</v>
      </c>
      <c r="W84" s="526">
        <f t="shared" si="209"/>
        <v>0</v>
      </c>
      <c r="X84" s="526">
        <f t="shared" si="209"/>
        <v>0</v>
      </c>
      <c r="Y84" s="526">
        <f t="shared" si="209"/>
        <v>0</v>
      </c>
      <c r="Z84" s="526">
        <f t="shared" si="209"/>
        <v>0</v>
      </c>
      <c r="AA84" s="526">
        <f t="shared" si="209"/>
        <v>0</v>
      </c>
      <c r="AB84" s="526">
        <f t="shared" si="209"/>
        <v>0</v>
      </c>
      <c r="AC84" s="526">
        <f t="shared" si="209"/>
        <v>0</v>
      </c>
      <c r="AD84" s="526">
        <f t="shared" si="209"/>
        <v>0</v>
      </c>
      <c r="AE84" s="526">
        <f t="shared" si="209"/>
        <v>0</v>
      </c>
      <c r="AF84" s="526">
        <f t="shared" si="209"/>
        <v>0</v>
      </c>
      <c r="AG84" s="526">
        <f t="shared" si="209"/>
        <v>0</v>
      </c>
      <c r="AH84" s="526">
        <f t="shared" si="209"/>
        <v>0</v>
      </c>
      <c r="AI84" s="526">
        <f t="shared" si="209"/>
        <v>0</v>
      </c>
      <c r="AJ84" s="526">
        <f t="shared" si="209"/>
        <v>0</v>
      </c>
      <c r="AK84" s="526">
        <f t="shared" si="209"/>
        <v>0</v>
      </c>
      <c r="AL84" s="526">
        <f t="shared" si="209"/>
        <v>0</v>
      </c>
      <c r="AM84" s="526">
        <f t="shared" si="209"/>
        <v>0</v>
      </c>
      <c r="AN84" s="526">
        <f t="shared" si="209"/>
        <v>0</v>
      </c>
      <c r="AO84" s="526">
        <f t="shared" si="209"/>
        <v>0</v>
      </c>
      <c r="AP84" s="526">
        <f t="shared" si="209"/>
        <v>0</v>
      </c>
      <c r="AQ84" s="526">
        <f t="shared" si="209"/>
        <v>0</v>
      </c>
      <c r="AR84" s="526">
        <f t="shared" si="209"/>
        <v>0</v>
      </c>
      <c r="AS84" s="526">
        <f t="shared" si="209"/>
        <v>0</v>
      </c>
      <c r="AT84" s="526">
        <f t="shared" si="209"/>
        <v>0</v>
      </c>
      <c r="AU84" s="526">
        <f t="shared" si="209"/>
        <v>0</v>
      </c>
      <c r="AV84" s="526">
        <f t="shared" si="209"/>
        <v>0</v>
      </c>
      <c r="AW84" s="526">
        <f t="shared" si="209"/>
        <v>0</v>
      </c>
      <c r="AX84" s="526">
        <f t="shared" si="209"/>
        <v>0</v>
      </c>
      <c r="AY84" s="526">
        <f t="shared" si="209"/>
        <v>0</v>
      </c>
      <c r="AZ84" s="526">
        <f t="shared" si="209"/>
        <v>0</v>
      </c>
      <c r="BA84" s="526">
        <f t="shared" si="209"/>
        <v>0</v>
      </c>
      <c r="BB84" s="526">
        <f t="shared" si="209"/>
        <v>0</v>
      </c>
      <c r="BC84" s="526">
        <f t="shared" si="209"/>
        <v>0</v>
      </c>
      <c r="BD84" s="526">
        <f t="shared" si="209"/>
        <v>0</v>
      </c>
      <c r="BE84" s="526">
        <f t="shared" si="209"/>
        <v>0</v>
      </c>
      <c r="BF84" s="526">
        <f t="shared" si="209"/>
        <v>0</v>
      </c>
      <c r="BG84" s="526">
        <f t="shared" si="209"/>
        <v>0</v>
      </c>
      <c r="BH84" s="526">
        <f t="shared" si="209"/>
        <v>0</v>
      </c>
      <c r="BI84" s="526">
        <f t="shared" si="209"/>
        <v>0</v>
      </c>
      <c r="BJ84" s="526">
        <f t="shared" si="209"/>
        <v>0</v>
      </c>
      <c r="BK84" s="526">
        <f t="shared" si="209"/>
        <v>0</v>
      </c>
      <c r="BL84" s="526">
        <f t="shared" si="209"/>
        <v>0</v>
      </c>
      <c r="BM84" s="526">
        <f t="shared" si="209"/>
        <v>0</v>
      </c>
      <c r="BN84" s="526">
        <f t="shared" si="209"/>
        <v>0</v>
      </c>
      <c r="BO84" s="526">
        <f t="shared" si="209"/>
        <v>0</v>
      </c>
      <c r="BP84" s="526">
        <f t="shared" si="209"/>
        <v>0</v>
      </c>
      <c r="BQ84" s="526">
        <f t="shared" si="209"/>
        <v>0</v>
      </c>
      <c r="BR84" s="526">
        <f t="shared" si="209"/>
        <v>0</v>
      </c>
      <c r="BS84" s="526">
        <f t="shared" si="209"/>
        <v>0</v>
      </c>
      <c r="BT84" s="526">
        <f t="shared" si="209"/>
        <v>0</v>
      </c>
      <c r="BU84" s="526">
        <f t="shared" si="209"/>
        <v>0</v>
      </c>
      <c r="BV84" s="526">
        <f t="shared" si="209"/>
        <v>0</v>
      </c>
      <c r="BW84" s="526">
        <f t="shared" si="209"/>
        <v>0</v>
      </c>
      <c r="BX84" s="526">
        <f t="shared" si="209"/>
        <v>0</v>
      </c>
      <c r="BY84" s="526">
        <f t="shared" ref="BY84:EA84" si="210">BY66</f>
        <v>0</v>
      </c>
      <c r="BZ84" s="526">
        <f t="shared" si="210"/>
        <v>0</v>
      </c>
      <c r="CA84" s="526">
        <f t="shared" si="210"/>
        <v>0</v>
      </c>
      <c r="CB84" s="526">
        <f t="shared" si="210"/>
        <v>0</v>
      </c>
      <c r="CC84" s="526">
        <f t="shared" si="210"/>
        <v>0</v>
      </c>
      <c r="CD84" s="526">
        <f t="shared" si="210"/>
        <v>0</v>
      </c>
      <c r="CE84" s="526">
        <f t="shared" si="210"/>
        <v>0</v>
      </c>
      <c r="CF84" s="526">
        <f t="shared" si="210"/>
        <v>0</v>
      </c>
      <c r="CG84" s="526">
        <f t="shared" si="210"/>
        <v>0</v>
      </c>
      <c r="CH84" s="526">
        <f t="shared" si="210"/>
        <v>0</v>
      </c>
      <c r="CI84" s="526">
        <f t="shared" si="210"/>
        <v>0</v>
      </c>
      <c r="CJ84" s="526">
        <f t="shared" si="210"/>
        <v>0</v>
      </c>
      <c r="CK84" s="526">
        <f t="shared" si="210"/>
        <v>0</v>
      </c>
      <c r="CL84" s="526">
        <f t="shared" si="210"/>
        <v>0</v>
      </c>
      <c r="CM84" s="526">
        <f t="shared" si="210"/>
        <v>0</v>
      </c>
      <c r="CN84" s="526">
        <f t="shared" si="210"/>
        <v>0</v>
      </c>
      <c r="CO84" s="526">
        <f t="shared" si="210"/>
        <v>0</v>
      </c>
      <c r="CP84" s="526">
        <f t="shared" si="210"/>
        <v>0</v>
      </c>
      <c r="CQ84" s="526">
        <f t="shared" si="210"/>
        <v>0</v>
      </c>
      <c r="CR84" s="526">
        <f t="shared" si="210"/>
        <v>0</v>
      </c>
      <c r="CS84" s="526">
        <f t="shared" si="210"/>
        <v>0</v>
      </c>
      <c r="CT84" s="526">
        <f t="shared" si="210"/>
        <v>0</v>
      </c>
      <c r="CU84" s="526">
        <f t="shared" si="210"/>
        <v>0</v>
      </c>
      <c r="CV84" s="526">
        <f t="shared" si="210"/>
        <v>0</v>
      </c>
      <c r="CW84" s="526">
        <f t="shared" si="210"/>
        <v>0</v>
      </c>
      <c r="CX84" s="526">
        <f t="shared" si="210"/>
        <v>0</v>
      </c>
      <c r="CY84" s="526">
        <f t="shared" si="210"/>
        <v>0</v>
      </c>
      <c r="CZ84" s="526">
        <f t="shared" si="210"/>
        <v>0</v>
      </c>
      <c r="DA84" s="526">
        <f t="shared" si="210"/>
        <v>0</v>
      </c>
      <c r="DB84" s="526">
        <f t="shared" si="210"/>
        <v>0</v>
      </c>
      <c r="DC84" s="526">
        <f t="shared" si="210"/>
        <v>0</v>
      </c>
      <c r="DD84" s="526">
        <f t="shared" si="210"/>
        <v>0</v>
      </c>
      <c r="DE84" s="526">
        <f t="shared" si="210"/>
        <v>0</v>
      </c>
      <c r="DF84" s="526">
        <f t="shared" si="210"/>
        <v>0</v>
      </c>
      <c r="DG84" s="526">
        <f t="shared" si="210"/>
        <v>0</v>
      </c>
      <c r="DH84" s="526">
        <f t="shared" si="210"/>
        <v>0</v>
      </c>
      <c r="DI84" s="526">
        <f t="shared" si="210"/>
        <v>0</v>
      </c>
      <c r="DJ84" s="526">
        <f t="shared" si="210"/>
        <v>0</v>
      </c>
      <c r="DK84" s="526">
        <f t="shared" si="210"/>
        <v>0</v>
      </c>
      <c r="DL84" s="526">
        <f t="shared" si="210"/>
        <v>0</v>
      </c>
      <c r="DM84" s="526">
        <f t="shared" si="210"/>
        <v>0</v>
      </c>
      <c r="DN84" s="526">
        <f t="shared" si="210"/>
        <v>0</v>
      </c>
      <c r="DO84" s="526">
        <f t="shared" si="210"/>
        <v>0</v>
      </c>
      <c r="DP84" s="526">
        <f t="shared" si="210"/>
        <v>0</v>
      </c>
      <c r="DQ84" s="526">
        <f t="shared" si="210"/>
        <v>0</v>
      </c>
      <c r="DR84" s="526">
        <f t="shared" si="210"/>
        <v>0</v>
      </c>
      <c r="DS84" s="526">
        <f t="shared" si="210"/>
        <v>0</v>
      </c>
      <c r="DT84" s="526">
        <f t="shared" si="210"/>
        <v>0</v>
      </c>
      <c r="DU84" s="526">
        <f t="shared" si="210"/>
        <v>0</v>
      </c>
      <c r="DV84" s="526">
        <f t="shared" si="210"/>
        <v>0</v>
      </c>
      <c r="DW84" s="526">
        <f t="shared" si="210"/>
        <v>0</v>
      </c>
      <c r="DX84" s="526">
        <f t="shared" si="210"/>
        <v>0</v>
      </c>
      <c r="DY84" s="526">
        <f t="shared" si="210"/>
        <v>0</v>
      </c>
      <c r="DZ84" s="526">
        <f t="shared" si="210"/>
        <v>0</v>
      </c>
      <c r="EA84" s="526">
        <f t="shared" si="210"/>
        <v>0</v>
      </c>
      <c r="EB84" s="523" t="s">
        <v>557</v>
      </c>
    </row>
    <row r="85" spans="7:132">
      <c r="G85" s="518" t="s">
        <v>1181</v>
      </c>
      <c r="K85" s="526">
        <f ca="1">K67+K68</f>
        <v>0</v>
      </c>
      <c r="L85" s="526">
        <f t="shared" ref="L85:BW85" ca="1" si="211">L67+L68</f>
        <v>75142.199419975848</v>
      </c>
      <c r="M85" s="526">
        <f t="shared" ca="1" si="211"/>
        <v>77255.772749442272</v>
      </c>
      <c r="N85" s="526">
        <f t="shared" ca="1" si="211"/>
        <v>79383.436567771874</v>
      </c>
      <c r="O85" s="526">
        <f t="shared" ca="1" si="211"/>
        <v>81525.284811557081</v>
      </c>
      <c r="P85" s="526">
        <f t="shared" ca="1" si="211"/>
        <v>83681.412043634118</v>
      </c>
      <c r="Q85" s="526">
        <f t="shared" ca="1" si="211"/>
        <v>85851.913457258299</v>
      </c>
      <c r="R85" s="526">
        <f t="shared" ca="1" si="211"/>
        <v>88036.884880306709</v>
      </c>
      <c r="S85" s="526">
        <f t="shared" ca="1" si="211"/>
        <v>90236.422779508677</v>
      </c>
      <c r="T85" s="526">
        <f t="shared" ca="1" si="211"/>
        <v>92450.624264705359</v>
      </c>
      <c r="U85" s="526">
        <f t="shared" ca="1" si="211"/>
        <v>94679.587093136754</v>
      </c>
      <c r="V85" s="526">
        <f t="shared" ca="1" si="211"/>
        <v>96923.409673757662</v>
      </c>
      <c r="W85" s="526">
        <f t="shared" ca="1" si="211"/>
        <v>99182.191071582594</v>
      </c>
      <c r="X85" s="526">
        <f t="shared" ca="1" si="211"/>
        <v>99132.252015780003</v>
      </c>
      <c r="Y85" s="526">
        <f t="shared" ca="1" si="211"/>
        <v>101277.30024087873</v>
      </c>
      <c r="Z85" s="526">
        <f t="shared" ca="1" si="211"/>
        <v>103435.75501738423</v>
      </c>
      <c r="AA85" s="526">
        <f t="shared" ca="1" si="211"/>
        <v>105607.70013624289</v>
      </c>
      <c r="AB85" s="526">
        <f t="shared" ca="1" si="211"/>
        <v>107793.2199120944</v>
      </c>
      <c r="AC85" s="526">
        <f t="shared" ca="1" si="211"/>
        <v>109992.39918654515</v>
      </c>
      <c r="AD85" s="526">
        <f t="shared" ca="1" si="211"/>
        <v>112205.32333146107</v>
      </c>
      <c r="AE85" s="526">
        <f t="shared" ca="1" si="211"/>
        <v>114432.07825228265</v>
      </c>
      <c r="AF85" s="526">
        <f t="shared" ca="1" si="211"/>
        <v>116672.75039135954</v>
      </c>
      <c r="AG85" s="526">
        <f t="shared" ca="1" si="211"/>
        <v>118927.4267313055</v>
      </c>
      <c r="AH85" s="526">
        <f t="shared" ca="1" si="211"/>
        <v>121196.19479837616</v>
      </c>
      <c r="AI85" s="526">
        <f t="shared" ca="1" si="211"/>
        <v>123479.14266586611</v>
      </c>
      <c r="AJ85" s="526">
        <f t="shared" ca="1" si="211"/>
        <v>122481.38876808564</v>
      </c>
      <c r="AK85" s="526">
        <f t="shared" ca="1" si="211"/>
        <v>123710.65473037933</v>
      </c>
      <c r="AL85" s="526">
        <f t="shared" ca="1" si="211"/>
        <v>124944.01824588062</v>
      </c>
      <c r="AM85" s="526">
        <f t="shared" ca="1" si="211"/>
        <v>126181.4929731002</v>
      </c>
      <c r="AN85" s="526">
        <f t="shared" ca="1" si="211"/>
        <v>127423.09261607715</v>
      </c>
      <c r="AO85" s="526">
        <f t="shared" ca="1" si="211"/>
        <v>128668.83092453091</v>
      </c>
      <c r="AP85" s="526">
        <f t="shared" ca="1" si="211"/>
        <v>129918.72169401268</v>
      </c>
      <c r="AQ85" s="526">
        <f t="shared" ca="1" si="211"/>
        <v>131172.77876605943</v>
      </c>
      <c r="AR85" s="526">
        <f t="shared" ca="1" si="211"/>
        <v>132431.01602834626</v>
      </c>
      <c r="AS85" s="526">
        <f t="shared" ca="1" si="211"/>
        <v>133693.44741484086</v>
      </c>
      <c r="AT85" s="526">
        <f t="shared" ca="1" si="211"/>
        <v>134960.08690595691</v>
      </c>
      <c r="AU85" s="526">
        <f t="shared" ca="1" si="211"/>
        <v>136230.94852871029</v>
      </c>
      <c r="AV85" s="526">
        <f t="shared" ca="1" si="211"/>
        <v>135241.08391927258</v>
      </c>
      <c r="AW85" s="526">
        <f t="shared" ca="1" si="211"/>
        <v>136520.43207352899</v>
      </c>
      <c r="AX85" s="526">
        <f t="shared" ca="1" si="211"/>
        <v>137804.04472163261</v>
      </c>
      <c r="AY85" s="526">
        <f t="shared" ca="1" si="211"/>
        <v>139091.93607856351</v>
      </c>
      <c r="AZ85" s="526">
        <f t="shared" ca="1" si="211"/>
        <v>140384.12040668412</v>
      </c>
      <c r="BA85" s="526">
        <f t="shared" ca="1" si="211"/>
        <v>141680.61201589828</v>
      </c>
      <c r="BB85" s="526">
        <f t="shared" ca="1" si="211"/>
        <v>142981.42526381009</v>
      </c>
      <c r="BC85" s="526">
        <f t="shared" ca="1" si="211"/>
        <v>144286.57455588144</v>
      </c>
      <c r="BD85" s="526">
        <f t="shared" ca="1" si="211"/>
        <v>145596.07434559317</v>
      </c>
      <c r="BE85" s="526">
        <f t="shared" ca="1" si="211"/>
        <v>146909.93913460377</v>
      </c>
      <c r="BF85" s="526">
        <f t="shared" ca="1" si="211"/>
        <v>148228.18347291125</v>
      </c>
      <c r="BG85" s="526">
        <f t="shared" ca="1" si="211"/>
        <v>14806958.414923429</v>
      </c>
      <c r="BH85" s="526">
        <f t="shared" ca="1" si="211"/>
        <v>0</v>
      </c>
      <c r="BI85" s="526">
        <f t="shared" ca="1" si="211"/>
        <v>0</v>
      </c>
      <c r="BJ85" s="526">
        <f t="shared" ca="1" si="211"/>
        <v>0</v>
      </c>
      <c r="BK85" s="526">
        <f t="shared" ca="1" si="211"/>
        <v>0</v>
      </c>
      <c r="BL85" s="526">
        <f t="shared" ca="1" si="211"/>
        <v>0</v>
      </c>
      <c r="BM85" s="526">
        <f t="shared" ca="1" si="211"/>
        <v>0</v>
      </c>
      <c r="BN85" s="526">
        <f t="shared" ca="1" si="211"/>
        <v>0</v>
      </c>
      <c r="BO85" s="526">
        <f t="shared" ca="1" si="211"/>
        <v>0</v>
      </c>
      <c r="BP85" s="526">
        <f t="shared" ca="1" si="211"/>
        <v>0</v>
      </c>
      <c r="BQ85" s="526">
        <f t="shared" ca="1" si="211"/>
        <v>0</v>
      </c>
      <c r="BR85" s="526">
        <f t="shared" ca="1" si="211"/>
        <v>0</v>
      </c>
      <c r="BS85" s="526">
        <f t="shared" ca="1" si="211"/>
        <v>0</v>
      </c>
      <c r="BT85" s="526">
        <f t="shared" ca="1" si="211"/>
        <v>0</v>
      </c>
      <c r="BU85" s="526">
        <f t="shared" ca="1" si="211"/>
        <v>0</v>
      </c>
      <c r="BV85" s="526">
        <f t="shared" ca="1" si="211"/>
        <v>0</v>
      </c>
      <c r="BW85" s="526">
        <f t="shared" ca="1" si="211"/>
        <v>0</v>
      </c>
      <c r="BX85" s="526">
        <f t="shared" ref="BX85:EA85" ca="1" si="212">BX67+BX68</f>
        <v>0</v>
      </c>
      <c r="BY85" s="526">
        <f t="shared" ca="1" si="212"/>
        <v>0</v>
      </c>
      <c r="BZ85" s="526">
        <f t="shared" ca="1" si="212"/>
        <v>0</v>
      </c>
      <c r="CA85" s="526">
        <f t="shared" ca="1" si="212"/>
        <v>0</v>
      </c>
      <c r="CB85" s="526">
        <f t="shared" ca="1" si="212"/>
        <v>0</v>
      </c>
      <c r="CC85" s="526">
        <f t="shared" ca="1" si="212"/>
        <v>0</v>
      </c>
      <c r="CD85" s="526">
        <f t="shared" ca="1" si="212"/>
        <v>0</v>
      </c>
      <c r="CE85" s="526">
        <f t="shared" ca="1" si="212"/>
        <v>0</v>
      </c>
      <c r="CF85" s="526">
        <f t="shared" ca="1" si="212"/>
        <v>0</v>
      </c>
      <c r="CG85" s="526">
        <f t="shared" ca="1" si="212"/>
        <v>0</v>
      </c>
      <c r="CH85" s="526">
        <f t="shared" ca="1" si="212"/>
        <v>0</v>
      </c>
      <c r="CI85" s="526">
        <f t="shared" ca="1" si="212"/>
        <v>0</v>
      </c>
      <c r="CJ85" s="526">
        <f t="shared" ca="1" si="212"/>
        <v>0</v>
      </c>
      <c r="CK85" s="526">
        <f t="shared" ca="1" si="212"/>
        <v>0</v>
      </c>
      <c r="CL85" s="526">
        <f t="shared" ca="1" si="212"/>
        <v>0</v>
      </c>
      <c r="CM85" s="526">
        <f t="shared" ca="1" si="212"/>
        <v>0</v>
      </c>
      <c r="CN85" s="526">
        <f t="shared" ca="1" si="212"/>
        <v>0</v>
      </c>
      <c r="CO85" s="526">
        <f t="shared" ca="1" si="212"/>
        <v>0</v>
      </c>
      <c r="CP85" s="526">
        <f t="shared" ca="1" si="212"/>
        <v>0</v>
      </c>
      <c r="CQ85" s="526">
        <f t="shared" ca="1" si="212"/>
        <v>0</v>
      </c>
      <c r="CR85" s="526">
        <f t="shared" ca="1" si="212"/>
        <v>0</v>
      </c>
      <c r="CS85" s="526">
        <f t="shared" ca="1" si="212"/>
        <v>0</v>
      </c>
      <c r="CT85" s="526">
        <f t="shared" ca="1" si="212"/>
        <v>0</v>
      </c>
      <c r="CU85" s="526">
        <f t="shared" ca="1" si="212"/>
        <v>0</v>
      </c>
      <c r="CV85" s="526">
        <f t="shared" ca="1" si="212"/>
        <v>0</v>
      </c>
      <c r="CW85" s="526">
        <f t="shared" ca="1" si="212"/>
        <v>0</v>
      </c>
      <c r="CX85" s="526">
        <f t="shared" ca="1" si="212"/>
        <v>0</v>
      </c>
      <c r="CY85" s="526">
        <f t="shared" ca="1" si="212"/>
        <v>0</v>
      </c>
      <c r="CZ85" s="526">
        <f t="shared" ca="1" si="212"/>
        <v>0</v>
      </c>
      <c r="DA85" s="526">
        <f t="shared" ca="1" si="212"/>
        <v>0</v>
      </c>
      <c r="DB85" s="526">
        <f t="shared" ca="1" si="212"/>
        <v>0</v>
      </c>
      <c r="DC85" s="526">
        <f t="shared" ca="1" si="212"/>
        <v>0</v>
      </c>
      <c r="DD85" s="526">
        <f t="shared" ca="1" si="212"/>
        <v>0</v>
      </c>
      <c r="DE85" s="526">
        <f t="shared" ca="1" si="212"/>
        <v>0</v>
      </c>
      <c r="DF85" s="526">
        <f t="shared" ca="1" si="212"/>
        <v>0</v>
      </c>
      <c r="DG85" s="526">
        <f t="shared" ca="1" si="212"/>
        <v>0</v>
      </c>
      <c r="DH85" s="526">
        <f t="shared" ca="1" si="212"/>
        <v>0</v>
      </c>
      <c r="DI85" s="526">
        <f t="shared" ca="1" si="212"/>
        <v>0</v>
      </c>
      <c r="DJ85" s="526">
        <f t="shared" ca="1" si="212"/>
        <v>0</v>
      </c>
      <c r="DK85" s="526">
        <f t="shared" ca="1" si="212"/>
        <v>0</v>
      </c>
      <c r="DL85" s="526">
        <f t="shared" ca="1" si="212"/>
        <v>0</v>
      </c>
      <c r="DM85" s="526">
        <f t="shared" ca="1" si="212"/>
        <v>0</v>
      </c>
      <c r="DN85" s="526">
        <f t="shared" ca="1" si="212"/>
        <v>0</v>
      </c>
      <c r="DO85" s="526">
        <f t="shared" ca="1" si="212"/>
        <v>0</v>
      </c>
      <c r="DP85" s="526">
        <f t="shared" ca="1" si="212"/>
        <v>0</v>
      </c>
      <c r="DQ85" s="526">
        <f t="shared" ca="1" si="212"/>
        <v>0</v>
      </c>
      <c r="DR85" s="526">
        <f t="shared" ca="1" si="212"/>
        <v>0</v>
      </c>
      <c r="DS85" s="526">
        <f t="shared" ca="1" si="212"/>
        <v>0</v>
      </c>
      <c r="DT85" s="526">
        <f t="shared" ca="1" si="212"/>
        <v>0</v>
      </c>
      <c r="DU85" s="526">
        <f t="shared" ca="1" si="212"/>
        <v>0</v>
      </c>
      <c r="DV85" s="526">
        <f t="shared" ca="1" si="212"/>
        <v>0</v>
      </c>
      <c r="DW85" s="526">
        <f t="shared" ca="1" si="212"/>
        <v>0</v>
      </c>
      <c r="DX85" s="526">
        <f t="shared" ca="1" si="212"/>
        <v>0</v>
      </c>
      <c r="DY85" s="526">
        <f t="shared" ca="1" si="212"/>
        <v>0</v>
      </c>
      <c r="DZ85" s="526">
        <f t="shared" ca="1" si="212"/>
        <v>0</v>
      </c>
      <c r="EA85" s="526">
        <f t="shared" ca="1" si="212"/>
        <v>0</v>
      </c>
      <c r="EB85" s="523" t="s">
        <v>557</v>
      </c>
    </row>
    <row r="86" spans="7:132">
      <c r="G86" s="518" t="s">
        <v>1182</v>
      </c>
      <c r="H86" s="539">
        <f>D18</f>
        <v>0.6</v>
      </c>
      <c r="K86" s="526">
        <f ca="1">MIN(K78*$H86,K82+K83-K85)</f>
        <v>0</v>
      </c>
      <c r="L86" s="526">
        <f t="shared" ref="L86:BW86" ca="1" si="213">MIN(L78*$H86,L82+L83-L85)</f>
        <v>0</v>
      </c>
      <c r="M86" s="526">
        <f t="shared" ca="1" si="213"/>
        <v>0</v>
      </c>
      <c r="N86" s="526">
        <f t="shared" ca="1" si="213"/>
        <v>0</v>
      </c>
      <c r="O86" s="526">
        <f t="shared" ca="1" si="213"/>
        <v>0</v>
      </c>
      <c r="P86" s="526">
        <f t="shared" ca="1" si="213"/>
        <v>0</v>
      </c>
      <c r="Q86" s="526">
        <f t="shared" ca="1" si="213"/>
        <v>0</v>
      </c>
      <c r="R86" s="526">
        <f t="shared" ca="1" si="213"/>
        <v>0</v>
      </c>
      <c r="S86" s="526">
        <f t="shared" ca="1" si="213"/>
        <v>0</v>
      </c>
      <c r="T86" s="526">
        <f t="shared" ca="1" si="213"/>
        <v>0</v>
      </c>
      <c r="U86" s="526">
        <f t="shared" ca="1" si="213"/>
        <v>0</v>
      </c>
      <c r="V86" s="526">
        <f t="shared" ca="1" si="213"/>
        <v>0</v>
      </c>
      <c r="W86" s="526">
        <f t="shared" ca="1" si="213"/>
        <v>0</v>
      </c>
      <c r="X86" s="526">
        <f t="shared" ca="1" si="213"/>
        <v>0</v>
      </c>
      <c r="Y86" s="526">
        <f t="shared" ca="1" si="213"/>
        <v>0</v>
      </c>
      <c r="Z86" s="526">
        <f t="shared" ca="1" si="213"/>
        <v>0</v>
      </c>
      <c r="AA86" s="526">
        <f t="shared" ca="1" si="213"/>
        <v>0</v>
      </c>
      <c r="AB86" s="526">
        <f t="shared" ca="1" si="213"/>
        <v>0</v>
      </c>
      <c r="AC86" s="526">
        <f t="shared" ca="1" si="213"/>
        <v>0</v>
      </c>
      <c r="AD86" s="526">
        <f t="shared" ca="1" si="213"/>
        <v>0</v>
      </c>
      <c r="AE86" s="526">
        <f t="shared" ca="1" si="213"/>
        <v>0</v>
      </c>
      <c r="AF86" s="526">
        <f t="shared" ca="1" si="213"/>
        <v>0</v>
      </c>
      <c r="AG86" s="526">
        <f t="shared" ca="1" si="213"/>
        <v>0</v>
      </c>
      <c r="AH86" s="526">
        <f t="shared" ca="1" si="213"/>
        <v>0</v>
      </c>
      <c r="AI86" s="526">
        <f t="shared" ca="1" si="213"/>
        <v>0</v>
      </c>
      <c r="AJ86" s="526">
        <f t="shared" ca="1" si="213"/>
        <v>0</v>
      </c>
      <c r="AK86" s="526">
        <f t="shared" ca="1" si="213"/>
        <v>0</v>
      </c>
      <c r="AL86" s="526">
        <f t="shared" ca="1" si="213"/>
        <v>0</v>
      </c>
      <c r="AM86" s="526">
        <f t="shared" ca="1" si="213"/>
        <v>0</v>
      </c>
      <c r="AN86" s="526">
        <f t="shared" ca="1" si="213"/>
        <v>0</v>
      </c>
      <c r="AO86" s="526">
        <f t="shared" ca="1" si="213"/>
        <v>0</v>
      </c>
      <c r="AP86" s="526">
        <f t="shared" ca="1" si="213"/>
        <v>0</v>
      </c>
      <c r="AQ86" s="526">
        <f t="shared" ca="1" si="213"/>
        <v>0</v>
      </c>
      <c r="AR86" s="526">
        <f t="shared" ca="1" si="213"/>
        <v>0</v>
      </c>
      <c r="AS86" s="526">
        <f t="shared" ca="1" si="213"/>
        <v>0</v>
      </c>
      <c r="AT86" s="526">
        <f t="shared" ca="1" si="213"/>
        <v>0</v>
      </c>
      <c r="AU86" s="526">
        <f t="shared" ca="1" si="213"/>
        <v>0</v>
      </c>
      <c r="AV86" s="526">
        <f t="shared" ca="1" si="213"/>
        <v>0</v>
      </c>
      <c r="AW86" s="526">
        <f t="shared" ca="1" si="213"/>
        <v>0</v>
      </c>
      <c r="AX86" s="526">
        <f t="shared" ca="1" si="213"/>
        <v>0</v>
      </c>
      <c r="AY86" s="526">
        <f t="shared" ca="1" si="213"/>
        <v>0</v>
      </c>
      <c r="AZ86" s="526">
        <f t="shared" ca="1" si="213"/>
        <v>0</v>
      </c>
      <c r="BA86" s="526">
        <f t="shared" ca="1" si="213"/>
        <v>0</v>
      </c>
      <c r="BB86" s="526">
        <f t="shared" ca="1" si="213"/>
        <v>0</v>
      </c>
      <c r="BC86" s="526">
        <f t="shared" ca="1" si="213"/>
        <v>0</v>
      </c>
      <c r="BD86" s="526">
        <f t="shared" ca="1" si="213"/>
        <v>0</v>
      </c>
      <c r="BE86" s="526">
        <f t="shared" ca="1" si="213"/>
        <v>0</v>
      </c>
      <c r="BF86" s="526">
        <f t="shared" ca="1" si="213"/>
        <v>0</v>
      </c>
      <c r="BG86" s="526">
        <f t="shared" ca="1" si="213"/>
        <v>0</v>
      </c>
      <c r="BH86" s="526">
        <f t="shared" ca="1" si="213"/>
        <v>0</v>
      </c>
      <c r="BI86" s="526">
        <f t="shared" ca="1" si="213"/>
        <v>0</v>
      </c>
      <c r="BJ86" s="526">
        <f t="shared" ca="1" si="213"/>
        <v>0</v>
      </c>
      <c r="BK86" s="526">
        <f t="shared" ca="1" si="213"/>
        <v>0</v>
      </c>
      <c r="BL86" s="526">
        <f t="shared" ca="1" si="213"/>
        <v>0</v>
      </c>
      <c r="BM86" s="526">
        <f t="shared" ca="1" si="213"/>
        <v>0</v>
      </c>
      <c r="BN86" s="526">
        <f t="shared" ca="1" si="213"/>
        <v>0</v>
      </c>
      <c r="BO86" s="526">
        <f t="shared" ca="1" si="213"/>
        <v>0</v>
      </c>
      <c r="BP86" s="526">
        <f t="shared" ca="1" si="213"/>
        <v>0</v>
      </c>
      <c r="BQ86" s="526">
        <f t="shared" ca="1" si="213"/>
        <v>0</v>
      </c>
      <c r="BR86" s="526">
        <f t="shared" ca="1" si="213"/>
        <v>0</v>
      </c>
      <c r="BS86" s="526">
        <f t="shared" ca="1" si="213"/>
        <v>0</v>
      </c>
      <c r="BT86" s="526">
        <f t="shared" ca="1" si="213"/>
        <v>0</v>
      </c>
      <c r="BU86" s="526">
        <f t="shared" ca="1" si="213"/>
        <v>0</v>
      </c>
      <c r="BV86" s="526">
        <f t="shared" ca="1" si="213"/>
        <v>0</v>
      </c>
      <c r="BW86" s="526">
        <f t="shared" ca="1" si="213"/>
        <v>0</v>
      </c>
      <c r="BX86" s="526">
        <f t="shared" ref="BX86:EA86" ca="1" si="214">MIN(BX78*$H86,BX82+BX83-BX85)</f>
        <v>0</v>
      </c>
      <c r="BY86" s="526">
        <f t="shared" ca="1" si="214"/>
        <v>0</v>
      </c>
      <c r="BZ86" s="526">
        <f t="shared" ca="1" si="214"/>
        <v>0</v>
      </c>
      <c r="CA86" s="526">
        <f t="shared" ca="1" si="214"/>
        <v>0</v>
      </c>
      <c r="CB86" s="526">
        <f t="shared" ca="1" si="214"/>
        <v>0</v>
      </c>
      <c r="CC86" s="526">
        <f t="shared" ca="1" si="214"/>
        <v>0</v>
      </c>
      <c r="CD86" s="526">
        <f t="shared" ca="1" si="214"/>
        <v>0</v>
      </c>
      <c r="CE86" s="526">
        <f t="shared" ca="1" si="214"/>
        <v>0</v>
      </c>
      <c r="CF86" s="526">
        <f t="shared" ca="1" si="214"/>
        <v>0</v>
      </c>
      <c r="CG86" s="526">
        <f t="shared" ca="1" si="214"/>
        <v>0</v>
      </c>
      <c r="CH86" s="526">
        <f t="shared" ca="1" si="214"/>
        <v>0</v>
      </c>
      <c r="CI86" s="526">
        <f t="shared" ca="1" si="214"/>
        <v>0</v>
      </c>
      <c r="CJ86" s="526">
        <f t="shared" ca="1" si="214"/>
        <v>0</v>
      </c>
      <c r="CK86" s="526">
        <f t="shared" ca="1" si="214"/>
        <v>0</v>
      </c>
      <c r="CL86" s="526">
        <f t="shared" ca="1" si="214"/>
        <v>0</v>
      </c>
      <c r="CM86" s="526">
        <f t="shared" ca="1" si="214"/>
        <v>0</v>
      </c>
      <c r="CN86" s="526">
        <f t="shared" ca="1" si="214"/>
        <v>0</v>
      </c>
      <c r="CO86" s="526">
        <f t="shared" ca="1" si="214"/>
        <v>0</v>
      </c>
      <c r="CP86" s="526">
        <f t="shared" ca="1" si="214"/>
        <v>0</v>
      </c>
      <c r="CQ86" s="526">
        <f t="shared" ca="1" si="214"/>
        <v>0</v>
      </c>
      <c r="CR86" s="526">
        <f t="shared" ca="1" si="214"/>
        <v>0</v>
      </c>
      <c r="CS86" s="526">
        <f t="shared" ca="1" si="214"/>
        <v>0</v>
      </c>
      <c r="CT86" s="526">
        <f t="shared" ca="1" si="214"/>
        <v>0</v>
      </c>
      <c r="CU86" s="526">
        <f t="shared" ca="1" si="214"/>
        <v>0</v>
      </c>
      <c r="CV86" s="526">
        <f t="shared" ca="1" si="214"/>
        <v>0</v>
      </c>
      <c r="CW86" s="526">
        <f t="shared" ca="1" si="214"/>
        <v>0</v>
      </c>
      <c r="CX86" s="526">
        <f t="shared" ca="1" si="214"/>
        <v>0</v>
      </c>
      <c r="CY86" s="526">
        <f t="shared" ca="1" si="214"/>
        <v>0</v>
      </c>
      <c r="CZ86" s="526">
        <f t="shared" ca="1" si="214"/>
        <v>0</v>
      </c>
      <c r="DA86" s="526">
        <f t="shared" ca="1" si="214"/>
        <v>0</v>
      </c>
      <c r="DB86" s="526">
        <f t="shared" ca="1" si="214"/>
        <v>0</v>
      </c>
      <c r="DC86" s="526">
        <f t="shared" ca="1" si="214"/>
        <v>0</v>
      </c>
      <c r="DD86" s="526">
        <f t="shared" ca="1" si="214"/>
        <v>0</v>
      </c>
      <c r="DE86" s="526">
        <f t="shared" ca="1" si="214"/>
        <v>0</v>
      </c>
      <c r="DF86" s="526">
        <f t="shared" ca="1" si="214"/>
        <v>0</v>
      </c>
      <c r="DG86" s="526">
        <f t="shared" ca="1" si="214"/>
        <v>0</v>
      </c>
      <c r="DH86" s="526">
        <f t="shared" ca="1" si="214"/>
        <v>0</v>
      </c>
      <c r="DI86" s="526">
        <f t="shared" ca="1" si="214"/>
        <v>0</v>
      </c>
      <c r="DJ86" s="526">
        <f t="shared" ca="1" si="214"/>
        <v>0</v>
      </c>
      <c r="DK86" s="526">
        <f t="shared" ca="1" si="214"/>
        <v>0</v>
      </c>
      <c r="DL86" s="526">
        <f t="shared" ca="1" si="214"/>
        <v>0</v>
      </c>
      <c r="DM86" s="526">
        <f t="shared" ca="1" si="214"/>
        <v>0</v>
      </c>
      <c r="DN86" s="526">
        <f t="shared" ca="1" si="214"/>
        <v>0</v>
      </c>
      <c r="DO86" s="526">
        <f t="shared" ca="1" si="214"/>
        <v>0</v>
      </c>
      <c r="DP86" s="526">
        <f t="shared" ca="1" si="214"/>
        <v>0</v>
      </c>
      <c r="DQ86" s="526">
        <f t="shared" ca="1" si="214"/>
        <v>0</v>
      </c>
      <c r="DR86" s="526">
        <f t="shared" ca="1" si="214"/>
        <v>0</v>
      </c>
      <c r="DS86" s="526">
        <f t="shared" ca="1" si="214"/>
        <v>0</v>
      </c>
      <c r="DT86" s="526">
        <f t="shared" ca="1" si="214"/>
        <v>0</v>
      </c>
      <c r="DU86" s="526">
        <f t="shared" ca="1" si="214"/>
        <v>0</v>
      </c>
      <c r="DV86" s="526">
        <f t="shared" ca="1" si="214"/>
        <v>0</v>
      </c>
      <c r="DW86" s="526">
        <f t="shared" ca="1" si="214"/>
        <v>0</v>
      </c>
      <c r="DX86" s="526">
        <f t="shared" ca="1" si="214"/>
        <v>0</v>
      </c>
      <c r="DY86" s="526">
        <f t="shared" ca="1" si="214"/>
        <v>0</v>
      </c>
      <c r="DZ86" s="526">
        <f t="shared" ca="1" si="214"/>
        <v>0</v>
      </c>
      <c r="EA86" s="526">
        <f t="shared" ca="1" si="214"/>
        <v>0</v>
      </c>
      <c r="EB86" s="523"/>
    </row>
    <row r="87" spans="7:132">
      <c r="G87" s="518" t="s">
        <v>1148</v>
      </c>
      <c r="K87" s="526">
        <f ca="1">K82+K83+K84-K85-K86</f>
        <v>20296000</v>
      </c>
      <c r="L87" s="526">
        <f t="shared" ref="L87:BW87" ca="1" si="215">L82+L83+L84-L85-L86</f>
        <v>20220857.800580025</v>
      </c>
      <c r="M87" s="526">
        <f t="shared" ca="1" si="215"/>
        <v>20143602.027830582</v>
      </c>
      <c r="N87" s="526">
        <f t="shared" ca="1" si="215"/>
        <v>20064218.59126281</v>
      </c>
      <c r="O87" s="526">
        <f t="shared" ca="1" si="215"/>
        <v>19982693.306451254</v>
      </c>
      <c r="P87" s="526">
        <f t="shared" ca="1" si="215"/>
        <v>19899011.894407619</v>
      </c>
      <c r="Q87" s="526">
        <f t="shared" ca="1" si="215"/>
        <v>19813159.980950359</v>
      </c>
      <c r="R87" s="526">
        <f t="shared" ca="1" si="215"/>
        <v>19725123.096070051</v>
      </c>
      <c r="S87" s="526">
        <f t="shared" ca="1" si="215"/>
        <v>19634886.673290543</v>
      </c>
      <c r="T87" s="526">
        <f t="shared" ca="1" si="215"/>
        <v>19542436.049025837</v>
      </c>
      <c r="U87" s="526">
        <f t="shared" ca="1" si="215"/>
        <v>19447756.4619327</v>
      </c>
      <c r="V87" s="526">
        <f t="shared" ca="1" si="215"/>
        <v>19350833.052258942</v>
      </c>
      <c r="W87" s="526">
        <f t="shared" ca="1" si="215"/>
        <v>19251650.861187361</v>
      </c>
      <c r="X87" s="526">
        <f t="shared" ca="1" si="215"/>
        <v>19152518.609171581</v>
      </c>
      <c r="Y87" s="526">
        <f t="shared" ca="1" si="215"/>
        <v>19051241.308930703</v>
      </c>
      <c r="Z87" s="526">
        <f t="shared" ca="1" si="215"/>
        <v>18947805.553913318</v>
      </c>
      <c r="AA87" s="526">
        <f t="shared" ca="1" si="215"/>
        <v>18842197.853777073</v>
      </c>
      <c r="AB87" s="526">
        <f t="shared" ca="1" si="215"/>
        <v>18734404.63386498</v>
      </c>
      <c r="AC87" s="526">
        <f t="shared" ca="1" si="215"/>
        <v>18624412.234678436</v>
      </c>
      <c r="AD87" s="526">
        <f t="shared" ca="1" si="215"/>
        <v>18512206.911346976</v>
      </c>
      <c r="AE87" s="526">
        <f t="shared" ca="1" si="215"/>
        <v>18397774.833094694</v>
      </c>
      <c r="AF87" s="526">
        <f t="shared" ca="1" si="215"/>
        <v>18281102.082703333</v>
      </c>
      <c r="AG87" s="526">
        <f t="shared" ca="1" si="215"/>
        <v>18162174.655972026</v>
      </c>
      <c r="AH87" s="526">
        <f t="shared" ca="1" si="215"/>
        <v>18040978.46117365</v>
      </c>
      <c r="AI87" s="526">
        <f t="shared" ca="1" si="215"/>
        <v>17917499.318507783</v>
      </c>
      <c r="AJ87" s="526">
        <f t="shared" ca="1" si="215"/>
        <v>17795017.929739699</v>
      </c>
      <c r="AK87" s="526">
        <f t="shared" ca="1" si="215"/>
        <v>17671307.275009319</v>
      </c>
      <c r="AL87" s="526">
        <f t="shared" ca="1" si="215"/>
        <v>17546363.25676344</v>
      </c>
      <c r="AM87" s="526">
        <f t="shared" ca="1" si="215"/>
        <v>17420181.763790339</v>
      </c>
      <c r="AN87" s="526">
        <f t="shared" ca="1" si="215"/>
        <v>17292758.671174262</v>
      </c>
      <c r="AO87" s="526">
        <f t="shared" ca="1" si="215"/>
        <v>17164089.840249732</v>
      </c>
      <c r="AP87" s="526">
        <f t="shared" ca="1" si="215"/>
        <v>17034171.118555721</v>
      </c>
      <c r="AQ87" s="526">
        <f t="shared" ca="1" si="215"/>
        <v>16902998.339789663</v>
      </c>
      <c r="AR87" s="526">
        <f t="shared" ca="1" si="215"/>
        <v>16770567.323761316</v>
      </c>
      <c r="AS87" s="526">
        <f t="shared" ca="1" si="215"/>
        <v>16636873.876346475</v>
      </c>
      <c r="AT87" s="526">
        <f t="shared" ca="1" si="215"/>
        <v>16501913.789440518</v>
      </c>
      <c r="AU87" s="526">
        <f t="shared" ca="1" si="215"/>
        <v>16365682.840911807</v>
      </c>
      <c r="AV87" s="526">
        <f t="shared" ca="1" si="215"/>
        <v>16230441.756992536</v>
      </c>
      <c r="AW87" s="526">
        <f t="shared" ca="1" si="215"/>
        <v>16093921.324919006</v>
      </c>
      <c r="AX87" s="526">
        <f t="shared" ca="1" si="215"/>
        <v>15956117.280197373</v>
      </c>
      <c r="AY87" s="526">
        <f t="shared" ca="1" si="215"/>
        <v>15817025.344118809</v>
      </c>
      <c r="AZ87" s="526">
        <f t="shared" ca="1" si="215"/>
        <v>15676641.223712126</v>
      </c>
      <c r="BA87" s="526">
        <f t="shared" ca="1" si="215"/>
        <v>15534960.611696228</v>
      </c>
      <c r="BB87" s="526">
        <f t="shared" ca="1" si="215"/>
        <v>15391979.186432417</v>
      </c>
      <c r="BC87" s="526">
        <f t="shared" ca="1" si="215"/>
        <v>15247692.611876536</v>
      </c>
      <c r="BD87" s="526">
        <f t="shared" ca="1" si="215"/>
        <v>15102096.537530944</v>
      </c>
      <c r="BE87" s="526">
        <f t="shared" ca="1" si="215"/>
        <v>14955186.59839634</v>
      </c>
      <c r="BF87" s="526">
        <f t="shared" ca="1" si="215"/>
        <v>14806958.414923429</v>
      </c>
      <c r="BG87" s="526">
        <f t="shared" ca="1" si="215"/>
        <v>0</v>
      </c>
      <c r="BH87" s="526">
        <f t="shared" ca="1" si="215"/>
        <v>0</v>
      </c>
      <c r="BI87" s="526">
        <f t="shared" ca="1" si="215"/>
        <v>0</v>
      </c>
      <c r="BJ87" s="526">
        <f t="shared" ca="1" si="215"/>
        <v>0</v>
      </c>
      <c r="BK87" s="526">
        <f t="shared" ca="1" si="215"/>
        <v>0</v>
      </c>
      <c r="BL87" s="526">
        <f t="shared" ca="1" si="215"/>
        <v>0</v>
      </c>
      <c r="BM87" s="526">
        <f t="shared" ca="1" si="215"/>
        <v>0</v>
      </c>
      <c r="BN87" s="526">
        <f t="shared" ca="1" si="215"/>
        <v>0</v>
      </c>
      <c r="BO87" s="526">
        <f t="shared" ca="1" si="215"/>
        <v>0</v>
      </c>
      <c r="BP87" s="526">
        <f t="shared" ca="1" si="215"/>
        <v>0</v>
      </c>
      <c r="BQ87" s="526">
        <f t="shared" ca="1" si="215"/>
        <v>0</v>
      </c>
      <c r="BR87" s="526">
        <f t="shared" ca="1" si="215"/>
        <v>0</v>
      </c>
      <c r="BS87" s="526">
        <f t="shared" ca="1" si="215"/>
        <v>0</v>
      </c>
      <c r="BT87" s="526">
        <f t="shared" ca="1" si="215"/>
        <v>0</v>
      </c>
      <c r="BU87" s="526">
        <f t="shared" ca="1" si="215"/>
        <v>0</v>
      </c>
      <c r="BV87" s="526">
        <f t="shared" ca="1" si="215"/>
        <v>0</v>
      </c>
      <c r="BW87" s="526">
        <f t="shared" ca="1" si="215"/>
        <v>0</v>
      </c>
      <c r="BX87" s="526">
        <f t="shared" ref="BX87:EA87" ca="1" si="216">BX82+BX83+BX84-BX85-BX86</f>
        <v>0</v>
      </c>
      <c r="BY87" s="526">
        <f t="shared" ca="1" si="216"/>
        <v>0</v>
      </c>
      <c r="BZ87" s="526">
        <f t="shared" ca="1" si="216"/>
        <v>0</v>
      </c>
      <c r="CA87" s="526">
        <f t="shared" ca="1" si="216"/>
        <v>0</v>
      </c>
      <c r="CB87" s="526">
        <f t="shared" ca="1" si="216"/>
        <v>0</v>
      </c>
      <c r="CC87" s="526">
        <f t="shared" ca="1" si="216"/>
        <v>0</v>
      </c>
      <c r="CD87" s="526">
        <f t="shared" ca="1" si="216"/>
        <v>0</v>
      </c>
      <c r="CE87" s="526">
        <f t="shared" ca="1" si="216"/>
        <v>0</v>
      </c>
      <c r="CF87" s="526">
        <f t="shared" ca="1" si="216"/>
        <v>0</v>
      </c>
      <c r="CG87" s="526">
        <f t="shared" ca="1" si="216"/>
        <v>0</v>
      </c>
      <c r="CH87" s="526">
        <f t="shared" ca="1" si="216"/>
        <v>0</v>
      </c>
      <c r="CI87" s="526">
        <f t="shared" ca="1" si="216"/>
        <v>0</v>
      </c>
      <c r="CJ87" s="526">
        <f t="shared" ca="1" si="216"/>
        <v>0</v>
      </c>
      <c r="CK87" s="526">
        <f t="shared" ca="1" si="216"/>
        <v>0</v>
      </c>
      <c r="CL87" s="526">
        <f t="shared" ca="1" si="216"/>
        <v>0</v>
      </c>
      <c r="CM87" s="526">
        <f t="shared" ca="1" si="216"/>
        <v>0</v>
      </c>
      <c r="CN87" s="526">
        <f t="shared" ca="1" si="216"/>
        <v>0</v>
      </c>
      <c r="CO87" s="526">
        <f t="shared" ca="1" si="216"/>
        <v>0</v>
      </c>
      <c r="CP87" s="526">
        <f t="shared" ca="1" si="216"/>
        <v>0</v>
      </c>
      <c r="CQ87" s="526">
        <f t="shared" ca="1" si="216"/>
        <v>0</v>
      </c>
      <c r="CR87" s="526">
        <f t="shared" ca="1" si="216"/>
        <v>0</v>
      </c>
      <c r="CS87" s="526">
        <f t="shared" ca="1" si="216"/>
        <v>0</v>
      </c>
      <c r="CT87" s="526">
        <f t="shared" ca="1" si="216"/>
        <v>0</v>
      </c>
      <c r="CU87" s="526">
        <f t="shared" ca="1" si="216"/>
        <v>0</v>
      </c>
      <c r="CV87" s="526">
        <f t="shared" ca="1" si="216"/>
        <v>0</v>
      </c>
      <c r="CW87" s="526">
        <f t="shared" ca="1" si="216"/>
        <v>0</v>
      </c>
      <c r="CX87" s="526">
        <f t="shared" ca="1" si="216"/>
        <v>0</v>
      </c>
      <c r="CY87" s="526">
        <f t="shared" ca="1" si="216"/>
        <v>0</v>
      </c>
      <c r="CZ87" s="526">
        <f t="shared" ca="1" si="216"/>
        <v>0</v>
      </c>
      <c r="DA87" s="526">
        <f t="shared" ca="1" si="216"/>
        <v>0</v>
      </c>
      <c r="DB87" s="526">
        <f t="shared" ca="1" si="216"/>
        <v>0</v>
      </c>
      <c r="DC87" s="526">
        <f t="shared" ca="1" si="216"/>
        <v>0</v>
      </c>
      <c r="DD87" s="526">
        <f t="shared" ca="1" si="216"/>
        <v>0</v>
      </c>
      <c r="DE87" s="526">
        <f t="shared" ca="1" si="216"/>
        <v>0</v>
      </c>
      <c r="DF87" s="526">
        <f t="shared" ca="1" si="216"/>
        <v>0</v>
      </c>
      <c r="DG87" s="526">
        <f t="shared" ca="1" si="216"/>
        <v>0</v>
      </c>
      <c r="DH87" s="526">
        <f t="shared" ca="1" si="216"/>
        <v>0</v>
      </c>
      <c r="DI87" s="526">
        <f t="shared" ca="1" si="216"/>
        <v>0</v>
      </c>
      <c r="DJ87" s="526">
        <f t="shared" ca="1" si="216"/>
        <v>0</v>
      </c>
      <c r="DK87" s="526">
        <f t="shared" ca="1" si="216"/>
        <v>0</v>
      </c>
      <c r="DL87" s="526">
        <f t="shared" ca="1" si="216"/>
        <v>0</v>
      </c>
      <c r="DM87" s="526">
        <f t="shared" ca="1" si="216"/>
        <v>0</v>
      </c>
      <c r="DN87" s="526">
        <f t="shared" ca="1" si="216"/>
        <v>0</v>
      </c>
      <c r="DO87" s="526">
        <f t="shared" ca="1" si="216"/>
        <v>0</v>
      </c>
      <c r="DP87" s="526">
        <f t="shared" ca="1" si="216"/>
        <v>0</v>
      </c>
      <c r="DQ87" s="526">
        <f t="shared" ca="1" si="216"/>
        <v>0</v>
      </c>
      <c r="DR87" s="526">
        <f t="shared" ca="1" si="216"/>
        <v>0</v>
      </c>
      <c r="DS87" s="526">
        <f t="shared" ca="1" si="216"/>
        <v>0</v>
      </c>
      <c r="DT87" s="526">
        <f t="shared" ca="1" si="216"/>
        <v>0</v>
      </c>
      <c r="DU87" s="526">
        <f t="shared" ca="1" si="216"/>
        <v>0</v>
      </c>
      <c r="DV87" s="526">
        <f t="shared" ca="1" si="216"/>
        <v>0</v>
      </c>
      <c r="DW87" s="526">
        <f t="shared" ca="1" si="216"/>
        <v>0</v>
      </c>
      <c r="DX87" s="526">
        <f t="shared" ca="1" si="216"/>
        <v>0</v>
      </c>
      <c r="DY87" s="526">
        <f t="shared" ca="1" si="216"/>
        <v>0</v>
      </c>
      <c r="DZ87" s="526">
        <f t="shared" ca="1" si="216"/>
        <v>0</v>
      </c>
      <c r="EA87" s="526">
        <f t="shared" ca="1" si="216"/>
        <v>0</v>
      </c>
      <c r="EB87" s="523" t="s">
        <v>557</v>
      </c>
    </row>
    <row r="88" spans="7:132">
      <c r="G88" s="518" t="s">
        <v>1150</v>
      </c>
      <c r="I88" s="543" t="s">
        <v>1105</v>
      </c>
      <c r="K88" s="526">
        <f ca="1">-K84+K85+K86</f>
        <v>-20296000</v>
      </c>
      <c r="L88" s="526">
        <f t="shared" ref="L88:BW88" ca="1" si="217">-L84+L85+L86</f>
        <v>75142.199419975848</v>
      </c>
      <c r="M88" s="526">
        <f t="shared" ca="1" si="217"/>
        <v>77255.772749442272</v>
      </c>
      <c r="N88" s="526">
        <f t="shared" ca="1" si="217"/>
        <v>79383.436567771874</v>
      </c>
      <c r="O88" s="526">
        <f t="shared" ca="1" si="217"/>
        <v>81525.284811557081</v>
      </c>
      <c r="P88" s="526">
        <f t="shared" ca="1" si="217"/>
        <v>83681.412043634118</v>
      </c>
      <c r="Q88" s="526">
        <f t="shared" ca="1" si="217"/>
        <v>85851.913457258299</v>
      </c>
      <c r="R88" s="526">
        <f t="shared" ca="1" si="217"/>
        <v>88036.884880306709</v>
      </c>
      <c r="S88" s="526">
        <f t="shared" ca="1" si="217"/>
        <v>90236.422779508677</v>
      </c>
      <c r="T88" s="526">
        <f t="shared" ca="1" si="217"/>
        <v>92450.624264705359</v>
      </c>
      <c r="U88" s="526">
        <f t="shared" ca="1" si="217"/>
        <v>94679.587093136754</v>
      </c>
      <c r="V88" s="526">
        <f t="shared" ca="1" si="217"/>
        <v>96923.409673757662</v>
      </c>
      <c r="W88" s="526">
        <f t="shared" ca="1" si="217"/>
        <v>99182.191071582594</v>
      </c>
      <c r="X88" s="526">
        <f t="shared" ca="1" si="217"/>
        <v>99132.252015780003</v>
      </c>
      <c r="Y88" s="526">
        <f t="shared" ca="1" si="217"/>
        <v>101277.30024087873</v>
      </c>
      <c r="Z88" s="526">
        <f t="shared" ca="1" si="217"/>
        <v>103435.75501738423</v>
      </c>
      <c r="AA88" s="526">
        <f t="shared" ca="1" si="217"/>
        <v>105607.70013624289</v>
      </c>
      <c r="AB88" s="526">
        <f t="shared" ca="1" si="217"/>
        <v>107793.2199120944</v>
      </c>
      <c r="AC88" s="526">
        <f t="shared" ca="1" si="217"/>
        <v>109992.39918654515</v>
      </c>
      <c r="AD88" s="526">
        <f t="shared" ca="1" si="217"/>
        <v>112205.32333146107</v>
      </c>
      <c r="AE88" s="526">
        <f t="shared" ca="1" si="217"/>
        <v>114432.07825228265</v>
      </c>
      <c r="AF88" s="526">
        <f t="shared" ca="1" si="217"/>
        <v>116672.75039135954</v>
      </c>
      <c r="AG88" s="526">
        <f t="shared" ca="1" si="217"/>
        <v>118927.4267313055</v>
      </c>
      <c r="AH88" s="526">
        <f t="shared" ca="1" si="217"/>
        <v>121196.19479837616</v>
      </c>
      <c r="AI88" s="526">
        <f t="shared" ca="1" si="217"/>
        <v>123479.14266586611</v>
      </c>
      <c r="AJ88" s="526">
        <f t="shared" ca="1" si="217"/>
        <v>122481.38876808564</v>
      </c>
      <c r="AK88" s="526">
        <f t="shared" ca="1" si="217"/>
        <v>123710.65473037933</v>
      </c>
      <c r="AL88" s="526">
        <f t="shared" ca="1" si="217"/>
        <v>124944.01824588062</v>
      </c>
      <c r="AM88" s="526">
        <f t="shared" ca="1" si="217"/>
        <v>126181.4929731002</v>
      </c>
      <c r="AN88" s="526">
        <f t="shared" ca="1" si="217"/>
        <v>127423.09261607715</v>
      </c>
      <c r="AO88" s="526">
        <f t="shared" ca="1" si="217"/>
        <v>128668.83092453091</v>
      </c>
      <c r="AP88" s="526">
        <f t="shared" ca="1" si="217"/>
        <v>129918.72169401268</v>
      </c>
      <c r="AQ88" s="526">
        <f t="shared" ca="1" si="217"/>
        <v>131172.77876605943</v>
      </c>
      <c r="AR88" s="526">
        <f t="shared" ca="1" si="217"/>
        <v>132431.01602834626</v>
      </c>
      <c r="AS88" s="526">
        <f t="shared" ca="1" si="217"/>
        <v>133693.44741484086</v>
      </c>
      <c r="AT88" s="526">
        <f t="shared" ca="1" si="217"/>
        <v>134960.08690595691</v>
      </c>
      <c r="AU88" s="526">
        <f t="shared" ca="1" si="217"/>
        <v>136230.94852871029</v>
      </c>
      <c r="AV88" s="526">
        <f t="shared" ca="1" si="217"/>
        <v>135241.08391927258</v>
      </c>
      <c r="AW88" s="526">
        <f t="shared" ca="1" si="217"/>
        <v>136520.43207352899</v>
      </c>
      <c r="AX88" s="526">
        <f t="shared" ca="1" si="217"/>
        <v>137804.04472163261</v>
      </c>
      <c r="AY88" s="526">
        <f t="shared" ca="1" si="217"/>
        <v>139091.93607856351</v>
      </c>
      <c r="AZ88" s="526">
        <f t="shared" ca="1" si="217"/>
        <v>140384.12040668412</v>
      </c>
      <c r="BA88" s="526">
        <f t="shared" ca="1" si="217"/>
        <v>141680.61201589828</v>
      </c>
      <c r="BB88" s="526">
        <f t="shared" ca="1" si="217"/>
        <v>142981.42526381009</v>
      </c>
      <c r="BC88" s="526">
        <f t="shared" ca="1" si="217"/>
        <v>144286.57455588144</v>
      </c>
      <c r="BD88" s="526">
        <f t="shared" ca="1" si="217"/>
        <v>145596.07434559317</v>
      </c>
      <c r="BE88" s="526">
        <f t="shared" ca="1" si="217"/>
        <v>146909.93913460377</v>
      </c>
      <c r="BF88" s="526">
        <f t="shared" ca="1" si="217"/>
        <v>148228.18347291125</v>
      </c>
      <c r="BG88" s="526">
        <f t="shared" ca="1" si="217"/>
        <v>14806958.414923429</v>
      </c>
      <c r="BH88" s="526">
        <f t="shared" ca="1" si="217"/>
        <v>0</v>
      </c>
      <c r="BI88" s="526">
        <f t="shared" ca="1" si="217"/>
        <v>0</v>
      </c>
      <c r="BJ88" s="526">
        <f t="shared" ca="1" si="217"/>
        <v>0</v>
      </c>
      <c r="BK88" s="526">
        <f t="shared" ca="1" si="217"/>
        <v>0</v>
      </c>
      <c r="BL88" s="526">
        <f t="shared" ca="1" si="217"/>
        <v>0</v>
      </c>
      <c r="BM88" s="526">
        <f t="shared" ca="1" si="217"/>
        <v>0</v>
      </c>
      <c r="BN88" s="526">
        <f t="shared" ca="1" si="217"/>
        <v>0</v>
      </c>
      <c r="BO88" s="526">
        <f t="shared" ca="1" si="217"/>
        <v>0</v>
      </c>
      <c r="BP88" s="526">
        <f t="shared" ca="1" si="217"/>
        <v>0</v>
      </c>
      <c r="BQ88" s="526">
        <f t="shared" ca="1" si="217"/>
        <v>0</v>
      </c>
      <c r="BR88" s="526">
        <f t="shared" ca="1" si="217"/>
        <v>0</v>
      </c>
      <c r="BS88" s="526">
        <f t="shared" ca="1" si="217"/>
        <v>0</v>
      </c>
      <c r="BT88" s="526">
        <f t="shared" ca="1" si="217"/>
        <v>0</v>
      </c>
      <c r="BU88" s="526">
        <f t="shared" ca="1" si="217"/>
        <v>0</v>
      </c>
      <c r="BV88" s="526">
        <f t="shared" ca="1" si="217"/>
        <v>0</v>
      </c>
      <c r="BW88" s="526">
        <f t="shared" ca="1" si="217"/>
        <v>0</v>
      </c>
      <c r="BX88" s="526">
        <f t="shared" ref="BX88:EA88" ca="1" si="218">-BX84+BX85+BX86</f>
        <v>0</v>
      </c>
      <c r="BY88" s="526">
        <f t="shared" ca="1" si="218"/>
        <v>0</v>
      </c>
      <c r="BZ88" s="526">
        <f t="shared" ca="1" si="218"/>
        <v>0</v>
      </c>
      <c r="CA88" s="526">
        <f t="shared" ca="1" si="218"/>
        <v>0</v>
      </c>
      <c r="CB88" s="526">
        <f t="shared" ca="1" si="218"/>
        <v>0</v>
      </c>
      <c r="CC88" s="526">
        <f t="shared" ca="1" si="218"/>
        <v>0</v>
      </c>
      <c r="CD88" s="526">
        <f t="shared" ca="1" si="218"/>
        <v>0</v>
      </c>
      <c r="CE88" s="526">
        <f t="shared" ca="1" si="218"/>
        <v>0</v>
      </c>
      <c r="CF88" s="526">
        <f t="shared" ca="1" si="218"/>
        <v>0</v>
      </c>
      <c r="CG88" s="526">
        <f t="shared" ca="1" si="218"/>
        <v>0</v>
      </c>
      <c r="CH88" s="526">
        <f t="shared" ca="1" si="218"/>
        <v>0</v>
      </c>
      <c r="CI88" s="526">
        <f t="shared" ca="1" si="218"/>
        <v>0</v>
      </c>
      <c r="CJ88" s="526">
        <f t="shared" ca="1" si="218"/>
        <v>0</v>
      </c>
      <c r="CK88" s="526">
        <f t="shared" ca="1" si="218"/>
        <v>0</v>
      </c>
      <c r="CL88" s="526">
        <f t="shared" ca="1" si="218"/>
        <v>0</v>
      </c>
      <c r="CM88" s="526">
        <f t="shared" ca="1" si="218"/>
        <v>0</v>
      </c>
      <c r="CN88" s="526">
        <f t="shared" ca="1" si="218"/>
        <v>0</v>
      </c>
      <c r="CO88" s="526">
        <f t="shared" ca="1" si="218"/>
        <v>0</v>
      </c>
      <c r="CP88" s="526">
        <f t="shared" ca="1" si="218"/>
        <v>0</v>
      </c>
      <c r="CQ88" s="526">
        <f t="shared" ca="1" si="218"/>
        <v>0</v>
      </c>
      <c r="CR88" s="526">
        <f t="shared" ca="1" si="218"/>
        <v>0</v>
      </c>
      <c r="CS88" s="526">
        <f t="shared" ca="1" si="218"/>
        <v>0</v>
      </c>
      <c r="CT88" s="526">
        <f t="shared" ca="1" si="218"/>
        <v>0</v>
      </c>
      <c r="CU88" s="526">
        <f t="shared" ca="1" si="218"/>
        <v>0</v>
      </c>
      <c r="CV88" s="526">
        <f t="shared" ca="1" si="218"/>
        <v>0</v>
      </c>
      <c r="CW88" s="526">
        <f t="shared" ca="1" si="218"/>
        <v>0</v>
      </c>
      <c r="CX88" s="526">
        <f t="shared" ca="1" si="218"/>
        <v>0</v>
      </c>
      <c r="CY88" s="526">
        <f t="shared" ca="1" si="218"/>
        <v>0</v>
      </c>
      <c r="CZ88" s="526">
        <f t="shared" ca="1" si="218"/>
        <v>0</v>
      </c>
      <c r="DA88" s="526">
        <f t="shared" ca="1" si="218"/>
        <v>0</v>
      </c>
      <c r="DB88" s="526">
        <f t="shared" ca="1" si="218"/>
        <v>0</v>
      </c>
      <c r="DC88" s="526">
        <f t="shared" ca="1" si="218"/>
        <v>0</v>
      </c>
      <c r="DD88" s="526">
        <f t="shared" ca="1" si="218"/>
        <v>0</v>
      </c>
      <c r="DE88" s="526">
        <f t="shared" ca="1" si="218"/>
        <v>0</v>
      </c>
      <c r="DF88" s="526">
        <f t="shared" ca="1" si="218"/>
        <v>0</v>
      </c>
      <c r="DG88" s="526">
        <f t="shared" ca="1" si="218"/>
        <v>0</v>
      </c>
      <c r="DH88" s="526">
        <f t="shared" ca="1" si="218"/>
        <v>0</v>
      </c>
      <c r="DI88" s="526">
        <f t="shared" ca="1" si="218"/>
        <v>0</v>
      </c>
      <c r="DJ88" s="526">
        <f t="shared" ca="1" si="218"/>
        <v>0</v>
      </c>
      <c r="DK88" s="526">
        <f t="shared" ca="1" si="218"/>
        <v>0</v>
      </c>
      <c r="DL88" s="526">
        <f t="shared" ca="1" si="218"/>
        <v>0</v>
      </c>
      <c r="DM88" s="526">
        <f t="shared" ca="1" si="218"/>
        <v>0</v>
      </c>
      <c r="DN88" s="526">
        <f t="shared" ca="1" si="218"/>
        <v>0</v>
      </c>
      <c r="DO88" s="526">
        <f t="shared" ca="1" si="218"/>
        <v>0</v>
      </c>
      <c r="DP88" s="526">
        <f t="shared" ca="1" si="218"/>
        <v>0</v>
      </c>
      <c r="DQ88" s="526">
        <f t="shared" ca="1" si="218"/>
        <v>0</v>
      </c>
      <c r="DR88" s="526">
        <f t="shared" ca="1" si="218"/>
        <v>0</v>
      </c>
      <c r="DS88" s="526">
        <f t="shared" ca="1" si="218"/>
        <v>0</v>
      </c>
      <c r="DT88" s="526">
        <f t="shared" ca="1" si="218"/>
        <v>0</v>
      </c>
      <c r="DU88" s="526">
        <f t="shared" ca="1" si="218"/>
        <v>0</v>
      </c>
      <c r="DV88" s="526">
        <f t="shared" ca="1" si="218"/>
        <v>0</v>
      </c>
      <c r="DW88" s="526">
        <f t="shared" ca="1" si="218"/>
        <v>0</v>
      </c>
      <c r="DX88" s="526">
        <f t="shared" ca="1" si="218"/>
        <v>0</v>
      </c>
      <c r="DY88" s="526">
        <f t="shared" ca="1" si="218"/>
        <v>0</v>
      </c>
      <c r="DZ88" s="526">
        <f t="shared" ca="1" si="218"/>
        <v>0</v>
      </c>
      <c r="EA88" s="526">
        <f t="shared" ca="1" si="218"/>
        <v>0</v>
      </c>
      <c r="EB88" s="523" t="s">
        <v>557</v>
      </c>
    </row>
    <row r="89" spans="7:132">
      <c r="G89" s="545" t="s">
        <v>1152</v>
      </c>
      <c r="H89" s="546" t="s">
        <v>1153</v>
      </c>
      <c r="I89" s="547">
        <f ca="1">XIRR(K88:EA88,$K$2:$EA$2,)</f>
        <v>2.9802322387695314E-9</v>
      </c>
      <c r="EB89" s="523" t="s">
        <v>557</v>
      </c>
    </row>
    <row r="90" spans="7:132">
      <c r="H90" s="546" t="s">
        <v>1155</v>
      </c>
      <c r="I90" s="548">
        <f ca="1">SUMIF(K88:EA88,"&gt;0")/-SUMIF(K88:EA88,"&lt;0")</f>
        <v>1</v>
      </c>
      <c r="EB90" s="523" t="s">
        <v>557</v>
      </c>
    </row>
    <row r="91" spans="7:132">
      <c r="G91" s="520" t="s">
        <v>1135</v>
      </c>
      <c r="H91" s="533"/>
      <c r="I91" s="533"/>
      <c r="J91" s="521"/>
      <c r="K91" s="521"/>
      <c r="L91" s="521"/>
      <c r="M91" s="521"/>
      <c r="N91" s="521"/>
      <c r="O91" s="521"/>
      <c r="P91" s="521"/>
      <c r="Q91" s="521"/>
      <c r="R91" s="521"/>
      <c r="S91" s="521"/>
      <c r="T91" s="521"/>
      <c r="U91" s="521"/>
      <c r="V91" s="521"/>
      <c r="W91" s="521"/>
      <c r="X91" s="521"/>
      <c r="Y91" s="521"/>
      <c r="Z91" s="521"/>
      <c r="AA91" s="521"/>
      <c r="AB91" s="521"/>
      <c r="AC91" s="521"/>
      <c r="AD91" s="521"/>
      <c r="AE91" s="521"/>
      <c r="AF91" s="521"/>
      <c r="AG91" s="521"/>
      <c r="AH91" s="521"/>
      <c r="AI91" s="521"/>
      <c r="AJ91" s="521"/>
      <c r="AK91" s="521"/>
      <c r="AL91" s="521"/>
      <c r="AM91" s="521"/>
      <c r="AN91" s="521"/>
      <c r="AO91" s="521"/>
      <c r="AP91" s="521"/>
      <c r="AQ91" s="521"/>
      <c r="AR91" s="521"/>
      <c r="AS91" s="521"/>
      <c r="AT91" s="521"/>
      <c r="AU91" s="521"/>
      <c r="AV91" s="521"/>
      <c r="AW91" s="521"/>
      <c r="AX91" s="521"/>
      <c r="AY91" s="521"/>
      <c r="AZ91" s="521"/>
      <c r="BA91" s="521"/>
      <c r="BB91" s="521"/>
      <c r="BC91" s="521"/>
      <c r="BD91" s="521"/>
      <c r="BE91" s="521"/>
      <c r="BF91" s="521"/>
      <c r="BG91" s="521"/>
      <c r="BH91" s="521"/>
      <c r="BI91" s="521"/>
      <c r="BJ91" s="521"/>
      <c r="BK91" s="521"/>
      <c r="BL91" s="521"/>
      <c r="BM91" s="521"/>
      <c r="BN91" s="521"/>
      <c r="BO91" s="521"/>
      <c r="BP91" s="521"/>
      <c r="BQ91" s="521"/>
      <c r="BR91" s="521"/>
      <c r="BS91" s="521"/>
      <c r="BT91" s="521"/>
      <c r="BU91" s="521"/>
      <c r="BV91" s="521"/>
      <c r="BW91" s="521"/>
      <c r="BX91" s="521"/>
      <c r="BY91" s="521"/>
      <c r="BZ91" s="521"/>
      <c r="CA91" s="521"/>
      <c r="CB91" s="521"/>
      <c r="CC91" s="521"/>
      <c r="CD91" s="521"/>
      <c r="CE91" s="521"/>
      <c r="CF91" s="521"/>
      <c r="CG91" s="521"/>
      <c r="CH91" s="521"/>
      <c r="CI91" s="521"/>
      <c r="CJ91" s="521"/>
      <c r="CK91" s="521"/>
      <c r="CL91" s="521"/>
      <c r="CM91" s="521"/>
      <c r="CN91" s="521"/>
      <c r="CO91" s="521"/>
      <c r="CP91" s="521"/>
      <c r="CQ91" s="521"/>
      <c r="CR91" s="521"/>
      <c r="CS91" s="521"/>
      <c r="CT91" s="521"/>
      <c r="CU91" s="521"/>
      <c r="CV91" s="521"/>
      <c r="CW91" s="521"/>
      <c r="CX91" s="521"/>
      <c r="CY91" s="521"/>
      <c r="CZ91" s="521"/>
      <c r="DA91" s="521"/>
      <c r="DB91" s="521"/>
      <c r="DC91" s="521"/>
      <c r="DD91" s="521"/>
      <c r="DE91" s="521"/>
      <c r="DF91" s="521"/>
      <c r="DG91" s="521"/>
      <c r="DH91" s="521"/>
      <c r="DI91" s="521"/>
      <c r="DJ91" s="521"/>
      <c r="DK91" s="521"/>
      <c r="DL91" s="521"/>
      <c r="DM91" s="521"/>
      <c r="DN91" s="521"/>
      <c r="DO91" s="521"/>
      <c r="DP91" s="521"/>
      <c r="DQ91" s="521"/>
      <c r="DR91" s="521"/>
      <c r="DS91" s="521"/>
      <c r="DT91" s="521"/>
      <c r="DU91" s="521"/>
      <c r="DV91" s="521"/>
      <c r="DW91" s="521"/>
      <c r="DX91" s="521"/>
      <c r="DY91" s="521"/>
      <c r="DZ91" s="521"/>
      <c r="EA91" s="521"/>
      <c r="EB91" s="523" t="s">
        <v>557</v>
      </c>
    </row>
    <row r="92" spans="7:132">
      <c r="G92" s="518" t="s">
        <v>1158</v>
      </c>
      <c r="K92" s="526">
        <f ca="1">K74</f>
        <v>0</v>
      </c>
      <c r="L92" s="526">
        <f t="shared" ref="L92:BW92" si="219">L72</f>
        <v>0</v>
      </c>
      <c r="M92" s="526">
        <f t="shared" si="219"/>
        <v>0</v>
      </c>
      <c r="N92" s="526">
        <f t="shared" si="219"/>
        <v>0</v>
      </c>
      <c r="O92" s="526">
        <f t="shared" si="219"/>
        <v>0</v>
      </c>
      <c r="P92" s="526">
        <f t="shared" si="219"/>
        <v>0</v>
      </c>
      <c r="Q92" s="526">
        <f t="shared" si="219"/>
        <v>0</v>
      </c>
      <c r="R92" s="526">
        <f t="shared" si="219"/>
        <v>0</v>
      </c>
      <c r="S92" s="526">
        <f t="shared" si="219"/>
        <v>0</v>
      </c>
      <c r="T92" s="526">
        <f t="shared" si="219"/>
        <v>0</v>
      </c>
      <c r="U92" s="526">
        <f t="shared" si="219"/>
        <v>0</v>
      </c>
      <c r="V92" s="526">
        <f t="shared" si="219"/>
        <v>0</v>
      </c>
      <c r="W92" s="526">
        <f t="shared" si="219"/>
        <v>0</v>
      </c>
      <c r="X92" s="526">
        <f t="shared" si="219"/>
        <v>0</v>
      </c>
      <c r="Y92" s="526">
        <f t="shared" si="219"/>
        <v>0</v>
      </c>
      <c r="Z92" s="526">
        <f t="shared" si="219"/>
        <v>0</v>
      </c>
      <c r="AA92" s="526">
        <f t="shared" si="219"/>
        <v>0</v>
      </c>
      <c r="AB92" s="526">
        <f t="shared" si="219"/>
        <v>0</v>
      </c>
      <c r="AC92" s="526">
        <f t="shared" si="219"/>
        <v>0</v>
      </c>
      <c r="AD92" s="526">
        <f t="shared" si="219"/>
        <v>0</v>
      </c>
      <c r="AE92" s="526">
        <f t="shared" si="219"/>
        <v>0</v>
      </c>
      <c r="AF92" s="526">
        <f t="shared" si="219"/>
        <v>0</v>
      </c>
      <c r="AG92" s="526">
        <f t="shared" si="219"/>
        <v>0</v>
      </c>
      <c r="AH92" s="526">
        <f t="shared" si="219"/>
        <v>0</v>
      </c>
      <c r="AI92" s="526">
        <f t="shared" si="219"/>
        <v>0</v>
      </c>
      <c r="AJ92" s="526">
        <f t="shared" si="219"/>
        <v>0</v>
      </c>
      <c r="AK92" s="526">
        <f t="shared" si="219"/>
        <v>0</v>
      </c>
      <c r="AL92" s="526">
        <f t="shared" si="219"/>
        <v>0</v>
      </c>
      <c r="AM92" s="526">
        <f t="shared" si="219"/>
        <v>0</v>
      </c>
      <c r="AN92" s="526">
        <f t="shared" si="219"/>
        <v>0</v>
      </c>
      <c r="AO92" s="526">
        <f t="shared" si="219"/>
        <v>0</v>
      </c>
      <c r="AP92" s="526">
        <f t="shared" si="219"/>
        <v>0</v>
      </c>
      <c r="AQ92" s="526">
        <f t="shared" si="219"/>
        <v>0</v>
      </c>
      <c r="AR92" s="526">
        <f t="shared" si="219"/>
        <v>0</v>
      </c>
      <c r="AS92" s="526">
        <f t="shared" si="219"/>
        <v>0</v>
      </c>
      <c r="AT92" s="526">
        <f t="shared" si="219"/>
        <v>0</v>
      </c>
      <c r="AU92" s="526">
        <f t="shared" si="219"/>
        <v>0</v>
      </c>
      <c r="AV92" s="526">
        <f t="shared" si="219"/>
        <v>0</v>
      </c>
      <c r="AW92" s="526">
        <f t="shared" si="219"/>
        <v>0</v>
      </c>
      <c r="AX92" s="526">
        <f t="shared" si="219"/>
        <v>0</v>
      </c>
      <c r="AY92" s="526">
        <f t="shared" si="219"/>
        <v>0</v>
      </c>
      <c r="AZ92" s="526">
        <f t="shared" si="219"/>
        <v>0</v>
      </c>
      <c r="BA92" s="526">
        <f t="shared" si="219"/>
        <v>0</v>
      </c>
      <c r="BB92" s="526">
        <f t="shared" si="219"/>
        <v>0</v>
      </c>
      <c r="BC92" s="526">
        <f t="shared" si="219"/>
        <v>0</v>
      </c>
      <c r="BD92" s="526">
        <f t="shared" si="219"/>
        <v>0</v>
      </c>
      <c r="BE92" s="526">
        <f t="shared" si="219"/>
        <v>0</v>
      </c>
      <c r="BF92" s="526">
        <f t="shared" si="219"/>
        <v>0</v>
      </c>
      <c r="BG92" s="526">
        <f t="shared" si="219"/>
        <v>0</v>
      </c>
      <c r="BH92" s="526">
        <f t="shared" si="219"/>
        <v>0</v>
      </c>
      <c r="BI92" s="526">
        <f t="shared" si="219"/>
        <v>0</v>
      </c>
      <c r="BJ92" s="526">
        <f t="shared" si="219"/>
        <v>0</v>
      </c>
      <c r="BK92" s="526">
        <f t="shared" si="219"/>
        <v>0</v>
      </c>
      <c r="BL92" s="526">
        <f t="shared" si="219"/>
        <v>0</v>
      </c>
      <c r="BM92" s="526">
        <f t="shared" si="219"/>
        <v>0</v>
      </c>
      <c r="BN92" s="526">
        <f t="shared" si="219"/>
        <v>0</v>
      </c>
      <c r="BO92" s="526">
        <f t="shared" si="219"/>
        <v>0</v>
      </c>
      <c r="BP92" s="526">
        <f t="shared" si="219"/>
        <v>0</v>
      </c>
      <c r="BQ92" s="526">
        <f t="shared" si="219"/>
        <v>0</v>
      </c>
      <c r="BR92" s="526">
        <f t="shared" si="219"/>
        <v>0</v>
      </c>
      <c r="BS92" s="526">
        <f t="shared" si="219"/>
        <v>0</v>
      </c>
      <c r="BT92" s="526">
        <f t="shared" si="219"/>
        <v>0</v>
      </c>
      <c r="BU92" s="526">
        <f t="shared" si="219"/>
        <v>0</v>
      </c>
      <c r="BV92" s="526">
        <f t="shared" si="219"/>
        <v>0</v>
      </c>
      <c r="BW92" s="526">
        <f t="shared" si="219"/>
        <v>0</v>
      </c>
      <c r="BX92" s="526">
        <f t="shared" ref="BX92:EA92" si="220">BX72</f>
        <v>0</v>
      </c>
      <c r="BY92" s="526">
        <f t="shared" si="220"/>
        <v>0</v>
      </c>
      <c r="BZ92" s="526">
        <f t="shared" si="220"/>
        <v>0</v>
      </c>
      <c r="CA92" s="526">
        <f t="shared" si="220"/>
        <v>0</v>
      </c>
      <c r="CB92" s="526">
        <f t="shared" si="220"/>
        <v>0</v>
      </c>
      <c r="CC92" s="526">
        <f t="shared" si="220"/>
        <v>0</v>
      </c>
      <c r="CD92" s="526">
        <f t="shared" si="220"/>
        <v>0</v>
      </c>
      <c r="CE92" s="526">
        <f t="shared" si="220"/>
        <v>0</v>
      </c>
      <c r="CF92" s="526">
        <f t="shared" si="220"/>
        <v>0</v>
      </c>
      <c r="CG92" s="526">
        <f t="shared" si="220"/>
        <v>0</v>
      </c>
      <c r="CH92" s="526">
        <f t="shared" si="220"/>
        <v>0</v>
      </c>
      <c r="CI92" s="526">
        <f t="shared" si="220"/>
        <v>0</v>
      </c>
      <c r="CJ92" s="526">
        <f t="shared" si="220"/>
        <v>0</v>
      </c>
      <c r="CK92" s="526">
        <f t="shared" si="220"/>
        <v>0</v>
      </c>
      <c r="CL92" s="526">
        <f t="shared" si="220"/>
        <v>0</v>
      </c>
      <c r="CM92" s="526">
        <f t="shared" si="220"/>
        <v>0</v>
      </c>
      <c r="CN92" s="526">
        <f t="shared" si="220"/>
        <v>0</v>
      </c>
      <c r="CO92" s="526">
        <f t="shared" si="220"/>
        <v>0</v>
      </c>
      <c r="CP92" s="526">
        <f t="shared" si="220"/>
        <v>0</v>
      </c>
      <c r="CQ92" s="526">
        <f t="shared" si="220"/>
        <v>0</v>
      </c>
      <c r="CR92" s="526">
        <f t="shared" si="220"/>
        <v>0</v>
      </c>
      <c r="CS92" s="526">
        <f t="shared" si="220"/>
        <v>0</v>
      </c>
      <c r="CT92" s="526">
        <f t="shared" si="220"/>
        <v>0</v>
      </c>
      <c r="CU92" s="526">
        <f t="shared" si="220"/>
        <v>0</v>
      </c>
      <c r="CV92" s="526">
        <f t="shared" si="220"/>
        <v>0</v>
      </c>
      <c r="CW92" s="526">
        <f t="shared" si="220"/>
        <v>0</v>
      </c>
      <c r="CX92" s="526">
        <f t="shared" si="220"/>
        <v>0</v>
      </c>
      <c r="CY92" s="526">
        <f t="shared" si="220"/>
        <v>0</v>
      </c>
      <c r="CZ92" s="526">
        <f t="shared" si="220"/>
        <v>0</v>
      </c>
      <c r="DA92" s="526">
        <f t="shared" si="220"/>
        <v>0</v>
      </c>
      <c r="DB92" s="526">
        <f t="shared" si="220"/>
        <v>0</v>
      </c>
      <c r="DC92" s="526">
        <f t="shared" si="220"/>
        <v>0</v>
      </c>
      <c r="DD92" s="526">
        <f t="shared" si="220"/>
        <v>0</v>
      </c>
      <c r="DE92" s="526">
        <f t="shared" si="220"/>
        <v>0</v>
      </c>
      <c r="DF92" s="526">
        <f t="shared" si="220"/>
        <v>0</v>
      </c>
      <c r="DG92" s="526">
        <f t="shared" si="220"/>
        <v>0</v>
      </c>
      <c r="DH92" s="526">
        <f t="shared" si="220"/>
        <v>0</v>
      </c>
      <c r="DI92" s="526">
        <f t="shared" si="220"/>
        <v>0</v>
      </c>
      <c r="DJ92" s="526">
        <f t="shared" si="220"/>
        <v>0</v>
      </c>
      <c r="DK92" s="526">
        <f t="shared" si="220"/>
        <v>0</v>
      </c>
      <c r="DL92" s="526">
        <f t="shared" si="220"/>
        <v>0</v>
      </c>
      <c r="DM92" s="526">
        <f t="shared" si="220"/>
        <v>0</v>
      </c>
      <c r="DN92" s="526">
        <f t="shared" si="220"/>
        <v>0</v>
      </c>
      <c r="DO92" s="526">
        <f t="shared" si="220"/>
        <v>0</v>
      </c>
      <c r="DP92" s="526">
        <f t="shared" si="220"/>
        <v>0</v>
      </c>
      <c r="DQ92" s="526">
        <f t="shared" si="220"/>
        <v>0</v>
      </c>
      <c r="DR92" s="526">
        <f t="shared" si="220"/>
        <v>0</v>
      </c>
      <c r="DS92" s="526">
        <f t="shared" si="220"/>
        <v>0</v>
      </c>
      <c r="DT92" s="526">
        <f t="shared" si="220"/>
        <v>0</v>
      </c>
      <c r="DU92" s="526">
        <f t="shared" si="220"/>
        <v>0</v>
      </c>
      <c r="DV92" s="526">
        <f t="shared" si="220"/>
        <v>0</v>
      </c>
      <c r="DW92" s="526">
        <f t="shared" si="220"/>
        <v>0</v>
      </c>
      <c r="DX92" s="526">
        <f t="shared" si="220"/>
        <v>0</v>
      </c>
      <c r="DY92" s="526">
        <f t="shared" si="220"/>
        <v>0</v>
      </c>
      <c r="DZ92" s="526">
        <f t="shared" si="220"/>
        <v>0</v>
      </c>
      <c r="EA92" s="526">
        <f t="shared" si="220"/>
        <v>0</v>
      </c>
      <c r="EB92" s="523" t="s">
        <v>557</v>
      </c>
    </row>
    <row r="93" spans="7:132">
      <c r="G93" s="518" t="s">
        <v>1160</v>
      </c>
      <c r="H93" s="539">
        <f>C18</f>
        <v>0.4</v>
      </c>
      <c r="K93" s="526">
        <f ca="1">K86/$H86*$H93</f>
        <v>0</v>
      </c>
      <c r="L93" s="526">
        <f t="shared" ref="L93:BW93" ca="1" si="221">L86/$H86*$H93</f>
        <v>0</v>
      </c>
      <c r="M93" s="526">
        <f t="shared" ca="1" si="221"/>
        <v>0</v>
      </c>
      <c r="N93" s="526">
        <f t="shared" ca="1" si="221"/>
        <v>0</v>
      </c>
      <c r="O93" s="526">
        <f t="shared" ca="1" si="221"/>
        <v>0</v>
      </c>
      <c r="P93" s="526">
        <f t="shared" ca="1" si="221"/>
        <v>0</v>
      </c>
      <c r="Q93" s="526">
        <f t="shared" ca="1" si="221"/>
        <v>0</v>
      </c>
      <c r="R93" s="526">
        <f t="shared" ca="1" si="221"/>
        <v>0</v>
      </c>
      <c r="S93" s="526">
        <f t="shared" ca="1" si="221"/>
        <v>0</v>
      </c>
      <c r="T93" s="526">
        <f t="shared" ca="1" si="221"/>
        <v>0</v>
      </c>
      <c r="U93" s="526">
        <f t="shared" ca="1" si="221"/>
        <v>0</v>
      </c>
      <c r="V93" s="526">
        <f t="shared" ca="1" si="221"/>
        <v>0</v>
      </c>
      <c r="W93" s="526">
        <f t="shared" ca="1" si="221"/>
        <v>0</v>
      </c>
      <c r="X93" s="526">
        <f t="shared" ca="1" si="221"/>
        <v>0</v>
      </c>
      <c r="Y93" s="526">
        <f t="shared" ca="1" si="221"/>
        <v>0</v>
      </c>
      <c r="Z93" s="526">
        <f t="shared" ca="1" si="221"/>
        <v>0</v>
      </c>
      <c r="AA93" s="526">
        <f t="shared" ca="1" si="221"/>
        <v>0</v>
      </c>
      <c r="AB93" s="526">
        <f t="shared" ca="1" si="221"/>
        <v>0</v>
      </c>
      <c r="AC93" s="526">
        <f t="shared" ca="1" si="221"/>
        <v>0</v>
      </c>
      <c r="AD93" s="526">
        <f t="shared" ca="1" si="221"/>
        <v>0</v>
      </c>
      <c r="AE93" s="526">
        <f t="shared" ca="1" si="221"/>
        <v>0</v>
      </c>
      <c r="AF93" s="526">
        <f t="shared" ca="1" si="221"/>
        <v>0</v>
      </c>
      <c r="AG93" s="526">
        <f t="shared" ca="1" si="221"/>
        <v>0</v>
      </c>
      <c r="AH93" s="526">
        <f t="shared" ca="1" si="221"/>
        <v>0</v>
      </c>
      <c r="AI93" s="526">
        <f t="shared" ca="1" si="221"/>
        <v>0</v>
      </c>
      <c r="AJ93" s="526">
        <f t="shared" ca="1" si="221"/>
        <v>0</v>
      </c>
      <c r="AK93" s="526">
        <f t="shared" ca="1" si="221"/>
        <v>0</v>
      </c>
      <c r="AL93" s="526">
        <f t="shared" ca="1" si="221"/>
        <v>0</v>
      </c>
      <c r="AM93" s="526">
        <f t="shared" ca="1" si="221"/>
        <v>0</v>
      </c>
      <c r="AN93" s="526">
        <f t="shared" ca="1" si="221"/>
        <v>0</v>
      </c>
      <c r="AO93" s="526">
        <f t="shared" ca="1" si="221"/>
        <v>0</v>
      </c>
      <c r="AP93" s="526">
        <f t="shared" ca="1" si="221"/>
        <v>0</v>
      </c>
      <c r="AQ93" s="526">
        <f t="shared" ca="1" si="221"/>
        <v>0</v>
      </c>
      <c r="AR93" s="526">
        <f t="shared" ca="1" si="221"/>
        <v>0</v>
      </c>
      <c r="AS93" s="526">
        <f t="shared" ca="1" si="221"/>
        <v>0</v>
      </c>
      <c r="AT93" s="526">
        <f t="shared" ca="1" si="221"/>
        <v>0</v>
      </c>
      <c r="AU93" s="526">
        <f t="shared" ca="1" si="221"/>
        <v>0</v>
      </c>
      <c r="AV93" s="526">
        <f t="shared" ca="1" si="221"/>
        <v>0</v>
      </c>
      <c r="AW93" s="526">
        <f t="shared" ca="1" si="221"/>
        <v>0</v>
      </c>
      <c r="AX93" s="526">
        <f t="shared" ca="1" si="221"/>
        <v>0</v>
      </c>
      <c r="AY93" s="526">
        <f t="shared" ca="1" si="221"/>
        <v>0</v>
      </c>
      <c r="AZ93" s="526">
        <f t="shared" ca="1" si="221"/>
        <v>0</v>
      </c>
      <c r="BA93" s="526">
        <f t="shared" ca="1" si="221"/>
        <v>0</v>
      </c>
      <c r="BB93" s="526">
        <f t="shared" ca="1" si="221"/>
        <v>0</v>
      </c>
      <c r="BC93" s="526">
        <f t="shared" ca="1" si="221"/>
        <v>0</v>
      </c>
      <c r="BD93" s="526">
        <f t="shared" ca="1" si="221"/>
        <v>0</v>
      </c>
      <c r="BE93" s="526">
        <f t="shared" ca="1" si="221"/>
        <v>0</v>
      </c>
      <c r="BF93" s="526">
        <f t="shared" ca="1" si="221"/>
        <v>0</v>
      </c>
      <c r="BG93" s="526">
        <f t="shared" ca="1" si="221"/>
        <v>0</v>
      </c>
      <c r="BH93" s="526">
        <f t="shared" ca="1" si="221"/>
        <v>0</v>
      </c>
      <c r="BI93" s="526">
        <f t="shared" ca="1" si="221"/>
        <v>0</v>
      </c>
      <c r="BJ93" s="526">
        <f t="shared" ca="1" si="221"/>
        <v>0</v>
      </c>
      <c r="BK93" s="526">
        <f t="shared" ca="1" si="221"/>
        <v>0</v>
      </c>
      <c r="BL93" s="526">
        <f t="shared" ca="1" si="221"/>
        <v>0</v>
      </c>
      <c r="BM93" s="526">
        <f t="shared" ca="1" si="221"/>
        <v>0</v>
      </c>
      <c r="BN93" s="526">
        <f t="shared" ca="1" si="221"/>
        <v>0</v>
      </c>
      <c r="BO93" s="526">
        <f t="shared" ca="1" si="221"/>
        <v>0</v>
      </c>
      <c r="BP93" s="526">
        <f t="shared" ca="1" si="221"/>
        <v>0</v>
      </c>
      <c r="BQ93" s="526">
        <f t="shared" ca="1" si="221"/>
        <v>0</v>
      </c>
      <c r="BR93" s="526">
        <f t="shared" ca="1" si="221"/>
        <v>0</v>
      </c>
      <c r="BS93" s="526">
        <f t="shared" ca="1" si="221"/>
        <v>0</v>
      </c>
      <c r="BT93" s="526">
        <f t="shared" ca="1" si="221"/>
        <v>0</v>
      </c>
      <c r="BU93" s="526">
        <f t="shared" ca="1" si="221"/>
        <v>0</v>
      </c>
      <c r="BV93" s="526">
        <f t="shared" ca="1" si="221"/>
        <v>0</v>
      </c>
      <c r="BW93" s="526">
        <f t="shared" ca="1" si="221"/>
        <v>0</v>
      </c>
      <c r="BX93" s="526">
        <f t="shared" ref="BX93:EA93" ca="1" si="222">BX86/$H86*$H93</f>
        <v>0</v>
      </c>
      <c r="BY93" s="526">
        <f t="shared" ca="1" si="222"/>
        <v>0</v>
      </c>
      <c r="BZ93" s="526">
        <f t="shared" ca="1" si="222"/>
        <v>0</v>
      </c>
      <c r="CA93" s="526">
        <f t="shared" ca="1" si="222"/>
        <v>0</v>
      </c>
      <c r="CB93" s="526">
        <f t="shared" ca="1" si="222"/>
        <v>0</v>
      </c>
      <c r="CC93" s="526">
        <f t="shared" ca="1" si="222"/>
        <v>0</v>
      </c>
      <c r="CD93" s="526">
        <f t="shared" ca="1" si="222"/>
        <v>0</v>
      </c>
      <c r="CE93" s="526">
        <f t="shared" ca="1" si="222"/>
        <v>0</v>
      </c>
      <c r="CF93" s="526">
        <f t="shared" ca="1" si="222"/>
        <v>0</v>
      </c>
      <c r="CG93" s="526">
        <f t="shared" ca="1" si="222"/>
        <v>0</v>
      </c>
      <c r="CH93" s="526">
        <f t="shared" ca="1" si="222"/>
        <v>0</v>
      </c>
      <c r="CI93" s="526">
        <f t="shared" ca="1" si="222"/>
        <v>0</v>
      </c>
      <c r="CJ93" s="526">
        <f t="shared" ca="1" si="222"/>
        <v>0</v>
      </c>
      <c r="CK93" s="526">
        <f t="shared" ca="1" si="222"/>
        <v>0</v>
      </c>
      <c r="CL93" s="526">
        <f t="shared" ca="1" si="222"/>
        <v>0</v>
      </c>
      <c r="CM93" s="526">
        <f t="shared" ca="1" si="222"/>
        <v>0</v>
      </c>
      <c r="CN93" s="526">
        <f t="shared" ca="1" si="222"/>
        <v>0</v>
      </c>
      <c r="CO93" s="526">
        <f t="shared" ca="1" si="222"/>
        <v>0</v>
      </c>
      <c r="CP93" s="526">
        <f t="shared" ca="1" si="222"/>
        <v>0</v>
      </c>
      <c r="CQ93" s="526">
        <f t="shared" ca="1" si="222"/>
        <v>0</v>
      </c>
      <c r="CR93" s="526">
        <f t="shared" ca="1" si="222"/>
        <v>0</v>
      </c>
      <c r="CS93" s="526">
        <f t="shared" ca="1" si="222"/>
        <v>0</v>
      </c>
      <c r="CT93" s="526">
        <f t="shared" ca="1" si="222"/>
        <v>0</v>
      </c>
      <c r="CU93" s="526">
        <f t="shared" ca="1" si="222"/>
        <v>0</v>
      </c>
      <c r="CV93" s="526">
        <f t="shared" ca="1" si="222"/>
        <v>0</v>
      </c>
      <c r="CW93" s="526">
        <f t="shared" ca="1" si="222"/>
        <v>0</v>
      </c>
      <c r="CX93" s="526">
        <f t="shared" ca="1" si="222"/>
        <v>0</v>
      </c>
      <c r="CY93" s="526">
        <f t="shared" ca="1" si="222"/>
        <v>0</v>
      </c>
      <c r="CZ93" s="526">
        <f t="shared" ca="1" si="222"/>
        <v>0</v>
      </c>
      <c r="DA93" s="526">
        <f t="shared" ca="1" si="222"/>
        <v>0</v>
      </c>
      <c r="DB93" s="526">
        <f t="shared" ca="1" si="222"/>
        <v>0</v>
      </c>
      <c r="DC93" s="526">
        <f t="shared" ca="1" si="222"/>
        <v>0</v>
      </c>
      <c r="DD93" s="526">
        <f t="shared" ca="1" si="222"/>
        <v>0</v>
      </c>
      <c r="DE93" s="526">
        <f t="shared" ca="1" si="222"/>
        <v>0</v>
      </c>
      <c r="DF93" s="526">
        <f t="shared" ca="1" si="222"/>
        <v>0</v>
      </c>
      <c r="DG93" s="526">
        <f t="shared" ca="1" si="222"/>
        <v>0</v>
      </c>
      <c r="DH93" s="526">
        <f t="shared" ca="1" si="222"/>
        <v>0</v>
      </c>
      <c r="DI93" s="526">
        <f t="shared" ca="1" si="222"/>
        <v>0</v>
      </c>
      <c r="DJ93" s="526">
        <f t="shared" ca="1" si="222"/>
        <v>0</v>
      </c>
      <c r="DK93" s="526">
        <f t="shared" ca="1" si="222"/>
        <v>0</v>
      </c>
      <c r="DL93" s="526">
        <f t="shared" ca="1" si="222"/>
        <v>0</v>
      </c>
      <c r="DM93" s="526">
        <f t="shared" ca="1" si="222"/>
        <v>0</v>
      </c>
      <c r="DN93" s="526">
        <f t="shared" ca="1" si="222"/>
        <v>0</v>
      </c>
      <c r="DO93" s="526">
        <f t="shared" ca="1" si="222"/>
        <v>0</v>
      </c>
      <c r="DP93" s="526">
        <f t="shared" ca="1" si="222"/>
        <v>0</v>
      </c>
      <c r="DQ93" s="526">
        <f t="shared" ca="1" si="222"/>
        <v>0</v>
      </c>
      <c r="DR93" s="526">
        <f t="shared" ca="1" si="222"/>
        <v>0</v>
      </c>
      <c r="DS93" s="526">
        <f t="shared" ca="1" si="222"/>
        <v>0</v>
      </c>
      <c r="DT93" s="526">
        <f t="shared" ca="1" si="222"/>
        <v>0</v>
      </c>
      <c r="DU93" s="526">
        <f t="shared" ca="1" si="222"/>
        <v>0</v>
      </c>
      <c r="DV93" s="526">
        <f t="shared" ca="1" si="222"/>
        <v>0</v>
      </c>
      <c r="DW93" s="526">
        <f t="shared" ca="1" si="222"/>
        <v>0</v>
      </c>
      <c r="DX93" s="526">
        <f t="shared" ca="1" si="222"/>
        <v>0</v>
      </c>
      <c r="DY93" s="526">
        <f t="shared" ca="1" si="222"/>
        <v>0</v>
      </c>
      <c r="DZ93" s="526">
        <f t="shared" ca="1" si="222"/>
        <v>0</v>
      </c>
      <c r="EA93" s="526">
        <f t="shared" ca="1" si="222"/>
        <v>0</v>
      </c>
      <c r="EB93" s="523" t="s">
        <v>557</v>
      </c>
    </row>
    <row r="94" spans="7:132">
      <c r="EB94" s="523" t="s">
        <v>557</v>
      </c>
    </row>
    <row r="95" spans="7:132">
      <c r="G95" s="518" t="s">
        <v>1183</v>
      </c>
      <c r="K95" s="526">
        <f ca="1">K86+K93</f>
        <v>0</v>
      </c>
      <c r="L95" s="526">
        <f t="shared" ref="L95:BW95" ca="1" si="223">L86+L93</f>
        <v>0</v>
      </c>
      <c r="M95" s="526">
        <f t="shared" ca="1" si="223"/>
        <v>0</v>
      </c>
      <c r="N95" s="526">
        <f t="shared" ca="1" si="223"/>
        <v>0</v>
      </c>
      <c r="O95" s="526">
        <f t="shared" ca="1" si="223"/>
        <v>0</v>
      </c>
      <c r="P95" s="526">
        <f t="shared" ca="1" si="223"/>
        <v>0</v>
      </c>
      <c r="Q95" s="526">
        <f t="shared" ca="1" si="223"/>
        <v>0</v>
      </c>
      <c r="R95" s="526">
        <f t="shared" ca="1" si="223"/>
        <v>0</v>
      </c>
      <c r="S95" s="526">
        <f t="shared" ca="1" si="223"/>
        <v>0</v>
      </c>
      <c r="T95" s="526">
        <f t="shared" ca="1" si="223"/>
        <v>0</v>
      </c>
      <c r="U95" s="526">
        <f t="shared" ca="1" si="223"/>
        <v>0</v>
      </c>
      <c r="V95" s="526">
        <f t="shared" ca="1" si="223"/>
        <v>0</v>
      </c>
      <c r="W95" s="526">
        <f t="shared" ca="1" si="223"/>
        <v>0</v>
      </c>
      <c r="X95" s="526">
        <f t="shared" ca="1" si="223"/>
        <v>0</v>
      </c>
      <c r="Y95" s="526">
        <f t="shared" ca="1" si="223"/>
        <v>0</v>
      </c>
      <c r="Z95" s="526">
        <f t="shared" ca="1" si="223"/>
        <v>0</v>
      </c>
      <c r="AA95" s="526">
        <f t="shared" ca="1" si="223"/>
        <v>0</v>
      </c>
      <c r="AB95" s="526">
        <f t="shared" ca="1" si="223"/>
        <v>0</v>
      </c>
      <c r="AC95" s="526">
        <f t="shared" ca="1" si="223"/>
        <v>0</v>
      </c>
      <c r="AD95" s="526">
        <f t="shared" ca="1" si="223"/>
        <v>0</v>
      </c>
      <c r="AE95" s="526">
        <f t="shared" ca="1" si="223"/>
        <v>0</v>
      </c>
      <c r="AF95" s="526">
        <f t="shared" ca="1" si="223"/>
        <v>0</v>
      </c>
      <c r="AG95" s="526">
        <f t="shared" ca="1" si="223"/>
        <v>0</v>
      </c>
      <c r="AH95" s="526">
        <f t="shared" ca="1" si="223"/>
        <v>0</v>
      </c>
      <c r="AI95" s="526">
        <f t="shared" ca="1" si="223"/>
        <v>0</v>
      </c>
      <c r="AJ95" s="526">
        <f t="shared" ca="1" si="223"/>
        <v>0</v>
      </c>
      <c r="AK95" s="526">
        <f t="shared" ca="1" si="223"/>
        <v>0</v>
      </c>
      <c r="AL95" s="526">
        <f t="shared" ca="1" si="223"/>
        <v>0</v>
      </c>
      <c r="AM95" s="526">
        <f t="shared" ca="1" si="223"/>
        <v>0</v>
      </c>
      <c r="AN95" s="526">
        <f t="shared" ca="1" si="223"/>
        <v>0</v>
      </c>
      <c r="AO95" s="526">
        <f t="shared" ca="1" si="223"/>
        <v>0</v>
      </c>
      <c r="AP95" s="526">
        <f t="shared" ca="1" si="223"/>
        <v>0</v>
      </c>
      <c r="AQ95" s="526">
        <f t="shared" ca="1" si="223"/>
        <v>0</v>
      </c>
      <c r="AR95" s="526">
        <f t="shared" ca="1" si="223"/>
        <v>0</v>
      </c>
      <c r="AS95" s="526">
        <f t="shared" ca="1" si="223"/>
        <v>0</v>
      </c>
      <c r="AT95" s="526">
        <f t="shared" ca="1" si="223"/>
        <v>0</v>
      </c>
      <c r="AU95" s="526">
        <f t="shared" ca="1" si="223"/>
        <v>0</v>
      </c>
      <c r="AV95" s="526">
        <f t="shared" ca="1" si="223"/>
        <v>0</v>
      </c>
      <c r="AW95" s="526">
        <f t="shared" ca="1" si="223"/>
        <v>0</v>
      </c>
      <c r="AX95" s="526">
        <f t="shared" ca="1" si="223"/>
        <v>0</v>
      </c>
      <c r="AY95" s="526">
        <f t="shared" ca="1" si="223"/>
        <v>0</v>
      </c>
      <c r="AZ95" s="526">
        <f t="shared" ca="1" si="223"/>
        <v>0</v>
      </c>
      <c r="BA95" s="526">
        <f t="shared" ca="1" si="223"/>
        <v>0</v>
      </c>
      <c r="BB95" s="526">
        <f t="shared" ca="1" si="223"/>
        <v>0</v>
      </c>
      <c r="BC95" s="526">
        <f t="shared" ca="1" si="223"/>
        <v>0</v>
      </c>
      <c r="BD95" s="526">
        <f t="shared" ca="1" si="223"/>
        <v>0</v>
      </c>
      <c r="BE95" s="526">
        <f t="shared" ca="1" si="223"/>
        <v>0</v>
      </c>
      <c r="BF95" s="526">
        <f t="shared" ca="1" si="223"/>
        <v>0</v>
      </c>
      <c r="BG95" s="526">
        <f t="shared" ca="1" si="223"/>
        <v>0</v>
      </c>
      <c r="BH95" s="526">
        <f t="shared" ca="1" si="223"/>
        <v>0</v>
      </c>
      <c r="BI95" s="526">
        <f t="shared" ca="1" si="223"/>
        <v>0</v>
      </c>
      <c r="BJ95" s="526">
        <f t="shared" ca="1" si="223"/>
        <v>0</v>
      </c>
      <c r="BK95" s="526">
        <f t="shared" ca="1" si="223"/>
        <v>0</v>
      </c>
      <c r="BL95" s="526">
        <f t="shared" ca="1" si="223"/>
        <v>0</v>
      </c>
      <c r="BM95" s="526">
        <f t="shared" ca="1" si="223"/>
        <v>0</v>
      </c>
      <c r="BN95" s="526">
        <f t="shared" ca="1" si="223"/>
        <v>0</v>
      </c>
      <c r="BO95" s="526">
        <f t="shared" ca="1" si="223"/>
        <v>0</v>
      </c>
      <c r="BP95" s="526">
        <f t="shared" ca="1" si="223"/>
        <v>0</v>
      </c>
      <c r="BQ95" s="526">
        <f t="shared" ca="1" si="223"/>
        <v>0</v>
      </c>
      <c r="BR95" s="526">
        <f t="shared" ca="1" si="223"/>
        <v>0</v>
      </c>
      <c r="BS95" s="526">
        <f t="shared" ca="1" si="223"/>
        <v>0</v>
      </c>
      <c r="BT95" s="526">
        <f t="shared" ca="1" si="223"/>
        <v>0</v>
      </c>
      <c r="BU95" s="526">
        <f t="shared" ca="1" si="223"/>
        <v>0</v>
      </c>
      <c r="BV95" s="526">
        <f t="shared" ca="1" si="223"/>
        <v>0</v>
      </c>
      <c r="BW95" s="526">
        <f t="shared" ca="1" si="223"/>
        <v>0</v>
      </c>
      <c r="BX95" s="526">
        <f t="shared" ref="BX95:EA95" ca="1" si="224">BX86+BX93</f>
        <v>0</v>
      </c>
      <c r="BY95" s="526">
        <f t="shared" ca="1" si="224"/>
        <v>0</v>
      </c>
      <c r="BZ95" s="526">
        <f t="shared" ca="1" si="224"/>
        <v>0</v>
      </c>
      <c r="CA95" s="526">
        <f t="shared" ca="1" si="224"/>
        <v>0</v>
      </c>
      <c r="CB95" s="526">
        <f t="shared" ca="1" si="224"/>
        <v>0</v>
      </c>
      <c r="CC95" s="526">
        <f t="shared" ca="1" si="224"/>
        <v>0</v>
      </c>
      <c r="CD95" s="526">
        <f t="shared" ca="1" si="224"/>
        <v>0</v>
      </c>
      <c r="CE95" s="526">
        <f t="shared" ca="1" si="224"/>
        <v>0</v>
      </c>
      <c r="CF95" s="526">
        <f t="shared" ca="1" si="224"/>
        <v>0</v>
      </c>
      <c r="CG95" s="526">
        <f t="shared" ca="1" si="224"/>
        <v>0</v>
      </c>
      <c r="CH95" s="526">
        <f t="shared" ca="1" si="224"/>
        <v>0</v>
      </c>
      <c r="CI95" s="526">
        <f t="shared" ca="1" si="224"/>
        <v>0</v>
      </c>
      <c r="CJ95" s="526">
        <f t="shared" ca="1" si="224"/>
        <v>0</v>
      </c>
      <c r="CK95" s="526">
        <f t="shared" ca="1" si="224"/>
        <v>0</v>
      </c>
      <c r="CL95" s="526">
        <f t="shared" ca="1" si="224"/>
        <v>0</v>
      </c>
      <c r="CM95" s="526">
        <f t="shared" ca="1" si="224"/>
        <v>0</v>
      </c>
      <c r="CN95" s="526">
        <f t="shared" ca="1" si="224"/>
        <v>0</v>
      </c>
      <c r="CO95" s="526">
        <f t="shared" ca="1" si="224"/>
        <v>0</v>
      </c>
      <c r="CP95" s="526">
        <f t="shared" ca="1" si="224"/>
        <v>0</v>
      </c>
      <c r="CQ95" s="526">
        <f t="shared" ca="1" si="224"/>
        <v>0</v>
      </c>
      <c r="CR95" s="526">
        <f t="shared" ca="1" si="224"/>
        <v>0</v>
      </c>
      <c r="CS95" s="526">
        <f t="shared" ca="1" si="224"/>
        <v>0</v>
      </c>
      <c r="CT95" s="526">
        <f t="shared" ca="1" si="224"/>
        <v>0</v>
      </c>
      <c r="CU95" s="526">
        <f t="shared" ca="1" si="224"/>
        <v>0</v>
      </c>
      <c r="CV95" s="526">
        <f t="shared" ca="1" si="224"/>
        <v>0</v>
      </c>
      <c r="CW95" s="526">
        <f t="shared" ca="1" si="224"/>
        <v>0</v>
      </c>
      <c r="CX95" s="526">
        <f t="shared" ca="1" si="224"/>
        <v>0</v>
      </c>
      <c r="CY95" s="526">
        <f t="shared" ca="1" si="224"/>
        <v>0</v>
      </c>
      <c r="CZ95" s="526">
        <f t="shared" ca="1" si="224"/>
        <v>0</v>
      </c>
      <c r="DA95" s="526">
        <f t="shared" ca="1" si="224"/>
        <v>0</v>
      </c>
      <c r="DB95" s="526">
        <f t="shared" ca="1" si="224"/>
        <v>0</v>
      </c>
      <c r="DC95" s="526">
        <f t="shared" ca="1" si="224"/>
        <v>0</v>
      </c>
      <c r="DD95" s="526">
        <f t="shared" ca="1" si="224"/>
        <v>0</v>
      </c>
      <c r="DE95" s="526">
        <f t="shared" ca="1" si="224"/>
        <v>0</v>
      </c>
      <c r="DF95" s="526">
        <f t="shared" ca="1" si="224"/>
        <v>0</v>
      </c>
      <c r="DG95" s="526">
        <f t="shared" ca="1" si="224"/>
        <v>0</v>
      </c>
      <c r="DH95" s="526">
        <f t="shared" ca="1" si="224"/>
        <v>0</v>
      </c>
      <c r="DI95" s="526">
        <f t="shared" ca="1" si="224"/>
        <v>0</v>
      </c>
      <c r="DJ95" s="526">
        <f t="shared" ca="1" si="224"/>
        <v>0</v>
      </c>
      <c r="DK95" s="526">
        <f t="shared" ca="1" si="224"/>
        <v>0</v>
      </c>
      <c r="DL95" s="526">
        <f t="shared" ca="1" si="224"/>
        <v>0</v>
      </c>
      <c r="DM95" s="526">
        <f t="shared" ca="1" si="224"/>
        <v>0</v>
      </c>
      <c r="DN95" s="526">
        <f t="shared" ca="1" si="224"/>
        <v>0</v>
      </c>
      <c r="DO95" s="526">
        <f t="shared" ca="1" si="224"/>
        <v>0</v>
      </c>
      <c r="DP95" s="526">
        <f t="shared" ca="1" si="224"/>
        <v>0</v>
      </c>
      <c r="DQ95" s="526">
        <f t="shared" ca="1" si="224"/>
        <v>0</v>
      </c>
      <c r="DR95" s="526">
        <f t="shared" ca="1" si="224"/>
        <v>0</v>
      </c>
      <c r="DS95" s="526">
        <f t="shared" ca="1" si="224"/>
        <v>0</v>
      </c>
      <c r="DT95" s="526">
        <f t="shared" ca="1" si="224"/>
        <v>0</v>
      </c>
      <c r="DU95" s="526">
        <f t="shared" ca="1" si="224"/>
        <v>0</v>
      </c>
      <c r="DV95" s="526">
        <f t="shared" ca="1" si="224"/>
        <v>0</v>
      </c>
      <c r="DW95" s="526">
        <f t="shared" ca="1" si="224"/>
        <v>0</v>
      </c>
      <c r="DX95" s="526">
        <f t="shared" ca="1" si="224"/>
        <v>0</v>
      </c>
      <c r="DY95" s="526">
        <f t="shared" ca="1" si="224"/>
        <v>0</v>
      </c>
      <c r="DZ95" s="526">
        <f t="shared" ca="1" si="224"/>
        <v>0</v>
      </c>
      <c r="EA95" s="526">
        <f t="shared" ca="1" si="224"/>
        <v>0</v>
      </c>
      <c r="EB95" s="523" t="s">
        <v>557</v>
      </c>
    </row>
    <row r="96" spans="7:132" ht="18" thickBot="1">
      <c r="G96" s="554" t="s">
        <v>1167</v>
      </c>
      <c r="H96" s="555"/>
      <c r="I96" s="555"/>
      <c r="J96" s="555"/>
      <c r="K96" s="556">
        <f ca="1">K78-K95</f>
        <v>0</v>
      </c>
      <c r="L96" s="556">
        <f t="shared" ref="L96:BW96" ca="1" si="225">L78-L95</f>
        <v>0</v>
      </c>
      <c r="M96" s="556">
        <f t="shared" ca="1" si="225"/>
        <v>0</v>
      </c>
      <c r="N96" s="556">
        <f t="shared" ca="1" si="225"/>
        <v>0</v>
      </c>
      <c r="O96" s="556">
        <f t="shared" ca="1" si="225"/>
        <v>0</v>
      </c>
      <c r="P96" s="556">
        <f t="shared" ca="1" si="225"/>
        <v>0</v>
      </c>
      <c r="Q96" s="556">
        <f t="shared" ca="1" si="225"/>
        <v>0</v>
      </c>
      <c r="R96" s="556">
        <f t="shared" ca="1" si="225"/>
        <v>0</v>
      </c>
      <c r="S96" s="556">
        <f t="shared" ca="1" si="225"/>
        <v>0</v>
      </c>
      <c r="T96" s="556">
        <f t="shared" ca="1" si="225"/>
        <v>0</v>
      </c>
      <c r="U96" s="556">
        <f t="shared" ca="1" si="225"/>
        <v>0</v>
      </c>
      <c r="V96" s="556">
        <f t="shared" ca="1" si="225"/>
        <v>0</v>
      </c>
      <c r="W96" s="556">
        <f t="shared" ca="1" si="225"/>
        <v>0</v>
      </c>
      <c r="X96" s="556">
        <f t="shared" ca="1" si="225"/>
        <v>0</v>
      </c>
      <c r="Y96" s="556">
        <f t="shared" ca="1" si="225"/>
        <v>0</v>
      </c>
      <c r="Z96" s="556">
        <f t="shared" ca="1" si="225"/>
        <v>0</v>
      </c>
      <c r="AA96" s="556">
        <f t="shared" ca="1" si="225"/>
        <v>0</v>
      </c>
      <c r="AB96" s="556">
        <f t="shared" ca="1" si="225"/>
        <v>0</v>
      </c>
      <c r="AC96" s="556">
        <f t="shared" ca="1" si="225"/>
        <v>0</v>
      </c>
      <c r="AD96" s="556">
        <f t="shared" ca="1" si="225"/>
        <v>0</v>
      </c>
      <c r="AE96" s="556">
        <f t="shared" ca="1" si="225"/>
        <v>0</v>
      </c>
      <c r="AF96" s="556">
        <f t="shared" ca="1" si="225"/>
        <v>0</v>
      </c>
      <c r="AG96" s="556">
        <f t="shared" ca="1" si="225"/>
        <v>0</v>
      </c>
      <c r="AH96" s="556">
        <f t="shared" ca="1" si="225"/>
        <v>0</v>
      </c>
      <c r="AI96" s="556">
        <f t="shared" ca="1" si="225"/>
        <v>0</v>
      </c>
      <c r="AJ96" s="556">
        <f t="shared" ca="1" si="225"/>
        <v>0</v>
      </c>
      <c r="AK96" s="556">
        <f t="shared" ca="1" si="225"/>
        <v>0</v>
      </c>
      <c r="AL96" s="556">
        <f t="shared" ca="1" si="225"/>
        <v>0</v>
      </c>
      <c r="AM96" s="556">
        <f t="shared" ca="1" si="225"/>
        <v>0</v>
      </c>
      <c r="AN96" s="556">
        <f t="shared" ca="1" si="225"/>
        <v>0</v>
      </c>
      <c r="AO96" s="556">
        <f t="shared" ca="1" si="225"/>
        <v>0</v>
      </c>
      <c r="AP96" s="556">
        <f t="shared" ca="1" si="225"/>
        <v>0</v>
      </c>
      <c r="AQ96" s="556">
        <f t="shared" ca="1" si="225"/>
        <v>0</v>
      </c>
      <c r="AR96" s="556">
        <f t="shared" ca="1" si="225"/>
        <v>0</v>
      </c>
      <c r="AS96" s="556">
        <f t="shared" ca="1" si="225"/>
        <v>0</v>
      </c>
      <c r="AT96" s="556">
        <f t="shared" ca="1" si="225"/>
        <v>0</v>
      </c>
      <c r="AU96" s="556">
        <f t="shared" ca="1" si="225"/>
        <v>0</v>
      </c>
      <c r="AV96" s="556">
        <f t="shared" ca="1" si="225"/>
        <v>0</v>
      </c>
      <c r="AW96" s="556">
        <f t="shared" ca="1" si="225"/>
        <v>0</v>
      </c>
      <c r="AX96" s="556">
        <f t="shared" ca="1" si="225"/>
        <v>0</v>
      </c>
      <c r="AY96" s="556">
        <f t="shared" ca="1" si="225"/>
        <v>0</v>
      </c>
      <c r="AZ96" s="556">
        <f t="shared" ca="1" si="225"/>
        <v>0</v>
      </c>
      <c r="BA96" s="556">
        <f t="shared" ca="1" si="225"/>
        <v>0</v>
      </c>
      <c r="BB96" s="556">
        <f t="shared" ca="1" si="225"/>
        <v>0</v>
      </c>
      <c r="BC96" s="556">
        <f t="shared" ca="1" si="225"/>
        <v>0</v>
      </c>
      <c r="BD96" s="556">
        <f t="shared" ca="1" si="225"/>
        <v>0</v>
      </c>
      <c r="BE96" s="556">
        <f t="shared" ca="1" si="225"/>
        <v>0</v>
      </c>
      <c r="BF96" s="556">
        <f t="shared" ca="1" si="225"/>
        <v>0</v>
      </c>
      <c r="BG96" s="556">
        <f t="shared" ca="1" si="225"/>
        <v>22204018.349216551</v>
      </c>
      <c r="BH96" s="556">
        <f t="shared" ca="1" si="225"/>
        <v>0</v>
      </c>
      <c r="BI96" s="556">
        <f t="shared" ca="1" si="225"/>
        <v>0</v>
      </c>
      <c r="BJ96" s="556">
        <f t="shared" ca="1" si="225"/>
        <v>0</v>
      </c>
      <c r="BK96" s="556">
        <f t="shared" ca="1" si="225"/>
        <v>0</v>
      </c>
      <c r="BL96" s="556">
        <f t="shared" ca="1" si="225"/>
        <v>0</v>
      </c>
      <c r="BM96" s="556">
        <f t="shared" ca="1" si="225"/>
        <v>0</v>
      </c>
      <c r="BN96" s="556">
        <f t="shared" ca="1" si="225"/>
        <v>0</v>
      </c>
      <c r="BO96" s="556">
        <f t="shared" ca="1" si="225"/>
        <v>0</v>
      </c>
      <c r="BP96" s="556">
        <f t="shared" ca="1" si="225"/>
        <v>0</v>
      </c>
      <c r="BQ96" s="556">
        <f t="shared" ca="1" si="225"/>
        <v>0</v>
      </c>
      <c r="BR96" s="556">
        <f t="shared" ca="1" si="225"/>
        <v>0</v>
      </c>
      <c r="BS96" s="556">
        <f t="shared" ca="1" si="225"/>
        <v>0</v>
      </c>
      <c r="BT96" s="556">
        <f t="shared" ca="1" si="225"/>
        <v>0</v>
      </c>
      <c r="BU96" s="556">
        <f t="shared" ca="1" si="225"/>
        <v>0</v>
      </c>
      <c r="BV96" s="556">
        <f t="shared" ca="1" si="225"/>
        <v>0</v>
      </c>
      <c r="BW96" s="556">
        <f t="shared" ca="1" si="225"/>
        <v>0</v>
      </c>
      <c r="BX96" s="556">
        <f t="shared" ref="BX96:EA96" ca="1" si="226">BX78-BX95</f>
        <v>0</v>
      </c>
      <c r="BY96" s="556">
        <f t="shared" ca="1" si="226"/>
        <v>0</v>
      </c>
      <c r="BZ96" s="556">
        <f t="shared" ca="1" si="226"/>
        <v>0</v>
      </c>
      <c r="CA96" s="556">
        <f t="shared" ca="1" si="226"/>
        <v>0</v>
      </c>
      <c r="CB96" s="556">
        <f t="shared" ca="1" si="226"/>
        <v>0</v>
      </c>
      <c r="CC96" s="556">
        <f t="shared" ca="1" si="226"/>
        <v>0</v>
      </c>
      <c r="CD96" s="556">
        <f t="shared" ca="1" si="226"/>
        <v>0</v>
      </c>
      <c r="CE96" s="556">
        <f t="shared" ca="1" si="226"/>
        <v>0</v>
      </c>
      <c r="CF96" s="556">
        <f t="shared" ca="1" si="226"/>
        <v>0</v>
      </c>
      <c r="CG96" s="556">
        <f t="shared" ca="1" si="226"/>
        <v>0</v>
      </c>
      <c r="CH96" s="556">
        <f t="shared" ca="1" si="226"/>
        <v>0</v>
      </c>
      <c r="CI96" s="556">
        <f t="shared" ca="1" si="226"/>
        <v>0</v>
      </c>
      <c r="CJ96" s="556">
        <f t="shared" ca="1" si="226"/>
        <v>0</v>
      </c>
      <c r="CK96" s="556">
        <f t="shared" ca="1" si="226"/>
        <v>0</v>
      </c>
      <c r="CL96" s="556">
        <f t="shared" ca="1" si="226"/>
        <v>0</v>
      </c>
      <c r="CM96" s="556">
        <f t="shared" ca="1" si="226"/>
        <v>0</v>
      </c>
      <c r="CN96" s="556">
        <f t="shared" ca="1" si="226"/>
        <v>0</v>
      </c>
      <c r="CO96" s="556">
        <f t="shared" ca="1" si="226"/>
        <v>0</v>
      </c>
      <c r="CP96" s="556">
        <f t="shared" ca="1" si="226"/>
        <v>0</v>
      </c>
      <c r="CQ96" s="556">
        <f t="shared" ca="1" si="226"/>
        <v>0</v>
      </c>
      <c r="CR96" s="556">
        <f t="shared" ca="1" si="226"/>
        <v>0</v>
      </c>
      <c r="CS96" s="556">
        <f t="shared" ca="1" si="226"/>
        <v>0</v>
      </c>
      <c r="CT96" s="556">
        <f t="shared" ca="1" si="226"/>
        <v>0</v>
      </c>
      <c r="CU96" s="556">
        <f t="shared" ca="1" si="226"/>
        <v>0</v>
      </c>
      <c r="CV96" s="556">
        <f t="shared" ca="1" si="226"/>
        <v>0</v>
      </c>
      <c r="CW96" s="556">
        <f t="shared" ca="1" si="226"/>
        <v>0</v>
      </c>
      <c r="CX96" s="556">
        <f t="shared" ca="1" si="226"/>
        <v>0</v>
      </c>
      <c r="CY96" s="556">
        <f t="shared" ca="1" si="226"/>
        <v>0</v>
      </c>
      <c r="CZ96" s="556">
        <f t="shared" ca="1" si="226"/>
        <v>0</v>
      </c>
      <c r="DA96" s="556">
        <f t="shared" ca="1" si="226"/>
        <v>0</v>
      </c>
      <c r="DB96" s="556">
        <f t="shared" ca="1" si="226"/>
        <v>0</v>
      </c>
      <c r="DC96" s="556">
        <f t="shared" ca="1" si="226"/>
        <v>0</v>
      </c>
      <c r="DD96" s="556">
        <f t="shared" ca="1" si="226"/>
        <v>0</v>
      </c>
      <c r="DE96" s="556">
        <f t="shared" ca="1" si="226"/>
        <v>0</v>
      </c>
      <c r="DF96" s="556">
        <f t="shared" ca="1" si="226"/>
        <v>0</v>
      </c>
      <c r="DG96" s="556">
        <f t="shared" ca="1" si="226"/>
        <v>0</v>
      </c>
      <c r="DH96" s="556">
        <f t="shared" ca="1" si="226"/>
        <v>0</v>
      </c>
      <c r="DI96" s="556">
        <f t="shared" ca="1" si="226"/>
        <v>0</v>
      </c>
      <c r="DJ96" s="556">
        <f t="shared" ca="1" si="226"/>
        <v>0</v>
      </c>
      <c r="DK96" s="556">
        <f t="shared" ca="1" si="226"/>
        <v>0</v>
      </c>
      <c r="DL96" s="556">
        <f t="shared" ca="1" si="226"/>
        <v>0</v>
      </c>
      <c r="DM96" s="556">
        <f t="shared" ca="1" si="226"/>
        <v>0</v>
      </c>
      <c r="DN96" s="556">
        <f t="shared" ca="1" si="226"/>
        <v>0</v>
      </c>
      <c r="DO96" s="556">
        <f t="shared" ca="1" si="226"/>
        <v>0</v>
      </c>
      <c r="DP96" s="556">
        <f t="shared" ca="1" si="226"/>
        <v>0</v>
      </c>
      <c r="DQ96" s="556">
        <f t="shared" ca="1" si="226"/>
        <v>0</v>
      </c>
      <c r="DR96" s="556">
        <f t="shared" ca="1" si="226"/>
        <v>0</v>
      </c>
      <c r="DS96" s="556">
        <f t="shared" ca="1" si="226"/>
        <v>0</v>
      </c>
      <c r="DT96" s="556">
        <f t="shared" ca="1" si="226"/>
        <v>0</v>
      </c>
      <c r="DU96" s="556">
        <f t="shared" ca="1" si="226"/>
        <v>0</v>
      </c>
      <c r="DV96" s="556">
        <f t="shared" ca="1" si="226"/>
        <v>0</v>
      </c>
      <c r="DW96" s="556">
        <f t="shared" ca="1" si="226"/>
        <v>0</v>
      </c>
      <c r="DX96" s="556">
        <f t="shared" ca="1" si="226"/>
        <v>0</v>
      </c>
      <c r="DY96" s="556">
        <f t="shared" ca="1" si="226"/>
        <v>0</v>
      </c>
      <c r="DZ96" s="556">
        <f t="shared" ca="1" si="226"/>
        <v>0</v>
      </c>
      <c r="EA96" s="556">
        <f t="shared" ca="1" si="226"/>
        <v>0</v>
      </c>
      <c r="EB96" s="523" t="s">
        <v>557</v>
      </c>
    </row>
    <row r="97" spans="7:132">
      <c r="K97" s="526"/>
      <c r="L97" s="526"/>
      <c r="M97" s="526"/>
      <c r="N97" s="526"/>
      <c r="O97" s="526"/>
      <c r="P97" s="526"/>
      <c r="Q97" s="526"/>
      <c r="R97" s="526"/>
      <c r="S97" s="526"/>
      <c r="T97" s="526"/>
      <c r="U97" s="526"/>
      <c r="V97" s="526"/>
      <c r="W97" s="526"/>
      <c r="X97" s="526"/>
      <c r="Y97" s="526"/>
      <c r="Z97" s="526"/>
      <c r="AA97" s="526"/>
      <c r="AB97" s="526"/>
      <c r="AC97" s="526"/>
      <c r="AD97" s="526"/>
      <c r="AE97" s="526"/>
      <c r="AF97" s="526"/>
      <c r="AG97" s="526"/>
      <c r="AH97" s="526"/>
      <c r="AI97" s="526"/>
      <c r="AJ97" s="526"/>
      <c r="AK97" s="526"/>
      <c r="AL97" s="526"/>
      <c r="AM97" s="526"/>
      <c r="AN97" s="526"/>
      <c r="AO97" s="526"/>
      <c r="AP97" s="526"/>
      <c r="AQ97" s="526"/>
      <c r="AR97" s="526"/>
      <c r="AS97" s="526"/>
      <c r="AT97" s="526"/>
      <c r="AU97" s="526"/>
      <c r="AV97" s="526"/>
      <c r="AW97" s="526"/>
      <c r="AX97" s="526"/>
      <c r="AY97" s="526"/>
      <c r="AZ97" s="526"/>
      <c r="BA97" s="526"/>
      <c r="BB97" s="526"/>
      <c r="BC97" s="526"/>
      <c r="BD97" s="526"/>
      <c r="BE97" s="526"/>
      <c r="BF97" s="526"/>
      <c r="BG97" s="526"/>
      <c r="BH97" s="526"/>
      <c r="BI97" s="526"/>
      <c r="BJ97" s="526"/>
      <c r="BK97" s="526"/>
      <c r="BL97" s="526"/>
      <c r="BM97" s="526"/>
      <c r="BN97" s="526"/>
      <c r="BO97" s="526"/>
      <c r="BP97" s="526"/>
      <c r="BQ97" s="526"/>
      <c r="BR97" s="526"/>
      <c r="BS97" s="526"/>
      <c r="BT97" s="526"/>
      <c r="BU97" s="526"/>
      <c r="BV97" s="526"/>
      <c r="BW97" s="526"/>
      <c r="BX97" s="526"/>
      <c r="BY97" s="526"/>
      <c r="BZ97" s="526"/>
      <c r="CA97" s="526"/>
      <c r="CB97" s="526"/>
      <c r="CC97" s="526"/>
      <c r="CD97" s="526"/>
      <c r="CE97" s="526"/>
      <c r="CF97" s="526"/>
      <c r="CG97" s="526"/>
      <c r="CH97" s="526"/>
      <c r="CI97" s="526"/>
      <c r="CJ97" s="526"/>
      <c r="CK97" s="526"/>
      <c r="CL97" s="526"/>
      <c r="CM97" s="526"/>
      <c r="CN97" s="526"/>
      <c r="CO97" s="526"/>
      <c r="CP97" s="526"/>
      <c r="CQ97" s="526"/>
      <c r="CR97" s="526"/>
      <c r="CS97" s="526"/>
      <c r="CT97" s="526"/>
      <c r="CU97" s="526"/>
      <c r="CV97" s="526"/>
      <c r="CW97" s="526"/>
      <c r="CX97" s="526"/>
      <c r="CY97" s="526"/>
      <c r="CZ97" s="526"/>
      <c r="DA97" s="526"/>
      <c r="DB97" s="526"/>
      <c r="DC97" s="526"/>
      <c r="DD97" s="526"/>
      <c r="DE97" s="526"/>
      <c r="DF97" s="526"/>
      <c r="DG97" s="526"/>
      <c r="DH97" s="526"/>
      <c r="DI97" s="526"/>
      <c r="DJ97" s="526"/>
      <c r="DK97" s="526"/>
      <c r="DL97" s="526"/>
      <c r="DM97" s="526"/>
      <c r="DN97" s="526"/>
      <c r="DO97" s="526"/>
      <c r="DP97" s="526"/>
      <c r="DQ97" s="526"/>
      <c r="DR97" s="526"/>
      <c r="DS97" s="526"/>
      <c r="DT97" s="526"/>
      <c r="DU97" s="526"/>
      <c r="DV97" s="526"/>
      <c r="DW97" s="526"/>
      <c r="DX97" s="526"/>
      <c r="DY97" s="526"/>
      <c r="DZ97" s="526"/>
      <c r="EA97" s="526"/>
      <c r="EB97" s="523"/>
    </row>
    <row r="98" spans="7:132" ht="19">
      <c r="G98" s="173" t="s">
        <v>1159</v>
      </c>
      <c r="H98" s="530"/>
      <c r="I98" s="530"/>
      <c r="J98" s="530"/>
      <c r="K98" s="530"/>
      <c r="L98" s="530"/>
      <c r="M98" s="530"/>
      <c r="N98" s="530"/>
      <c r="O98" s="530"/>
      <c r="P98" s="530"/>
      <c r="Q98" s="530"/>
      <c r="R98" s="530"/>
      <c r="S98" s="530"/>
      <c r="T98" s="530"/>
      <c r="U98" s="530"/>
      <c r="V98" s="530"/>
      <c r="W98" s="530"/>
      <c r="X98" s="530"/>
      <c r="Y98" s="530"/>
      <c r="Z98" s="530"/>
      <c r="AA98" s="530"/>
      <c r="AB98" s="530"/>
      <c r="AC98" s="530"/>
      <c r="AD98" s="530"/>
      <c r="AE98" s="530"/>
      <c r="AF98" s="530"/>
      <c r="AG98" s="530"/>
      <c r="AH98" s="530"/>
      <c r="AI98" s="530"/>
      <c r="AJ98" s="530"/>
      <c r="AK98" s="530"/>
      <c r="AL98" s="530"/>
      <c r="AM98" s="530"/>
      <c r="AN98" s="530"/>
      <c r="AO98" s="530"/>
      <c r="AP98" s="530"/>
      <c r="AQ98" s="530"/>
      <c r="AR98" s="530"/>
      <c r="AS98" s="530"/>
      <c r="AT98" s="530"/>
      <c r="AU98" s="530"/>
      <c r="AV98" s="530"/>
      <c r="AW98" s="530"/>
      <c r="AX98" s="530"/>
      <c r="AY98" s="530"/>
      <c r="AZ98" s="530"/>
      <c r="BA98" s="530"/>
      <c r="BB98" s="530"/>
      <c r="BC98" s="530"/>
      <c r="BD98" s="530"/>
      <c r="BE98" s="530"/>
      <c r="BF98" s="530"/>
      <c r="BG98" s="530"/>
      <c r="BH98" s="530"/>
      <c r="BI98" s="530"/>
      <c r="BJ98" s="530"/>
      <c r="BK98" s="530"/>
      <c r="BL98" s="530"/>
      <c r="BM98" s="530"/>
      <c r="BN98" s="530"/>
      <c r="BO98" s="530"/>
      <c r="BP98" s="530"/>
      <c r="BQ98" s="530"/>
      <c r="BR98" s="530"/>
      <c r="BS98" s="530"/>
      <c r="BT98" s="530"/>
      <c r="BU98" s="530"/>
      <c r="BV98" s="530"/>
      <c r="BW98" s="530"/>
      <c r="BX98" s="530"/>
      <c r="BY98" s="530"/>
      <c r="BZ98" s="530"/>
      <c r="CA98" s="530"/>
      <c r="CB98" s="530"/>
      <c r="CC98" s="530"/>
      <c r="CD98" s="530"/>
      <c r="CE98" s="530"/>
      <c r="CF98" s="530"/>
      <c r="CG98" s="530"/>
      <c r="CH98" s="530"/>
      <c r="CI98" s="530"/>
      <c r="CJ98" s="530"/>
      <c r="CK98" s="530"/>
      <c r="CL98" s="530"/>
      <c r="CM98" s="530"/>
      <c r="CN98" s="530"/>
      <c r="CO98" s="530"/>
      <c r="CP98" s="530"/>
      <c r="CQ98" s="530"/>
      <c r="CR98" s="530"/>
      <c r="CS98" s="530"/>
      <c r="CT98" s="530"/>
      <c r="CU98" s="530"/>
      <c r="CV98" s="530"/>
      <c r="CW98" s="530"/>
      <c r="CX98" s="530"/>
      <c r="CY98" s="530"/>
      <c r="CZ98" s="530"/>
      <c r="DA98" s="530"/>
      <c r="DB98" s="530"/>
      <c r="DC98" s="530"/>
      <c r="DD98" s="530"/>
      <c r="DE98" s="530"/>
      <c r="DF98" s="530"/>
      <c r="DG98" s="530"/>
      <c r="DH98" s="530"/>
      <c r="DI98" s="530"/>
      <c r="DJ98" s="530"/>
      <c r="DK98" s="530"/>
      <c r="DL98" s="530"/>
      <c r="DM98" s="530"/>
      <c r="DN98" s="530"/>
      <c r="DO98" s="530"/>
      <c r="DP98" s="530"/>
      <c r="DQ98" s="530"/>
      <c r="DR98" s="530"/>
      <c r="DS98" s="530"/>
      <c r="DT98" s="530"/>
      <c r="DU98" s="530"/>
      <c r="DV98" s="530"/>
      <c r="DW98" s="530"/>
      <c r="DX98" s="530"/>
      <c r="DY98" s="530"/>
      <c r="DZ98" s="530"/>
      <c r="EA98" s="530"/>
      <c r="EB98" s="523" t="s">
        <v>557</v>
      </c>
    </row>
    <row r="99" spans="7:132">
      <c r="G99" s="520" t="s">
        <v>1136</v>
      </c>
      <c r="H99" s="533"/>
      <c r="I99" s="533"/>
      <c r="J99" s="521"/>
      <c r="K99" s="521"/>
      <c r="L99" s="521"/>
      <c r="M99" s="521"/>
      <c r="N99" s="521"/>
      <c r="O99" s="521"/>
      <c r="P99" s="521"/>
      <c r="Q99" s="521"/>
      <c r="R99" s="521"/>
      <c r="S99" s="521"/>
      <c r="T99" s="521"/>
      <c r="U99" s="521"/>
      <c r="V99" s="521"/>
      <c r="W99" s="521"/>
      <c r="X99" s="521"/>
      <c r="Y99" s="521"/>
      <c r="Z99" s="521"/>
      <c r="AA99" s="521"/>
      <c r="AB99" s="521"/>
      <c r="AC99" s="521"/>
      <c r="AD99" s="521"/>
      <c r="AE99" s="521"/>
      <c r="AF99" s="521"/>
      <c r="AG99" s="521"/>
      <c r="AH99" s="521"/>
      <c r="AI99" s="521"/>
      <c r="AJ99" s="521"/>
      <c r="AK99" s="521"/>
      <c r="AL99" s="521"/>
      <c r="AM99" s="521"/>
      <c r="AN99" s="521"/>
      <c r="AO99" s="521"/>
      <c r="AP99" s="521"/>
      <c r="AQ99" s="521"/>
      <c r="AR99" s="521"/>
      <c r="AS99" s="521"/>
      <c r="AT99" s="521"/>
      <c r="AU99" s="521"/>
      <c r="AV99" s="521"/>
      <c r="AW99" s="521"/>
      <c r="AX99" s="521"/>
      <c r="AY99" s="521"/>
      <c r="AZ99" s="521"/>
      <c r="BA99" s="521"/>
      <c r="BB99" s="521"/>
      <c r="BC99" s="521"/>
      <c r="BD99" s="521"/>
      <c r="BE99" s="521"/>
      <c r="BF99" s="521"/>
      <c r="BG99" s="521"/>
      <c r="BH99" s="521"/>
      <c r="BI99" s="521"/>
      <c r="BJ99" s="521"/>
      <c r="BK99" s="521"/>
      <c r="BL99" s="521"/>
      <c r="BM99" s="521"/>
      <c r="BN99" s="521"/>
      <c r="BO99" s="521"/>
      <c r="BP99" s="521"/>
      <c r="BQ99" s="521"/>
      <c r="BR99" s="521"/>
      <c r="BS99" s="521"/>
      <c r="BT99" s="521"/>
      <c r="BU99" s="521"/>
      <c r="BV99" s="521"/>
      <c r="BW99" s="521"/>
      <c r="BX99" s="521"/>
      <c r="BY99" s="521"/>
      <c r="BZ99" s="521"/>
      <c r="CA99" s="521"/>
      <c r="CB99" s="521"/>
      <c r="CC99" s="521"/>
      <c r="CD99" s="521"/>
      <c r="CE99" s="521"/>
      <c r="CF99" s="521"/>
      <c r="CG99" s="521"/>
      <c r="CH99" s="521"/>
      <c r="CI99" s="521"/>
      <c r="CJ99" s="521"/>
      <c r="CK99" s="521"/>
      <c r="CL99" s="521"/>
      <c r="CM99" s="521"/>
      <c r="CN99" s="521"/>
      <c r="CO99" s="521"/>
      <c r="CP99" s="521"/>
      <c r="CQ99" s="521"/>
      <c r="CR99" s="521"/>
      <c r="CS99" s="521"/>
      <c r="CT99" s="521"/>
      <c r="CU99" s="521"/>
      <c r="CV99" s="521"/>
      <c r="CW99" s="521"/>
      <c r="CX99" s="521"/>
      <c r="CY99" s="521"/>
      <c r="CZ99" s="521"/>
      <c r="DA99" s="521"/>
      <c r="DB99" s="521"/>
      <c r="DC99" s="521"/>
      <c r="DD99" s="521"/>
      <c r="DE99" s="521"/>
      <c r="DF99" s="521"/>
      <c r="DG99" s="521"/>
      <c r="DH99" s="521"/>
      <c r="DI99" s="521"/>
      <c r="DJ99" s="521"/>
      <c r="DK99" s="521"/>
      <c r="DL99" s="521"/>
      <c r="DM99" s="521"/>
      <c r="DN99" s="521"/>
      <c r="DO99" s="521"/>
      <c r="DP99" s="521"/>
      <c r="DQ99" s="521"/>
      <c r="DR99" s="521"/>
      <c r="DS99" s="521"/>
      <c r="DT99" s="521"/>
      <c r="DU99" s="521"/>
      <c r="DV99" s="521"/>
      <c r="DW99" s="521"/>
      <c r="DX99" s="521"/>
      <c r="DY99" s="521"/>
      <c r="DZ99" s="521"/>
      <c r="EA99" s="521"/>
      <c r="EB99" s="523" t="s">
        <v>557</v>
      </c>
    </row>
    <row r="100" spans="7:132">
      <c r="G100" s="518" t="s">
        <v>1141</v>
      </c>
      <c r="I100" s="534" t="s">
        <v>1142</v>
      </c>
      <c r="K100" s="526">
        <f>J105</f>
        <v>0</v>
      </c>
      <c r="L100" s="526">
        <f ca="1">K105</f>
        <v>20296000</v>
      </c>
      <c r="M100" s="526">
        <f t="shared" ref="M100" ca="1" si="227">L105</f>
        <v>20220857.800580025</v>
      </c>
      <c r="N100" s="526">
        <f t="shared" ref="N100" ca="1" si="228">M105</f>
        <v>20143602.027830582</v>
      </c>
      <c r="O100" s="526">
        <f t="shared" ref="O100" ca="1" si="229">N105</f>
        <v>20064218.59126281</v>
      </c>
      <c r="P100" s="526">
        <f t="shared" ref="P100" ca="1" si="230">O105</f>
        <v>19982693.306451254</v>
      </c>
      <c r="Q100" s="526">
        <f t="shared" ref="Q100" ca="1" si="231">P105</f>
        <v>19899011.894407619</v>
      </c>
      <c r="R100" s="526">
        <f t="shared" ref="R100" ca="1" si="232">Q105</f>
        <v>19813159.980950359</v>
      </c>
      <c r="S100" s="526">
        <f t="shared" ref="S100" ca="1" si="233">R105</f>
        <v>19725123.096070051</v>
      </c>
      <c r="T100" s="526">
        <f t="shared" ref="T100" ca="1" si="234">S105</f>
        <v>19634886.673290543</v>
      </c>
      <c r="U100" s="526">
        <f t="shared" ref="U100" ca="1" si="235">T105</f>
        <v>19542436.049025837</v>
      </c>
      <c r="V100" s="526">
        <f t="shared" ref="V100" ca="1" si="236">U105</f>
        <v>19447756.4619327</v>
      </c>
      <c r="W100" s="526">
        <f t="shared" ref="W100" ca="1" si="237">V105</f>
        <v>19350833.052258942</v>
      </c>
      <c r="X100" s="526">
        <f t="shared" ref="X100" ca="1" si="238">W105</f>
        <v>19251650.861187361</v>
      </c>
      <c r="Y100" s="526">
        <f t="shared" ref="Y100" ca="1" si="239">X105</f>
        <v>19152518.609171581</v>
      </c>
      <c r="Z100" s="526">
        <f t="shared" ref="Z100" ca="1" si="240">Y105</f>
        <v>19051241.308930703</v>
      </c>
      <c r="AA100" s="526">
        <f t="shared" ref="AA100" ca="1" si="241">Z105</f>
        <v>18947805.553913318</v>
      </c>
      <c r="AB100" s="526">
        <f t="shared" ref="AB100" ca="1" si="242">AA105</f>
        <v>18842197.853777073</v>
      </c>
      <c r="AC100" s="526">
        <f t="shared" ref="AC100" ca="1" si="243">AB105</f>
        <v>18734404.63386498</v>
      </c>
      <c r="AD100" s="526">
        <f t="shared" ref="AD100" ca="1" si="244">AC105</f>
        <v>18624412.234678436</v>
      </c>
      <c r="AE100" s="526">
        <f t="shared" ref="AE100" ca="1" si="245">AD105</f>
        <v>18512206.911346976</v>
      </c>
      <c r="AF100" s="526">
        <f t="shared" ref="AF100" ca="1" si="246">AE105</f>
        <v>18397774.833094694</v>
      </c>
      <c r="AG100" s="526">
        <f t="shared" ref="AG100" ca="1" si="247">AF105</f>
        <v>18281102.082703333</v>
      </c>
      <c r="AH100" s="526">
        <f t="shared" ref="AH100" ca="1" si="248">AG105</f>
        <v>18162174.655972026</v>
      </c>
      <c r="AI100" s="526">
        <f t="shared" ref="AI100" ca="1" si="249">AH105</f>
        <v>18040978.46117365</v>
      </c>
      <c r="AJ100" s="526">
        <f t="shared" ref="AJ100" ca="1" si="250">AI105</f>
        <v>17917499.318507783</v>
      </c>
      <c r="AK100" s="526">
        <f t="shared" ref="AK100" ca="1" si="251">AJ105</f>
        <v>17795017.929739699</v>
      </c>
      <c r="AL100" s="526">
        <f t="shared" ref="AL100" ca="1" si="252">AK105</f>
        <v>17671307.275009319</v>
      </c>
      <c r="AM100" s="526">
        <f t="shared" ref="AM100" ca="1" si="253">AL105</f>
        <v>17546363.25676344</v>
      </c>
      <c r="AN100" s="526">
        <f t="shared" ref="AN100" ca="1" si="254">AM105</f>
        <v>17420181.763790339</v>
      </c>
      <c r="AO100" s="526">
        <f t="shared" ref="AO100" ca="1" si="255">AN105</f>
        <v>17292758.671174262</v>
      </c>
      <c r="AP100" s="526">
        <f t="shared" ref="AP100" ca="1" si="256">AO105</f>
        <v>17164089.840249732</v>
      </c>
      <c r="AQ100" s="526">
        <f t="shared" ref="AQ100" ca="1" si="257">AP105</f>
        <v>17034171.118555721</v>
      </c>
      <c r="AR100" s="526">
        <f t="shared" ref="AR100" ca="1" si="258">AQ105</f>
        <v>16902998.339789663</v>
      </c>
      <c r="AS100" s="526">
        <f t="shared" ref="AS100" ca="1" si="259">AR105</f>
        <v>16770567.323761316</v>
      </c>
      <c r="AT100" s="526">
        <f t="shared" ref="AT100" ca="1" si="260">AS105</f>
        <v>16636873.876346475</v>
      </c>
      <c r="AU100" s="526">
        <f t="shared" ref="AU100" ca="1" si="261">AT105</f>
        <v>16501913.789440518</v>
      </c>
      <c r="AV100" s="526">
        <f t="shared" ref="AV100" ca="1" si="262">AU105</f>
        <v>16365682.840911807</v>
      </c>
      <c r="AW100" s="526">
        <f t="shared" ref="AW100" ca="1" si="263">AV105</f>
        <v>16230441.756992536</v>
      </c>
      <c r="AX100" s="526">
        <f t="shared" ref="AX100" ca="1" si="264">AW105</f>
        <v>16093921.324919006</v>
      </c>
      <c r="AY100" s="526">
        <f t="shared" ref="AY100" ca="1" si="265">AX105</f>
        <v>15956117.280197373</v>
      </c>
      <c r="AZ100" s="526">
        <f t="shared" ref="AZ100" ca="1" si="266">AY105</f>
        <v>15817025.344118809</v>
      </c>
      <c r="BA100" s="526">
        <f t="shared" ref="BA100" ca="1" si="267">AZ105</f>
        <v>15676641.223712126</v>
      </c>
      <c r="BB100" s="526">
        <f t="shared" ref="BB100" ca="1" si="268">BA105</f>
        <v>15534960.611696228</v>
      </c>
      <c r="BC100" s="526">
        <f t="shared" ref="BC100" ca="1" si="269">BB105</f>
        <v>15391979.186432417</v>
      </c>
      <c r="BD100" s="526">
        <f t="shared" ref="BD100" ca="1" si="270">BC105</f>
        <v>15247692.611876536</v>
      </c>
      <c r="BE100" s="526">
        <f t="shared" ref="BE100" ca="1" si="271">BD105</f>
        <v>15102096.537530944</v>
      </c>
      <c r="BF100" s="526">
        <f t="shared" ref="BF100" ca="1" si="272">BE105</f>
        <v>14955186.59839634</v>
      </c>
      <c r="BG100" s="526">
        <f t="shared" ref="BG100" ca="1" si="273">BF105</f>
        <v>14806958.414923429</v>
      </c>
      <c r="BH100" s="526">
        <f t="shared" ref="BH100" ca="1" si="274">BG105</f>
        <v>0</v>
      </c>
      <c r="BI100" s="526">
        <f t="shared" ref="BI100" ca="1" si="275">BH105</f>
        <v>0</v>
      </c>
      <c r="BJ100" s="526">
        <f t="shared" ref="BJ100" ca="1" si="276">BI105</f>
        <v>0</v>
      </c>
      <c r="BK100" s="526">
        <f t="shared" ref="BK100" ca="1" si="277">BJ105</f>
        <v>0</v>
      </c>
      <c r="BL100" s="526">
        <f t="shared" ref="BL100" ca="1" si="278">BK105</f>
        <v>0</v>
      </c>
      <c r="BM100" s="526">
        <f t="shared" ref="BM100" ca="1" si="279">BL105</f>
        <v>0</v>
      </c>
      <c r="BN100" s="526">
        <f t="shared" ref="BN100" ca="1" si="280">BM105</f>
        <v>0</v>
      </c>
      <c r="BO100" s="526">
        <f t="shared" ref="BO100" ca="1" si="281">BN105</f>
        <v>0</v>
      </c>
      <c r="BP100" s="526">
        <f t="shared" ref="BP100" ca="1" si="282">BO105</f>
        <v>0</v>
      </c>
      <c r="BQ100" s="526">
        <f t="shared" ref="BQ100" ca="1" si="283">BP105</f>
        <v>0</v>
      </c>
      <c r="BR100" s="526">
        <f t="shared" ref="BR100" ca="1" si="284">BQ105</f>
        <v>0</v>
      </c>
      <c r="BS100" s="526">
        <f t="shared" ref="BS100" ca="1" si="285">BR105</f>
        <v>0</v>
      </c>
      <c r="BT100" s="526">
        <f t="shared" ref="BT100" ca="1" si="286">BS105</f>
        <v>0</v>
      </c>
      <c r="BU100" s="526">
        <f t="shared" ref="BU100" ca="1" si="287">BT105</f>
        <v>0</v>
      </c>
      <c r="BV100" s="526">
        <f t="shared" ref="BV100" ca="1" si="288">BU105</f>
        <v>0</v>
      </c>
      <c r="BW100" s="526">
        <f t="shared" ref="BW100" ca="1" si="289">BV105</f>
        <v>0</v>
      </c>
      <c r="BX100" s="526">
        <f t="shared" ref="BX100" ca="1" si="290">BW105</f>
        <v>0</v>
      </c>
      <c r="BY100" s="526">
        <f t="shared" ref="BY100" ca="1" si="291">BX105</f>
        <v>0</v>
      </c>
      <c r="BZ100" s="526">
        <f t="shared" ref="BZ100" ca="1" si="292">BY105</f>
        <v>0</v>
      </c>
      <c r="CA100" s="526">
        <f t="shared" ref="CA100" ca="1" si="293">BZ105</f>
        <v>0</v>
      </c>
      <c r="CB100" s="526">
        <f t="shared" ref="CB100" ca="1" si="294">CA105</f>
        <v>0</v>
      </c>
      <c r="CC100" s="526">
        <f t="shared" ref="CC100" ca="1" si="295">CB105</f>
        <v>0</v>
      </c>
      <c r="CD100" s="526">
        <f t="shared" ref="CD100" ca="1" si="296">CC105</f>
        <v>0</v>
      </c>
      <c r="CE100" s="526">
        <f t="shared" ref="CE100" ca="1" si="297">CD105</f>
        <v>0</v>
      </c>
      <c r="CF100" s="526">
        <f t="shared" ref="CF100" ca="1" si="298">CE105</f>
        <v>0</v>
      </c>
      <c r="CG100" s="526">
        <f t="shared" ref="CG100" ca="1" si="299">CF105</f>
        <v>0</v>
      </c>
      <c r="CH100" s="526">
        <f t="shared" ref="CH100" ca="1" si="300">CG105</f>
        <v>0</v>
      </c>
      <c r="CI100" s="526">
        <f t="shared" ref="CI100" ca="1" si="301">CH105</f>
        <v>0</v>
      </c>
      <c r="CJ100" s="526">
        <f t="shared" ref="CJ100" ca="1" si="302">CI105</f>
        <v>0</v>
      </c>
      <c r="CK100" s="526">
        <f t="shared" ref="CK100" ca="1" si="303">CJ105</f>
        <v>0</v>
      </c>
      <c r="CL100" s="526">
        <f t="shared" ref="CL100" ca="1" si="304">CK105</f>
        <v>0</v>
      </c>
      <c r="CM100" s="526">
        <f t="shared" ref="CM100" ca="1" si="305">CL105</f>
        <v>0</v>
      </c>
      <c r="CN100" s="526">
        <f t="shared" ref="CN100" ca="1" si="306">CM105</f>
        <v>0</v>
      </c>
      <c r="CO100" s="526">
        <f t="shared" ref="CO100" ca="1" si="307">CN105</f>
        <v>0</v>
      </c>
      <c r="CP100" s="526">
        <f t="shared" ref="CP100" ca="1" si="308">CO105</f>
        <v>0</v>
      </c>
      <c r="CQ100" s="526">
        <f t="shared" ref="CQ100" ca="1" si="309">CP105</f>
        <v>0</v>
      </c>
      <c r="CR100" s="526">
        <f t="shared" ref="CR100" ca="1" si="310">CQ105</f>
        <v>0</v>
      </c>
      <c r="CS100" s="526">
        <f t="shared" ref="CS100" ca="1" si="311">CR105</f>
        <v>0</v>
      </c>
      <c r="CT100" s="526">
        <f t="shared" ref="CT100" ca="1" si="312">CS105</f>
        <v>0</v>
      </c>
      <c r="CU100" s="526">
        <f t="shared" ref="CU100" ca="1" si="313">CT105</f>
        <v>0</v>
      </c>
      <c r="CV100" s="526">
        <f t="shared" ref="CV100" ca="1" si="314">CU105</f>
        <v>0</v>
      </c>
      <c r="CW100" s="526">
        <f t="shared" ref="CW100" ca="1" si="315">CV105</f>
        <v>0</v>
      </c>
      <c r="CX100" s="526">
        <f t="shared" ref="CX100" ca="1" si="316">CW105</f>
        <v>0</v>
      </c>
      <c r="CY100" s="526">
        <f t="shared" ref="CY100" ca="1" si="317">CX105</f>
        <v>0</v>
      </c>
      <c r="CZ100" s="526">
        <f t="shared" ref="CZ100" ca="1" si="318">CY105</f>
        <v>0</v>
      </c>
      <c r="DA100" s="526">
        <f t="shared" ref="DA100" ca="1" si="319">CZ105</f>
        <v>0</v>
      </c>
      <c r="DB100" s="526">
        <f t="shared" ref="DB100" ca="1" si="320">DA105</f>
        <v>0</v>
      </c>
      <c r="DC100" s="526">
        <f t="shared" ref="DC100" ca="1" si="321">DB105</f>
        <v>0</v>
      </c>
      <c r="DD100" s="526">
        <f t="shared" ref="DD100" ca="1" si="322">DC105</f>
        <v>0</v>
      </c>
      <c r="DE100" s="526">
        <f t="shared" ref="DE100" ca="1" si="323">DD105</f>
        <v>0</v>
      </c>
      <c r="DF100" s="526">
        <f t="shared" ref="DF100" ca="1" si="324">DE105</f>
        <v>0</v>
      </c>
      <c r="DG100" s="526">
        <f t="shared" ref="DG100" ca="1" si="325">DF105</f>
        <v>0</v>
      </c>
      <c r="DH100" s="526">
        <f t="shared" ref="DH100" ca="1" si="326">DG105</f>
        <v>0</v>
      </c>
      <c r="DI100" s="526">
        <f t="shared" ref="DI100" ca="1" si="327">DH105</f>
        <v>0</v>
      </c>
      <c r="DJ100" s="526">
        <f t="shared" ref="DJ100" ca="1" si="328">DI105</f>
        <v>0</v>
      </c>
      <c r="DK100" s="526">
        <f t="shared" ref="DK100" ca="1" si="329">DJ105</f>
        <v>0</v>
      </c>
      <c r="DL100" s="526">
        <f t="shared" ref="DL100" ca="1" si="330">DK105</f>
        <v>0</v>
      </c>
      <c r="DM100" s="526">
        <f t="shared" ref="DM100" ca="1" si="331">DL105</f>
        <v>0</v>
      </c>
      <c r="DN100" s="526">
        <f t="shared" ref="DN100" ca="1" si="332">DM105</f>
        <v>0</v>
      </c>
      <c r="DO100" s="526">
        <f t="shared" ref="DO100" ca="1" si="333">DN105</f>
        <v>0</v>
      </c>
      <c r="DP100" s="526">
        <f t="shared" ref="DP100" ca="1" si="334">DO105</f>
        <v>0</v>
      </c>
      <c r="DQ100" s="526">
        <f t="shared" ref="DQ100" ca="1" si="335">DP105</f>
        <v>0</v>
      </c>
      <c r="DR100" s="526">
        <f t="shared" ref="DR100" ca="1" si="336">DQ105</f>
        <v>0</v>
      </c>
      <c r="DS100" s="526">
        <f t="shared" ref="DS100" ca="1" si="337">DR105</f>
        <v>0</v>
      </c>
      <c r="DT100" s="526">
        <f t="shared" ref="DT100" ca="1" si="338">DS105</f>
        <v>0</v>
      </c>
      <c r="DU100" s="526">
        <f t="shared" ref="DU100" ca="1" si="339">DT105</f>
        <v>0</v>
      </c>
      <c r="DV100" s="526">
        <f t="shared" ref="DV100" ca="1" si="340">DU105</f>
        <v>0</v>
      </c>
      <c r="DW100" s="526">
        <f t="shared" ref="DW100" ca="1" si="341">DV105</f>
        <v>0</v>
      </c>
      <c r="DX100" s="526">
        <f t="shared" ref="DX100" ca="1" si="342">DW105</f>
        <v>0</v>
      </c>
      <c r="DY100" s="526">
        <f t="shared" ref="DY100" ca="1" si="343">DX105</f>
        <v>0</v>
      </c>
      <c r="DZ100" s="526">
        <f t="shared" ref="DZ100" ca="1" si="344">DY105</f>
        <v>0</v>
      </c>
      <c r="EA100" s="526">
        <f t="shared" ref="EA100" ca="1" si="345">DZ105</f>
        <v>0</v>
      </c>
      <c r="EB100" s="523" t="s">
        <v>557</v>
      </c>
    </row>
    <row r="101" spans="7:132">
      <c r="G101" s="518" t="s">
        <v>1184</v>
      </c>
      <c r="H101" s="537">
        <f>E19</f>
        <v>0</v>
      </c>
      <c r="I101" s="538">
        <f>((H101+1)^(1/12)-1)</f>
        <v>0</v>
      </c>
      <c r="K101" s="526">
        <f>K100*$I101</f>
        <v>0</v>
      </c>
      <c r="L101" s="526">
        <f t="shared" ref="L101:BW101" ca="1" si="346">L100*$I101</f>
        <v>0</v>
      </c>
      <c r="M101" s="526">
        <f t="shared" ca="1" si="346"/>
        <v>0</v>
      </c>
      <c r="N101" s="526">
        <f t="shared" ca="1" si="346"/>
        <v>0</v>
      </c>
      <c r="O101" s="526">
        <f t="shared" ca="1" si="346"/>
        <v>0</v>
      </c>
      <c r="P101" s="526">
        <f t="shared" ca="1" si="346"/>
        <v>0</v>
      </c>
      <c r="Q101" s="526">
        <f t="shared" ca="1" si="346"/>
        <v>0</v>
      </c>
      <c r="R101" s="526">
        <f t="shared" ca="1" si="346"/>
        <v>0</v>
      </c>
      <c r="S101" s="526">
        <f t="shared" ca="1" si="346"/>
        <v>0</v>
      </c>
      <c r="T101" s="526">
        <f t="shared" ca="1" si="346"/>
        <v>0</v>
      </c>
      <c r="U101" s="526">
        <f t="shared" ca="1" si="346"/>
        <v>0</v>
      </c>
      <c r="V101" s="526">
        <f t="shared" ca="1" si="346"/>
        <v>0</v>
      </c>
      <c r="W101" s="526">
        <f t="shared" ca="1" si="346"/>
        <v>0</v>
      </c>
      <c r="X101" s="526">
        <f t="shared" ca="1" si="346"/>
        <v>0</v>
      </c>
      <c r="Y101" s="526">
        <f t="shared" ca="1" si="346"/>
        <v>0</v>
      </c>
      <c r="Z101" s="526">
        <f t="shared" ca="1" si="346"/>
        <v>0</v>
      </c>
      <c r="AA101" s="526">
        <f t="shared" ca="1" si="346"/>
        <v>0</v>
      </c>
      <c r="AB101" s="526">
        <f t="shared" ca="1" si="346"/>
        <v>0</v>
      </c>
      <c r="AC101" s="526">
        <f t="shared" ca="1" si="346"/>
        <v>0</v>
      </c>
      <c r="AD101" s="526">
        <f t="shared" ca="1" si="346"/>
        <v>0</v>
      </c>
      <c r="AE101" s="526">
        <f t="shared" ca="1" si="346"/>
        <v>0</v>
      </c>
      <c r="AF101" s="526">
        <f t="shared" ca="1" si="346"/>
        <v>0</v>
      </c>
      <c r="AG101" s="526">
        <f t="shared" ca="1" si="346"/>
        <v>0</v>
      </c>
      <c r="AH101" s="526">
        <f t="shared" ca="1" si="346"/>
        <v>0</v>
      </c>
      <c r="AI101" s="526">
        <f t="shared" ca="1" si="346"/>
        <v>0</v>
      </c>
      <c r="AJ101" s="526">
        <f t="shared" ca="1" si="346"/>
        <v>0</v>
      </c>
      <c r="AK101" s="526">
        <f t="shared" ca="1" si="346"/>
        <v>0</v>
      </c>
      <c r="AL101" s="526">
        <f t="shared" ca="1" si="346"/>
        <v>0</v>
      </c>
      <c r="AM101" s="526">
        <f t="shared" ca="1" si="346"/>
        <v>0</v>
      </c>
      <c r="AN101" s="526">
        <f t="shared" ca="1" si="346"/>
        <v>0</v>
      </c>
      <c r="AO101" s="526">
        <f t="shared" ca="1" si="346"/>
        <v>0</v>
      </c>
      <c r="AP101" s="526">
        <f t="shared" ca="1" si="346"/>
        <v>0</v>
      </c>
      <c r="AQ101" s="526">
        <f t="shared" ca="1" si="346"/>
        <v>0</v>
      </c>
      <c r="AR101" s="526">
        <f t="shared" ca="1" si="346"/>
        <v>0</v>
      </c>
      <c r="AS101" s="526">
        <f t="shared" ca="1" si="346"/>
        <v>0</v>
      </c>
      <c r="AT101" s="526">
        <f t="shared" ca="1" si="346"/>
        <v>0</v>
      </c>
      <c r="AU101" s="526">
        <f t="shared" ca="1" si="346"/>
        <v>0</v>
      </c>
      <c r="AV101" s="526">
        <f t="shared" ca="1" si="346"/>
        <v>0</v>
      </c>
      <c r="AW101" s="526">
        <f t="shared" ca="1" si="346"/>
        <v>0</v>
      </c>
      <c r="AX101" s="526">
        <f t="shared" ca="1" si="346"/>
        <v>0</v>
      </c>
      <c r="AY101" s="526">
        <f t="shared" ca="1" si="346"/>
        <v>0</v>
      </c>
      <c r="AZ101" s="526">
        <f t="shared" ca="1" si="346"/>
        <v>0</v>
      </c>
      <c r="BA101" s="526">
        <f t="shared" ca="1" si="346"/>
        <v>0</v>
      </c>
      <c r="BB101" s="526">
        <f t="shared" ca="1" si="346"/>
        <v>0</v>
      </c>
      <c r="BC101" s="526">
        <f t="shared" ca="1" si="346"/>
        <v>0</v>
      </c>
      <c r="BD101" s="526">
        <f t="shared" ca="1" si="346"/>
        <v>0</v>
      </c>
      <c r="BE101" s="526">
        <f t="shared" ca="1" si="346"/>
        <v>0</v>
      </c>
      <c r="BF101" s="526">
        <f t="shared" ca="1" si="346"/>
        <v>0</v>
      </c>
      <c r="BG101" s="526">
        <f t="shared" ca="1" si="346"/>
        <v>0</v>
      </c>
      <c r="BH101" s="526">
        <f t="shared" ca="1" si="346"/>
        <v>0</v>
      </c>
      <c r="BI101" s="526">
        <f t="shared" ca="1" si="346"/>
        <v>0</v>
      </c>
      <c r="BJ101" s="526">
        <f t="shared" ca="1" si="346"/>
        <v>0</v>
      </c>
      <c r="BK101" s="526">
        <f t="shared" ca="1" si="346"/>
        <v>0</v>
      </c>
      <c r="BL101" s="526">
        <f t="shared" ca="1" si="346"/>
        <v>0</v>
      </c>
      <c r="BM101" s="526">
        <f t="shared" ca="1" si="346"/>
        <v>0</v>
      </c>
      <c r="BN101" s="526">
        <f t="shared" ca="1" si="346"/>
        <v>0</v>
      </c>
      <c r="BO101" s="526">
        <f t="shared" ca="1" si="346"/>
        <v>0</v>
      </c>
      <c r="BP101" s="526">
        <f t="shared" ca="1" si="346"/>
        <v>0</v>
      </c>
      <c r="BQ101" s="526">
        <f t="shared" ca="1" si="346"/>
        <v>0</v>
      </c>
      <c r="BR101" s="526">
        <f t="shared" ca="1" si="346"/>
        <v>0</v>
      </c>
      <c r="BS101" s="526">
        <f t="shared" ca="1" si="346"/>
        <v>0</v>
      </c>
      <c r="BT101" s="526">
        <f t="shared" ca="1" si="346"/>
        <v>0</v>
      </c>
      <c r="BU101" s="526">
        <f t="shared" ca="1" si="346"/>
        <v>0</v>
      </c>
      <c r="BV101" s="526">
        <f t="shared" ca="1" si="346"/>
        <v>0</v>
      </c>
      <c r="BW101" s="526">
        <f t="shared" ca="1" si="346"/>
        <v>0</v>
      </c>
      <c r="BX101" s="526">
        <f t="shared" ref="BX101:EA101" ca="1" si="347">BX100*$I101</f>
        <v>0</v>
      </c>
      <c r="BY101" s="526">
        <f t="shared" ca="1" si="347"/>
        <v>0</v>
      </c>
      <c r="BZ101" s="526">
        <f t="shared" ca="1" si="347"/>
        <v>0</v>
      </c>
      <c r="CA101" s="526">
        <f t="shared" ca="1" si="347"/>
        <v>0</v>
      </c>
      <c r="CB101" s="526">
        <f t="shared" ca="1" si="347"/>
        <v>0</v>
      </c>
      <c r="CC101" s="526">
        <f t="shared" ca="1" si="347"/>
        <v>0</v>
      </c>
      <c r="CD101" s="526">
        <f t="shared" ca="1" si="347"/>
        <v>0</v>
      </c>
      <c r="CE101" s="526">
        <f t="shared" ca="1" si="347"/>
        <v>0</v>
      </c>
      <c r="CF101" s="526">
        <f t="shared" ca="1" si="347"/>
        <v>0</v>
      </c>
      <c r="CG101" s="526">
        <f t="shared" ca="1" si="347"/>
        <v>0</v>
      </c>
      <c r="CH101" s="526">
        <f t="shared" ca="1" si="347"/>
        <v>0</v>
      </c>
      <c r="CI101" s="526">
        <f t="shared" ca="1" si="347"/>
        <v>0</v>
      </c>
      <c r="CJ101" s="526">
        <f t="shared" ca="1" si="347"/>
        <v>0</v>
      </c>
      <c r="CK101" s="526">
        <f t="shared" ca="1" si="347"/>
        <v>0</v>
      </c>
      <c r="CL101" s="526">
        <f t="shared" ca="1" si="347"/>
        <v>0</v>
      </c>
      <c r="CM101" s="526">
        <f t="shared" ca="1" si="347"/>
        <v>0</v>
      </c>
      <c r="CN101" s="526">
        <f t="shared" ca="1" si="347"/>
        <v>0</v>
      </c>
      <c r="CO101" s="526">
        <f t="shared" ca="1" si="347"/>
        <v>0</v>
      </c>
      <c r="CP101" s="526">
        <f t="shared" ca="1" si="347"/>
        <v>0</v>
      </c>
      <c r="CQ101" s="526">
        <f t="shared" ca="1" si="347"/>
        <v>0</v>
      </c>
      <c r="CR101" s="526">
        <f t="shared" ca="1" si="347"/>
        <v>0</v>
      </c>
      <c r="CS101" s="526">
        <f t="shared" ca="1" si="347"/>
        <v>0</v>
      </c>
      <c r="CT101" s="526">
        <f t="shared" ca="1" si="347"/>
        <v>0</v>
      </c>
      <c r="CU101" s="526">
        <f t="shared" ca="1" si="347"/>
        <v>0</v>
      </c>
      <c r="CV101" s="526">
        <f t="shared" ca="1" si="347"/>
        <v>0</v>
      </c>
      <c r="CW101" s="526">
        <f t="shared" ca="1" si="347"/>
        <v>0</v>
      </c>
      <c r="CX101" s="526">
        <f t="shared" ca="1" si="347"/>
        <v>0</v>
      </c>
      <c r="CY101" s="526">
        <f t="shared" ca="1" si="347"/>
        <v>0</v>
      </c>
      <c r="CZ101" s="526">
        <f t="shared" ca="1" si="347"/>
        <v>0</v>
      </c>
      <c r="DA101" s="526">
        <f t="shared" ca="1" si="347"/>
        <v>0</v>
      </c>
      <c r="DB101" s="526">
        <f t="shared" ca="1" si="347"/>
        <v>0</v>
      </c>
      <c r="DC101" s="526">
        <f t="shared" ca="1" si="347"/>
        <v>0</v>
      </c>
      <c r="DD101" s="526">
        <f t="shared" ca="1" si="347"/>
        <v>0</v>
      </c>
      <c r="DE101" s="526">
        <f t="shared" ca="1" si="347"/>
        <v>0</v>
      </c>
      <c r="DF101" s="526">
        <f t="shared" ca="1" si="347"/>
        <v>0</v>
      </c>
      <c r="DG101" s="526">
        <f t="shared" ca="1" si="347"/>
        <v>0</v>
      </c>
      <c r="DH101" s="526">
        <f t="shared" ca="1" si="347"/>
        <v>0</v>
      </c>
      <c r="DI101" s="526">
        <f t="shared" ca="1" si="347"/>
        <v>0</v>
      </c>
      <c r="DJ101" s="526">
        <f t="shared" ca="1" si="347"/>
        <v>0</v>
      </c>
      <c r="DK101" s="526">
        <f t="shared" ca="1" si="347"/>
        <v>0</v>
      </c>
      <c r="DL101" s="526">
        <f t="shared" ca="1" si="347"/>
        <v>0</v>
      </c>
      <c r="DM101" s="526">
        <f t="shared" ca="1" si="347"/>
        <v>0</v>
      </c>
      <c r="DN101" s="526">
        <f t="shared" ca="1" si="347"/>
        <v>0</v>
      </c>
      <c r="DO101" s="526">
        <f t="shared" ca="1" si="347"/>
        <v>0</v>
      </c>
      <c r="DP101" s="526">
        <f t="shared" ca="1" si="347"/>
        <v>0</v>
      </c>
      <c r="DQ101" s="526">
        <f t="shared" ca="1" si="347"/>
        <v>0</v>
      </c>
      <c r="DR101" s="526">
        <f t="shared" ca="1" si="347"/>
        <v>0</v>
      </c>
      <c r="DS101" s="526">
        <f t="shared" ca="1" si="347"/>
        <v>0</v>
      </c>
      <c r="DT101" s="526">
        <f t="shared" ca="1" si="347"/>
        <v>0</v>
      </c>
      <c r="DU101" s="526">
        <f t="shared" ca="1" si="347"/>
        <v>0</v>
      </c>
      <c r="DV101" s="526">
        <f t="shared" ca="1" si="347"/>
        <v>0</v>
      </c>
      <c r="DW101" s="526">
        <f t="shared" ca="1" si="347"/>
        <v>0</v>
      </c>
      <c r="DX101" s="526">
        <f t="shared" ca="1" si="347"/>
        <v>0</v>
      </c>
      <c r="DY101" s="526">
        <f t="shared" ca="1" si="347"/>
        <v>0</v>
      </c>
      <c r="DZ101" s="526">
        <f t="shared" ca="1" si="347"/>
        <v>0</v>
      </c>
      <c r="EA101" s="526">
        <f t="shared" ca="1" si="347"/>
        <v>0</v>
      </c>
      <c r="EB101" s="523" t="s">
        <v>557</v>
      </c>
    </row>
    <row r="102" spans="7:132">
      <c r="G102" s="518" t="s">
        <v>1145</v>
      </c>
      <c r="K102" s="526">
        <f ca="1">K84</f>
        <v>20296000</v>
      </c>
      <c r="L102" s="526">
        <f>L84</f>
        <v>0</v>
      </c>
      <c r="M102" s="526">
        <f t="shared" ref="M102:BX102" si="348">M84</f>
        <v>0</v>
      </c>
      <c r="N102" s="526">
        <f t="shared" si="348"/>
        <v>0</v>
      </c>
      <c r="O102" s="526">
        <f t="shared" si="348"/>
        <v>0</v>
      </c>
      <c r="P102" s="526">
        <f t="shared" si="348"/>
        <v>0</v>
      </c>
      <c r="Q102" s="526">
        <f t="shared" si="348"/>
        <v>0</v>
      </c>
      <c r="R102" s="526">
        <f t="shared" si="348"/>
        <v>0</v>
      </c>
      <c r="S102" s="526">
        <f t="shared" si="348"/>
        <v>0</v>
      </c>
      <c r="T102" s="526">
        <f t="shared" si="348"/>
        <v>0</v>
      </c>
      <c r="U102" s="526">
        <f t="shared" si="348"/>
        <v>0</v>
      </c>
      <c r="V102" s="526">
        <f t="shared" si="348"/>
        <v>0</v>
      </c>
      <c r="W102" s="526">
        <f t="shared" si="348"/>
        <v>0</v>
      </c>
      <c r="X102" s="526">
        <f t="shared" si="348"/>
        <v>0</v>
      </c>
      <c r="Y102" s="526">
        <f t="shared" si="348"/>
        <v>0</v>
      </c>
      <c r="Z102" s="526">
        <f t="shared" si="348"/>
        <v>0</v>
      </c>
      <c r="AA102" s="526">
        <f t="shared" si="348"/>
        <v>0</v>
      </c>
      <c r="AB102" s="526">
        <f t="shared" si="348"/>
        <v>0</v>
      </c>
      <c r="AC102" s="526">
        <f t="shared" si="348"/>
        <v>0</v>
      </c>
      <c r="AD102" s="526">
        <f t="shared" si="348"/>
        <v>0</v>
      </c>
      <c r="AE102" s="526">
        <f t="shared" si="348"/>
        <v>0</v>
      </c>
      <c r="AF102" s="526">
        <f t="shared" si="348"/>
        <v>0</v>
      </c>
      <c r="AG102" s="526">
        <f t="shared" si="348"/>
        <v>0</v>
      </c>
      <c r="AH102" s="526">
        <f t="shared" si="348"/>
        <v>0</v>
      </c>
      <c r="AI102" s="526">
        <f t="shared" si="348"/>
        <v>0</v>
      </c>
      <c r="AJ102" s="526">
        <f t="shared" si="348"/>
        <v>0</v>
      </c>
      <c r="AK102" s="526">
        <f t="shared" si="348"/>
        <v>0</v>
      </c>
      <c r="AL102" s="526">
        <f t="shared" si="348"/>
        <v>0</v>
      </c>
      <c r="AM102" s="526">
        <f t="shared" si="348"/>
        <v>0</v>
      </c>
      <c r="AN102" s="526">
        <f t="shared" si="348"/>
        <v>0</v>
      </c>
      <c r="AO102" s="526">
        <f t="shared" si="348"/>
        <v>0</v>
      </c>
      <c r="AP102" s="526">
        <f t="shared" si="348"/>
        <v>0</v>
      </c>
      <c r="AQ102" s="526">
        <f t="shared" si="348"/>
        <v>0</v>
      </c>
      <c r="AR102" s="526">
        <f t="shared" si="348"/>
        <v>0</v>
      </c>
      <c r="AS102" s="526">
        <f t="shared" si="348"/>
        <v>0</v>
      </c>
      <c r="AT102" s="526">
        <f t="shared" si="348"/>
        <v>0</v>
      </c>
      <c r="AU102" s="526">
        <f t="shared" si="348"/>
        <v>0</v>
      </c>
      <c r="AV102" s="526">
        <f t="shared" si="348"/>
        <v>0</v>
      </c>
      <c r="AW102" s="526">
        <f t="shared" si="348"/>
        <v>0</v>
      </c>
      <c r="AX102" s="526">
        <f t="shared" si="348"/>
        <v>0</v>
      </c>
      <c r="AY102" s="526">
        <f t="shared" si="348"/>
        <v>0</v>
      </c>
      <c r="AZ102" s="526">
        <f t="shared" si="348"/>
        <v>0</v>
      </c>
      <c r="BA102" s="526">
        <f t="shared" si="348"/>
        <v>0</v>
      </c>
      <c r="BB102" s="526">
        <f t="shared" si="348"/>
        <v>0</v>
      </c>
      <c r="BC102" s="526">
        <f t="shared" si="348"/>
        <v>0</v>
      </c>
      <c r="BD102" s="526">
        <f t="shared" si="348"/>
        <v>0</v>
      </c>
      <c r="BE102" s="526">
        <f t="shared" si="348"/>
        <v>0</v>
      </c>
      <c r="BF102" s="526">
        <f t="shared" si="348"/>
        <v>0</v>
      </c>
      <c r="BG102" s="526">
        <f t="shared" si="348"/>
        <v>0</v>
      </c>
      <c r="BH102" s="526">
        <f t="shared" si="348"/>
        <v>0</v>
      </c>
      <c r="BI102" s="526">
        <f t="shared" si="348"/>
        <v>0</v>
      </c>
      <c r="BJ102" s="526">
        <f t="shared" si="348"/>
        <v>0</v>
      </c>
      <c r="BK102" s="526">
        <f t="shared" si="348"/>
        <v>0</v>
      </c>
      <c r="BL102" s="526">
        <f t="shared" si="348"/>
        <v>0</v>
      </c>
      <c r="BM102" s="526">
        <f t="shared" si="348"/>
        <v>0</v>
      </c>
      <c r="BN102" s="526">
        <f t="shared" si="348"/>
        <v>0</v>
      </c>
      <c r="BO102" s="526">
        <f t="shared" si="348"/>
        <v>0</v>
      </c>
      <c r="BP102" s="526">
        <f t="shared" si="348"/>
        <v>0</v>
      </c>
      <c r="BQ102" s="526">
        <f t="shared" si="348"/>
        <v>0</v>
      </c>
      <c r="BR102" s="526">
        <f t="shared" si="348"/>
        <v>0</v>
      </c>
      <c r="BS102" s="526">
        <f t="shared" si="348"/>
        <v>0</v>
      </c>
      <c r="BT102" s="526">
        <f t="shared" si="348"/>
        <v>0</v>
      </c>
      <c r="BU102" s="526">
        <f t="shared" si="348"/>
        <v>0</v>
      </c>
      <c r="BV102" s="526">
        <f t="shared" si="348"/>
        <v>0</v>
      </c>
      <c r="BW102" s="526">
        <f t="shared" si="348"/>
        <v>0</v>
      </c>
      <c r="BX102" s="526">
        <f t="shared" si="348"/>
        <v>0</v>
      </c>
      <c r="BY102" s="526">
        <f t="shared" ref="BY102:EA102" si="349">BY84</f>
        <v>0</v>
      </c>
      <c r="BZ102" s="526">
        <f t="shared" si="349"/>
        <v>0</v>
      </c>
      <c r="CA102" s="526">
        <f t="shared" si="349"/>
        <v>0</v>
      </c>
      <c r="CB102" s="526">
        <f t="shared" si="349"/>
        <v>0</v>
      </c>
      <c r="CC102" s="526">
        <f t="shared" si="349"/>
        <v>0</v>
      </c>
      <c r="CD102" s="526">
        <f t="shared" si="349"/>
        <v>0</v>
      </c>
      <c r="CE102" s="526">
        <f t="shared" si="349"/>
        <v>0</v>
      </c>
      <c r="CF102" s="526">
        <f t="shared" si="349"/>
        <v>0</v>
      </c>
      <c r="CG102" s="526">
        <f t="shared" si="349"/>
        <v>0</v>
      </c>
      <c r="CH102" s="526">
        <f t="shared" si="349"/>
        <v>0</v>
      </c>
      <c r="CI102" s="526">
        <f t="shared" si="349"/>
        <v>0</v>
      </c>
      <c r="CJ102" s="526">
        <f t="shared" si="349"/>
        <v>0</v>
      </c>
      <c r="CK102" s="526">
        <f t="shared" si="349"/>
        <v>0</v>
      </c>
      <c r="CL102" s="526">
        <f t="shared" si="349"/>
        <v>0</v>
      </c>
      <c r="CM102" s="526">
        <f t="shared" si="349"/>
        <v>0</v>
      </c>
      <c r="CN102" s="526">
        <f t="shared" si="349"/>
        <v>0</v>
      </c>
      <c r="CO102" s="526">
        <f t="shared" si="349"/>
        <v>0</v>
      </c>
      <c r="CP102" s="526">
        <f t="shared" si="349"/>
        <v>0</v>
      </c>
      <c r="CQ102" s="526">
        <f t="shared" si="349"/>
        <v>0</v>
      </c>
      <c r="CR102" s="526">
        <f t="shared" si="349"/>
        <v>0</v>
      </c>
      <c r="CS102" s="526">
        <f t="shared" si="349"/>
        <v>0</v>
      </c>
      <c r="CT102" s="526">
        <f t="shared" si="349"/>
        <v>0</v>
      </c>
      <c r="CU102" s="526">
        <f t="shared" si="349"/>
        <v>0</v>
      </c>
      <c r="CV102" s="526">
        <f t="shared" si="349"/>
        <v>0</v>
      </c>
      <c r="CW102" s="526">
        <f t="shared" si="349"/>
        <v>0</v>
      </c>
      <c r="CX102" s="526">
        <f t="shared" si="349"/>
        <v>0</v>
      </c>
      <c r="CY102" s="526">
        <f t="shared" si="349"/>
        <v>0</v>
      </c>
      <c r="CZ102" s="526">
        <f t="shared" si="349"/>
        <v>0</v>
      </c>
      <c r="DA102" s="526">
        <f t="shared" si="349"/>
        <v>0</v>
      </c>
      <c r="DB102" s="526">
        <f t="shared" si="349"/>
        <v>0</v>
      </c>
      <c r="DC102" s="526">
        <f t="shared" si="349"/>
        <v>0</v>
      </c>
      <c r="DD102" s="526">
        <f t="shared" si="349"/>
        <v>0</v>
      </c>
      <c r="DE102" s="526">
        <f t="shared" si="349"/>
        <v>0</v>
      </c>
      <c r="DF102" s="526">
        <f t="shared" si="349"/>
        <v>0</v>
      </c>
      <c r="DG102" s="526">
        <f t="shared" si="349"/>
        <v>0</v>
      </c>
      <c r="DH102" s="526">
        <f t="shared" si="349"/>
        <v>0</v>
      </c>
      <c r="DI102" s="526">
        <f t="shared" si="349"/>
        <v>0</v>
      </c>
      <c r="DJ102" s="526">
        <f t="shared" si="349"/>
        <v>0</v>
      </c>
      <c r="DK102" s="526">
        <f t="shared" si="349"/>
        <v>0</v>
      </c>
      <c r="DL102" s="526">
        <f t="shared" si="349"/>
        <v>0</v>
      </c>
      <c r="DM102" s="526">
        <f t="shared" si="349"/>
        <v>0</v>
      </c>
      <c r="DN102" s="526">
        <f t="shared" si="349"/>
        <v>0</v>
      </c>
      <c r="DO102" s="526">
        <f t="shared" si="349"/>
        <v>0</v>
      </c>
      <c r="DP102" s="526">
        <f t="shared" si="349"/>
        <v>0</v>
      </c>
      <c r="DQ102" s="526">
        <f t="shared" si="349"/>
        <v>0</v>
      </c>
      <c r="DR102" s="526">
        <f t="shared" si="349"/>
        <v>0</v>
      </c>
      <c r="DS102" s="526">
        <f t="shared" si="349"/>
        <v>0</v>
      </c>
      <c r="DT102" s="526">
        <f t="shared" si="349"/>
        <v>0</v>
      </c>
      <c r="DU102" s="526">
        <f t="shared" si="349"/>
        <v>0</v>
      </c>
      <c r="DV102" s="526">
        <f t="shared" si="349"/>
        <v>0</v>
      </c>
      <c r="DW102" s="526">
        <f t="shared" si="349"/>
        <v>0</v>
      </c>
      <c r="DX102" s="526">
        <f t="shared" si="349"/>
        <v>0</v>
      </c>
      <c r="DY102" s="526">
        <f t="shared" si="349"/>
        <v>0</v>
      </c>
      <c r="DZ102" s="526">
        <f t="shared" si="349"/>
        <v>0</v>
      </c>
      <c r="EA102" s="526">
        <f t="shared" si="349"/>
        <v>0</v>
      </c>
      <c r="EB102" s="523" t="s">
        <v>557</v>
      </c>
    </row>
    <row r="103" spans="7:132">
      <c r="G103" s="518" t="s">
        <v>1185</v>
      </c>
      <c r="K103" s="526">
        <f ca="1">K85+K86</f>
        <v>0</v>
      </c>
      <c r="L103" s="526">
        <f t="shared" ref="L103:BW103" ca="1" si="350">L85+L86</f>
        <v>75142.199419975848</v>
      </c>
      <c r="M103" s="526">
        <f t="shared" ca="1" si="350"/>
        <v>77255.772749442272</v>
      </c>
      <c r="N103" s="526">
        <f t="shared" ca="1" si="350"/>
        <v>79383.436567771874</v>
      </c>
      <c r="O103" s="526">
        <f t="shared" ca="1" si="350"/>
        <v>81525.284811557081</v>
      </c>
      <c r="P103" s="526">
        <f t="shared" ca="1" si="350"/>
        <v>83681.412043634118</v>
      </c>
      <c r="Q103" s="526">
        <f t="shared" ca="1" si="350"/>
        <v>85851.913457258299</v>
      </c>
      <c r="R103" s="526">
        <f t="shared" ca="1" si="350"/>
        <v>88036.884880306709</v>
      </c>
      <c r="S103" s="526">
        <f t="shared" ca="1" si="350"/>
        <v>90236.422779508677</v>
      </c>
      <c r="T103" s="526">
        <f t="shared" ca="1" si="350"/>
        <v>92450.624264705359</v>
      </c>
      <c r="U103" s="526">
        <f t="shared" ca="1" si="350"/>
        <v>94679.587093136754</v>
      </c>
      <c r="V103" s="526">
        <f t="shared" ca="1" si="350"/>
        <v>96923.409673757662</v>
      </c>
      <c r="W103" s="526">
        <f t="shared" ca="1" si="350"/>
        <v>99182.191071582594</v>
      </c>
      <c r="X103" s="526">
        <f t="shared" ca="1" si="350"/>
        <v>99132.252015780003</v>
      </c>
      <c r="Y103" s="526">
        <f t="shared" ca="1" si="350"/>
        <v>101277.30024087873</v>
      </c>
      <c r="Z103" s="526">
        <f t="shared" ca="1" si="350"/>
        <v>103435.75501738423</v>
      </c>
      <c r="AA103" s="526">
        <f t="shared" ca="1" si="350"/>
        <v>105607.70013624289</v>
      </c>
      <c r="AB103" s="526">
        <f t="shared" ca="1" si="350"/>
        <v>107793.2199120944</v>
      </c>
      <c r="AC103" s="526">
        <f t="shared" ca="1" si="350"/>
        <v>109992.39918654515</v>
      </c>
      <c r="AD103" s="526">
        <f t="shared" ca="1" si="350"/>
        <v>112205.32333146107</v>
      </c>
      <c r="AE103" s="526">
        <f t="shared" ca="1" si="350"/>
        <v>114432.07825228265</v>
      </c>
      <c r="AF103" s="526">
        <f t="shared" ca="1" si="350"/>
        <v>116672.75039135954</v>
      </c>
      <c r="AG103" s="526">
        <f t="shared" ca="1" si="350"/>
        <v>118927.4267313055</v>
      </c>
      <c r="AH103" s="526">
        <f t="shared" ca="1" si="350"/>
        <v>121196.19479837616</v>
      </c>
      <c r="AI103" s="526">
        <f t="shared" ca="1" si="350"/>
        <v>123479.14266586611</v>
      </c>
      <c r="AJ103" s="526">
        <f t="shared" ca="1" si="350"/>
        <v>122481.38876808564</v>
      </c>
      <c r="AK103" s="526">
        <f t="shared" ca="1" si="350"/>
        <v>123710.65473037933</v>
      </c>
      <c r="AL103" s="526">
        <f t="shared" ca="1" si="350"/>
        <v>124944.01824588062</v>
      </c>
      <c r="AM103" s="526">
        <f t="shared" ca="1" si="350"/>
        <v>126181.4929731002</v>
      </c>
      <c r="AN103" s="526">
        <f t="shared" ca="1" si="350"/>
        <v>127423.09261607715</v>
      </c>
      <c r="AO103" s="526">
        <f t="shared" ca="1" si="350"/>
        <v>128668.83092453091</v>
      </c>
      <c r="AP103" s="526">
        <f t="shared" ca="1" si="350"/>
        <v>129918.72169401268</v>
      </c>
      <c r="AQ103" s="526">
        <f t="shared" ca="1" si="350"/>
        <v>131172.77876605943</v>
      </c>
      <c r="AR103" s="526">
        <f t="shared" ca="1" si="350"/>
        <v>132431.01602834626</v>
      </c>
      <c r="AS103" s="526">
        <f t="shared" ca="1" si="350"/>
        <v>133693.44741484086</v>
      </c>
      <c r="AT103" s="526">
        <f t="shared" ca="1" si="350"/>
        <v>134960.08690595691</v>
      </c>
      <c r="AU103" s="526">
        <f t="shared" ca="1" si="350"/>
        <v>136230.94852871029</v>
      </c>
      <c r="AV103" s="526">
        <f t="shared" ca="1" si="350"/>
        <v>135241.08391927258</v>
      </c>
      <c r="AW103" s="526">
        <f t="shared" ca="1" si="350"/>
        <v>136520.43207352899</v>
      </c>
      <c r="AX103" s="526">
        <f t="shared" ca="1" si="350"/>
        <v>137804.04472163261</v>
      </c>
      <c r="AY103" s="526">
        <f t="shared" ca="1" si="350"/>
        <v>139091.93607856351</v>
      </c>
      <c r="AZ103" s="526">
        <f t="shared" ca="1" si="350"/>
        <v>140384.12040668412</v>
      </c>
      <c r="BA103" s="526">
        <f t="shared" ca="1" si="350"/>
        <v>141680.61201589828</v>
      </c>
      <c r="BB103" s="526">
        <f t="shared" ca="1" si="350"/>
        <v>142981.42526381009</v>
      </c>
      <c r="BC103" s="526">
        <f t="shared" ca="1" si="350"/>
        <v>144286.57455588144</v>
      </c>
      <c r="BD103" s="526">
        <f t="shared" ca="1" si="350"/>
        <v>145596.07434559317</v>
      </c>
      <c r="BE103" s="526">
        <f t="shared" ca="1" si="350"/>
        <v>146909.93913460377</v>
      </c>
      <c r="BF103" s="526">
        <f t="shared" ca="1" si="350"/>
        <v>148228.18347291125</v>
      </c>
      <c r="BG103" s="526">
        <f t="shared" ca="1" si="350"/>
        <v>14806958.414923429</v>
      </c>
      <c r="BH103" s="526">
        <f t="shared" ca="1" si="350"/>
        <v>0</v>
      </c>
      <c r="BI103" s="526">
        <f t="shared" ca="1" si="350"/>
        <v>0</v>
      </c>
      <c r="BJ103" s="526">
        <f t="shared" ca="1" si="350"/>
        <v>0</v>
      </c>
      <c r="BK103" s="526">
        <f t="shared" ca="1" si="350"/>
        <v>0</v>
      </c>
      <c r="BL103" s="526">
        <f t="shared" ca="1" si="350"/>
        <v>0</v>
      </c>
      <c r="BM103" s="526">
        <f t="shared" ca="1" si="350"/>
        <v>0</v>
      </c>
      <c r="BN103" s="526">
        <f t="shared" ca="1" si="350"/>
        <v>0</v>
      </c>
      <c r="BO103" s="526">
        <f t="shared" ca="1" si="350"/>
        <v>0</v>
      </c>
      <c r="BP103" s="526">
        <f t="shared" ca="1" si="350"/>
        <v>0</v>
      </c>
      <c r="BQ103" s="526">
        <f t="shared" ca="1" si="350"/>
        <v>0</v>
      </c>
      <c r="BR103" s="526">
        <f t="shared" ca="1" si="350"/>
        <v>0</v>
      </c>
      <c r="BS103" s="526">
        <f t="shared" ca="1" si="350"/>
        <v>0</v>
      </c>
      <c r="BT103" s="526">
        <f t="shared" ca="1" si="350"/>
        <v>0</v>
      </c>
      <c r="BU103" s="526">
        <f t="shared" ca="1" si="350"/>
        <v>0</v>
      </c>
      <c r="BV103" s="526">
        <f t="shared" ca="1" si="350"/>
        <v>0</v>
      </c>
      <c r="BW103" s="526">
        <f t="shared" ca="1" si="350"/>
        <v>0</v>
      </c>
      <c r="BX103" s="526">
        <f t="shared" ref="BX103:EA103" ca="1" si="351">BX85+BX86</f>
        <v>0</v>
      </c>
      <c r="BY103" s="526">
        <f t="shared" ca="1" si="351"/>
        <v>0</v>
      </c>
      <c r="BZ103" s="526">
        <f t="shared" ca="1" si="351"/>
        <v>0</v>
      </c>
      <c r="CA103" s="526">
        <f t="shared" ca="1" si="351"/>
        <v>0</v>
      </c>
      <c r="CB103" s="526">
        <f t="shared" ca="1" si="351"/>
        <v>0</v>
      </c>
      <c r="CC103" s="526">
        <f t="shared" ca="1" si="351"/>
        <v>0</v>
      </c>
      <c r="CD103" s="526">
        <f t="shared" ca="1" si="351"/>
        <v>0</v>
      </c>
      <c r="CE103" s="526">
        <f t="shared" ca="1" si="351"/>
        <v>0</v>
      </c>
      <c r="CF103" s="526">
        <f t="shared" ca="1" si="351"/>
        <v>0</v>
      </c>
      <c r="CG103" s="526">
        <f t="shared" ca="1" si="351"/>
        <v>0</v>
      </c>
      <c r="CH103" s="526">
        <f t="shared" ca="1" si="351"/>
        <v>0</v>
      </c>
      <c r="CI103" s="526">
        <f t="shared" ca="1" si="351"/>
        <v>0</v>
      </c>
      <c r="CJ103" s="526">
        <f t="shared" ca="1" si="351"/>
        <v>0</v>
      </c>
      <c r="CK103" s="526">
        <f t="shared" ca="1" si="351"/>
        <v>0</v>
      </c>
      <c r="CL103" s="526">
        <f t="shared" ca="1" si="351"/>
        <v>0</v>
      </c>
      <c r="CM103" s="526">
        <f t="shared" ca="1" si="351"/>
        <v>0</v>
      </c>
      <c r="CN103" s="526">
        <f t="shared" ca="1" si="351"/>
        <v>0</v>
      </c>
      <c r="CO103" s="526">
        <f t="shared" ca="1" si="351"/>
        <v>0</v>
      </c>
      <c r="CP103" s="526">
        <f t="shared" ca="1" si="351"/>
        <v>0</v>
      </c>
      <c r="CQ103" s="526">
        <f t="shared" ca="1" si="351"/>
        <v>0</v>
      </c>
      <c r="CR103" s="526">
        <f t="shared" ca="1" si="351"/>
        <v>0</v>
      </c>
      <c r="CS103" s="526">
        <f t="shared" ca="1" si="351"/>
        <v>0</v>
      </c>
      <c r="CT103" s="526">
        <f t="shared" ca="1" si="351"/>
        <v>0</v>
      </c>
      <c r="CU103" s="526">
        <f t="shared" ca="1" si="351"/>
        <v>0</v>
      </c>
      <c r="CV103" s="526">
        <f t="shared" ca="1" si="351"/>
        <v>0</v>
      </c>
      <c r="CW103" s="526">
        <f t="shared" ca="1" si="351"/>
        <v>0</v>
      </c>
      <c r="CX103" s="526">
        <f t="shared" ca="1" si="351"/>
        <v>0</v>
      </c>
      <c r="CY103" s="526">
        <f t="shared" ca="1" si="351"/>
        <v>0</v>
      </c>
      <c r="CZ103" s="526">
        <f t="shared" ca="1" si="351"/>
        <v>0</v>
      </c>
      <c r="DA103" s="526">
        <f t="shared" ca="1" si="351"/>
        <v>0</v>
      </c>
      <c r="DB103" s="526">
        <f t="shared" ca="1" si="351"/>
        <v>0</v>
      </c>
      <c r="DC103" s="526">
        <f t="shared" ca="1" si="351"/>
        <v>0</v>
      </c>
      <c r="DD103" s="526">
        <f t="shared" ca="1" si="351"/>
        <v>0</v>
      </c>
      <c r="DE103" s="526">
        <f t="shared" ca="1" si="351"/>
        <v>0</v>
      </c>
      <c r="DF103" s="526">
        <f t="shared" ca="1" si="351"/>
        <v>0</v>
      </c>
      <c r="DG103" s="526">
        <f t="shared" ca="1" si="351"/>
        <v>0</v>
      </c>
      <c r="DH103" s="526">
        <f t="shared" ca="1" si="351"/>
        <v>0</v>
      </c>
      <c r="DI103" s="526">
        <f t="shared" ca="1" si="351"/>
        <v>0</v>
      </c>
      <c r="DJ103" s="526">
        <f t="shared" ca="1" si="351"/>
        <v>0</v>
      </c>
      <c r="DK103" s="526">
        <f t="shared" ca="1" si="351"/>
        <v>0</v>
      </c>
      <c r="DL103" s="526">
        <f t="shared" ca="1" si="351"/>
        <v>0</v>
      </c>
      <c r="DM103" s="526">
        <f t="shared" ca="1" si="351"/>
        <v>0</v>
      </c>
      <c r="DN103" s="526">
        <f t="shared" ca="1" si="351"/>
        <v>0</v>
      </c>
      <c r="DO103" s="526">
        <f t="shared" ca="1" si="351"/>
        <v>0</v>
      </c>
      <c r="DP103" s="526">
        <f t="shared" ca="1" si="351"/>
        <v>0</v>
      </c>
      <c r="DQ103" s="526">
        <f t="shared" ca="1" si="351"/>
        <v>0</v>
      </c>
      <c r="DR103" s="526">
        <f t="shared" ca="1" si="351"/>
        <v>0</v>
      </c>
      <c r="DS103" s="526">
        <f t="shared" ca="1" si="351"/>
        <v>0</v>
      </c>
      <c r="DT103" s="526">
        <f t="shared" ca="1" si="351"/>
        <v>0</v>
      </c>
      <c r="DU103" s="526">
        <f t="shared" ca="1" si="351"/>
        <v>0</v>
      </c>
      <c r="DV103" s="526">
        <f t="shared" ca="1" si="351"/>
        <v>0</v>
      </c>
      <c r="DW103" s="526">
        <f t="shared" ca="1" si="351"/>
        <v>0</v>
      </c>
      <c r="DX103" s="526">
        <f t="shared" ca="1" si="351"/>
        <v>0</v>
      </c>
      <c r="DY103" s="526">
        <f t="shared" ca="1" si="351"/>
        <v>0</v>
      </c>
      <c r="DZ103" s="526">
        <f t="shared" ca="1" si="351"/>
        <v>0</v>
      </c>
      <c r="EA103" s="526">
        <f t="shared" ca="1" si="351"/>
        <v>0</v>
      </c>
      <c r="EB103" s="523" t="s">
        <v>557</v>
      </c>
    </row>
    <row r="104" spans="7:132">
      <c r="G104" s="518" t="s">
        <v>1186</v>
      </c>
      <c r="H104" s="539">
        <f>D19</f>
        <v>0.6</v>
      </c>
      <c r="K104" s="526">
        <f ca="1">MIN(K96*$H104,K100+K101-K103)</f>
        <v>0</v>
      </c>
      <c r="L104" s="526">
        <f t="shared" ref="L104:BW104" ca="1" si="352">MIN(L96*$H104,L100+L101-L103)</f>
        <v>0</v>
      </c>
      <c r="M104" s="526">
        <f t="shared" ca="1" si="352"/>
        <v>0</v>
      </c>
      <c r="N104" s="526">
        <f t="shared" ca="1" si="352"/>
        <v>0</v>
      </c>
      <c r="O104" s="526">
        <f t="shared" ca="1" si="352"/>
        <v>0</v>
      </c>
      <c r="P104" s="526">
        <f t="shared" ca="1" si="352"/>
        <v>0</v>
      </c>
      <c r="Q104" s="526">
        <f t="shared" ca="1" si="352"/>
        <v>0</v>
      </c>
      <c r="R104" s="526">
        <f t="shared" ca="1" si="352"/>
        <v>0</v>
      </c>
      <c r="S104" s="526">
        <f t="shared" ca="1" si="352"/>
        <v>0</v>
      </c>
      <c r="T104" s="526">
        <f t="shared" ca="1" si="352"/>
        <v>0</v>
      </c>
      <c r="U104" s="526">
        <f t="shared" ca="1" si="352"/>
        <v>0</v>
      </c>
      <c r="V104" s="526">
        <f t="shared" ca="1" si="352"/>
        <v>0</v>
      </c>
      <c r="W104" s="526">
        <f t="shared" ca="1" si="352"/>
        <v>0</v>
      </c>
      <c r="X104" s="526">
        <f t="shared" ca="1" si="352"/>
        <v>0</v>
      </c>
      <c r="Y104" s="526">
        <f t="shared" ca="1" si="352"/>
        <v>0</v>
      </c>
      <c r="Z104" s="526">
        <f t="shared" ca="1" si="352"/>
        <v>0</v>
      </c>
      <c r="AA104" s="526">
        <f t="shared" ca="1" si="352"/>
        <v>0</v>
      </c>
      <c r="AB104" s="526">
        <f t="shared" ca="1" si="352"/>
        <v>0</v>
      </c>
      <c r="AC104" s="526">
        <f t="shared" ca="1" si="352"/>
        <v>0</v>
      </c>
      <c r="AD104" s="526">
        <f t="shared" ca="1" si="352"/>
        <v>0</v>
      </c>
      <c r="AE104" s="526">
        <f t="shared" ca="1" si="352"/>
        <v>0</v>
      </c>
      <c r="AF104" s="526">
        <f t="shared" ca="1" si="352"/>
        <v>0</v>
      </c>
      <c r="AG104" s="526">
        <f t="shared" ca="1" si="352"/>
        <v>0</v>
      </c>
      <c r="AH104" s="526">
        <f t="shared" ca="1" si="352"/>
        <v>0</v>
      </c>
      <c r="AI104" s="526">
        <f t="shared" ca="1" si="352"/>
        <v>0</v>
      </c>
      <c r="AJ104" s="526">
        <f t="shared" ca="1" si="352"/>
        <v>0</v>
      </c>
      <c r="AK104" s="526">
        <f t="shared" ca="1" si="352"/>
        <v>0</v>
      </c>
      <c r="AL104" s="526">
        <f t="shared" ca="1" si="352"/>
        <v>0</v>
      </c>
      <c r="AM104" s="526">
        <f t="shared" ca="1" si="352"/>
        <v>0</v>
      </c>
      <c r="AN104" s="526">
        <f t="shared" ca="1" si="352"/>
        <v>0</v>
      </c>
      <c r="AO104" s="526">
        <f t="shared" ca="1" si="352"/>
        <v>0</v>
      </c>
      <c r="AP104" s="526">
        <f t="shared" ca="1" si="352"/>
        <v>0</v>
      </c>
      <c r="AQ104" s="526">
        <f t="shared" ca="1" si="352"/>
        <v>0</v>
      </c>
      <c r="AR104" s="526">
        <f t="shared" ca="1" si="352"/>
        <v>0</v>
      </c>
      <c r="AS104" s="526">
        <f t="shared" ca="1" si="352"/>
        <v>0</v>
      </c>
      <c r="AT104" s="526">
        <f t="shared" ca="1" si="352"/>
        <v>0</v>
      </c>
      <c r="AU104" s="526">
        <f t="shared" ca="1" si="352"/>
        <v>0</v>
      </c>
      <c r="AV104" s="526">
        <f t="shared" ca="1" si="352"/>
        <v>0</v>
      </c>
      <c r="AW104" s="526">
        <f t="shared" ca="1" si="352"/>
        <v>0</v>
      </c>
      <c r="AX104" s="526">
        <f t="shared" ca="1" si="352"/>
        <v>0</v>
      </c>
      <c r="AY104" s="526">
        <f t="shared" ca="1" si="352"/>
        <v>0</v>
      </c>
      <c r="AZ104" s="526">
        <f t="shared" ca="1" si="352"/>
        <v>0</v>
      </c>
      <c r="BA104" s="526">
        <f t="shared" ca="1" si="352"/>
        <v>0</v>
      </c>
      <c r="BB104" s="526">
        <f t="shared" ca="1" si="352"/>
        <v>0</v>
      </c>
      <c r="BC104" s="526">
        <f t="shared" ca="1" si="352"/>
        <v>0</v>
      </c>
      <c r="BD104" s="526">
        <f t="shared" ca="1" si="352"/>
        <v>0</v>
      </c>
      <c r="BE104" s="526">
        <f t="shared" ca="1" si="352"/>
        <v>0</v>
      </c>
      <c r="BF104" s="526">
        <f t="shared" ca="1" si="352"/>
        <v>0</v>
      </c>
      <c r="BG104" s="526">
        <f t="shared" ca="1" si="352"/>
        <v>0</v>
      </c>
      <c r="BH104" s="526">
        <f t="shared" ca="1" si="352"/>
        <v>0</v>
      </c>
      <c r="BI104" s="526">
        <f t="shared" ca="1" si="352"/>
        <v>0</v>
      </c>
      <c r="BJ104" s="526">
        <f t="shared" ca="1" si="352"/>
        <v>0</v>
      </c>
      <c r="BK104" s="526">
        <f t="shared" ca="1" si="352"/>
        <v>0</v>
      </c>
      <c r="BL104" s="526">
        <f t="shared" ca="1" si="352"/>
        <v>0</v>
      </c>
      <c r="BM104" s="526">
        <f t="shared" ca="1" si="352"/>
        <v>0</v>
      </c>
      <c r="BN104" s="526">
        <f t="shared" ca="1" si="352"/>
        <v>0</v>
      </c>
      <c r="BO104" s="526">
        <f t="shared" ca="1" si="352"/>
        <v>0</v>
      </c>
      <c r="BP104" s="526">
        <f t="shared" ca="1" si="352"/>
        <v>0</v>
      </c>
      <c r="BQ104" s="526">
        <f t="shared" ca="1" si="352"/>
        <v>0</v>
      </c>
      <c r="BR104" s="526">
        <f t="shared" ca="1" si="352"/>
        <v>0</v>
      </c>
      <c r="BS104" s="526">
        <f t="shared" ca="1" si="352"/>
        <v>0</v>
      </c>
      <c r="BT104" s="526">
        <f t="shared" ca="1" si="352"/>
        <v>0</v>
      </c>
      <c r="BU104" s="526">
        <f t="shared" ca="1" si="352"/>
        <v>0</v>
      </c>
      <c r="BV104" s="526">
        <f t="shared" ca="1" si="352"/>
        <v>0</v>
      </c>
      <c r="BW104" s="526">
        <f t="shared" ca="1" si="352"/>
        <v>0</v>
      </c>
      <c r="BX104" s="526">
        <f t="shared" ref="BX104:EA104" ca="1" si="353">MIN(BX96*$H104,BX100+BX101-BX103)</f>
        <v>0</v>
      </c>
      <c r="BY104" s="526">
        <f t="shared" ca="1" si="353"/>
        <v>0</v>
      </c>
      <c r="BZ104" s="526">
        <f t="shared" ca="1" si="353"/>
        <v>0</v>
      </c>
      <c r="CA104" s="526">
        <f t="shared" ca="1" si="353"/>
        <v>0</v>
      </c>
      <c r="CB104" s="526">
        <f t="shared" ca="1" si="353"/>
        <v>0</v>
      </c>
      <c r="CC104" s="526">
        <f t="shared" ca="1" si="353"/>
        <v>0</v>
      </c>
      <c r="CD104" s="526">
        <f t="shared" ca="1" si="353"/>
        <v>0</v>
      </c>
      <c r="CE104" s="526">
        <f t="shared" ca="1" si="353"/>
        <v>0</v>
      </c>
      <c r="CF104" s="526">
        <f t="shared" ca="1" si="353"/>
        <v>0</v>
      </c>
      <c r="CG104" s="526">
        <f t="shared" ca="1" si="353"/>
        <v>0</v>
      </c>
      <c r="CH104" s="526">
        <f t="shared" ca="1" si="353"/>
        <v>0</v>
      </c>
      <c r="CI104" s="526">
        <f t="shared" ca="1" si="353"/>
        <v>0</v>
      </c>
      <c r="CJ104" s="526">
        <f t="shared" ca="1" si="353"/>
        <v>0</v>
      </c>
      <c r="CK104" s="526">
        <f t="shared" ca="1" si="353"/>
        <v>0</v>
      </c>
      <c r="CL104" s="526">
        <f t="shared" ca="1" si="353"/>
        <v>0</v>
      </c>
      <c r="CM104" s="526">
        <f t="shared" ca="1" si="353"/>
        <v>0</v>
      </c>
      <c r="CN104" s="526">
        <f t="shared" ca="1" si="353"/>
        <v>0</v>
      </c>
      <c r="CO104" s="526">
        <f t="shared" ca="1" si="353"/>
        <v>0</v>
      </c>
      <c r="CP104" s="526">
        <f t="shared" ca="1" si="353"/>
        <v>0</v>
      </c>
      <c r="CQ104" s="526">
        <f t="shared" ca="1" si="353"/>
        <v>0</v>
      </c>
      <c r="CR104" s="526">
        <f t="shared" ca="1" si="353"/>
        <v>0</v>
      </c>
      <c r="CS104" s="526">
        <f t="shared" ca="1" si="353"/>
        <v>0</v>
      </c>
      <c r="CT104" s="526">
        <f t="shared" ca="1" si="353"/>
        <v>0</v>
      </c>
      <c r="CU104" s="526">
        <f t="shared" ca="1" si="353"/>
        <v>0</v>
      </c>
      <c r="CV104" s="526">
        <f t="shared" ca="1" si="353"/>
        <v>0</v>
      </c>
      <c r="CW104" s="526">
        <f t="shared" ca="1" si="353"/>
        <v>0</v>
      </c>
      <c r="CX104" s="526">
        <f t="shared" ca="1" si="353"/>
        <v>0</v>
      </c>
      <c r="CY104" s="526">
        <f t="shared" ca="1" si="353"/>
        <v>0</v>
      </c>
      <c r="CZ104" s="526">
        <f t="shared" ca="1" si="353"/>
        <v>0</v>
      </c>
      <c r="DA104" s="526">
        <f t="shared" ca="1" si="353"/>
        <v>0</v>
      </c>
      <c r="DB104" s="526">
        <f t="shared" ca="1" si="353"/>
        <v>0</v>
      </c>
      <c r="DC104" s="526">
        <f t="shared" ca="1" si="353"/>
        <v>0</v>
      </c>
      <c r="DD104" s="526">
        <f t="shared" ca="1" si="353"/>
        <v>0</v>
      </c>
      <c r="DE104" s="526">
        <f t="shared" ca="1" si="353"/>
        <v>0</v>
      </c>
      <c r="DF104" s="526">
        <f t="shared" ca="1" si="353"/>
        <v>0</v>
      </c>
      <c r="DG104" s="526">
        <f t="shared" ca="1" si="353"/>
        <v>0</v>
      </c>
      <c r="DH104" s="526">
        <f t="shared" ca="1" si="353"/>
        <v>0</v>
      </c>
      <c r="DI104" s="526">
        <f t="shared" ca="1" si="353"/>
        <v>0</v>
      </c>
      <c r="DJ104" s="526">
        <f t="shared" ca="1" si="353"/>
        <v>0</v>
      </c>
      <c r="DK104" s="526">
        <f t="shared" ca="1" si="353"/>
        <v>0</v>
      </c>
      <c r="DL104" s="526">
        <f t="shared" ca="1" si="353"/>
        <v>0</v>
      </c>
      <c r="DM104" s="526">
        <f t="shared" ca="1" si="353"/>
        <v>0</v>
      </c>
      <c r="DN104" s="526">
        <f t="shared" ca="1" si="353"/>
        <v>0</v>
      </c>
      <c r="DO104" s="526">
        <f t="shared" ca="1" si="353"/>
        <v>0</v>
      </c>
      <c r="DP104" s="526">
        <f t="shared" ca="1" si="353"/>
        <v>0</v>
      </c>
      <c r="DQ104" s="526">
        <f t="shared" ca="1" si="353"/>
        <v>0</v>
      </c>
      <c r="DR104" s="526">
        <f t="shared" ca="1" si="353"/>
        <v>0</v>
      </c>
      <c r="DS104" s="526">
        <f t="shared" ca="1" si="353"/>
        <v>0</v>
      </c>
      <c r="DT104" s="526">
        <f t="shared" ca="1" si="353"/>
        <v>0</v>
      </c>
      <c r="DU104" s="526">
        <f t="shared" ca="1" si="353"/>
        <v>0</v>
      </c>
      <c r="DV104" s="526">
        <f t="shared" ca="1" si="353"/>
        <v>0</v>
      </c>
      <c r="DW104" s="526">
        <f t="shared" ca="1" si="353"/>
        <v>0</v>
      </c>
      <c r="DX104" s="526">
        <f t="shared" ca="1" si="353"/>
        <v>0</v>
      </c>
      <c r="DY104" s="526">
        <f t="shared" ca="1" si="353"/>
        <v>0</v>
      </c>
      <c r="DZ104" s="526">
        <f t="shared" ca="1" si="353"/>
        <v>0</v>
      </c>
      <c r="EA104" s="526">
        <f t="shared" ca="1" si="353"/>
        <v>0</v>
      </c>
      <c r="EB104" s="523"/>
    </row>
    <row r="105" spans="7:132">
      <c r="G105" s="518" t="s">
        <v>1148</v>
      </c>
      <c r="K105" s="526">
        <f ca="1">K100+K101+K102-K103-K104</f>
        <v>20296000</v>
      </c>
      <c r="L105" s="526">
        <f t="shared" ref="L105:BW105" ca="1" si="354">L100+L101+L102-L103-L104</f>
        <v>20220857.800580025</v>
      </c>
      <c r="M105" s="526">
        <f t="shared" ca="1" si="354"/>
        <v>20143602.027830582</v>
      </c>
      <c r="N105" s="526">
        <f t="shared" ca="1" si="354"/>
        <v>20064218.59126281</v>
      </c>
      <c r="O105" s="526">
        <f t="shared" ca="1" si="354"/>
        <v>19982693.306451254</v>
      </c>
      <c r="P105" s="526">
        <f t="shared" ca="1" si="354"/>
        <v>19899011.894407619</v>
      </c>
      <c r="Q105" s="526">
        <f t="shared" ca="1" si="354"/>
        <v>19813159.980950359</v>
      </c>
      <c r="R105" s="526">
        <f t="shared" ca="1" si="354"/>
        <v>19725123.096070051</v>
      </c>
      <c r="S105" s="526">
        <f t="shared" ca="1" si="354"/>
        <v>19634886.673290543</v>
      </c>
      <c r="T105" s="526">
        <f t="shared" ca="1" si="354"/>
        <v>19542436.049025837</v>
      </c>
      <c r="U105" s="526">
        <f t="shared" ca="1" si="354"/>
        <v>19447756.4619327</v>
      </c>
      <c r="V105" s="526">
        <f t="shared" ca="1" si="354"/>
        <v>19350833.052258942</v>
      </c>
      <c r="W105" s="526">
        <f t="shared" ca="1" si="354"/>
        <v>19251650.861187361</v>
      </c>
      <c r="X105" s="526">
        <f t="shared" ca="1" si="354"/>
        <v>19152518.609171581</v>
      </c>
      <c r="Y105" s="526">
        <f t="shared" ca="1" si="354"/>
        <v>19051241.308930703</v>
      </c>
      <c r="Z105" s="526">
        <f t="shared" ca="1" si="354"/>
        <v>18947805.553913318</v>
      </c>
      <c r="AA105" s="526">
        <f t="shared" ca="1" si="354"/>
        <v>18842197.853777073</v>
      </c>
      <c r="AB105" s="526">
        <f t="shared" ca="1" si="354"/>
        <v>18734404.63386498</v>
      </c>
      <c r="AC105" s="526">
        <f t="shared" ca="1" si="354"/>
        <v>18624412.234678436</v>
      </c>
      <c r="AD105" s="526">
        <f t="shared" ca="1" si="354"/>
        <v>18512206.911346976</v>
      </c>
      <c r="AE105" s="526">
        <f t="shared" ca="1" si="354"/>
        <v>18397774.833094694</v>
      </c>
      <c r="AF105" s="526">
        <f t="shared" ca="1" si="354"/>
        <v>18281102.082703333</v>
      </c>
      <c r="AG105" s="526">
        <f t="shared" ca="1" si="354"/>
        <v>18162174.655972026</v>
      </c>
      <c r="AH105" s="526">
        <f t="shared" ca="1" si="354"/>
        <v>18040978.46117365</v>
      </c>
      <c r="AI105" s="526">
        <f t="shared" ca="1" si="354"/>
        <v>17917499.318507783</v>
      </c>
      <c r="AJ105" s="526">
        <f t="shared" ca="1" si="354"/>
        <v>17795017.929739699</v>
      </c>
      <c r="AK105" s="526">
        <f t="shared" ca="1" si="354"/>
        <v>17671307.275009319</v>
      </c>
      <c r="AL105" s="526">
        <f t="shared" ca="1" si="354"/>
        <v>17546363.25676344</v>
      </c>
      <c r="AM105" s="526">
        <f t="shared" ca="1" si="354"/>
        <v>17420181.763790339</v>
      </c>
      <c r="AN105" s="526">
        <f t="shared" ca="1" si="354"/>
        <v>17292758.671174262</v>
      </c>
      <c r="AO105" s="526">
        <f t="shared" ca="1" si="354"/>
        <v>17164089.840249732</v>
      </c>
      <c r="AP105" s="526">
        <f t="shared" ca="1" si="354"/>
        <v>17034171.118555721</v>
      </c>
      <c r="AQ105" s="526">
        <f t="shared" ca="1" si="354"/>
        <v>16902998.339789663</v>
      </c>
      <c r="AR105" s="526">
        <f t="shared" ca="1" si="354"/>
        <v>16770567.323761316</v>
      </c>
      <c r="AS105" s="526">
        <f t="shared" ca="1" si="354"/>
        <v>16636873.876346475</v>
      </c>
      <c r="AT105" s="526">
        <f t="shared" ca="1" si="354"/>
        <v>16501913.789440518</v>
      </c>
      <c r="AU105" s="526">
        <f t="shared" ca="1" si="354"/>
        <v>16365682.840911807</v>
      </c>
      <c r="AV105" s="526">
        <f t="shared" ca="1" si="354"/>
        <v>16230441.756992536</v>
      </c>
      <c r="AW105" s="526">
        <f t="shared" ca="1" si="354"/>
        <v>16093921.324919006</v>
      </c>
      <c r="AX105" s="526">
        <f t="shared" ca="1" si="354"/>
        <v>15956117.280197373</v>
      </c>
      <c r="AY105" s="526">
        <f t="shared" ca="1" si="354"/>
        <v>15817025.344118809</v>
      </c>
      <c r="AZ105" s="526">
        <f t="shared" ca="1" si="354"/>
        <v>15676641.223712126</v>
      </c>
      <c r="BA105" s="526">
        <f t="shared" ca="1" si="354"/>
        <v>15534960.611696228</v>
      </c>
      <c r="BB105" s="526">
        <f t="shared" ca="1" si="354"/>
        <v>15391979.186432417</v>
      </c>
      <c r="BC105" s="526">
        <f t="shared" ca="1" si="354"/>
        <v>15247692.611876536</v>
      </c>
      <c r="BD105" s="526">
        <f t="shared" ca="1" si="354"/>
        <v>15102096.537530944</v>
      </c>
      <c r="BE105" s="526">
        <f t="shared" ca="1" si="354"/>
        <v>14955186.59839634</v>
      </c>
      <c r="BF105" s="526">
        <f t="shared" ca="1" si="354"/>
        <v>14806958.414923429</v>
      </c>
      <c r="BG105" s="526">
        <f t="shared" ca="1" si="354"/>
        <v>0</v>
      </c>
      <c r="BH105" s="526">
        <f t="shared" ca="1" si="354"/>
        <v>0</v>
      </c>
      <c r="BI105" s="526">
        <f t="shared" ca="1" si="354"/>
        <v>0</v>
      </c>
      <c r="BJ105" s="526">
        <f t="shared" ca="1" si="354"/>
        <v>0</v>
      </c>
      <c r="BK105" s="526">
        <f t="shared" ca="1" si="354"/>
        <v>0</v>
      </c>
      <c r="BL105" s="526">
        <f t="shared" ca="1" si="354"/>
        <v>0</v>
      </c>
      <c r="BM105" s="526">
        <f t="shared" ca="1" si="354"/>
        <v>0</v>
      </c>
      <c r="BN105" s="526">
        <f t="shared" ca="1" si="354"/>
        <v>0</v>
      </c>
      <c r="BO105" s="526">
        <f t="shared" ca="1" si="354"/>
        <v>0</v>
      </c>
      <c r="BP105" s="526">
        <f t="shared" ca="1" si="354"/>
        <v>0</v>
      </c>
      <c r="BQ105" s="526">
        <f t="shared" ca="1" si="354"/>
        <v>0</v>
      </c>
      <c r="BR105" s="526">
        <f t="shared" ca="1" si="354"/>
        <v>0</v>
      </c>
      <c r="BS105" s="526">
        <f t="shared" ca="1" si="354"/>
        <v>0</v>
      </c>
      <c r="BT105" s="526">
        <f t="shared" ca="1" si="354"/>
        <v>0</v>
      </c>
      <c r="BU105" s="526">
        <f t="shared" ca="1" si="354"/>
        <v>0</v>
      </c>
      <c r="BV105" s="526">
        <f t="shared" ca="1" si="354"/>
        <v>0</v>
      </c>
      <c r="BW105" s="526">
        <f t="shared" ca="1" si="354"/>
        <v>0</v>
      </c>
      <c r="BX105" s="526">
        <f t="shared" ref="BX105:EA105" ca="1" si="355">BX100+BX101+BX102-BX103-BX104</f>
        <v>0</v>
      </c>
      <c r="BY105" s="526">
        <f t="shared" ca="1" si="355"/>
        <v>0</v>
      </c>
      <c r="BZ105" s="526">
        <f t="shared" ca="1" si="355"/>
        <v>0</v>
      </c>
      <c r="CA105" s="526">
        <f t="shared" ca="1" si="355"/>
        <v>0</v>
      </c>
      <c r="CB105" s="526">
        <f t="shared" ca="1" si="355"/>
        <v>0</v>
      </c>
      <c r="CC105" s="526">
        <f t="shared" ca="1" si="355"/>
        <v>0</v>
      </c>
      <c r="CD105" s="526">
        <f t="shared" ca="1" si="355"/>
        <v>0</v>
      </c>
      <c r="CE105" s="526">
        <f t="shared" ca="1" si="355"/>
        <v>0</v>
      </c>
      <c r="CF105" s="526">
        <f t="shared" ca="1" si="355"/>
        <v>0</v>
      </c>
      <c r="CG105" s="526">
        <f t="shared" ca="1" si="355"/>
        <v>0</v>
      </c>
      <c r="CH105" s="526">
        <f t="shared" ca="1" si="355"/>
        <v>0</v>
      </c>
      <c r="CI105" s="526">
        <f t="shared" ca="1" si="355"/>
        <v>0</v>
      </c>
      <c r="CJ105" s="526">
        <f t="shared" ca="1" si="355"/>
        <v>0</v>
      </c>
      <c r="CK105" s="526">
        <f t="shared" ca="1" si="355"/>
        <v>0</v>
      </c>
      <c r="CL105" s="526">
        <f t="shared" ca="1" si="355"/>
        <v>0</v>
      </c>
      <c r="CM105" s="526">
        <f t="shared" ca="1" si="355"/>
        <v>0</v>
      </c>
      <c r="CN105" s="526">
        <f t="shared" ca="1" si="355"/>
        <v>0</v>
      </c>
      <c r="CO105" s="526">
        <f t="shared" ca="1" si="355"/>
        <v>0</v>
      </c>
      <c r="CP105" s="526">
        <f t="shared" ca="1" si="355"/>
        <v>0</v>
      </c>
      <c r="CQ105" s="526">
        <f t="shared" ca="1" si="355"/>
        <v>0</v>
      </c>
      <c r="CR105" s="526">
        <f t="shared" ca="1" si="355"/>
        <v>0</v>
      </c>
      <c r="CS105" s="526">
        <f t="shared" ca="1" si="355"/>
        <v>0</v>
      </c>
      <c r="CT105" s="526">
        <f t="shared" ca="1" si="355"/>
        <v>0</v>
      </c>
      <c r="CU105" s="526">
        <f t="shared" ca="1" si="355"/>
        <v>0</v>
      </c>
      <c r="CV105" s="526">
        <f t="shared" ca="1" si="355"/>
        <v>0</v>
      </c>
      <c r="CW105" s="526">
        <f t="shared" ca="1" si="355"/>
        <v>0</v>
      </c>
      <c r="CX105" s="526">
        <f t="shared" ca="1" si="355"/>
        <v>0</v>
      </c>
      <c r="CY105" s="526">
        <f t="shared" ca="1" si="355"/>
        <v>0</v>
      </c>
      <c r="CZ105" s="526">
        <f t="shared" ca="1" si="355"/>
        <v>0</v>
      </c>
      <c r="DA105" s="526">
        <f t="shared" ca="1" si="355"/>
        <v>0</v>
      </c>
      <c r="DB105" s="526">
        <f t="shared" ca="1" si="355"/>
        <v>0</v>
      </c>
      <c r="DC105" s="526">
        <f t="shared" ca="1" si="355"/>
        <v>0</v>
      </c>
      <c r="DD105" s="526">
        <f t="shared" ca="1" si="355"/>
        <v>0</v>
      </c>
      <c r="DE105" s="526">
        <f t="shared" ca="1" si="355"/>
        <v>0</v>
      </c>
      <c r="DF105" s="526">
        <f t="shared" ca="1" si="355"/>
        <v>0</v>
      </c>
      <c r="DG105" s="526">
        <f t="shared" ca="1" si="355"/>
        <v>0</v>
      </c>
      <c r="DH105" s="526">
        <f t="shared" ca="1" si="355"/>
        <v>0</v>
      </c>
      <c r="DI105" s="526">
        <f t="shared" ca="1" si="355"/>
        <v>0</v>
      </c>
      <c r="DJ105" s="526">
        <f t="shared" ca="1" si="355"/>
        <v>0</v>
      </c>
      <c r="DK105" s="526">
        <f t="shared" ca="1" si="355"/>
        <v>0</v>
      </c>
      <c r="DL105" s="526">
        <f t="shared" ca="1" si="355"/>
        <v>0</v>
      </c>
      <c r="DM105" s="526">
        <f t="shared" ca="1" si="355"/>
        <v>0</v>
      </c>
      <c r="DN105" s="526">
        <f t="shared" ca="1" si="355"/>
        <v>0</v>
      </c>
      <c r="DO105" s="526">
        <f t="shared" ca="1" si="355"/>
        <v>0</v>
      </c>
      <c r="DP105" s="526">
        <f t="shared" ca="1" si="355"/>
        <v>0</v>
      </c>
      <c r="DQ105" s="526">
        <f t="shared" ca="1" si="355"/>
        <v>0</v>
      </c>
      <c r="DR105" s="526">
        <f t="shared" ca="1" si="355"/>
        <v>0</v>
      </c>
      <c r="DS105" s="526">
        <f t="shared" ca="1" si="355"/>
        <v>0</v>
      </c>
      <c r="DT105" s="526">
        <f t="shared" ca="1" si="355"/>
        <v>0</v>
      </c>
      <c r="DU105" s="526">
        <f t="shared" ca="1" si="355"/>
        <v>0</v>
      </c>
      <c r="DV105" s="526">
        <f t="shared" ca="1" si="355"/>
        <v>0</v>
      </c>
      <c r="DW105" s="526">
        <f t="shared" ca="1" si="355"/>
        <v>0</v>
      </c>
      <c r="DX105" s="526">
        <f t="shared" ca="1" si="355"/>
        <v>0</v>
      </c>
      <c r="DY105" s="526">
        <f t="shared" ca="1" si="355"/>
        <v>0</v>
      </c>
      <c r="DZ105" s="526">
        <f t="shared" ca="1" si="355"/>
        <v>0</v>
      </c>
      <c r="EA105" s="526">
        <f t="shared" ca="1" si="355"/>
        <v>0</v>
      </c>
      <c r="EB105" s="523" t="s">
        <v>557</v>
      </c>
    </row>
    <row r="106" spans="7:132">
      <c r="G106" s="518" t="s">
        <v>1150</v>
      </c>
      <c r="I106" s="543" t="s">
        <v>1105</v>
      </c>
      <c r="K106" s="526">
        <f ca="1">-K102+K103+K104</f>
        <v>-20296000</v>
      </c>
      <c r="L106" s="526">
        <f t="shared" ref="L106:BW106" ca="1" si="356">-L102+L103+L104</f>
        <v>75142.199419975848</v>
      </c>
      <c r="M106" s="526">
        <f t="shared" ca="1" si="356"/>
        <v>77255.772749442272</v>
      </c>
      <c r="N106" s="526">
        <f t="shared" ca="1" si="356"/>
        <v>79383.436567771874</v>
      </c>
      <c r="O106" s="526">
        <f t="shared" ca="1" si="356"/>
        <v>81525.284811557081</v>
      </c>
      <c r="P106" s="526">
        <f t="shared" ca="1" si="356"/>
        <v>83681.412043634118</v>
      </c>
      <c r="Q106" s="526">
        <f t="shared" ca="1" si="356"/>
        <v>85851.913457258299</v>
      </c>
      <c r="R106" s="526">
        <f t="shared" ca="1" si="356"/>
        <v>88036.884880306709</v>
      </c>
      <c r="S106" s="526">
        <f t="shared" ca="1" si="356"/>
        <v>90236.422779508677</v>
      </c>
      <c r="T106" s="526">
        <f t="shared" ca="1" si="356"/>
        <v>92450.624264705359</v>
      </c>
      <c r="U106" s="526">
        <f t="shared" ca="1" si="356"/>
        <v>94679.587093136754</v>
      </c>
      <c r="V106" s="526">
        <f t="shared" ca="1" si="356"/>
        <v>96923.409673757662</v>
      </c>
      <c r="W106" s="526">
        <f t="shared" ca="1" si="356"/>
        <v>99182.191071582594</v>
      </c>
      <c r="X106" s="526">
        <f t="shared" ca="1" si="356"/>
        <v>99132.252015780003</v>
      </c>
      <c r="Y106" s="526">
        <f t="shared" ca="1" si="356"/>
        <v>101277.30024087873</v>
      </c>
      <c r="Z106" s="526">
        <f t="shared" ca="1" si="356"/>
        <v>103435.75501738423</v>
      </c>
      <c r="AA106" s="526">
        <f t="shared" ca="1" si="356"/>
        <v>105607.70013624289</v>
      </c>
      <c r="AB106" s="526">
        <f t="shared" ca="1" si="356"/>
        <v>107793.2199120944</v>
      </c>
      <c r="AC106" s="526">
        <f t="shared" ca="1" si="356"/>
        <v>109992.39918654515</v>
      </c>
      <c r="AD106" s="526">
        <f t="shared" ca="1" si="356"/>
        <v>112205.32333146107</v>
      </c>
      <c r="AE106" s="526">
        <f t="shared" ca="1" si="356"/>
        <v>114432.07825228265</v>
      </c>
      <c r="AF106" s="526">
        <f t="shared" ca="1" si="356"/>
        <v>116672.75039135954</v>
      </c>
      <c r="AG106" s="526">
        <f t="shared" ca="1" si="356"/>
        <v>118927.4267313055</v>
      </c>
      <c r="AH106" s="526">
        <f t="shared" ca="1" si="356"/>
        <v>121196.19479837616</v>
      </c>
      <c r="AI106" s="526">
        <f t="shared" ca="1" si="356"/>
        <v>123479.14266586611</v>
      </c>
      <c r="AJ106" s="526">
        <f t="shared" ca="1" si="356"/>
        <v>122481.38876808564</v>
      </c>
      <c r="AK106" s="526">
        <f t="shared" ca="1" si="356"/>
        <v>123710.65473037933</v>
      </c>
      <c r="AL106" s="526">
        <f t="shared" ca="1" si="356"/>
        <v>124944.01824588062</v>
      </c>
      <c r="AM106" s="526">
        <f t="shared" ca="1" si="356"/>
        <v>126181.4929731002</v>
      </c>
      <c r="AN106" s="526">
        <f t="shared" ca="1" si="356"/>
        <v>127423.09261607715</v>
      </c>
      <c r="AO106" s="526">
        <f t="shared" ca="1" si="356"/>
        <v>128668.83092453091</v>
      </c>
      <c r="AP106" s="526">
        <f t="shared" ca="1" si="356"/>
        <v>129918.72169401268</v>
      </c>
      <c r="AQ106" s="526">
        <f t="shared" ca="1" si="356"/>
        <v>131172.77876605943</v>
      </c>
      <c r="AR106" s="526">
        <f t="shared" ca="1" si="356"/>
        <v>132431.01602834626</v>
      </c>
      <c r="AS106" s="526">
        <f t="shared" ca="1" si="356"/>
        <v>133693.44741484086</v>
      </c>
      <c r="AT106" s="526">
        <f t="shared" ca="1" si="356"/>
        <v>134960.08690595691</v>
      </c>
      <c r="AU106" s="526">
        <f t="shared" ca="1" si="356"/>
        <v>136230.94852871029</v>
      </c>
      <c r="AV106" s="526">
        <f t="shared" ca="1" si="356"/>
        <v>135241.08391927258</v>
      </c>
      <c r="AW106" s="526">
        <f t="shared" ca="1" si="356"/>
        <v>136520.43207352899</v>
      </c>
      <c r="AX106" s="526">
        <f t="shared" ca="1" si="356"/>
        <v>137804.04472163261</v>
      </c>
      <c r="AY106" s="526">
        <f t="shared" ca="1" si="356"/>
        <v>139091.93607856351</v>
      </c>
      <c r="AZ106" s="526">
        <f t="shared" ca="1" si="356"/>
        <v>140384.12040668412</v>
      </c>
      <c r="BA106" s="526">
        <f t="shared" ca="1" si="356"/>
        <v>141680.61201589828</v>
      </c>
      <c r="BB106" s="526">
        <f t="shared" ca="1" si="356"/>
        <v>142981.42526381009</v>
      </c>
      <c r="BC106" s="526">
        <f t="shared" ca="1" si="356"/>
        <v>144286.57455588144</v>
      </c>
      <c r="BD106" s="526">
        <f t="shared" ca="1" si="356"/>
        <v>145596.07434559317</v>
      </c>
      <c r="BE106" s="526">
        <f t="shared" ca="1" si="356"/>
        <v>146909.93913460377</v>
      </c>
      <c r="BF106" s="526">
        <f t="shared" ca="1" si="356"/>
        <v>148228.18347291125</v>
      </c>
      <c r="BG106" s="526">
        <f t="shared" ca="1" si="356"/>
        <v>14806958.414923429</v>
      </c>
      <c r="BH106" s="526">
        <f t="shared" ca="1" si="356"/>
        <v>0</v>
      </c>
      <c r="BI106" s="526">
        <f t="shared" ca="1" si="356"/>
        <v>0</v>
      </c>
      <c r="BJ106" s="526">
        <f t="shared" ca="1" si="356"/>
        <v>0</v>
      </c>
      <c r="BK106" s="526">
        <f t="shared" ca="1" si="356"/>
        <v>0</v>
      </c>
      <c r="BL106" s="526">
        <f t="shared" ca="1" si="356"/>
        <v>0</v>
      </c>
      <c r="BM106" s="526">
        <f t="shared" ca="1" si="356"/>
        <v>0</v>
      </c>
      <c r="BN106" s="526">
        <f t="shared" ca="1" si="356"/>
        <v>0</v>
      </c>
      <c r="BO106" s="526">
        <f t="shared" ca="1" si="356"/>
        <v>0</v>
      </c>
      <c r="BP106" s="526">
        <f t="shared" ca="1" si="356"/>
        <v>0</v>
      </c>
      <c r="BQ106" s="526">
        <f t="shared" ca="1" si="356"/>
        <v>0</v>
      </c>
      <c r="BR106" s="526">
        <f t="shared" ca="1" si="356"/>
        <v>0</v>
      </c>
      <c r="BS106" s="526">
        <f t="shared" ca="1" si="356"/>
        <v>0</v>
      </c>
      <c r="BT106" s="526">
        <f t="shared" ca="1" si="356"/>
        <v>0</v>
      </c>
      <c r="BU106" s="526">
        <f t="shared" ca="1" si="356"/>
        <v>0</v>
      </c>
      <c r="BV106" s="526">
        <f t="shared" ca="1" si="356"/>
        <v>0</v>
      </c>
      <c r="BW106" s="526">
        <f t="shared" ca="1" si="356"/>
        <v>0</v>
      </c>
      <c r="BX106" s="526">
        <f t="shared" ref="BX106:EA106" ca="1" si="357">-BX102+BX103+BX104</f>
        <v>0</v>
      </c>
      <c r="BY106" s="526">
        <f t="shared" ca="1" si="357"/>
        <v>0</v>
      </c>
      <c r="BZ106" s="526">
        <f t="shared" ca="1" si="357"/>
        <v>0</v>
      </c>
      <c r="CA106" s="526">
        <f t="shared" ca="1" si="357"/>
        <v>0</v>
      </c>
      <c r="CB106" s="526">
        <f t="shared" ca="1" si="357"/>
        <v>0</v>
      </c>
      <c r="CC106" s="526">
        <f t="shared" ca="1" si="357"/>
        <v>0</v>
      </c>
      <c r="CD106" s="526">
        <f t="shared" ca="1" si="357"/>
        <v>0</v>
      </c>
      <c r="CE106" s="526">
        <f t="shared" ca="1" si="357"/>
        <v>0</v>
      </c>
      <c r="CF106" s="526">
        <f t="shared" ca="1" si="357"/>
        <v>0</v>
      </c>
      <c r="CG106" s="526">
        <f t="shared" ca="1" si="357"/>
        <v>0</v>
      </c>
      <c r="CH106" s="526">
        <f t="shared" ca="1" si="357"/>
        <v>0</v>
      </c>
      <c r="CI106" s="526">
        <f t="shared" ca="1" si="357"/>
        <v>0</v>
      </c>
      <c r="CJ106" s="526">
        <f t="shared" ca="1" si="357"/>
        <v>0</v>
      </c>
      <c r="CK106" s="526">
        <f t="shared" ca="1" si="357"/>
        <v>0</v>
      </c>
      <c r="CL106" s="526">
        <f t="shared" ca="1" si="357"/>
        <v>0</v>
      </c>
      <c r="CM106" s="526">
        <f t="shared" ca="1" si="357"/>
        <v>0</v>
      </c>
      <c r="CN106" s="526">
        <f t="shared" ca="1" si="357"/>
        <v>0</v>
      </c>
      <c r="CO106" s="526">
        <f t="shared" ca="1" si="357"/>
        <v>0</v>
      </c>
      <c r="CP106" s="526">
        <f t="shared" ca="1" si="357"/>
        <v>0</v>
      </c>
      <c r="CQ106" s="526">
        <f t="shared" ca="1" si="357"/>
        <v>0</v>
      </c>
      <c r="CR106" s="526">
        <f t="shared" ca="1" si="357"/>
        <v>0</v>
      </c>
      <c r="CS106" s="526">
        <f t="shared" ca="1" si="357"/>
        <v>0</v>
      </c>
      <c r="CT106" s="526">
        <f t="shared" ca="1" si="357"/>
        <v>0</v>
      </c>
      <c r="CU106" s="526">
        <f t="shared" ca="1" si="357"/>
        <v>0</v>
      </c>
      <c r="CV106" s="526">
        <f t="shared" ca="1" si="357"/>
        <v>0</v>
      </c>
      <c r="CW106" s="526">
        <f t="shared" ca="1" si="357"/>
        <v>0</v>
      </c>
      <c r="CX106" s="526">
        <f t="shared" ca="1" si="357"/>
        <v>0</v>
      </c>
      <c r="CY106" s="526">
        <f t="shared" ca="1" si="357"/>
        <v>0</v>
      </c>
      <c r="CZ106" s="526">
        <f t="shared" ca="1" si="357"/>
        <v>0</v>
      </c>
      <c r="DA106" s="526">
        <f t="shared" ca="1" si="357"/>
        <v>0</v>
      </c>
      <c r="DB106" s="526">
        <f t="shared" ca="1" si="357"/>
        <v>0</v>
      </c>
      <c r="DC106" s="526">
        <f t="shared" ca="1" si="357"/>
        <v>0</v>
      </c>
      <c r="DD106" s="526">
        <f t="shared" ca="1" si="357"/>
        <v>0</v>
      </c>
      <c r="DE106" s="526">
        <f t="shared" ca="1" si="357"/>
        <v>0</v>
      </c>
      <c r="DF106" s="526">
        <f t="shared" ca="1" si="357"/>
        <v>0</v>
      </c>
      <c r="DG106" s="526">
        <f t="shared" ca="1" si="357"/>
        <v>0</v>
      </c>
      <c r="DH106" s="526">
        <f t="shared" ca="1" si="357"/>
        <v>0</v>
      </c>
      <c r="DI106" s="526">
        <f t="shared" ca="1" si="357"/>
        <v>0</v>
      </c>
      <c r="DJ106" s="526">
        <f t="shared" ca="1" si="357"/>
        <v>0</v>
      </c>
      <c r="DK106" s="526">
        <f t="shared" ca="1" si="357"/>
        <v>0</v>
      </c>
      <c r="DL106" s="526">
        <f t="shared" ca="1" si="357"/>
        <v>0</v>
      </c>
      <c r="DM106" s="526">
        <f t="shared" ca="1" si="357"/>
        <v>0</v>
      </c>
      <c r="DN106" s="526">
        <f t="shared" ca="1" si="357"/>
        <v>0</v>
      </c>
      <c r="DO106" s="526">
        <f t="shared" ca="1" si="357"/>
        <v>0</v>
      </c>
      <c r="DP106" s="526">
        <f t="shared" ca="1" si="357"/>
        <v>0</v>
      </c>
      <c r="DQ106" s="526">
        <f t="shared" ca="1" si="357"/>
        <v>0</v>
      </c>
      <c r="DR106" s="526">
        <f t="shared" ca="1" si="357"/>
        <v>0</v>
      </c>
      <c r="DS106" s="526">
        <f t="shared" ca="1" si="357"/>
        <v>0</v>
      </c>
      <c r="DT106" s="526">
        <f t="shared" ca="1" si="357"/>
        <v>0</v>
      </c>
      <c r="DU106" s="526">
        <f t="shared" ca="1" si="357"/>
        <v>0</v>
      </c>
      <c r="DV106" s="526">
        <f t="shared" ca="1" si="357"/>
        <v>0</v>
      </c>
      <c r="DW106" s="526">
        <f t="shared" ca="1" si="357"/>
        <v>0</v>
      </c>
      <c r="DX106" s="526">
        <f t="shared" ca="1" si="357"/>
        <v>0</v>
      </c>
      <c r="DY106" s="526">
        <f t="shared" ca="1" si="357"/>
        <v>0</v>
      </c>
      <c r="DZ106" s="526">
        <f t="shared" ca="1" si="357"/>
        <v>0</v>
      </c>
      <c r="EA106" s="526">
        <f t="shared" ca="1" si="357"/>
        <v>0</v>
      </c>
      <c r="EB106" s="523" t="s">
        <v>557</v>
      </c>
    </row>
    <row r="107" spans="7:132">
      <c r="G107" s="545" t="s">
        <v>1152</v>
      </c>
      <c r="H107" s="546" t="s">
        <v>1153</v>
      </c>
      <c r="I107" s="547">
        <f ca="1">XIRR(K106:EA106,$K$2:$EA$2,)</f>
        <v>2.9802322387695314E-9</v>
      </c>
      <c r="EB107" s="523" t="s">
        <v>557</v>
      </c>
    </row>
    <row r="108" spans="7:132">
      <c r="H108" s="546" t="s">
        <v>1155</v>
      </c>
      <c r="I108" s="548">
        <f ca="1">SUMIF(K106:EA106,"&gt;0")/-SUMIF(K106:EA106,"&lt;0")</f>
        <v>1</v>
      </c>
      <c r="EB108" s="523" t="s">
        <v>557</v>
      </c>
    </row>
    <row r="109" spans="7:132">
      <c r="G109" s="520" t="s">
        <v>1135</v>
      </c>
      <c r="H109" s="533"/>
      <c r="I109" s="533"/>
      <c r="J109" s="521"/>
      <c r="K109" s="521"/>
      <c r="L109" s="521"/>
      <c r="M109" s="521"/>
      <c r="N109" s="521"/>
      <c r="O109" s="521"/>
      <c r="P109" s="521"/>
      <c r="Q109" s="521"/>
      <c r="R109" s="521"/>
      <c r="S109" s="521"/>
      <c r="T109" s="521"/>
      <c r="U109" s="521"/>
      <c r="V109" s="521"/>
      <c r="W109" s="521"/>
      <c r="X109" s="521"/>
      <c r="Y109" s="521"/>
      <c r="Z109" s="521"/>
      <c r="AA109" s="521"/>
      <c r="AB109" s="521"/>
      <c r="AC109" s="521"/>
      <c r="AD109" s="521"/>
      <c r="AE109" s="521"/>
      <c r="AF109" s="521"/>
      <c r="AG109" s="521"/>
      <c r="AH109" s="521"/>
      <c r="AI109" s="521"/>
      <c r="AJ109" s="521"/>
      <c r="AK109" s="521"/>
      <c r="AL109" s="521"/>
      <c r="AM109" s="521"/>
      <c r="AN109" s="521"/>
      <c r="AO109" s="521"/>
      <c r="AP109" s="521"/>
      <c r="AQ109" s="521"/>
      <c r="AR109" s="521"/>
      <c r="AS109" s="521"/>
      <c r="AT109" s="521"/>
      <c r="AU109" s="521"/>
      <c r="AV109" s="521"/>
      <c r="AW109" s="521"/>
      <c r="AX109" s="521"/>
      <c r="AY109" s="521"/>
      <c r="AZ109" s="521"/>
      <c r="BA109" s="521"/>
      <c r="BB109" s="521"/>
      <c r="BC109" s="521"/>
      <c r="BD109" s="521"/>
      <c r="BE109" s="521"/>
      <c r="BF109" s="521"/>
      <c r="BG109" s="521"/>
      <c r="BH109" s="521"/>
      <c r="BI109" s="521"/>
      <c r="BJ109" s="521"/>
      <c r="BK109" s="521"/>
      <c r="BL109" s="521"/>
      <c r="BM109" s="521"/>
      <c r="BN109" s="521"/>
      <c r="BO109" s="521"/>
      <c r="BP109" s="521"/>
      <c r="BQ109" s="521"/>
      <c r="BR109" s="521"/>
      <c r="BS109" s="521"/>
      <c r="BT109" s="521"/>
      <c r="BU109" s="521"/>
      <c r="BV109" s="521"/>
      <c r="BW109" s="521"/>
      <c r="BX109" s="521"/>
      <c r="BY109" s="521"/>
      <c r="BZ109" s="521"/>
      <c r="CA109" s="521"/>
      <c r="CB109" s="521"/>
      <c r="CC109" s="521"/>
      <c r="CD109" s="521"/>
      <c r="CE109" s="521"/>
      <c r="CF109" s="521"/>
      <c r="CG109" s="521"/>
      <c r="CH109" s="521"/>
      <c r="CI109" s="521"/>
      <c r="CJ109" s="521"/>
      <c r="CK109" s="521"/>
      <c r="CL109" s="521"/>
      <c r="CM109" s="521"/>
      <c r="CN109" s="521"/>
      <c r="CO109" s="521"/>
      <c r="CP109" s="521"/>
      <c r="CQ109" s="521"/>
      <c r="CR109" s="521"/>
      <c r="CS109" s="521"/>
      <c r="CT109" s="521"/>
      <c r="CU109" s="521"/>
      <c r="CV109" s="521"/>
      <c r="CW109" s="521"/>
      <c r="CX109" s="521"/>
      <c r="CY109" s="521"/>
      <c r="CZ109" s="521"/>
      <c r="DA109" s="521"/>
      <c r="DB109" s="521"/>
      <c r="DC109" s="521"/>
      <c r="DD109" s="521"/>
      <c r="DE109" s="521"/>
      <c r="DF109" s="521"/>
      <c r="DG109" s="521"/>
      <c r="DH109" s="521"/>
      <c r="DI109" s="521"/>
      <c r="DJ109" s="521"/>
      <c r="DK109" s="521"/>
      <c r="DL109" s="521"/>
      <c r="DM109" s="521"/>
      <c r="DN109" s="521"/>
      <c r="DO109" s="521"/>
      <c r="DP109" s="521"/>
      <c r="DQ109" s="521"/>
      <c r="DR109" s="521"/>
      <c r="DS109" s="521"/>
      <c r="DT109" s="521"/>
      <c r="DU109" s="521"/>
      <c r="DV109" s="521"/>
      <c r="DW109" s="521"/>
      <c r="DX109" s="521"/>
      <c r="DY109" s="521"/>
      <c r="DZ109" s="521"/>
      <c r="EA109" s="521"/>
      <c r="EB109" s="523" t="s">
        <v>557</v>
      </c>
    </row>
    <row r="110" spans="7:132">
      <c r="G110" s="518" t="s">
        <v>1158</v>
      </c>
      <c r="K110" s="526">
        <f ca="1">K92</f>
        <v>0</v>
      </c>
      <c r="L110" s="526">
        <f t="shared" ref="L110:BW110" si="358">L90</f>
        <v>0</v>
      </c>
      <c r="M110" s="526">
        <f t="shared" si="358"/>
        <v>0</v>
      </c>
      <c r="N110" s="526">
        <f t="shared" si="358"/>
        <v>0</v>
      </c>
      <c r="O110" s="526">
        <f t="shared" si="358"/>
        <v>0</v>
      </c>
      <c r="P110" s="526">
        <f t="shared" si="358"/>
        <v>0</v>
      </c>
      <c r="Q110" s="526">
        <f t="shared" si="358"/>
        <v>0</v>
      </c>
      <c r="R110" s="526">
        <f t="shared" si="358"/>
        <v>0</v>
      </c>
      <c r="S110" s="526">
        <f t="shared" si="358"/>
        <v>0</v>
      </c>
      <c r="T110" s="526">
        <f t="shared" si="358"/>
        <v>0</v>
      </c>
      <c r="U110" s="526">
        <f t="shared" si="358"/>
        <v>0</v>
      </c>
      <c r="V110" s="526">
        <f t="shared" si="358"/>
        <v>0</v>
      </c>
      <c r="W110" s="526">
        <f t="shared" si="358"/>
        <v>0</v>
      </c>
      <c r="X110" s="526">
        <f t="shared" si="358"/>
        <v>0</v>
      </c>
      <c r="Y110" s="526">
        <f t="shared" si="358"/>
        <v>0</v>
      </c>
      <c r="Z110" s="526">
        <f t="shared" si="358"/>
        <v>0</v>
      </c>
      <c r="AA110" s="526">
        <f t="shared" si="358"/>
        <v>0</v>
      </c>
      <c r="AB110" s="526">
        <f t="shared" si="358"/>
        <v>0</v>
      </c>
      <c r="AC110" s="526">
        <f t="shared" si="358"/>
        <v>0</v>
      </c>
      <c r="AD110" s="526">
        <f t="shared" si="358"/>
        <v>0</v>
      </c>
      <c r="AE110" s="526">
        <f t="shared" si="358"/>
        <v>0</v>
      </c>
      <c r="AF110" s="526">
        <f t="shared" si="358"/>
        <v>0</v>
      </c>
      <c r="AG110" s="526">
        <f t="shared" si="358"/>
        <v>0</v>
      </c>
      <c r="AH110" s="526">
        <f t="shared" si="358"/>
        <v>0</v>
      </c>
      <c r="AI110" s="526">
        <f t="shared" si="358"/>
        <v>0</v>
      </c>
      <c r="AJ110" s="526">
        <f t="shared" si="358"/>
        <v>0</v>
      </c>
      <c r="AK110" s="526">
        <f t="shared" si="358"/>
        <v>0</v>
      </c>
      <c r="AL110" s="526">
        <f t="shared" si="358"/>
        <v>0</v>
      </c>
      <c r="AM110" s="526">
        <f t="shared" si="358"/>
        <v>0</v>
      </c>
      <c r="AN110" s="526">
        <f t="shared" si="358"/>
        <v>0</v>
      </c>
      <c r="AO110" s="526">
        <f t="shared" si="358"/>
        <v>0</v>
      </c>
      <c r="AP110" s="526">
        <f t="shared" si="358"/>
        <v>0</v>
      </c>
      <c r="AQ110" s="526">
        <f t="shared" si="358"/>
        <v>0</v>
      </c>
      <c r="AR110" s="526">
        <f t="shared" si="358"/>
        <v>0</v>
      </c>
      <c r="AS110" s="526">
        <f t="shared" si="358"/>
        <v>0</v>
      </c>
      <c r="AT110" s="526">
        <f t="shared" si="358"/>
        <v>0</v>
      </c>
      <c r="AU110" s="526">
        <f t="shared" si="358"/>
        <v>0</v>
      </c>
      <c r="AV110" s="526">
        <f t="shared" si="358"/>
        <v>0</v>
      </c>
      <c r="AW110" s="526">
        <f t="shared" si="358"/>
        <v>0</v>
      </c>
      <c r="AX110" s="526">
        <f t="shared" si="358"/>
        <v>0</v>
      </c>
      <c r="AY110" s="526">
        <f t="shared" si="358"/>
        <v>0</v>
      </c>
      <c r="AZ110" s="526">
        <f t="shared" si="358"/>
        <v>0</v>
      </c>
      <c r="BA110" s="526">
        <f t="shared" si="358"/>
        <v>0</v>
      </c>
      <c r="BB110" s="526">
        <f t="shared" si="358"/>
        <v>0</v>
      </c>
      <c r="BC110" s="526">
        <f t="shared" si="358"/>
        <v>0</v>
      </c>
      <c r="BD110" s="526">
        <f t="shared" si="358"/>
        <v>0</v>
      </c>
      <c r="BE110" s="526">
        <f t="shared" si="358"/>
        <v>0</v>
      </c>
      <c r="BF110" s="526">
        <f t="shared" si="358"/>
        <v>0</v>
      </c>
      <c r="BG110" s="526">
        <f t="shared" si="358"/>
        <v>0</v>
      </c>
      <c r="BH110" s="526">
        <f t="shared" si="358"/>
        <v>0</v>
      </c>
      <c r="BI110" s="526">
        <f t="shared" si="358"/>
        <v>0</v>
      </c>
      <c r="BJ110" s="526">
        <f t="shared" si="358"/>
        <v>0</v>
      </c>
      <c r="BK110" s="526">
        <f t="shared" si="358"/>
        <v>0</v>
      </c>
      <c r="BL110" s="526">
        <f t="shared" si="358"/>
        <v>0</v>
      </c>
      <c r="BM110" s="526">
        <f t="shared" si="358"/>
        <v>0</v>
      </c>
      <c r="BN110" s="526">
        <f t="shared" si="358"/>
        <v>0</v>
      </c>
      <c r="BO110" s="526">
        <f t="shared" si="358"/>
        <v>0</v>
      </c>
      <c r="BP110" s="526">
        <f t="shared" si="358"/>
        <v>0</v>
      </c>
      <c r="BQ110" s="526">
        <f t="shared" si="358"/>
        <v>0</v>
      </c>
      <c r="BR110" s="526">
        <f t="shared" si="358"/>
        <v>0</v>
      </c>
      <c r="BS110" s="526">
        <f t="shared" si="358"/>
        <v>0</v>
      </c>
      <c r="BT110" s="526">
        <f t="shared" si="358"/>
        <v>0</v>
      </c>
      <c r="BU110" s="526">
        <f t="shared" si="358"/>
        <v>0</v>
      </c>
      <c r="BV110" s="526">
        <f t="shared" si="358"/>
        <v>0</v>
      </c>
      <c r="BW110" s="526">
        <f t="shared" si="358"/>
        <v>0</v>
      </c>
      <c r="BX110" s="526">
        <f t="shared" ref="BX110:EA110" si="359">BX90</f>
        <v>0</v>
      </c>
      <c r="BY110" s="526">
        <f t="shared" si="359"/>
        <v>0</v>
      </c>
      <c r="BZ110" s="526">
        <f t="shared" si="359"/>
        <v>0</v>
      </c>
      <c r="CA110" s="526">
        <f t="shared" si="359"/>
        <v>0</v>
      </c>
      <c r="CB110" s="526">
        <f t="shared" si="359"/>
        <v>0</v>
      </c>
      <c r="CC110" s="526">
        <f t="shared" si="359"/>
        <v>0</v>
      </c>
      <c r="CD110" s="526">
        <f t="shared" si="359"/>
        <v>0</v>
      </c>
      <c r="CE110" s="526">
        <f t="shared" si="359"/>
        <v>0</v>
      </c>
      <c r="CF110" s="526">
        <f t="shared" si="359"/>
        <v>0</v>
      </c>
      <c r="CG110" s="526">
        <f t="shared" si="359"/>
        <v>0</v>
      </c>
      <c r="CH110" s="526">
        <f t="shared" si="359"/>
        <v>0</v>
      </c>
      <c r="CI110" s="526">
        <f t="shared" si="359"/>
        <v>0</v>
      </c>
      <c r="CJ110" s="526">
        <f t="shared" si="359"/>
        <v>0</v>
      </c>
      <c r="CK110" s="526">
        <f t="shared" si="359"/>
        <v>0</v>
      </c>
      <c r="CL110" s="526">
        <f t="shared" si="359"/>
        <v>0</v>
      </c>
      <c r="CM110" s="526">
        <f t="shared" si="359"/>
        <v>0</v>
      </c>
      <c r="CN110" s="526">
        <f t="shared" si="359"/>
        <v>0</v>
      </c>
      <c r="CO110" s="526">
        <f t="shared" si="359"/>
        <v>0</v>
      </c>
      <c r="CP110" s="526">
        <f t="shared" si="359"/>
        <v>0</v>
      </c>
      <c r="CQ110" s="526">
        <f t="shared" si="359"/>
        <v>0</v>
      </c>
      <c r="CR110" s="526">
        <f t="shared" si="359"/>
        <v>0</v>
      </c>
      <c r="CS110" s="526">
        <f t="shared" si="359"/>
        <v>0</v>
      </c>
      <c r="CT110" s="526">
        <f t="shared" si="359"/>
        <v>0</v>
      </c>
      <c r="CU110" s="526">
        <f t="shared" si="359"/>
        <v>0</v>
      </c>
      <c r="CV110" s="526">
        <f t="shared" si="359"/>
        <v>0</v>
      </c>
      <c r="CW110" s="526">
        <f t="shared" si="359"/>
        <v>0</v>
      </c>
      <c r="CX110" s="526">
        <f t="shared" si="359"/>
        <v>0</v>
      </c>
      <c r="CY110" s="526">
        <f t="shared" si="359"/>
        <v>0</v>
      </c>
      <c r="CZ110" s="526">
        <f t="shared" si="359"/>
        <v>0</v>
      </c>
      <c r="DA110" s="526">
        <f t="shared" si="359"/>
        <v>0</v>
      </c>
      <c r="DB110" s="526">
        <f t="shared" si="359"/>
        <v>0</v>
      </c>
      <c r="DC110" s="526">
        <f t="shared" si="359"/>
        <v>0</v>
      </c>
      <c r="DD110" s="526">
        <f t="shared" si="359"/>
        <v>0</v>
      </c>
      <c r="DE110" s="526">
        <f t="shared" si="359"/>
        <v>0</v>
      </c>
      <c r="DF110" s="526">
        <f t="shared" si="359"/>
        <v>0</v>
      </c>
      <c r="DG110" s="526">
        <f t="shared" si="359"/>
        <v>0</v>
      </c>
      <c r="DH110" s="526">
        <f t="shared" si="359"/>
        <v>0</v>
      </c>
      <c r="DI110" s="526">
        <f t="shared" si="359"/>
        <v>0</v>
      </c>
      <c r="DJ110" s="526">
        <f t="shared" si="359"/>
        <v>0</v>
      </c>
      <c r="DK110" s="526">
        <f t="shared" si="359"/>
        <v>0</v>
      </c>
      <c r="DL110" s="526">
        <f t="shared" si="359"/>
        <v>0</v>
      </c>
      <c r="DM110" s="526">
        <f t="shared" si="359"/>
        <v>0</v>
      </c>
      <c r="DN110" s="526">
        <f t="shared" si="359"/>
        <v>0</v>
      </c>
      <c r="DO110" s="526">
        <f t="shared" si="359"/>
        <v>0</v>
      </c>
      <c r="DP110" s="526">
        <f t="shared" si="359"/>
        <v>0</v>
      </c>
      <c r="DQ110" s="526">
        <f t="shared" si="359"/>
        <v>0</v>
      </c>
      <c r="DR110" s="526">
        <f t="shared" si="359"/>
        <v>0</v>
      </c>
      <c r="DS110" s="526">
        <f t="shared" si="359"/>
        <v>0</v>
      </c>
      <c r="DT110" s="526">
        <f t="shared" si="359"/>
        <v>0</v>
      </c>
      <c r="DU110" s="526">
        <f t="shared" si="359"/>
        <v>0</v>
      </c>
      <c r="DV110" s="526">
        <f t="shared" si="359"/>
        <v>0</v>
      </c>
      <c r="DW110" s="526">
        <f t="shared" si="359"/>
        <v>0</v>
      </c>
      <c r="DX110" s="526">
        <f t="shared" si="359"/>
        <v>0</v>
      </c>
      <c r="DY110" s="526">
        <f t="shared" si="359"/>
        <v>0</v>
      </c>
      <c r="DZ110" s="526">
        <f t="shared" si="359"/>
        <v>0</v>
      </c>
      <c r="EA110" s="526">
        <f t="shared" si="359"/>
        <v>0</v>
      </c>
      <c r="EB110" s="523" t="s">
        <v>557</v>
      </c>
    </row>
    <row r="111" spans="7:132">
      <c r="G111" s="518" t="s">
        <v>1160</v>
      </c>
      <c r="H111" s="539">
        <f>C19</f>
        <v>0.4</v>
      </c>
      <c r="K111" s="526">
        <f ca="1">K104/$H104*$H111</f>
        <v>0</v>
      </c>
      <c r="L111" s="526">
        <f t="shared" ref="L111:BW111" ca="1" si="360">L104/$H104*$H111</f>
        <v>0</v>
      </c>
      <c r="M111" s="526">
        <f t="shared" ca="1" si="360"/>
        <v>0</v>
      </c>
      <c r="N111" s="526">
        <f t="shared" ca="1" si="360"/>
        <v>0</v>
      </c>
      <c r="O111" s="526">
        <f t="shared" ca="1" si="360"/>
        <v>0</v>
      </c>
      <c r="P111" s="526">
        <f t="shared" ca="1" si="360"/>
        <v>0</v>
      </c>
      <c r="Q111" s="526">
        <f t="shared" ca="1" si="360"/>
        <v>0</v>
      </c>
      <c r="R111" s="526">
        <f t="shared" ca="1" si="360"/>
        <v>0</v>
      </c>
      <c r="S111" s="526">
        <f t="shared" ca="1" si="360"/>
        <v>0</v>
      </c>
      <c r="T111" s="526">
        <f t="shared" ca="1" si="360"/>
        <v>0</v>
      </c>
      <c r="U111" s="526">
        <f t="shared" ca="1" si="360"/>
        <v>0</v>
      </c>
      <c r="V111" s="526">
        <f t="shared" ca="1" si="360"/>
        <v>0</v>
      </c>
      <c r="W111" s="526">
        <f t="shared" ca="1" si="360"/>
        <v>0</v>
      </c>
      <c r="X111" s="526">
        <f t="shared" ca="1" si="360"/>
        <v>0</v>
      </c>
      <c r="Y111" s="526">
        <f t="shared" ca="1" si="360"/>
        <v>0</v>
      </c>
      <c r="Z111" s="526">
        <f t="shared" ca="1" si="360"/>
        <v>0</v>
      </c>
      <c r="AA111" s="526">
        <f t="shared" ca="1" si="360"/>
        <v>0</v>
      </c>
      <c r="AB111" s="526">
        <f t="shared" ca="1" si="360"/>
        <v>0</v>
      </c>
      <c r="AC111" s="526">
        <f t="shared" ca="1" si="360"/>
        <v>0</v>
      </c>
      <c r="AD111" s="526">
        <f t="shared" ca="1" si="360"/>
        <v>0</v>
      </c>
      <c r="AE111" s="526">
        <f t="shared" ca="1" si="360"/>
        <v>0</v>
      </c>
      <c r="AF111" s="526">
        <f t="shared" ca="1" si="360"/>
        <v>0</v>
      </c>
      <c r="AG111" s="526">
        <f t="shared" ca="1" si="360"/>
        <v>0</v>
      </c>
      <c r="AH111" s="526">
        <f t="shared" ca="1" si="360"/>
        <v>0</v>
      </c>
      <c r="AI111" s="526">
        <f t="shared" ca="1" si="360"/>
        <v>0</v>
      </c>
      <c r="AJ111" s="526">
        <f t="shared" ca="1" si="360"/>
        <v>0</v>
      </c>
      <c r="AK111" s="526">
        <f t="shared" ca="1" si="360"/>
        <v>0</v>
      </c>
      <c r="AL111" s="526">
        <f t="shared" ca="1" si="360"/>
        <v>0</v>
      </c>
      <c r="AM111" s="526">
        <f t="shared" ca="1" si="360"/>
        <v>0</v>
      </c>
      <c r="AN111" s="526">
        <f t="shared" ca="1" si="360"/>
        <v>0</v>
      </c>
      <c r="AO111" s="526">
        <f t="shared" ca="1" si="360"/>
        <v>0</v>
      </c>
      <c r="AP111" s="526">
        <f t="shared" ca="1" si="360"/>
        <v>0</v>
      </c>
      <c r="AQ111" s="526">
        <f t="shared" ca="1" si="360"/>
        <v>0</v>
      </c>
      <c r="AR111" s="526">
        <f t="shared" ca="1" si="360"/>
        <v>0</v>
      </c>
      <c r="AS111" s="526">
        <f t="shared" ca="1" si="360"/>
        <v>0</v>
      </c>
      <c r="AT111" s="526">
        <f t="shared" ca="1" si="360"/>
        <v>0</v>
      </c>
      <c r="AU111" s="526">
        <f t="shared" ca="1" si="360"/>
        <v>0</v>
      </c>
      <c r="AV111" s="526">
        <f t="shared" ca="1" si="360"/>
        <v>0</v>
      </c>
      <c r="AW111" s="526">
        <f t="shared" ca="1" si="360"/>
        <v>0</v>
      </c>
      <c r="AX111" s="526">
        <f t="shared" ca="1" si="360"/>
        <v>0</v>
      </c>
      <c r="AY111" s="526">
        <f t="shared" ca="1" si="360"/>
        <v>0</v>
      </c>
      <c r="AZ111" s="526">
        <f t="shared" ca="1" si="360"/>
        <v>0</v>
      </c>
      <c r="BA111" s="526">
        <f t="shared" ca="1" si="360"/>
        <v>0</v>
      </c>
      <c r="BB111" s="526">
        <f t="shared" ca="1" si="360"/>
        <v>0</v>
      </c>
      <c r="BC111" s="526">
        <f t="shared" ca="1" si="360"/>
        <v>0</v>
      </c>
      <c r="BD111" s="526">
        <f t="shared" ca="1" si="360"/>
        <v>0</v>
      </c>
      <c r="BE111" s="526">
        <f t="shared" ca="1" si="360"/>
        <v>0</v>
      </c>
      <c r="BF111" s="526">
        <f t="shared" ca="1" si="360"/>
        <v>0</v>
      </c>
      <c r="BG111" s="526">
        <f t="shared" ca="1" si="360"/>
        <v>0</v>
      </c>
      <c r="BH111" s="526">
        <f t="shared" ca="1" si="360"/>
        <v>0</v>
      </c>
      <c r="BI111" s="526">
        <f t="shared" ca="1" si="360"/>
        <v>0</v>
      </c>
      <c r="BJ111" s="526">
        <f t="shared" ca="1" si="360"/>
        <v>0</v>
      </c>
      <c r="BK111" s="526">
        <f t="shared" ca="1" si="360"/>
        <v>0</v>
      </c>
      <c r="BL111" s="526">
        <f t="shared" ca="1" si="360"/>
        <v>0</v>
      </c>
      <c r="BM111" s="526">
        <f t="shared" ca="1" si="360"/>
        <v>0</v>
      </c>
      <c r="BN111" s="526">
        <f t="shared" ca="1" si="360"/>
        <v>0</v>
      </c>
      <c r="BO111" s="526">
        <f t="shared" ca="1" si="360"/>
        <v>0</v>
      </c>
      <c r="BP111" s="526">
        <f t="shared" ca="1" si="360"/>
        <v>0</v>
      </c>
      <c r="BQ111" s="526">
        <f t="shared" ca="1" si="360"/>
        <v>0</v>
      </c>
      <c r="BR111" s="526">
        <f t="shared" ca="1" si="360"/>
        <v>0</v>
      </c>
      <c r="BS111" s="526">
        <f t="shared" ca="1" si="360"/>
        <v>0</v>
      </c>
      <c r="BT111" s="526">
        <f t="shared" ca="1" si="360"/>
        <v>0</v>
      </c>
      <c r="BU111" s="526">
        <f t="shared" ca="1" si="360"/>
        <v>0</v>
      </c>
      <c r="BV111" s="526">
        <f t="shared" ca="1" si="360"/>
        <v>0</v>
      </c>
      <c r="BW111" s="526">
        <f t="shared" ca="1" si="360"/>
        <v>0</v>
      </c>
      <c r="BX111" s="526">
        <f t="shared" ref="BX111:EA111" ca="1" si="361">BX104/$H104*$H111</f>
        <v>0</v>
      </c>
      <c r="BY111" s="526">
        <f t="shared" ca="1" si="361"/>
        <v>0</v>
      </c>
      <c r="BZ111" s="526">
        <f t="shared" ca="1" si="361"/>
        <v>0</v>
      </c>
      <c r="CA111" s="526">
        <f t="shared" ca="1" si="361"/>
        <v>0</v>
      </c>
      <c r="CB111" s="526">
        <f t="shared" ca="1" si="361"/>
        <v>0</v>
      </c>
      <c r="CC111" s="526">
        <f t="shared" ca="1" si="361"/>
        <v>0</v>
      </c>
      <c r="CD111" s="526">
        <f t="shared" ca="1" si="361"/>
        <v>0</v>
      </c>
      <c r="CE111" s="526">
        <f t="shared" ca="1" si="361"/>
        <v>0</v>
      </c>
      <c r="CF111" s="526">
        <f t="shared" ca="1" si="361"/>
        <v>0</v>
      </c>
      <c r="CG111" s="526">
        <f t="shared" ca="1" si="361"/>
        <v>0</v>
      </c>
      <c r="CH111" s="526">
        <f t="shared" ca="1" si="361"/>
        <v>0</v>
      </c>
      <c r="CI111" s="526">
        <f t="shared" ca="1" si="361"/>
        <v>0</v>
      </c>
      <c r="CJ111" s="526">
        <f t="shared" ca="1" si="361"/>
        <v>0</v>
      </c>
      <c r="CK111" s="526">
        <f t="shared" ca="1" si="361"/>
        <v>0</v>
      </c>
      <c r="CL111" s="526">
        <f t="shared" ca="1" si="361"/>
        <v>0</v>
      </c>
      <c r="CM111" s="526">
        <f t="shared" ca="1" si="361"/>
        <v>0</v>
      </c>
      <c r="CN111" s="526">
        <f t="shared" ca="1" si="361"/>
        <v>0</v>
      </c>
      <c r="CO111" s="526">
        <f t="shared" ca="1" si="361"/>
        <v>0</v>
      </c>
      <c r="CP111" s="526">
        <f t="shared" ca="1" si="361"/>
        <v>0</v>
      </c>
      <c r="CQ111" s="526">
        <f t="shared" ca="1" si="361"/>
        <v>0</v>
      </c>
      <c r="CR111" s="526">
        <f t="shared" ca="1" si="361"/>
        <v>0</v>
      </c>
      <c r="CS111" s="526">
        <f t="shared" ca="1" si="361"/>
        <v>0</v>
      </c>
      <c r="CT111" s="526">
        <f t="shared" ca="1" si="361"/>
        <v>0</v>
      </c>
      <c r="CU111" s="526">
        <f t="shared" ca="1" si="361"/>
        <v>0</v>
      </c>
      <c r="CV111" s="526">
        <f t="shared" ca="1" si="361"/>
        <v>0</v>
      </c>
      <c r="CW111" s="526">
        <f t="shared" ca="1" si="361"/>
        <v>0</v>
      </c>
      <c r="CX111" s="526">
        <f t="shared" ca="1" si="361"/>
        <v>0</v>
      </c>
      <c r="CY111" s="526">
        <f t="shared" ca="1" si="361"/>
        <v>0</v>
      </c>
      <c r="CZ111" s="526">
        <f t="shared" ca="1" si="361"/>
        <v>0</v>
      </c>
      <c r="DA111" s="526">
        <f t="shared" ca="1" si="361"/>
        <v>0</v>
      </c>
      <c r="DB111" s="526">
        <f t="shared" ca="1" si="361"/>
        <v>0</v>
      </c>
      <c r="DC111" s="526">
        <f t="shared" ca="1" si="361"/>
        <v>0</v>
      </c>
      <c r="DD111" s="526">
        <f t="shared" ca="1" si="361"/>
        <v>0</v>
      </c>
      <c r="DE111" s="526">
        <f t="shared" ca="1" si="361"/>
        <v>0</v>
      </c>
      <c r="DF111" s="526">
        <f t="shared" ca="1" si="361"/>
        <v>0</v>
      </c>
      <c r="DG111" s="526">
        <f t="shared" ca="1" si="361"/>
        <v>0</v>
      </c>
      <c r="DH111" s="526">
        <f t="shared" ca="1" si="361"/>
        <v>0</v>
      </c>
      <c r="DI111" s="526">
        <f t="shared" ca="1" si="361"/>
        <v>0</v>
      </c>
      <c r="DJ111" s="526">
        <f t="shared" ca="1" si="361"/>
        <v>0</v>
      </c>
      <c r="DK111" s="526">
        <f t="shared" ca="1" si="361"/>
        <v>0</v>
      </c>
      <c r="DL111" s="526">
        <f t="shared" ca="1" si="361"/>
        <v>0</v>
      </c>
      <c r="DM111" s="526">
        <f t="shared" ca="1" si="361"/>
        <v>0</v>
      </c>
      <c r="DN111" s="526">
        <f t="shared" ca="1" si="361"/>
        <v>0</v>
      </c>
      <c r="DO111" s="526">
        <f t="shared" ca="1" si="361"/>
        <v>0</v>
      </c>
      <c r="DP111" s="526">
        <f t="shared" ca="1" si="361"/>
        <v>0</v>
      </c>
      <c r="DQ111" s="526">
        <f t="shared" ca="1" si="361"/>
        <v>0</v>
      </c>
      <c r="DR111" s="526">
        <f t="shared" ca="1" si="361"/>
        <v>0</v>
      </c>
      <c r="DS111" s="526">
        <f t="shared" ca="1" si="361"/>
        <v>0</v>
      </c>
      <c r="DT111" s="526">
        <f t="shared" ca="1" si="361"/>
        <v>0</v>
      </c>
      <c r="DU111" s="526">
        <f t="shared" ca="1" si="361"/>
        <v>0</v>
      </c>
      <c r="DV111" s="526">
        <f t="shared" ca="1" si="361"/>
        <v>0</v>
      </c>
      <c r="DW111" s="526">
        <f t="shared" ca="1" si="361"/>
        <v>0</v>
      </c>
      <c r="DX111" s="526">
        <f t="shared" ca="1" si="361"/>
        <v>0</v>
      </c>
      <c r="DY111" s="526">
        <f t="shared" ca="1" si="361"/>
        <v>0</v>
      </c>
      <c r="DZ111" s="526">
        <f t="shared" ca="1" si="361"/>
        <v>0</v>
      </c>
      <c r="EA111" s="526">
        <f t="shared" ca="1" si="361"/>
        <v>0</v>
      </c>
      <c r="EB111" s="523" t="s">
        <v>557</v>
      </c>
    </row>
    <row r="112" spans="7:132">
      <c r="EB112" s="523" t="s">
        <v>557</v>
      </c>
    </row>
    <row r="113" spans="7:132">
      <c r="G113" s="518" t="s">
        <v>1187</v>
      </c>
      <c r="K113" s="526">
        <f ca="1">K104+K111</f>
        <v>0</v>
      </c>
      <c r="L113" s="526">
        <f t="shared" ref="L113:BW113" ca="1" si="362">L104+L111</f>
        <v>0</v>
      </c>
      <c r="M113" s="526">
        <f t="shared" ca="1" si="362"/>
        <v>0</v>
      </c>
      <c r="N113" s="526">
        <f t="shared" ca="1" si="362"/>
        <v>0</v>
      </c>
      <c r="O113" s="526">
        <f t="shared" ca="1" si="362"/>
        <v>0</v>
      </c>
      <c r="P113" s="526">
        <f t="shared" ca="1" si="362"/>
        <v>0</v>
      </c>
      <c r="Q113" s="526">
        <f t="shared" ca="1" si="362"/>
        <v>0</v>
      </c>
      <c r="R113" s="526">
        <f t="shared" ca="1" si="362"/>
        <v>0</v>
      </c>
      <c r="S113" s="526">
        <f t="shared" ca="1" si="362"/>
        <v>0</v>
      </c>
      <c r="T113" s="526">
        <f t="shared" ca="1" si="362"/>
        <v>0</v>
      </c>
      <c r="U113" s="526">
        <f t="shared" ca="1" si="362"/>
        <v>0</v>
      </c>
      <c r="V113" s="526">
        <f t="shared" ca="1" si="362"/>
        <v>0</v>
      </c>
      <c r="W113" s="526">
        <f t="shared" ca="1" si="362"/>
        <v>0</v>
      </c>
      <c r="X113" s="526">
        <f t="shared" ca="1" si="362"/>
        <v>0</v>
      </c>
      <c r="Y113" s="526">
        <f t="shared" ca="1" si="362"/>
        <v>0</v>
      </c>
      <c r="Z113" s="526">
        <f t="shared" ca="1" si="362"/>
        <v>0</v>
      </c>
      <c r="AA113" s="526">
        <f t="shared" ca="1" si="362"/>
        <v>0</v>
      </c>
      <c r="AB113" s="526">
        <f t="shared" ca="1" si="362"/>
        <v>0</v>
      </c>
      <c r="AC113" s="526">
        <f t="shared" ca="1" si="362"/>
        <v>0</v>
      </c>
      <c r="AD113" s="526">
        <f t="shared" ca="1" si="362"/>
        <v>0</v>
      </c>
      <c r="AE113" s="526">
        <f t="shared" ca="1" si="362"/>
        <v>0</v>
      </c>
      <c r="AF113" s="526">
        <f t="shared" ca="1" si="362"/>
        <v>0</v>
      </c>
      <c r="AG113" s="526">
        <f t="shared" ca="1" si="362"/>
        <v>0</v>
      </c>
      <c r="AH113" s="526">
        <f t="shared" ca="1" si="362"/>
        <v>0</v>
      </c>
      <c r="AI113" s="526">
        <f t="shared" ca="1" si="362"/>
        <v>0</v>
      </c>
      <c r="AJ113" s="526">
        <f t="shared" ca="1" si="362"/>
        <v>0</v>
      </c>
      <c r="AK113" s="526">
        <f t="shared" ca="1" si="362"/>
        <v>0</v>
      </c>
      <c r="AL113" s="526">
        <f t="shared" ca="1" si="362"/>
        <v>0</v>
      </c>
      <c r="AM113" s="526">
        <f t="shared" ca="1" si="362"/>
        <v>0</v>
      </c>
      <c r="AN113" s="526">
        <f t="shared" ca="1" si="362"/>
        <v>0</v>
      </c>
      <c r="AO113" s="526">
        <f t="shared" ca="1" si="362"/>
        <v>0</v>
      </c>
      <c r="AP113" s="526">
        <f t="shared" ca="1" si="362"/>
        <v>0</v>
      </c>
      <c r="AQ113" s="526">
        <f t="shared" ca="1" si="362"/>
        <v>0</v>
      </c>
      <c r="AR113" s="526">
        <f t="shared" ca="1" si="362"/>
        <v>0</v>
      </c>
      <c r="AS113" s="526">
        <f t="shared" ca="1" si="362"/>
        <v>0</v>
      </c>
      <c r="AT113" s="526">
        <f t="shared" ca="1" si="362"/>
        <v>0</v>
      </c>
      <c r="AU113" s="526">
        <f t="shared" ca="1" si="362"/>
        <v>0</v>
      </c>
      <c r="AV113" s="526">
        <f t="shared" ca="1" si="362"/>
        <v>0</v>
      </c>
      <c r="AW113" s="526">
        <f t="shared" ca="1" si="362"/>
        <v>0</v>
      </c>
      <c r="AX113" s="526">
        <f t="shared" ca="1" si="362"/>
        <v>0</v>
      </c>
      <c r="AY113" s="526">
        <f t="shared" ca="1" si="362"/>
        <v>0</v>
      </c>
      <c r="AZ113" s="526">
        <f t="shared" ca="1" si="362"/>
        <v>0</v>
      </c>
      <c r="BA113" s="526">
        <f t="shared" ca="1" si="362"/>
        <v>0</v>
      </c>
      <c r="BB113" s="526">
        <f t="shared" ca="1" si="362"/>
        <v>0</v>
      </c>
      <c r="BC113" s="526">
        <f t="shared" ca="1" si="362"/>
        <v>0</v>
      </c>
      <c r="BD113" s="526">
        <f t="shared" ca="1" si="362"/>
        <v>0</v>
      </c>
      <c r="BE113" s="526">
        <f t="shared" ca="1" si="362"/>
        <v>0</v>
      </c>
      <c r="BF113" s="526">
        <f t="shared" ca="1" si="362"/>
        <v>0</v>
      </c>
      <c r="BG113" s="526">
        <f t="shared" ca="1" si="362"/>
        <v>0</v>
      </c>
      <c r="BH113" s="526">
        <f t="shared" ca="1" si="362"/>
        <v>0</v>
      </c>
      <c r="BI113" s="526">
        <f t="shared" ca="1" si="362"/>
        <v>0</v>
      </c>
      <c r="BJ113" s="526">
        <f t="shared" ca="1" si="362"/>
        <v>0</v>
      </c>
      <c r="BK113" s="526">
        <f t="shared" ca="1" si="362"/>
        <v>0</v>
      </c>
      <c r="BL113" s="526">
        <f t="shared" ca="1" si="362"/>
        <v>0</v>
      </c>
      <c r="BM113" s="526">
        <f t="shared" ca="1" si="362"/>
        <v>0</v>
      </c>
      <c r="BN113" s="526">
        <f t="shared" ca="1" si="362"/>
        <v>0</v>
      </c>
      <c r="BO113" s="526">
        <f t="shared" ca="1" si="362"/>
        <v>0</v>
      </c>
      <c r="BP113" s="526">
        <f t="shared" ca="1" si="362"/>
        <v>0</v>
      </c>
      <c r="BQ113" s="526">
        <f t="shared" ca="1" si="362"/>
        <v>0</v>
      </c>
      <c r="BR113" s="526">
        <f t="shared" ca="1" si="362"/>
        <v>0</v>
      </c>
      <c r="BS113" s="526">
        <f t="shared" ca="1" si="362"/>
        <v>0</v>
      </c>
      <c r="BT113" s="526">
        <f t="shared" ca="1" si="362"/>
        <v>0</v>
      </c>
      <c r="BU113" s="526">
        <f t="shared" ca="1" si="362"/>
        <v>0</v>
      </c>
      <c r="BV113" s="526">
        <f t="shared" ca="1" si="362"/>
        <v>0</v>
      </c>
      <c r="BW113" s="526">
        <f t="shared" ca="1" si="362"/>
        <v>0</v>
      </c>
      <c r="BX113" s="526">
        <f t="shared" ref="BX113:EA113" ca="1" si="363">BX104+BX111</f>
        <v>0</v>
      </c>
      <c r="BY113" s="526">
        <f t="shared" ca="1" si="363"/>
        <v>0</v>
      </c>
      <c r="BZ113" s="526">
        <f t="shared" ca="1" si="363"/>
        <v>0</v>
      </c>
      <c r="CA113" s="526">
        <f t="shared" ca="1" si="363"/>
        <v>0</v>
      </c>
      <c r="CB113" s="526">
        <f t="shared" ca="1" si="363"/>
        <v>0</v>
      </c>
      <c r="CC113" s="526">
        <f t="shared" ca="1" si="363"/>
        <v>0</v>
      </c>
      <c r="CD113" s="526">
        <f t="shared" ca="1" si="363"/>
        <v>0</v>
      </c>
      <c r="CE113" s="526">
        <f t="shared" ca="1" si="363"/>
        <v>0</v>
      </c>
      <c r="CF113" s="526">
        <f t="shared" ca="1" si="363"/>
        <v>0</v>
      </c>
      <c r="CG113" s="526">
        <f t="shared" ca="1" si="363"/>
        <v>0</v>
      </c>
      <c r="CH113" s="526">
        <f t="shared" ca="1" si="363"/>
        <v>0</v>
      </c>
      <c r="CI113" s="526">
        <f t="shared" ca="1" si="363"/>
        <v>0</v>
      </c>
      <c r="CJ113" s="526">
        <f t="shared" ca="1" si="363"/>
        <v>0</v>
      </c>
      <c r="CK113" s="526">
        <f t="shared" ca="1" si="363"/>
        <v>0</v>
      </c>
      <c r="CL113" s="526">
        <f t="shared" ca="1" si="363"/>
        <v>0</v>
      </c>
      <c r="CM113" s="526">
        <f t="shared" ca="1" si="363"/>
        <v>0</v>
      </c>
      <c r="CN113" s="526">
        <f t="shared" ca="1" si="363"/>
        <v>0</v>
      </c>
      <c r="CO113" s="526">
        <f t="shared" ca="1" si="363"/>
        <v>0</v>
      </c>
      <c r="CP113" s="526">
        <f t="shared" ca="1" si="363"/>
        <v>0</v>
      </c>
      <c r="CQ113" s="526">
        <f t="shared" ca="1" si="363"/>
        <v>0</v>
      </c>
      <c r="CR113" s="526">
        <f t="shared" ca="1" si="363"/>
        <v>0</v>
      </c>
      <c r="CS113" s="526">
        <f t="shared" ca="1" si="363"/>
        <v>0</v>
      </c>
      <c r="CT113" s="526">
        <f t="shared" ca="1" si="363"/>
        <v>0</v>
      </c>
      <c r="CU113" s="526">
        <f t="shared" ca="1" si="363"/>
        <v>0</v>
      </c>
      <c r="CV113" s="526">
        <f t="shared" ca="1" si="363"/>
        <v>0</v>
      </c>
      <c r="CW113" s="526">
        <f t="shared" ca="1" si="363"/>
        <v>0</v>
      </c>
      <c r="CX113" s="526">
        <f t="shared" ca="1" si="363"/>
        <v>0</v>
      </c>
      <c r="CY113" s="526">
        <f t="shared" ca="1" si="363"/>
        <v>0</v>
      </c>
      <c r="CZ113" s="526">
        <f t="shared" ca="1" si="363"/>
        <v>0</v>
      </c>
      <c r="DA113" s="526">
        <f t="shared" ca="1" si="363"/>
        <v>0</v>
      </c>
      <c r="DB113" s="526">
        <f t="shared" ca="1" si="363"/>
        <v>0</v>
      </c>
      <c r="DC113" s="526">
        <f t="shared" ca="1" si="363"/>
        <v>0</v>
      </c>
      <c r="DD113" s="526">
        <f t="shared" ca="1" si="363"/>
        <v>0</v>
      </c>
      <c r="DE113" s="526">
        <f t="shared" ca="1" si="363"/>
        <v>0</v>
      </c>
      <c r="DF113" s="526">
        <f t="shared" ca="1" si="363"/>
        <v>0</v>
      </c>
      <c r="DG113" s="526">
        <f t="shared" ca="1" si="363"/>
        <v>0</v>
      </c>
      <c r="DH113" s="526">
        <f t="shared" ca="1" si="363"/>
        <v>0</v>
      </c>
      <c r="DI113" s="526">
        <f t="shared" ca="1" si="363"/>
        <v>0</v>
      </c>
      <c r="DJ113" s="526">
        <f t="shared" ca="1" si="363"/>
        <v>0</v>
      </c>
      <c r="DK113" s="526">
        <f t="shared" ca="1" si="363"/>
        <v>0</v>
      </c>
      <c r="DL113" s="526">
        <f t="shared" ca="1" si="363"/>
        <v>0</v>
      </c>
      <c r="DM113" s="526">
        <f t="shared" ca="1" si="363"/>
        <v>0</v>
      </c>
      <c r="DN113" s="526">
        <f t="shared" ca="1" si="363"/>
        <v>0</v>
      </c>
      <c r="DO113" s="526">
        <f t="shared" ca="1" si="363"/>
        <v>0</v>
      </c>
      <c r="DP113" s="526">
        <f t="shared" ca="1" si="363"/>
        <v>0</v>
      </c>
      <c r="DQ113" s="526">
        <f t="shared" ca="1" si="363"/>
        <v>0</v>
      </c>
      <c r="DR113" s="526">
        <f t="shared" ca="1" si="363"/>
        <v>0</v>
      </c>
      <c r="DS113" s="526">
        <f t="shared" ca="1" si="363"/>
        <v>0</v>
      </c>
      <c r="DT113" s="526">
        <f t="shared" ca="1" si="363"/>
        <v>0</v>
      </c>
      <c r="DU113" s="526">
        <f t="shared" ca="1" si="363"/>
        <v>0</v>
      </c>
      <c r="DV113" s="526">
        <f t="shared" ca="1" si="363"/>
        <v>0</v>
      </c>
      <c r="DW113" s="526">
        <f t="shared" ca="1" si="363"/>
        <v>0</v>
      </c>
      <c r="DX113" s="526">
        <f t="shared" ca="1" si="363"/>
        <v>0</v>
      </c>
      <c r="DY113" s="526">
        <f t="shared" ca="1" si="363"/>
        <v>0</v>
      </c>
      <c r="DZ113" s="526">
        <f t="shared" ca="1" si="363"/>
        <v>0</v>
      </c>
      <c r="EA113" s="526">
        <f t="shared" ca="1" si="363"/>
        <v>0</v>
      </c>
      <c r="EB113" s="523" t="s">
        <v>557</v>
      </c>
    </row>
    <row r="114" spans="7:132" ht="18" thickBot="1">
      <c r="G114" s="554" t="s">
        <v>1167</v>
      </c>
      <c r="H114" s="555"/>
      <c r="I114" s="555"/>
      <c r="J114" s="555"/>
      <c r="K114" s="556">
        <f ca="1">K96-K113</f>
        <v>0</v>
      </c>
      <c r="L114" s="556">
        <f t="shared" ref="L114:BW114" ca="1" si="364">L96-L113</f>
        <v>0</v>
      </c>
      <c r="M114" s="556">
        <f t="shared" ca="1" si="364"/>
        <v>0</v>
      </c>
      <c r="N114" s="556">
        <f t="shared" ca="1" si="364"/>
        <v>0</v>
      </c>
      <c r="O114" s="556">
        <f t="shared" ca="1" si="364"/>
        <v>0</v>
      </c>
      <c r="P114" s="556">
        <f t="shared" ca="1" si="364"/>
        <v>0</v>
      </c>
      <c r="Q114" s="556">
        <f t="shared" ca="1" si="364"/>
        <v>0</v>
      </c>
      <c r="R114" s="556">
        <f t="shared" ca="1" si="364"/>
        <v>0</v>
      </c>
      <c r="S114" s="556">
        <f t="shared" ca="1" si="364"/>
        <v>0</v>
      </c>
      <c r="T114" s="556">
        <f t="shared" ca="1" si="364"/>
        <v>0</v>
      </c>
      <c r="U114" s="556">
        <f t="shared" ca="1" si="364"/>
        <v>0</v>
      </c>
      <c r="V114" s="556">
        <f t="shared" ca="1" si="364"/>
        <v>0</v>
      </c>
      <c r="W114" s="556">
        <f t="shared" ca="1" si="364"/>
        <v>0</v>
      </c>
      <c r="X114" s="556">
        <f t="shared" ca="1" si="364"/>
        <v>0</v>
      </c>
      <c r="Y114" s="556">
        <f t="shared" ca="1" si="364"/>
        <v>0</v>
      </c>
      <c r="Z114" s="556">
        <f t="shared" ca="1" si="364"/>
        <v>0</v>
      </c>
      <c r="AA114" s="556">
        <f t="shared" ca="1" si="364"/>
        <v>0</v>
      </c>
      <c r="AB114" s="556">
        <f t="shared" ca="1" si="364"/>
        <v>0</v>
      </c>
      <c r="AC114" s="556">
        <f t="shared" ca="1" si="364"/>
        <v>0</v>
      </c>
      <c r="AD114" s="556">
        <f t="shared" ca="1" si="364"/>
        <v>0</v>
      </c>
      <c r="AE114" s="556">
        <f t="shared" ca="1" si="364"/>
        <v>0</v>
      </c>
      <c r="AF114" s="556">
        <f t="shared" ca="1" si="364"/>
        <v>0</v>
      </c>
      <c r="AG114" s="556">
        <f t="shared" ca="1" si="364"/>
        <v>0</v>
      </c>
      <c r="AH114" s="556">
        <f t="shared" ca="1" si="364"/>
        <v>0</v>
      </c>
      <c r="AI114" s="556">
        <f t="shared" ca="1" si="364"/>
        <v>0</v>
      </c>
      <c r="AJ114" s="556">
        <f t="shared" ca="1" si="364"/>
        <v>0</v>
      </c>
      <c r="AK114" s="556">
        <f t="shared" ca="1" si="364"/>
        <v>0</v>
      </c>
      <c r="AL114" s="556">
        <f t="shared" ca="1" si="364"/>
        <v>0</v>
      </c>
      <c r="AM114" s="556">
        <f t="shared" ca="1" si="364"/>
        <v>0</v>
      </c>
      <c r="AN114" s="556">
        <f t="shared" ca="1" si="364"/>
        <v>0</v>
      </c>
      <c r="AO114" s="556">
        <f t="shared" ca="1" si="364"/>
        <v>0</v>
      </c>
      <c r="AP114" s="556">
        <f t="shared" ca="1" si="364"/>
        <v>0</v>
      </c>
      <c r="AQ114" s="556">
        <f t="shared" ca="1" si="364"/>
        <v>0</v>
      </c>
      <c r="AR114" s="556">
        <f t="shared" ca="1" si="364"/>
        <v>0</v>
      </c>
      <c r="AS114" s="556">
        <f t="shared" ca="1" si="364"/>
        <v>0</v>
      </c>
      <c r="AT114" s="556">
        <f t="shared" ca="1" si="364"/>
        <v>0</v>
      </c>
      <c r="AU114" s="556">
        <f t="shared" ca="1" si="364"/>
        <v>0</v>
      </c>
      <c r="AV114" s="556">
        <f t="shared" ca="1" si="364"/>
        <v>0</v>
      </c>
      <c r="AW114" s="556">
        <f t="shared" ca="1" si="364"/>
        <v>0</v>
      </c>
      <c r="AX114" s="556">
        <f t="shared" ca="1" si="364"/>
        <v>0</v>
      </c>
      <c r="AY114" s="556">
        <f t="shared" ca="1" si="364"/>
        <v>0</v>
      </c>
      <c r="AZ114" s="556">
        <f t="shared" ca="1" si="364"/>
        <v>0</v>
      </c>
      <c r="BA114" s="556">
        <f t="shared" ca="1" si="364"/>
        <v>0</v>
      </c>
      <c r="BB114" s="556">
        <f t="shared" ca="1" si="364"/>
        <v>0</v>
      </c>
      <c r="BC114" s="556">
        <f t="shared" ca="1" si="364"/>
        <v>0</v>
      </c>
      <c r="BD114" s="556">
        <f t="shared" ca="1" si="364"/>
        <v>0</v>
      </c>
      <c r="BE114" s="556">
        <f t="shared" ca="1" si="364"/>
        <v>0</v>
      </c>
      <c r="BF114" s="556">
        <f t="shared" ca="1" si="364"/>
        <v>0</v>
      </c>
      <c r="BG114" s="556">
        <f t="shared" ca="1" si="364"/>
        <v>22204018.349216551</v>
      </c>
      <c r="BH114" s="556">
        <f t="shared" ca="1" si="364"/>
        <v>0</v>
      </c>
      <c r="BI114" s="556">
        <f t="shared" ca="1" si="364"/>
        <v>0</v>
      </c>
      <c r="BJ114" s="556">
        <f t="shared" ca="1" si="364"/>
        <v>0</v>
      </c>
      <c r="BK114" s="556">
        <f t="shared" ca="1" si="364"/>
        <v>0</v>
      </c>
      <c r="BL114" s="556">
        <f t="shared" ca="1" si="364"/>
        <v>0</v>
      </c>
      <c r="BM114" s="556">
        <f t="shared" ca="1" si="364"/>
        <v>0</v>
      </c>
      <c r="BN114" s="556">
        <f t="shared" ca="1" si="364"/>
        <v>0</v>
      </c>
      <c r="BO114" s="556">
        <f t="shared" ca="1" si="364"/>
        <v>0</v>
      </c>
      <c r="BP114" s="556">
        <f t="shared" ca="1" si="364"/>
        <v>0</v>
      </c>
      <c r="BQ114" s="556">
        <f t="shared" ca="1" si="364"/>
        <v>0</v>
      </c>
      <c r="BR114" s="556">
        <f t="shared" ca="1" si="364"/>
        <v>0</v>
      </c>
      <c r="BS114" s="556">
        <f t="shared" ca="1" si="364"/>
        <v>0</v>
      </c>
      <c r="BT114" s="556">
        <f t="shared" ca="1" si="364"/>
        <v>0</v>
      </c>
      <c r="BU114" s="556">
        <f t="shared" ca="1" si="364"/>
        <v>0</v>
      </c>
      <c r="BV114" s="556">
        <f t="shared" ca="1" si="364"/>
        <v>0</v>
      </c>
      <c r="BW114" s="556">
        <f t="shared" ca="1" si="364"/>
        <v>0</v>
      </c>
      <c r="BX114" s="556">
        <f t="shared" ref="BX114:EA114" ca="1" si="365">BX96-BX113</f>
        <v>0</v>
      </c>
      <c r="BY114" s="556">
        <f t="shared" ca="1" si="365"/>
        <v>0</v>
      </c>
      <c r="BZ114" s="556">
        <f t="shared" ca="1" si="365"/>
        <v>0</v>
      </c>
      <c r="CA114" s="556">
        <f t="shared" ca="1" si="365"/>
        <v>0</v>
      </c>
      <c r="CB114" s="556">
        <f t="shared" ca="1" si="365"/>
        <v>0</v>
      </c>
      <c r="CC114" s="556">
        <f t="shared" ca="1" si="365"/>
        <v>0</v>
      </c>
      <c r="CD114" s="556">
        <f t="shared" ca="1" si="365"/>
        <v>0</v>
      </c>
      <c r="CE114" s="556">
        <f t="shared" ca="1" si="365"/>
        <v>0</v>
      </c>
      <c r="CF114" s="556">
        <f t="shared" ca="1" si="365"/>
        <v>0</v>
      </c>
      <c r="CG114" s="556">
        <f t="shared" ca="1" si="365"/>
        <v>0</v>
      </c>
      <c r="CH114" s="556">
        <f t="shared" ca="1" si="365"/>
        <v>0</v>
      </c>
      <c r="CI114" s="556">
        <f t="shared" ca="1" si="365"/>
        <v>0</v>
      </c>
      <c r="CJ114" s="556">
        <f t="shared" ca="1" si="365"/>
        <v>0</v>
      </c>
      <c r="CK114" s="556">
        <f t="shared" ca="1" si="365"/>
        <v>0</v>
      </c>
      <c r="CL114" s="556">
        <f t="shared" ca="1" si="365"/>
        <v>0</v>
      </c>
      <c r="CM114" s="556">
        <f t="shared" ca="1" si="365"/>
        <v>0</v>
      </c>
      <c r="CN114" s="556">
        <f t="shared" ca="1" si="365"/>
        <v>0</v>
      </c>
      <c r="CO114" s="556">
        <f t="shared" ca="1" si="365"/>
        <v>0</v>
      </c>
      <c r="CP114" s="556">
        <f t="shared" ca="1" si="365"/>
        <v>0</v>
      </c>
      <c r="CQ114" s="556">
        <f t="shared" ca="1" si="365"/>
        <v>0</v>
      </c>
      <c r="CR114" s="556">
        <f t="shared" ca="1" si="365"/>
        <v>0</v>
      </c>
      <c r="CS114" s="556">
        <f t="shared" ca="1" si="365"/>
        <v>0</v>
      </c>
      <c r="CT114" s="556">
        <f t="shared" ca="1" si="365"/>
        <v>0</v>
      </c>
      <c r="CU114" s="556">
        <f t="shared" ca="1" si="365"/>
        <v>0</v>
      </c>
      <c r="CV114" s="556">
        <f t="shared" ca="1" si="365"/>
        <v>0</v>
      </c>
      <c r="CW114" s="556">
        <f t="shared" ca="1" si="365"/>
        <v>0</v>
      </c>
      <c r="CX114" s="556">
        <f t="shared" ca="1" si="365"/>
        <v>0</v>
      </c>
      <c r="CY114" s="556">
        <f t="shared" ca="1" si="365"/>
        <v>0</v>
      </c>
      <c r="CZ114" s="556">
        <f t="shared" ca="1" si="365"/>
        <v>0</v>
      </c>
      <c r="DA114" s="556">
        <f t="shared" ca="1" si="365"/>
        <v>0</v>
      </c>
      <c r="DB114" s="556">
        <f t="shared" ca="1" si="365"/>
        <v>0</v>
      </c>
      <c r="DC114" s="556">
        <f t="shared" ca="1" si="365"/>
        <v>0</v>
      </c>
      <c r="DD114" s="556">
        <f t="shared" ca="1" si="365"/>
        <v>0</v>
      </c>
      <c r="DE114" s="556">
        <f t="shared" ca="1" si="365"/>
        <v>0</v>
      </c>
      <c r="DF114" s="556">
        <f t="shared" ca="1" si="365"/>
        <v>0</v>
      </c>
      <c r="DG114" s="556">
        <f t="shared" ca="1" si="365"/>
        <v>0</v>
      </c>
      <c r="DH114" s="556">
        <f t="shared" ca="1" si="365"/>
        <v>0</v>
      </c>
      <c r="DI114" s="556">
        <f t="shared" ca="1" si="365"/>
        <v>0</v>
      </c>
      <c r="DJ114" s="556">
        <f t="shared" ca="1" si="365"/>
        <v>0</v>
      </c>
      <c r="DK114" s="556">
        <f t="shared" ca="1" si="365"/>
        <v>0</v>
      </c>
      <c r="DL114" s="556">
        <f t="shared" ca="1" si="365"/>
        <v>0</v>
      </c>
      <c r="DM114" s="556">
        <f t="shared" ca="1" si="365"/>
        <v>0</v>
      </c>
      <c r="DN114" s="556">
        <f t="shared" ca="1" si="365"/>
        <v>0</v>
      </c>
      <c r="DO114" s="556">
        <f t="shared" ca="1" si="365"/>
        <v>0</v>
      </c>
      <c r="DP114" s="556">
        <f t="shared" ca="1" si="365"/>
        <v>0</v>
      </c>
      <c r="DQ114" s="556">
        <f t="shared" ca="1" si="365"/>
        <v>0</v>
      </c>
      <c r="DR114" s="556">
        <f t="shared" ca="1" si="365"/>
        <v>0</v>
      </c>
      <c r="DS114" s="556">
        <f t="shared" ca="1" si="365"/>
        <v>0</v>
      </c>
      <c r="DT114" s="556">
        <f t="shared" ca="1" si="365"/>
        <v>0</v>
      </c>
      <c r="DU114" s="556">
        <f t="shared" ca="1" si="365"/>
        <v>0</v>
      </c>
      <c r="DV114" s="556">
        <f t="shared" ca="1" si="365"/>
        <v>0</v>
      </c>
      <c r="DW114" s="556">
        <f t="shared" ca="1" si="365"/>
        <v>0</v>
      </c>
      <c r="DX114" s="556">
        <f t="shared" ca="1" si="365"/>
        <v>0</v>
      </c>
      <c r="DY114" s="556">
        <f t="shared" ca="1" si="365"/>
        <v>0</v>
      </c>
      <c r="DZ114" s="556">
        <f t="shared" ca="1" si="365"/>
        <v>0</v>
      </c>
      <c r="EA114" s="556">
        <f t="shared" ca="1" si="365"/>
        <v>0</v>
      </c>
      <c r="EB114" s="523" t="s">
        <v>557</v>
      </c>
    </row>
    <row r="115" spans="7:132">
      <c r="K115" s="526"/>
      <c r="L115" s="526"/>
      <c r="M115" s="526"/>
      <c r="N115" s="526"/>
      <c r="O115" s="526"/>
      <c r="P115" s="526"/>
      <c r="Q115" s="526"/>
      <c r="R115" s="526"/>
      <c r="S115" s="526"/>
      <c r="T115" s="526"/>
      <c r="U115" s="526"/>
      <c r="V115" s="526"/>
      <c r="W115" s="526"/>
      <c r="X115" s="526"/>
      <c r="Y115" s="526"/>
      <c r="Z115" s="526"/>
      <c r="AA115" s="526"/>
      <c r="AB115" s="526"/>
      <c r="AC115" s="526"/>
      <c r="AD115" s="526"/>
      <c r="AE115" s="526"/>
      <c r="AF115" s="526"/>
      <c r="AG115" s="526"/>
      <c r="AH115" s="526"/>
      <c r="AI115" s="526"/>
      <c r="AJ115" s="526"/>
      <c r="AK115" s="526"/>
      <c r="AL115" s="526"/>
      <c r="AM115" s="526"/>
      <c r="AN115" s="526"/>
      <c r="AO115" s="526"/>
      <c r="AP115" s="526"/>
      <c r="AQ115" s="526"/>
      <c r="AR115" s="526"/>
      <c r="AS115" s="526"/>
      <c r="AT115" s="526"/>
      <c r="AU115" s="526"/>
      <c r="AV115" s="526"/>
      <c r="AW115" s="526"/>
      <c r="AX115" s="526"/>
      <c r="AY115" s="526"/>
      <c r="AZ115" s="526"/>
      <c r="BA115" s="526"/>
      <c r="BB115" s="526"/>
      <c r="BC115" s="526"/>
      <c r="BD115" s="526"/>
      <c r="BE115" s="526"/>
      <c r="BF115" s="526"/>
      <c r="BG115" s="526"/>
      <c r="BH115" s="526"/>
      <c r="BI115" s="526"/>
      <c r="BJ115" s="526"/>
      <c r="BK115" s="526"/>
      <c r="BL115" s="526"/>
      <c r="BM115" s="526"/>
      <c r="BN115" s="526"/>
      <c r="BO115" s="526"/>
      <c r="BP115" s="526"/>
      <c r="BQ115" s="526"/>
      <c r="BR115" s="526"/>
      <c r="BS115" s="526"/>
      <c r="BT115" s="526"/>
      <c r="BU115" s="526"/>
      <c r="BV115" s="526"/>
      <c r="BW115" s="526"/>
      <c r="BX115" s="526"/>
      <c r="BY115" s="526"/>
      <c r="BZ115" s="526"/>
      <c r="CA115" s="526"/>
      <c r="CB115" s="526"/>
      <c r="CC115" s="526"/>
      <c r="CD115" s="526"/>
      <c r="CE115" s="526"/>
      <c r="CF115" s="526"/>
      <c r="CG115" s="526"/>
      <c r="CH115" s="526"/>
      <c r="CI115" s="526"/>
      <c r="CJ115" s="526"/>
      <c r="CK115" s="526"/>
      <c r="CL115" s="526"/>
      <c r="CM115" s="526"/>
      <c r="CN115" s="526"/>
      <c r="CO115" s="526"/>
      <c r="CP115" s="526"/>
      <c r="CQ115" s="526"/>
      <c r="CR115" s="526"/>
      <c r="CS115" s="526"/>
      <c r="CT115" s="526"/>
      <c r="CU115" s="526"/>
      <c r="CV115" s="526"/>
      <c r="CW115" s="526"/>
      <c r="CX115" s="526"/>
      <c r="CY115" s="526"/>
      <c r="CZ115" s="526"/>
      <c r="DA115" s="526"/>
      <c r="DB115" s="526"/>
      <c r="DC115" s="526"/>
      <c r="DD115" s="526"/>
      <c r="DE115" s="526"/>
      <c r="DF115" s="526"/>
      <c r="DG115" s="526"/>
      <c r="DH115" s="526"/>
      <c r="DI115" s="526"/>
      <c r="DJ115" s="526"/>
      <c r="DK115" s="526"/>
      <c r="DL115" s="526"/>
      <c r="DM115" s="526"/>
      <c r="DN115" s="526"/>
      <c r="DO115" s="526"/>
      <c r="DP115" s="526"/>
      <c r="DQ115" s="526"/>
      <c r="DR115" s="526"/>
      <c r="DS115" s="526"/>
      <c r="DT115" s="526"/>
      <c r="DU115" s="526"/>
      <c r="DV115" s="526"/>
      <c r="DW115" s="526"/>
      <c r="DX115" s="526"/>
      <c r="DY115" s="526"/>
      <c r="DZ115" s="526"/>
      <c r="EA115" s="526"/>
      <c r="EB115" s="523"/>
    </row>
    <row r="116" spans="7:132">
      <c r="EB116" s="523" t="s">
        <v>557</v>
      </c>
    </row>
    <row r="117" spans="7:132" ht="19">
      <c r="G117" s="173" t="s">
        <v>1161</v>
      </c>
      <c r="H117" s="530"/>
      <c r="I117" s="530"/>
      <c r="J117" s="530"/>
      <c r="K117" s="530"/>
      <c r="L117" s="530"/>
      <c r="M117" s="530"/>
      <c r="N117" s="530"/>
      <c r="O117" s="530"/>
      <c r="P117" s="530"/>
      <c r="Q117" s="530"/>
      <c r="R117" s="530"/>
      <c r="S117" s="530"/>
      <c r="T117" s="530"/>
      <c r="U117" s="530"/>
      <c r="V117" s="530"/>
      <c r="W117" s="530"/>
      <c r="X117" s="530"/>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30"/>
      <c r="BC117" s="530"/>
      <c r="BD117" s="530"/>
      <c r="BE117" s="530"/>
      <c r="BF117" s="530"/>
      <c r="BG117" s="530"/>
      <c r="BH117" s="530"/>
      <c r="BI117" s="530"/>
      <c r="BJ117" s="530"/>
      <c r="BK117" s="530"/>
      <c r="BL117" s="530"/>
      <c r="BM117" s="530"/>
      <c r="BN117" s="530"/>
      <c r="BO117" s="530"/>
      <c r="BP117" s="530"/>
      <c r="BQ117" s="530"/>
      <c r="BR117" s="530"/>
      <c r="BS117" s="530"/>
      <c r="BT117" s="530"/>
      <c r="BU117" s="530"/>
      <c r="BV117" s="530"/>
      <c r="BW117" s="530"/>
      <c r="BX117" s="530"/>
      <c r="BY117" s="530"/>
      <c r="BZ117" s="530"/>
      <c r="CA117" s="530"/>
      <c r="CB117" s="530"/>
      <c r="CC117" s="530"/>
      <c r="CD117" s="530"/>
      <c r="CE117" s="530"/>
      <c r="CF117" s="530"/>
      <c r="CG117" s="530"/>
      <c r="CH117" s="530"/>
      <c r="CI117" s="530"/>
      <c r="CJ117" s="530"/>
      <c r="CK117" s="530"/>
      <c r="CL117" s="530"/>
      <c r="CM117" s="530"/>
      <c r="CN117" s="530"/>
      <c r="CO117" s="530"/>
      <c r="CP117" s="530"/>
      <c r="CQ117" s="530"/>
      <c r="CR117" s="530"/>
      <c r="CS117" s="530"/>
      <c r="CT117" s="530"/>
      <c r="CU117" s="530"/>
      <c r="CV117" s="530"/>
      <c r="CW117" s="530"/>
      <c r="CX117" s="530"/>
      <c r="CY117" s="530"/>
      <c r="CZ117" s="530"/>
      <c r="DA117" s="530"/>
      <c r="DB117" s="530"/>
      <c r="DC117" s="530"/>
      <c r="DD117" s="530"/>
      <c r="DE117" s="530"/>
      <c r="DF117" s="530"/>
      <c r="DG117" s="530"/>
      <c r="DH117" s="530"/>
      <c r="DI117" s="530"/>
      <c r="DJ117" s="530"/>
      <c r="DK117" s="530"/>
      <c r="DL117" s="530"/>
      <c r="DM117" s="530"/>
      <c r="DN117" s="530"/>
      <c r="DO117" s="530"/>
      <c r="DP117" s="530"/>
      <c r="DQ117" s="530"/>
      <c r="DR117" s="530"/>
      <c r="DS117" s="530"/>
      <c r="DT117" s="530"/>
      <c r="DU117" s="530"/>
      <c r="DV117" s="530"/>
      <c r="DW117" s="530"/>
      <c r="DX117" s="530"/>
      <c r="DY117" s="530"/>
      <c r="DZ117" s="530"/>
      <c r="EA117" s="530"/>
      <c r="EB117" s="523" t="s">
        <v>557</v>
      </c>
    </row>
    <row r="118" spans="7:132">
      <c r="G118" s="518" t="s">
        <v>1188</v>
      </c>
      <c r="H118" s="539">
        <f>D20</f>
        <v>0.6</v>
      </c>
      <c r="K118" s="526">
        <f ca="1">K$114*$H118</f>
        <v>0</v>
      </c>
      <c r="L118" s="526">
        <f t="shared" ref="L118:BW119" ca="1" si="366">L$114*$H118</f>
        <v>0</v>
      </c>
      <c r="M118" s="526">
        <f t="shared" ca="1" si="366"/>
        <v>0</v>
      </c>
      <c r="N118" s="526">
        <f t="shared" ca="1" si="366"/>
        <v>0</v>
      </c>
      <c r="O118" s="526">
        <f t="shared" ca="1" si="366"/>
        <v>0</v>
      </c>
      <c r="P118" s="526">
        <f t="shared" ca="1" si="366"/>
        <v>0</v>
      </c>
      <c r="Q118" s="526">
        <f t="shared" ca="1" si="366"/>
        <v>0</v>
      </c>
      <c r="R118" s="526">
        <f t="shared" ca="1" si="366"/>
        <v>0</v>
      </c>
      <c r="S118" s="526">
        <f t="shared" ca="1" si="366"/>
        <v>0</v>
      </c>
      <c r="T118" s="526">
        <f t="shared" ca="1" si="366"/>
        <v>0</v>
      </c>
      <c r="U118" s="526">
        <f t="shared" ca="1" si="366"/>
        <v>0</v>
      </c>
      <c r="V118" s="526">
        <f t="shared" ca="1" si="366"/>
        <v>0</v>
      </c>
      <c r="W118" s="526">
        <f t="shared" ca="1" si="366"/>
        <v>0</v>
      </c>
      <c r="X118" s="526">
        <f t="shared" ca="1" si="366"/>
        <v>0</v>
      </c>
      <c r="Y118" s="526">
        <f t="shared" ca="1" si="366"/>
        <v>0</v>
      </c>
      <c r="Z118" s="526">
        <f t="shared" ca="1" si="366"/>
        <v>0</v>
      </c>
      <c r="AA118" s="526">
        <f t="shared" ca="1" si="366"/>
        <v>0</v>
      </c>
      <c r="AB118" s="526">
        <f t="shared" ca="1" si="366"/>
        <v>0</v>
      </c>
      <c r="AC118" s="526">
        <f t="shared" ca="1" si="366"/>
        <v>0</v>
      </c>
      <c r="AD118" s="526">
        <f t="shared" ca="1" si="366"/>
        <v>0</v>
      </c>
      <c r="AE118" s="526">
        <f t="shared" ca="1" si="366"/>
        <v>0</v>
      </c>
      <c r="AF118" s="526">
        <f t="shared" ca="1" si="366"/>
        <v>0</v>
      </c>
      <c r="AG118" s="526">
        <f t="shared" ca="1" si="366"/>
        <v>0</v>
      </c>
      <c r="AH118" s="526">
        <f t="shared" ca="1" si="366"/>
        <v>0</v>
      </c>
      <c r="AI118" s="526">
        <f t="shared" ca="1" si="366"/>
        <v>0</v>
      </c>
      <c r="AJ118" s="526">
        <f t="shared" ca="1" si="366"/>
        <v>0</v>
      </c>
      <c r="AK118" s="526">
        <f t="shared" ca="1" si="366"/>
        <v>0</v>
      </c>
      <c r="AL118" s="526">
        <f t="shared" ca="1" si="366"/>
        <v>0</v>
      </c>
      <c r="AM118" s="526">
        <f t="shared" ca="1" si="366"/>
        <v>0</v>
      </c>
      <c r="AN118" s="526">
        <f t="shared" ca="1" si="366"/>
        <v>0</v>
      </c>
      <c r="AO118" s="526">
        <f t="shared" ca="1" si="366"/>
        <v>0</v>
      </c>
      <c r="AP118" s="526">
        <f t="shared" ca="1" si="366"/>
        <v>0</v>
      </c>
      <c r="AQ118" s="526">
        <f t="shared" ca="1" si="366"/>
        <v>0</v>
      </c>
      <c r="AR118" s="526">
        <f t="shared" ca="1" si="366"/>
        <v>0</v>
      </c>
      <c r="AS118" s="526">
        <f t="shared" ca="1" si="366"/>
        <v>0</v>
      </c>
      <c r="AT118" s="526">
        <f t="shared" ca="1" si="366"/>
        <v>0</v>
      </c>
      <c r="AU118" s="526">
        <f t="shared" ca="1" si="366"/>
        <v>0</v>
      </c>
      <c r="AV118" s="526">
        <f t="shared" ca="1" si="366"/>
        <v>0</v>
      </c>
      <c r="AW118" s="526">
        <f t="shared" ca="1" si="366"/>
        <v>0</v>
      </c>
      <c r="AX118" s="526">
        <f t="shared" ca="1" si="366"/>
        <v>0</v>
      </c>
      <c r="AY118" s="526">
        <f t="shared" ca="1" si="366"/>
        <v>0</v>
      </c>
      <c r="AZ118" s="526">
        <f t="shared" ca="1" si="366"/>
        <v>0</v>
      </c>
      <c r="BA118" s="526">
        <f t="shared" ca="1" si="366"/>
        <v>0</v>
      </c>
      <c r="BB118" s="526">
        <f t="shared" ca="1" si="366"/>
        <v>0</v>
      </c>
      <c r="BC118" s="526">
        <f t="shared" ca="1" si="366"/>
        <v>0</v>
      </c>
      <c r="BD118" s="526">
        <f t="shared" ca="1" si="366"/>
        <v>0</v>
      </c>
      <c r="BE118" s="526">
        <f t="shared" ca="1" si="366"/>
        <v>0</v>
      </c>
      <c r="BF118" s="526">
        <f t="shared" ca="1" si="366"/>
        <v>0</v>
      </c>
      <c r="BG118" s="526">
        <f t="shared" ca="1" si="366"/>
        <v>13322411.00952993</v>
      </c>
      <c r="BH118" s="526">
        <f t="shared" ca="1" si="366"/>
        <v>0</v>
      </c>
      <c r="BI118" s="526">
        <f t="shared" ca="1" si="366"/>
        <v>0</v>
      </c>
      <c r="BJ118" s="526">
        <f t="shared" ca="1" si="366"/>
        <v>0</v>
      </c>
      <c r="BK118" s="526">
        <f t="shared" ca="1" si="366"/>
        <v>0</v>
      </c>
      <c r="BL118" s="526">
        <f t="shared" ca="1" si="366"/>
        <v>0</v>
      </c>
      <c r="BM118" s="526">
        <f t="shared" ca="1" si="366"/>
        <v>0</v>
      </c>
      <c r="BN118" s="526">
        <f t="shared" ca="1" si="366"/>
        <v>0</v>
      </c>
      <c r="BO118" s="526">
        <f t="shared" ca="1" si="366"/>
        <v>0</v>
      </c>
      <c r="BP118" s="526">
        <f t="shared" ca="1" si="366"/>
        <v>0</v>
      </c>
      <c r="BQ118" s="526">
        <f t="shared" ca="1" si="366"/>
        <v>0</v>
      </c>
      <c r="BR118" s="526">
        <f t="shared" ca="1" si="366"/>
        <v>0</v>
      </c>
      <c r="BS118" s="526">
        <f t="shared" ca="1" si="366"/>
        <v>0</v>
      </c>
      <c r="BT118" s="526">
        <f t="shared" ca="1" si="366"/>
        <v>0</v>
      </c>
      <c r="BU118" s="526">
        <f t="shared" ca="1" si="366"/>
        <v>0</v>
      </c>
      <c r="BV118" s="526">
        <f t="shared" ca="1" si="366"/>
        <v>0</v>
      </c>
      <c r="BW118" s="526">
        <f t="shared" ca="1" si="366"/>
        <v>0</v>
      </c>
      <c r="BX118" s="526">
        <f t="shared" ref="BX118:EA119" ca="1" si="367">BX$114*$H118</f>
        <v>0</v>
      </c>
      <c r="BY118" s="526">
        <f t="shared" ca="1" si="367"/>
        <v>0</v>
      </c>
      <c r="BZ118" s="526">
        <f t="shared" ca="1" si="367"/>
        <v>0</v>
      </c>
      <c r="CA118" s="526">
        <f t="shared" ca="1" si="367"/>
        <v>0</v>
      </c>
      <c r="CB118" s="526">
        <f t="shared" ca="1" si="367"/>
        <v>0</v>
      </c>
      <c r="CC118" s="526">
        <f t="shared" ca="1" si="367"/>
        <v>0</v>
      </c>
      <c r="CD118" s="526">
        <f t="shared" ca="1" si="367"/>
        <v>0</v>
      </c>
      <c r="CE118" s="526">
        <f t="shared" ca="1" si="367"/>
        <v>0</v>
      </c>
      <c r="CF118" s="526">
        <f t="shared" ca="1" si="367"/>
        <v>0</v>
      </c>
      <c r="CG118" s="526">
        <f t="shared" ca="1" si="367"/>
        <v>0</v>
      </c>
      <c r="CH118" s="526">
        <f t="shared" ca="1" si="367"/>
        <v>0</v>
      </c>
      <c r="CI118" s="526">
        <f t="shared" ca="1" si="367"/>
        <v>0</v>
      </c>
      <c r="CJ118" s="526">
        <f t="shared" ca="1" si="367"/>
        <v>0</v>
      </c>
      <c r="CK118" s="526">
        <f t="shared" ca="1" si="367"/>
        <v>0</v>
      </c>
      <c r="CL118" s="526">
        <f t="shared" ca="1" si="367"/>
        <v>0</v>
      </c>
      <c r="CM118" s="526">
        <f t="shared" ca="1" si="367"/>
        <v>0</v>
      </c>
      <c r="CN118" s="526">
        <f t="shared" ca="1" si="367"/>
        <v>0</v>
      </c>
      <c r="CO118" s="526">
        <f t="shared" ca="1" si="367"/>
        <v>0</v>
      </c>
      <c r="CP118" s="526">
        <f t="shared" ca="1" si="367"/>
        <v>0</v>
      </c>
      <c r="CQ118" s="526">
        <f t="shared" ca="1" si="367"/>
        <v>0</v>
      </c>
      <c r="CR118" s="526">
        <f t="shared" ca="1" si="367"/>
        <v>0</v>
      </c>
      <c r="CS118" s="526">
        <f t="shared" ca="1" si="367"/>
        <v>0</v>
      </c>
      <c r="CT118" s="526">
        <f t="shared" ca="1" si="367"/>
        <v>0</v>
      </c>
      <c r="CU118" s="526">
        <f t="shared" ca="1" si="367"/>
        <v>0</v>
      </c>
      <c r="CV118" s="526">
        <f t="shared" ca="1" si="367"/>
        <v>0</v>
      </c>
      <c r="CW118" s="526">
        <f t="shared" ca="1" si="367"/>
        <v>0</v>
      </c>
      <c r="CX118" s="526">
        <f t="shared" ca="1" si="367"/>
        <v>0</v>
      </c>
      <c r="CY118" s="526">
        <f t="shared" ca="1" si="367"/>
        <v>0</v>
      </c>
      <c r="CZ118" s="526">
        <f t="shared" ca="1" si="367"/>
        <v>0</v>
      </c>
      <c r="DA118" s="526">
        <f t="shared" ca="1" si="367"/>
        <v>0</v>
      </c>
      <c r="DB118" s="526">
        <f t="shared" ca="1" si="367"/>
        <v>0</v>
      </c>
      <c r="DC118" s="526">
        <f t="shared" ca="1" si="367"/>
        <v>0</v>
      </c>
      <c r="DD118" s="526">
        <f t="shared" ca="1" si="367"/>
        <v>0</v>
      </c>
      <c r="DE118" s="526">
        <f t="shared" ca="1" si="367"/>
        <v>0</v>
      </c>
      <c r="DF118" s="526">
        <f t="shared" ca="1" si="367"/>
        <v>0</v>
      </c>
      <c r="DG118" s="526">
        <f t="shared" ca="1" si="367"/>
        <v>0</v>
      </c>
      <c r="DH118" s="526">
        <f t="shared" ca="1" si="367"/>
        <v>0</v>
      </c>
      <c r="DI118" s="526">
        <f t="shared" ca="1" si="367"/>
        <v>0</v>
      </c>
      <c r="DJ118" s="526">
        <f t="shared" ca="1" si="367"/>
        <v>0</v>
      </c>
      <c r="DK118" s="526">
        <f t="shared" ca="1" si="367"/>
        <v>0</v>
      </c>
      <c r="DL118" s="526">
        <f t="shared" ca="1" si="367"/>
        <v>0</v>
      </c>
      <c r="DM118" s="526">
        <f t="shared" ca="1" si="367"/>
        <v>0</v>
      </c>
      <c r="DN118" s="526">
        <f t="shared" ca="1" si="367"/>
        <v>0</v>
      </c>
      <c r="DO118" s="526">
        <f t="shared" ca="1" si="367"/>
        <v>0</v>
      </c>
      <c r="DP118" s="526">
        <f t="shared" ca="1" si="367"/>
        <v>0</v>
      </c>
      <c r="DQ118" s="526">
        <f t="shared" ca="1" si="367"/>
        <v>0</v>
      </c>
      <c r="DR118" s="526">
        <f t="shared" ca="1" si="367"/>
        <v>0</v>
      </c>
      <c r="DS118" s="526">
        <f t="shared" ca="1" si="367"/>
        <v>0</v>
      </c>
      <c r="DT118" s="526">
        <f t="shared" ca="1" si="367"/>
        <v>0</v>
      </c>
      <c r="DU118" s="526">
        <f t="shared" ca="1" si="367"/>
        <v>0</v>
      </c>
      <c r="DV118" s="526">
        <f t="shared" ca="1" si="367"/>
        <v>0</v>
      </c>
      <c r="DW118" s="526">
        <f t="shared" ca="1" si="367"/>
        <v>0</v>
      </c>
      <c r="DX118" s="526">
        <f t="shared" ca="1" si="367"/>
        <v>0</v>
      </c>
      <c r="DY118" s="526">
        <f t="shared" ca="1" si="367"/>
        <v>0</v>
      </c>
      <c r="DZ118" s="526">
        <f t="shared" ca="1" si="367"/>
        <v>0</v>
      </c>
      <c r="EA118" s="526">
        <f t="shared" ca="1" si="367"/>
        <v>0</v>
      </c>
      <c r="EB118" s="523" t="s">
        <v>557</v>
      </c>
    </row>
    <row r="119" spans="7:132">
      <c r="G119" s="518" t="s">
        <v>1189</v>
      </c>
      <c r="H119" s="539">
        <f>C20</f>
        <v>0.4</v>
      </c>
      <c r="K119" s="526">
        <f ca="1">K$114*$H119</f>
        <v>0</v>
      </c>
      <c r="L119" s="526">
        <f t="shared" ca="1" si="366"/>
        <v>0</v>
      </c>
      <c r="M119" s="526">
        <f t="shared" ca="1" si="366"/>
        <v>0</v>
      </c>
      <c r="N119" s="526">
        <f t="shared" ca="1" si="366"/>
        <v>0</v>
      </c>
      <c r="O119" s="526">
        <f t="shared" ca="1" si="366"/>
        <v>0</v>
      </c>
      <c r="P119" s="526">
        <f t="shared" ca="1" si="366"/>
        <v>0</v>
      </c>
      <c r="Q119" s="526">
        <f t="shared" ca="1" si="366"/>
        <v>0</v>
      </c>
      <c r="R119" s="526">
        <f t="shared" ca="1" si="366"/>
        <v>0</v>
      </c>
      <c r="S119" s="526">
        <f t="shared" ca="1" si="366"/>
        <v>0</v>
      </c>
      <c r="T119" s="526">
        <f t="shared" ca="1" si="366"/>
        <v>0</v>
      </c>
      <c r="U119" s="526">
        <f t="shared" ca="1" si="366"/>
        <v>0</v>
      </c>
      <c r="V119" s="526">
        <f t="shared" ca="1" si="366"/>
        <v>0</v>
      </c>
      <c r="W119" s="526">
        <f t="shared" ca="1" si="366"/>
        <v>0</v>
      </c>
      <c r="X119" s="526">
        <f t="shared" ca="1" si="366"/>
        <v>0</v>
      </c>
      <c r="Y119" s="526">
        <f t="shared" ca="1" si="366"/>
        <v>0</v>
      </c>
      <c r="Z119" s="526">
        <f t="shared" ca="1" si="366"/>
        <v>0</v>
      </c>
      <c r="AA119" s="526">
        <f t="shared" ca="1" si="366"/>
        <v>0</v>
      </c>
      <c r="AB119" s="526">
        <f t="shared" ca="1" si="366"/>
        <v>0</v>
      </c>
      <c r="AC119" s="526">
        <f t="shared" ca="1" si="366"/>
        <v>0</v>
      </c>
      <c r="AD119" s="526">
        <f t="shared" ca="1" si="366"/>
        <v>0</v>
      </c>
      <c r="AE119" s="526">
        <f t="shared" ca="1" si="366"/>
        <v>0</v>
      </c>
      <c r="AF119" s="526">
        <f t="shared" ca="1" si="366"/>
        <v>0</v>
      </c>
      <c r="AG119" s="526">
        <f t="shared" ca="1" si="366"/>
        <v>0</v>
      </c>
      <c r="AH119" s="526">
        <f t="shared" ca="1" si="366"/>
        <v>0</v>
      </c>
      <c r="AI119" s="526">
        <f t="shared" ca="1" si="366"/>
        <v>0</v>
      </c>
      <c r="AJ119" s="526">
        <f t="shared" ca="1" si="366"/>
        <v>0</v>
      </c>
      <c r="AK119" s="526">
        <f t="shared" ca="1" si="366"/>
        <v>0</v>
      </c>
      <c r="AL119" s="526">
        <f t="shared" ca="1" si="366"/>
        <v>0</v>
      </c>
      <c r="AM119" s="526">
        <f t="shared" ca="1" si="366"/>
        <v>0</v>
      </c>
      <c r="AN119" s="526">
        <f t="shared" ca="1" si="366"/>
        <v>0</v>
      </c>
      <c r="AO119" s="526">
        <f t="shared" ca="1" si="366"/>
        <v>0</v>
      </c>
      <c r="AP119" s="526">
        <f t="shared" ca="1" si="366"/>
        <v>0</v>
      </c>
      <c r="AQ119" s="526">
        <f t="shared" ca="1" si="366"/>
        <v>0</v>
      </c>
      <c r="AR119" s="526">
        <f t="shared" ca="1" si="366"/>
        <v>0</v>
      </c>
      <c r="AS119" s="526">
        <f t="shared" ca="1" si="366"/>
        <v>0</v>
      </c>
      <c r="AT119" s="526">
        <f t="shared" ca="1" si="366"/>
        <v>0</v>
      </c>
      <c r="AU119" s="526">
        <f t="shared" ca="1" si="366"/>
        <v>0</v>
      </c>
      <c r="AV119" s="526">
        <f t="shared" ca="1" si="366"/>
        <v>0</v>
      </c>
      <c r="AW119" s="526">
        <f t="shared" ca="1" si="366"/>
        <v>0</v>
      </c>
      <c r="AX119" s="526">
        <f t="shared" ca="1" si="366"/>
        <v>0</v>
      </c>
      <c r="AY119" s="526">
        <f t="shared" ca="1" si="366"/>
        <v>0</v>
      </c>
      <c r="AZ119" s="526">
        <f t="shared" ca="1" si="366"/>
        <v>0</v>
      </c>
      <c r="BA119" s="526">
        <f t="shared" ca="1" si="366"/>
        <v>0</v>
      </c>
      <c r="BB119" s="526">
        <f t="shared" ca="1" si="366"/>
        <v>0</v>
      </c>
      <c r="BC119" s="526">
        <f t="shared" ca="1" si="366"/>
        <v>0</v>
      </c>
      <c r="BD119" s="526">
        <f t="shared" ca="1" si="366"/>
        <v>0</v>
      </c>
      <c r="BE119" s="526">
        <f t="shared" ca="1" si="366"/>
        <v>0</v>
      </c>
      <c r="BF119" s="526">
        <f t="shared" ca="1" si="366"/>
        <v>0</v>
      </c>
      <c r="BG119" s="526">
        <f t="shared" ca="1" si="366"/>
        <v>8881607.339686621</v>
      </c>
      <c r="BH119" s="526">
        <f t="shared" ca="1" si="366"/>
        <v>0</v>
      </c>
      <c r="BI119" s="526">
        <f t="shared" ca="1" si="366"/>
        <v>0</v>
      </c>
      <c r="BJ119" s="526">
        <f t="shared" ca="1" si="366"/>
        <v>0</v>
      </c>
      <c r="BK119" s="526">
        <f t="shared" ca="1" si="366"/>
        <v>0</v>
      </c>
      <c r="BL119" s="526">
        <f t="shared" ca="1" si="366"/>
        <v>0</v>
      </c>
      <c r="BM119" s="526">
        <f t="shared" ca="1" si="366"/>
        <v>0</v>
      </c>
      <c r="BN119" s="526">
        <f t="shared" ca="1" si="366"/>
        <v>0</v>
      </c>
      <c r="BO119" s="526">
        <f t="shared" ca="1" si="366"/>
        <v>0</v>
      </c>
      <c r="BP119" s="526">
        <f t="shared" ca="1" si="366"/>
        <v>0</v>
      </c>
      <c r="BQ119" s="526">
        <f t="shared" ca="1" si="366"/>
        <v>0</v>
      </c>
      <c r="BR119" s="526">
        <f t="shared" ca="1" si="366"/>
        <v>0</v>
      </c>
      <c r="BS119" s="526">
        <f t="shared" ca="1" si="366"/>
        <v>0</v>
      </c>
      <c r="BT119" s="526">
        <f t="shared" ca="1" si="366"/>
        <v>0</v>
      </c>
      <c r="BU119" s="526">
        <f t="shared" ca="1" si="366"/>
        <v>0</v>
      </c>
      <c r="BV119" s="526">
        <f t="shared" ca="1" si="366"/>
        <v>0</v>
      </c>
      <c r="BW119" s="526">
        <f t="shared" ca="1" si="366"/>
        <v>0</v>
      </c>
      <c r="BX119" s="526">
        <f t="shared" ca="1" si="367"/>
        <v>0</v>
      </c>
      <c r="BY119" s="526">
        <f t="shared" ca="1" si="367"/>
        <v>0</v>
      </c>
      <c r="BZ119" s="526">
        <f t="shared" ca="1" si="367"/>
        <v>0</v>
      </c>
      <c r="CA119" s="526">
        <f t="shared" ca="1" si="367"/>
        <v>0</v>
      </c>
      <c r="CB119" s="526">
        <f t="shared" ca="1" si="367"/>
        <v>0</v>
      </c>
      <c r="CC119" s="526">
        <f t="shared" ca="1" si="367"/>
        <v>0</v>
      </c>
      <c r="CD119" s="526">
        <f t="shared" ca="1" si="367"/>
        <v>0</v>
      </c>
      <c r="CE119" s="526">
        <f t="shared" ca="1" si="367"/>
        <v>0</v>
      </c>
      <c r="CF119" s="526">
        <f t="shared" ca="1" si="367"/>
        <v>0</v>
      </c>
      <c r="CG119" s="526">
        <f t="shared" ca="1" si="367"/>
        <v>0</v>
      </c>
      <c r="CH119" s="526">
        <f t="shared" ca="1" si="367"/>
        <v>0</v>
      </c>
      <c r="CI119" s="526">
        <f t="shared" ca="1" si="367"/>
        <v>0</v>
      </c>
      <c r="CJ119" s="526">
        <f t="shared" ca="1" si="367"/>
        <v>0</v>
      </c>
      <c r="CK119" s="526">
        <f t="shared" ca="1" si="367"/>
        <v>0</v>
      </c>
      <c r="CL119" s="526">
        <f t="shared" ca="1" si="367"/>
        <v>0</v>
      </c>
      <c r="CM119" s="526">
        <f t="shared" ca="1" si="367"/>
        <v>0</v>
      </c>
      <c r="CN119" s="526">
        <f t="shared" ca="1" si="367"/>
        <v>0</v>
      </c>
      <c r="CO119" s="526">
        <f t="shared" ca="1" si="367"/>
        <v>0</v>
      </c>
      <c r="CP119" s="526">
        <f t="shared" ca="1" si="367"/>
        <v>0</v>
      </c>
      <c r="CQ119" s="526">
        <f t="shared" ca="1" si="367"/>
        <v>0</v>
      </c>
      <c r="CR119" s="526">
        <f t="shared" ca="1" si="367"/>
        <v>0</v>
      </c>
      <c r="CS119" s="526">
        <f t="shared" ca="1" si="367"/>
        <v>0</v>
      </c>
      <c r="CT119" s="526">
        <f t="shared" ca="1" si="367"/>
        <v>0</v>
      </c>
      <c r="CU119" s="526">
        <f t="shared" ca="1" si="367"/>
        <v>0</v>
      </c>
      <c r="CV119" s="526">
        <f t="shared" ca="1" si="367"/>
        <v>0</v>
      </c>
      <c r="CW119" s="526">
        <f t="shared" ca="1" si="367"/>
        <v>0</v>
      </c>
      <c r="CX119" s="526">
        <f t="shared" ca="1" si="367"/>
        <v>0</v>
      </c>
      <c r="CY119" s="526">
        <f t="shared" ca="1" si="367"/>
        <v>0</v>
      </c>
      <c r="CZ119" s="526">
        <f t="shared" ca="1" si="367"/>
        <v>0</v>
      </c>
      <c r="DA119" s="526">
        <f t="shared" ca="1" si="367"/>
        <v>0</v>
      </c>
      <c r="DB119" s="526">
        <f t="shared" ca="1" si="367"/>
        <v>0</v>
      </c>
      <c r="DC119" s="526">
        <f t="shared" ca="1" si="367"/>
        <v>0</v>
      </c>
      <c r="DD119" s="526">
        <f t="shared" ca="1" si="367"/>
        <v>0</v>
      </c>
      <c r="DE119" s="526">
        <f t="shared" ca="1" si="367"/>
        <v>0</v>
      </c>
      <c r="DF119" s="526">
        <f t="shared" ca="1" si="367"/>
        <v>0</v>
      </c>
      <c r="DG119" s="526">
        <f t="shared" ca="1" si="367"/>
        <v>0</v>
      </c>
      <c r="DH119" s="526">
        <f t="shared" ca="1" si="367"/>
        <v>0</v>
      </c>
      <c r="DI119" s="526">
        <f t="shared" ca="1" si="367"/>
        <v>0</v>
      </c>
      <c r="DJ119" s="526">
        <f t="shared" ca="1" si="367"/>
        <v>0</v>
      </c>
      <c r="DK119" s="526">
        <f t="shared" ca="1" si="367"/>
        <v>0</v>
      </c>
      <c r="DL119" s="526">
        <f t="shared" ca="1" si="367"/>
        <v>0</v>
      </c>
      <c r="DM119" s="526">
        <f t="shared" ca="1" si="367"/>
        <v>0</v>
      </c>
      <c r="DN119" s="526">
        <f t="shared" ca="1" si="367"/>
        <v>0</v>
      </c>
      <c r="DO119" s="526">
        <f t="shared" ca="1" si="367"/>
        <v>0</v>
      </c>
      <c r="DP119" s="526">
        <f t="shared" ca="1" si="367"/>
        <v>0</v>
      </c>
      <c r="DQ119" s="526">
        <f t="shared" ca="1" si="367"/>
        <v>0</v>
      </c>
      <c r="DR119" s="526">
        <f t="shared" ca="1" si="367"/>
        <v>0</v>
      </c>
      <c r="DS119" s="526">
        <f t="shared" ca="1" si="367"/>
        <v>0</v>
      </c>
      <c r="DT119" s="526">
        <f t="shared" ca="1" si="367"/>
        <v>0</v>
      </c>
      <c r="DU119" s="526">
        <f t="shared" ca="1" si="367"/>
        <v>0</v>
      </c>
      <c r="DV119" s="526">
        <f t="shared" ca="1" si="367"/>
        <v>0</v>
      </c>
      <c r="DW119" s="526">
        <f t="shared" ca="1" si="367"/>
        <v>0</v>
      </c>
      <c r="DX119" s="526">
        <f t="shared" ca="1" si="367"/>
        <v>0</v>
      </c>
      <c r="DY119" s="526">
        <f t="shared" ca="1" si="367"/>
        <v>0</v>
      </c>
      <c r="DZ119" s="526">
        <f t="shared" ca="1" si="367"/>
        <v>0</v>
      </c>
      <c r="EA119" s="526">
        <f t="shared" ca="1" si="367"/>
        <v>0</v>
      </c>
      <c r="EB119" s="523" t="s">
        <v>557</v>
      </c>
    </row>
    <row r="120" spans="7:132" ht="18" thickBot="1">
      <c r="G120" s="554" t="s">
        <v>1190</v>
      </c>
      <c r="H120" s="555"/>
      <c r="I120" s="555"/>
      <c r="J120" s="555"/>
      <c r="K120" s="556">
        <f ca="1">K118+K119</f>
        <v>0</v>
      </c>
      <c r="L120" s="556">
        <f t="shared" ref="L120:BW120" ca="1" si="368">L118+L119</f>
        <v>0</v>
      </c>
      <c r="M120" s="556">
        <f t="shared" ca="1" si="368"/>
        <v>0</v>
      </c>
      <c r="N120" s="556">
        <f t="shared" ca="1" si="368"/>
        <v>0</v>
      </c>
      <c r="O120" s="556">
        <f t="shared" ca="1" si="368"/>
        <v>0</v>
      </c>
      <c r="P120" s="556">
        <f t="shared" ca="1" si="368"/>
        <v>0</v>
      </c>
      <c r="Q120" s="556">
        <f t="shared" ca="1" si="368"/>
        <v>0</v>
      </c>
      <c r="R120" s="556">
        <f t="shared" ca="1" si="368"/>
        <v>0</v>
      </c>
      <c r="S120" s="556">
        <f t="shared" ca="1" si="368"/>
        <v>0</v>
      </c>
      <c r="T120" s="556">
        <f t="shared" ca="1" si="368"/>
        <v>0</v>
      </c>
      <c r="U120" s="556">
        <f t="shared" ca="1" si="368"/>
        <v>0</v>
      </c>
      <c r="V120" s="556">
        <f t="shared" ca="1" si="368"/>
        <v>0</v>
      </c>
      <c r="W120" s="556">
        <f t="shared" ca="1" si="368"/>
        <v>0</v>
      </c>
      <c r="X120" s="556">
        <f t="shared" ca="1" si="368"/>
        <v>0</v>
      </c>
      <c r="Y120" s="556">
        <f t="shared" ca="1" si="368"/>
        <v>0</v>
      </c>
      <c r="Z120" s="556">
        <f t="shared" ca="1" si="368"/>
        <v>0</v>
      </c>
      <c r="AA120" s="556">
        <f t="shared" ca="1" si="368"/>
        <v>0</v>
      </c>
      <c r="AB120" s="556">
        <f t="shared" ca="1" si="368"/>
        <v>0</v>
      </c>
      <c r="AC120" s="556">
        <f t="shared" ca="1" si="368"/>
        <v>0</v>
      </c>
      <c r="AD120" s="556">
        <f t="shared" ca="1" si="368"/>
        <v>0</v>
      </c>
      <c r="AE120" s="556">
        <f t="shared" ca="1" si="368"/>
        <v>0</v>
      </c>
      <c r="AF120" s="556">
        <f t="shared" ca="1" si="368"/>
        <v>0</v>
      </c>
      <c r="AG120" s="556">
        <f t="shared" ca="1" si="368"/>
        <v>0</v>
      </c>
      <c r="AH120" s="556">
        <f t="shared" ca="1" si="368"/>
        <v>0</v>
      </c>
      <c r="AI120" s="556">
        <f t="shared" ca="1" si="368"/>
        <v>0</v>
      </c>
      <c r="AJ120" s="556">
        <f t="shared" ca="1" si="368"/>
        <v>0</v>
      </c>
      <c r="AK120" s="556">
        <f t="shared" ca="1" si="368"/>
        <v>0</v>
      </c>
      <c r="AL120" s="556">
        <f t="shared" ca="1" si="368"/>
        <v>0</v>
      </c>
      <c r="AM120" s="556">
        <f t="shared" ca="1" si="368"/>
        <v>0</v>
      </c>
      <c r="AN120" s="556">
        <f t="shared" ca="1" si="368"/>
        <v>0</v>
      </c>
      <c r="AO120" s="556">
        <f t="shared" ca="1" si="368"/>
        <v>0</v>
      </c>
      <c r="AP120" s="556">
        <f t="shared" ca="1" si="368"/>
        <v>0</v>
      </c>
      <c r="AQ120" s="556">
        <f t="shared" ca="1" si="368"/>
        <v>0</v>
      </c>
      <c r="AR120" s="556">
        <f t="shared" ca="1" si="368"/>
        <v>0</v>
      </c>
      <c r="AS120" s="556">
        <f t="shared" ca="1" si="368"/>
        <v>0</v>
      </c>
      <c r="AT120" s="556">
        <f t="shared" ca="1" si="368"/>
        <v>0</v>
      </c>
      <c r="AU120" s="556">
        <f t="shared" ca="1" si="368"/>
        <v>0</v>
      </c>
      <c r="AV120" s="556">
        <f t="shared" ca="1" si="368"/>
        <v>0</v>
      </c>
      <c r="AW120" s="556">
        <f t="shared" ca="1" si="368"/>
        <v>0</v>
      </c>
      <c r="AX120" s="556">
        <f t="shared" ca="1" si="368"/>
        <v>0</v>
      </c>
      <c r="AY120" s="556">
        <f t="shared" ca="1" si="368"/>
        <v>0</v>
      </c>
      <c r="AZ120" s="556">
        <f t="shared" ca="1" si="368"/>
        <v>0</v>
      </c>
      <c r="BA120" s="556">
        <f t="shared" ca="1" si="368"/>
        <v>0</v>
      </c>
      <c r="BB120" s="556">
        <f t="shared" ca="1" si="368"/>
        <v>0</v>
      </c>
      <c r="BC120" s="556">
        <f t="shared" ca="1" si="368"/>
        <v>0</v>
      </c>
      <c r="BD120" s="556">
        <f t="shared" ca="1" si="368"/>
        <v>0</v>
      </c>
      <c r="BE120" s="556">
        <f t="shared" ca="1" si="368"/>
        <v>0</v>
      </c>
      <c r="BF120" s="556">
        <f t="shared" ca="1" si="368"/>
        <v>0</v>
      </c>
      <c r="BG120" s="556">
        <f t="shared" ca="1" si="368"/>
        <v>22204018.349216551</v>
      </c>
      <c r="BH120" s="556">
        <f t="shared" ca="1" si="368"/>
        <v>0</v>
      </c>
      <c r="BI120" s="556">
        <f t="shared" ca="1" si="368"/>
        <v>0</v>
      </c>
      <c r="BJ120" s="556">
        <f t="shared" ca="1" si="368"/>
        <v>0</v>
      </c>
      <c r="BK120" s="556">
        <f t="shared" ca="1" si="368"/>
        <v>0</v>
      </c>
      <c r="BL120" s="556">
        <f t="shared" ca="1" si="368"/>
        <v>0</v>
      </c>
      <c r="BM120" s="556">
        <f t="shared" ca="1" si="368"/>
        <v>0</v>
      </c>
      <c r="BN120" s="556">
        <f t="shared" ca="1" si="368"/>
        <v>0</v>
      </c>
      <c r="BO120" s="556">
        <f t="shared" ca="1" si="368"/>
        <v>0</v>
      </c>
      <c r="BP120" s="556">
        <f t="shared" ca="1" si="368"/>
        <v>0</v>
      </c>
      <c r="BQ120" s="556">
        <f t="shared" ca="1" si="368"/>
        <v>0</v>
      </c>
      <c r="BR120" s="556">
        <f t="shared" ca="1" si="368"/>
        <v>0</v>
      </c>
      <c r="BS120" s="556">
        <f t="shared" ca="1" si="368"/>
        <v>0</v>
      </c>
      <c r="BT120" s="556">
        <f t="shared" ca="1" si="368"/>
        <v>0</v>
      </c>
      <c r="BU120" s="556">
        <f t="shared" ca="1" si="368"/>
        <v>0</v>
      </c>
      <c r="BV120" s="556">
        <f t="shared" ca="1" si="368"/>
        <v>0</v>
      </c>
      <c r="BW120" s="556">
        <f t="shared" ca="1" si="368"/>
        <v>0</v>
      </c>
      <c r="BX120" s="556">
        <f t="shared" ref="BX120:EA120" ca="1" si="369">BX118+BX119</f>
        <v>0</v>
      </c>
      <c r="BY120" s="556">
        <f t="shared" ca="1" si="369"/>
        <v>0</v>
      </c>
      <c r="BZ120" s="556">
        <f t="shared" ca="1" si="369"/>
        <v>0</v>
      </c>
      <c r="CA120" s="556">
        <f t="shared" ca="1" si="369"/>
        <v>0</v>
      </c>
      <c r="CB120" s="556">
        <f t="shared" ca="1" si="369"/>
        <v>0</v>
      </c>
      <c r="CC120" s="556">
        <f t="shared" ca="1" si="369"/>
        <v>0</v>
      </c>
      <c r="CD120" s="556">
        <f t="shared" ca="1" si="369"/>
        <v>0</v>
      </c>
      <c r="CE120" s="556">
        <f t="shared" ca="1" si="369"/>
        <v>0</v>
      </c>
      <c r="CF120" s="556">
        <f t="shared" ca="1" si="369"/>
        <v>0</v>
      </c>
      <c r="CG120" s="556">
        <f t="shared" ca="1" si="369"/>
        <v>0</v>
      </c>
      <c r="CH120" s="556">
        <f t="shared" ca="1" si="369"/>
        <v>0</v>
      </c>
      <c r="CI120" s="556">
        <f t="shared" ca="1" si="369"/>
        <v>0</v>
      </c>
      <c r="CJ120" s="556">
        <f t="shared" ca="1" si="369"/>
        <v>0</v>
      </c>
      <c r="CK120" s="556">
        <f t="shared" ca="1" si="369"/>
        <v>0</v>
      </c>
      <c r="CL120" s="556">
        <f t="shared" ca="1" si="369"/>
        <v>0</v>
      </c>
      <c r="CM120" s="556">
        <f t="shared" ca="1" si="369"/>
        <v>0</v>
      </c>
      <c r="CN120" s="556">
        <f t="shared" ca="1" si="369"/>
        <v>0</v>
      </c>
      <c r="CO120" s="556">
        <f t="shared" ca="1" si="369"/>
        <v>0</v>
      </c>
      <c r="CP120" s="556">
        <f t="shared" ca="1" si="369"/>
        <v>0</v>
      </c>
      <c r="CQ120" s="556">
        <f t="shared" ca="1" si="369"/>
        <v>0</v>
      </c>
      <c r="CR120" s="556">
        <f t="shared" ca="1" si="369"/>
        <v>0</v>
      </c>
      <c r="CS120" s="556">
        <f t="shared" ca="1" si="369"/>
        <v>0</v>
      </c>
      <c r="CT120" s="556">
        <f t="shared" ca="1" si="369"/>
        <v>0</v>
      </c>
      <c r="CU120" s="556">
        <f t="shared" ca="1" si="369"/>
        <v>0</v>
      </c>
      <c r="CV120" s="556">
        <f t="shared" ca="1" si="369"/>
        <v>0</v>
      </c>
      <c r="CW120" s="556">
        <f t="shared" ca="1" si="369"/>
        <v>0</v>
      </c>
      <c r="CX120" s="556">
        <f t="shared" ca="1" si="369"/>
        <v>0</v>
      </c>
      <c r="CY120" s="556">
        <f t="shared" ca="1" si="369"/>
        <v>0</v>
      </c>
      <c r="CZ120" s="556">
        <f t="shared" ca="1" si="369"/>
        <v>0</v>
      </c>
      <c r="DA120" s="556">
        <f t="shared" ca="1" si="369"/>
        <v>0</v>
      </c>
      <c r="DB120" s="556">
        <f t="shared" ca="1" si="369"/>
        <v>0</v>
      </c>
      <c r="DC120" s="556">
        <f t="shared" ca="1" si="369"/>
        <v>0</v>
      </c>
      <c r="DD120" s="556">
        <f t="shared" ca="1" si="369"/>
        <v>0</v>
      </c>
      <c r="DE120" s="556">
        <f t="shared" ca="1" si="369"/>
        <v>0</v>
      </c>
      <c r="DF120" s="556">
        <f t="shared" ca="1" si="369"/>
        <v>0</v>
      </c>
      <c r="DG120" s="556">
        <f t="shared" ca="1" si="369"/>
        <v>0</v>
      </c>
      <c r="DH120" s="556">
        <f t="shared" ca="1" si="369"/>
        <v>0</v>
      </c>
      <c r="DI120" s="556">
        <f t="shared" ca="1" si="369"/>
        <v>0</v>
      </c>
      <c r="DJ120" s="556">
        <f t="shared" ca="1" si="369"/>
        <v>0</v>
      </c>
      <c r="DK120" s="556">
        <f t="shared" ca="1" si="369"/>
        <v>0</v>
      </c>
      <c r="DL120" s="556">
        <f t="shared" ca="1" si="369"/>
        <v>0</v>
      </c>
      <c r="DM120" s="556">
        <f t="shared" ca="1" si="369"/>
        <v>0</v>
      </c>
      <c r="DN120" s="556">
        <f t="shared" ca="1" si="369"/>
        <v>0</v>
      </c>
      <c r="DO120" s="556">
        <f t="shared" ca="1" si="369"/>
        <v>0</v>
      </c>
      <c r="DP120" s="556">
        <f t="shared" ca="1" si="369"/>
        <v>0</v>
      </c>
      <c r="DQ120" s="556">
        <f t="shared" ca="1" si="369"/>
        <v>0</v>
      </c>
      <c r="DR120" s="556">
        <f t="shared" ca="1" si="369"/>
        <v>0</v>
      </c>
      <c r="DS120" s="556">
        <f t="shared" ca="1" si="369"/>
        <v>0</v>
      </c>
      <c r="DT120" s="556">
        <f t="shared" ca="1" si="369"/>
        <v>0</v>
      </c>
      <c r="DU120" s="556">
        <f t="shared" ca="1" si="369"/>
        <v>0</v>
      </c>
      <c r="DV120" s="556">
        <f t="shared" ca="1" si="369"/>
        <v>0</v>
      </c>
      <c r="DW120" s="556">
        <f t="shared" ca="1" si="369"/>
        <v>0</v>
      </c>
      <c r="DX120" s="556">
        <f t="shared" ca="1" si="369"/>
        <v>0</v>
      </c>
      <c r="DY120" s="556">
        <f t="shared" ca="1" si="369"/>
        <v>0</v>
      </c>
      <c r="DZ120" s="556">
        <f t="shared" ca="1" si="369"/>
        <v>0</v>
      </c>
      <c r="EA120" s="556">
        <f t="shared" ca="1" si="369"/>
        <v>0</v>
      </c>
      <c r="EB120" s="523" t="s">
        <v>557</v>
      </c>
    </row>
    <row r="121" spans="7:132">
      <c r="K121" s="526"/>
      <c r="L121" s="526"/>
      <c r="M121" s="526"/>
      <c r="N121" s="526"/>
      <c r="O121" s="526"/>
      <c r="P121" s="526"/>
      <c r="Q121" s="526"/>
      <c r="R121" s="526"/>
      <c r="S121" s="526"/>
      <c r="T121" s="526"/>
      <c r="U121" s="526"/>
      <c r="V121" s="526"/>
      <c r="W121" s="526"/>
      <c r="X121" s="526"/>
      <c r="Y121" s="526"/>
      <c r="Z121" s="526"/>
      <c r="AA121" s="526"/>
      <c r="AB121" s="526"/>
      <c r="AC121" s="526"/>
      <c r="AD121" s="526"/>
      <c r="AE121" s="526"/>
      <c r="AF121" s="526"/>
      <c r="AG121" s="526"/>
      <c r="AH121" s="526"/>
      <c r="AI121" s="526"/>
      <c r="AJ121" s="526"/>
      <c r="AK121" s="526"/>
      <c r="AL121" s="526"/>
      <c r="AM121" s="526"/>
      <c r="AN121" s="526"/>
      <c r="AO121" s="526"/>
      <c r="AP121" s="526"/>
      <c r="AQ121" s="526"/>
      <c r="AR121" s="526"/>
      <c r="AS121" s="526"/>
      <c r="AT121" s="526"/>
      <c r="AU121" s="526"/>
      <c r="AV121" s="526"/>
      <c r="AW121" s="526"/>
      <c r="AX121" s="526"/>
      <c r="AY121" s="526"/>
      <c r="AZ121" s="526"/>
      <c r="BA121" s="526"/>
      <c r="BB121" s="526"/>
      <c r="BC121" s="526"/>
      <c r="BD121" s="526"/>
      <c r="BE121" s="526"/>
      <c r="BF121" s="526"/>
      <c r="BG121" s="526"/>
      <c r="BH121" s="526"/>
      <c r="BI121" s="526"/>
      <c r="BJ121" s="526"/>
      <c r="BK121" s="526"/>
      <c r="BL121" s="526"/>
      <c r="BM121" s="526"/>
      <c r="BN121" s="526"/>
      <c r="BO121" s="526"/>
      <c r="BP121" s="526"/>
      <c r="BQ121" s="526"/>
      <c r="BR121" s="526"/>
      <c r="BS121" s="526"/>
      <c r="BT121" s="526"/>
      <c r="BU121" s="526"/>
      <c r="BV121" s="526"/>
      <c r="BW121" s="526"/>
      <c r="BX121" s="526"/>
      <c r="BY121" s="526"/>
      <c r="BZ121" s="526"/>
      <c r="CA121" s="526"/>
      <c r="CB121" s="526"/>
      <c r="CC121" s="526"/>
      <c r="CD121" s="526"/>
      <c r="CE121" s="526"/>
      <c r="CF121" s="526"/>
      <c r="CG121" s="526"/>
      <c r="CH121" s="526"/>
      <c r="CI121" s="526"/>
      <c r="CJ121" s="526"/>
      <c r="CK121" s="526"/>
      <c r="CL121" s="526"/>
      <c r="CM121" s="526"/>
      <c r="CN121" s="526"/>
      <c r="CO121" s="526"/>
      <c r="CP121" s="526"/>
      <c r="CQ121" s="526"/>
      <c r="CR121" s="526"/>
      <c r="CS121" s="526"/>
      <c r="CT121" s="526"/>
      <c r="CU121" s="526"/>
      <c r="CV121" s="526"/>
      <c r="CW121" s="526"/>
      <c r="CX121" s="526"/>
      <c r="CY121" s="526"/>
      <c r="CZ121" s="526"/>
      <c r="DA121" s="526"/>
      <c r="DB121" s="526"/>
      <c r="DC121" s="526"/>
      <c r="DD121" s="526"/>
      <c r="DE121" s="526"/>
      <c r="DF121" s="526"/>
      <c r="DG121" s="526"/>
      <c r="DH121" s="526"/>
      <c r="DI121" s="526"/>
      <c r="DJ121" s="526"/>
      <c r="DK121" s="526"/>
      <c r="DL121" s="526"/>
      <c r="DM121" s="526"/>
      <c r="DN121" s="526"/>
      <c r="DO121" s="526"/>
      <c r="DP121" s="526"/>
      <c r="DQ121" s="526"/>
      <c r="DR121" s="526"/>
      <c r="DS121" s="526"/>
      <c r="DT121" s="526"/>
      <c r="DU121" s="526"/>
      <c r="DV121" s="526"/>
      <c r="DW121" s="526"/>
      <c r="DX121" s="526"/>
      <c r="DY121" s="526"/>
      <c r="DZ121" s="526"/>
      <c r="EA121" s="526"/>
      <c r="EB121" s="523"/>
    </row>
    <row r="122" spans="7:132">
      <c r="K122" s="526"/>
      <c r="L122" s="526"/>
      <c r="M122" s="526"/>
      <c r="N122" s="526"/>
      <c r="O122" s="526"/>
      <c r="P122" s="526"/>
      <c r="Q122" s="526"/>
      <c r="R122" s="526"/>
      <c r="S122" s="526"/>
      <c r="T122" s="526"/>
      <c r="U122" s="526"/>
      <c r="V122" s="526"/>
      <c r="W122" s="526"/>
      <c r="X122" s="526"/>
      <c r="Y122" s="526"/>
      <c r="Z122" s="526"/>
      <c r="AA122" s="526"/>
      <c r="AB122" s="526"/>
      <c r="AC122" s="526"/>
      <c r="AD122" s="526"/>
      <c r="AE122" s="526"/>
      <c r="AF122" s="526"/>
      <c r="AG122" s="526"/>
      <c r="AH122" s="526"/>
      <c r="AI122" s="526"/>
      <c r="AJ122" s="526"/>
      <c r="AK122" s="526"/>
      <c r="AL122" s="526"/>
      <c r="AM122" s="526"/>
      <c r="AN122" s="526"/>
      <c r="AO122" s="526"/>
      <c r="AP122" s="526"/>
      <c r="AQ122" s="526"/>
      <c r="AR122" s="526"/>
      <c r="AS122" s="526"/>
      <c r="AT122" s="526"/>
      <c r="AU122" s="526"/>
      <c r="AV122" s="526"/>
      <c r="AW122" s="526"/>
      <c r="AX122" s="526"/>
      <c r="AY122" s="526"/>
      <c r="AZ122" s="526"/>
      <c r="BA122" s="526"/>
      <c r="BB122" s="526"/>
      <c r="BC122" s="526"/>
      <c r="BD122" s="526"/>
      <c r="BE122" s="526"/>
      <c r="BF122" s="526"/>
      <c r="BG122" s="526"/>
      <c r="BH122" s="526"/>
      <c r="BI122" s="526"/>
      <c r="BJ122" s="526"/>
      <c r="BK122" s="526"/>
      <c r="BL122" s="526"/>
      <c r="BM122" s="526"/>
      <c r="BN122" s="526"/>
      <c r="BO122" s="526"/>
      <c r="BP122" s="526"/>
      <c r="BQ122" s="526"/>
      <c r="BR122" s="526"/>
      <c r="BS122" s="526"/>
      <c r="BT122" s="526"/>
      <c r="BU122" s="526"/>
      <c r="BV122" s="526"/>
      <c r="BW122" s="526"/>
      <c r="BX122" s="526"/>
      <c r="BY122" s="526"/>
      <c r="BZ122" s="526"/>
      <c r="CA122" s="526"/>
      <c r="CB122" s="526"/>
      <c r="CC122" s="526"/>
      <c r="CD122" s="526"/>
      <c r="CE122" s="526"/>
      <c r="CF122" s="526"/>
      <c r="CG122" s="526"/>
      <c r="CH122" s="526"/>
      <c r="CI122" s="526"/>
      <c r="CJ122" s="526"/>
      <c r="CK122" s="526"/>
      <c r="CL122" s="526"/>
      <c r="CM122" s="526"/>
      <c r="CN122" s="526"/>
      <c r="CO122" s="526"/>
      <c r="CP122" s="526"/>
      <c r="CQ122" s="526"/>
      <c r="CR122" s="526"/>
      <c r="CS122" s="526"/>
      <c r="CT122" s="526"/>
      <c r="CU122" s="526"/>
      <c r="CV122" s="526"/>
      <c r="CW122" s="526"/>
      <c r="CX122" s="526"/>
      <c r="CY122" s="526"/>
      <c r="CZ122" s="526"/>
      <c r="DA122" s="526"/>
      <c r="DB122" s="526"/>
      <c r="DC122" s="526"/>
      <c r="DD122" s="526"/>
      <c r="DE122" s="526"/>
      <c r="DF122" s="526"/>
      <c r="DG122" s="526"/>
      <c r="DH122" s="526"/>
      <c r="DI122" s="526"/>
      <c r="DJ122" s="526"/>
      <c r="DK122" s="526"/>
      <c r="DL122" s="526"/>
      <c r="DM122" s="526"/>
      <c r="DN122" s="526"/>
      <c r="DO122" s="526"/>
      <c r="DP122" s="526"/>
      <c r="DQ122" s="526"/>
      <c r="DR122" s="526"/>
      <c r="DS122" s="526"/>
      <c r="DT122" s="526"/>
      <c r="DU122" s="526"/>
      <c r="DV122" s="526"/>
      <c r="DW122" s="526"/>
      <c r="DX122" s="526"/>
      <c r="DY122" s="526"/>
      <c r="DZ122" s="526"/>
      <c r="EA122" s="526"/>
      <c r="EB122" s="523"/>
    </row>
    <row r="123" spans="7:132">
      <c r="EB123" s="523" t="s">
        <v>557</v>
      </c>
    </row>
    <row r="124" spans="7:132" ht="19">
      <c r="G124" s="173" t="s">
        <v>1191</v>
      </c>
      <c r="H124" s="530"/>
      <c r="I124" s="530"/>
      <c r="J124" s="530"/>
      <c r="K124" s="530"/>
      <c r="L124" s="530"/>
      <c r="M124" s="530"/>
      <c r="N124" s="530"/>
      <c r="O124" s="530"/>
      <c r="P124" s="530"/>
      <c r="Q124" s="530"/>
      <c r="R124" s="530"/>
      <c r="S124" s="530"/>
      <c r="T124" s="530"/>
      <c r="U124" s="530"/>
      <c r="V124" s="530"/>
      <c r="W124" s="530"/>
      <c r="X124" s="530"/>
      <c r="Y124" s="530"/>
      <c r="Z124" s="530"/>
      <c r="AA124" s="530"/>
      <c r="AB124" s="530"/>
      <c r="AC124" s="530"/>
      <c r="AD124" s="530"/>
      <c r="AE124" s="530"/>
      <c r="AF124" s="530"/>
      <c r="AG124" s="530"/>
      <c r="AH124" s="530"/>
      <c r="AI124" s="530"/>
      <c r="AJ124" s="530"/>
      <c r="AK124" s="530"/>
      <c r="AL124" s="530"/>
      <c r="AM124" s="530"/>
      <c r="AN124" s="530"/>
      <c r="AO124" s="530"/>
      <c r="AP124" s="530"/>
      <c r="AQ124" s="530"/>
      <c r="AR124" s="530"/>
      <c r="AS124" s="530"/>
      <c r="AT124" s="530"/>
      <c r="AU124" s="530"/>
      <c r="AV124" s="530"/>
      <c r="AW124" s="530"/>
      <c r="AX124" s="530"/>
      <c r="AY124" s="530"/>
      <c r="AZ124" s="530"/>
      <c r="BA124" s="530"/>
      <c r="BB124" s="530"/>
      <c r="BC124" s="530"/>
      <c r="BD124" s="530"/>
      <c r="BE124" s="530"/>
      <c r="BF124" s="530"/>
      <c r="BG124" s="530"/>
      <c r="BH124" s="530"/>
      <c r="BI124" s="530"/>
      <c r="BJ124" s="530"/>
      <c r="BK124" s="530"/>
      <c r="BL124" s="530"/>
      <c r="BM124" s="530"/>
      <c r="BN124" s="530"/>
      <c r="BO124" s="530"/>
      <c r="BP124" s="530"/>
      <c r="BQ124" s="530"/>
      <c r="BR124" s="530"/>
      <c r="BS124" s="530"/>
      <c r="BT124" s="530"/>
      <c r="BU124" s="530"/>
      <c r="BV124" s="530"/>
      <c r="BW124" s="530"/>
      <c r="BX124" s="530"/>
      <c r="BY124" s="530"/>
      <c r="BZ124" s="530"/>
      <c r="CA124" s="530"/>
      <c r="CB124" s="530"/>
      <c r="CC124" s="530"/>
      <c r="CD124" s="530"/>
      <c r="CE124" s="530"/>
      <c r="CF124" s="530"/>
      <c r="CG124" s="530"/>
      <c r="CH124" s="530"/>
      <c r="CI124" s="530"/>
      <c r="CJ124" s="530"/>
      <c r="CK124" s="530"/>
      <c r="CL124" s="530"/>
      <c r="CM124" s="530"/>
      <c r="CN124" s="530"/>
      <c r="CO124" s="530"/>
      <c r="CP124" s="530"/>
      <c r="CQ124" s="530"/>
      <c r="CR124" s="530"/>
      <c r="CS124" s="530"/>
      <c r="CT124" s="530"/>
      <c r="CU124" s="530"/>
      <c r="CV124" s="530"/>
      <c r="CW124" s="530"/>
      <c r="CX124" s="530"/>
      <c r="CY124" s="530"/>
      <c r="CZ124" s="530"/>
      <c r="DA124" s="530"/>
      <c r="DB124" s="530"/>
      <c r="DC124" s="530"/>
      <c r="DD124" s="530"/>
      <c r="DE124" s="530"/>
      <c r="DF124" s="530"/>
      <c r="DG124" s="530"/>
      <c r="DH124" s="530"/>
      <c r="DI124" s="530"/>
      <c r="DJ124" s="530"/>
      <c r="DK124" s="530"/>
      <c r="DL124" s="530"/>
      <c r="DM124" s="530"/>
      <c r="DN124" s="530"/>
      <c r="DO124" s="530"/>
      <c r="DP124" s="530"/>
      <c r="DQ124" s="530"/>
      <c r="DR124" s="530"/>
      <c r="DS124" s="530"/>
      <c r="DT124" s="530"/>
      <c r="DU124" s="530"/>
      <c r="DV124" s="530"/>
      <c r="DW124" s="530"/>
      <c r="DX124" s="530"/>
      <c r="DY124" s="530"/>
      <c r="DZ124" s="530"/>
      <c r="EA124" s="530"/>
      <c r="EB124" s="523" t="s">
        <v>557</v>
      </c>
    </row>
    <row r="125" spans="7:132">
      <c r="G125" s="518" t="s">
        <v>1192</v>
      </c>
      <c r="H125" s="539"/>
      <c r="I125" s="526">
        <f ca="1">SUM(K125:EA125)</f>
        <v>33618411.009529933</v>
      </c>
      <c r="K125" s="526">
        <f ca="1">K12+K32+K50+K68+K86+K104+K118</f>
        <v>0</v>
      </c>
      <c r="L125" s="526">
        <f t="shared" ref="L125:BW125" ca="1" si="370">L12+L32+L50+L68+L86+L104+L118</f>
        <v>75142.199419975848</v>
      </c>
      <c r="M125" s="526">
        <f t="shared" ca="1" si="370"/>
        <v>77255.772749442272</v>
      </c>
      <c r="N125" s="526">
        <f t="shared" ca="1" si="370"/>
        <v>79383.436567771874</v>
      </c>
      <c r="O125" s="526">
        <f t="shared" ca="1" si="370"/>
        <v>81525.284811557081</v>
      </c>
      <c r="P125" s="526">
        <f t="shared" ca="1" si="370"/>
        <v>83681.412043634118</v>
      </c>
      <c r="Q125" s="526">
        <f t="shared" ca="1" si="370"/>
        <v>85851.913457258299</v>
      </c>
      <c r="R125" s="526">
        <f t="shared" ca="1" si="370"/>
        <v>88036.884880306709</v>
      </c>
      <c r="S125" s="526">
        <f t="shared" ca="1" si="370"/>
        <v>90236.422779508677</v>
      </c>
      <c r="T125" s="526">
        <f t="shared" ca="1" si="370"/>
        <v>92450.624264705359</v>
      </c>
      <c r="U125" s="526">
        <f t="shared" ca="1" si="370"/>
        <v>94679.587093136754</v>
      </c>
      <c r="V125" s="526">
        <f t="shared" ca="1" si="370"/>
        <v>96923.409673757662</v>
      </c>
      <c r="W125" s="526">
        <f t="shared" ca="1" si="370"/>
        <v>99182.191071582594</v>
      </c>
      <c r="X125" s="526">
        <f t="shared" ca="1" si="370"/>
        <v>99132.252015780003</v>
      </c>
      <c r="Y125" s="526">
        <f t="shared" ca="1" si="370"/>
        <v>101277.30024087873</v>
      </c>
      <c r="Z125" s="526">
        <f t="shared" ca="1" si="370"/>
        <v>103435.75501738423</v>
      </c>
      <c r="AA125" s="526">
        <f t="shared" ca="1" si="370"/>
        <v>105607.70013624289</v>
      </c>
      <c r="AB125" s="526">
        <f t="shared" ca="1" si="370"/>
        <v>107793.2199120944</v>
      </c>
      <c r="AC125" s="526">
        <f t="shared" ca="1" si="370"/>
        <v>109992.39918654515</v>
      </c>
      <c r="AD125" s="526">
        <f t="shared" ca="1" si="370"/>
        <v>112205.32333146107</v>
      </c>
      <c r="AE125" s="526">
        <f t="shared" ca="1" si="370"/>
        <v>114432.07825228265</v>
      </c>
      <c r="AF125" s="526">
        <f t="shared" ca="1" si="370"/>
        <v>116672.75039135954</v>
      </c>
      <c r="AG125" s="526">
        <f t="shared" ca="1" si="370"/>
        <v>118927.4267313055</v>
      </c>
      <c r="AH125" s="526">
        <f t="shared" ca="1" si="370"/>
        <v>121196.19479837616</v>
      </c>
      <c r="AI125" s="526">
        <f t="shared" ca="1" si="370"/>
        <v>123479.14266586611</v>
      </c>
      <c r="AJ125" s="526">
        <f t="shared" ca="1" si="370"/>
        <v>122481.38876808564</v>
      </c>
      <c r="AK125" s="526">
        <f t="shared" ca="1" si="370"/>
        <v>123710.65473037933</v>
      </c>
      <c r="AL125" s="526">
        <f t="shared" ca="1" si="370"/>
        <v>124944.01824588062</v>
      </c>
      <c r="AM125" s="526">
        <f t="shared" ca="1" si="370"/>
        <v>126181.4929731002</v>
      </c>
      <c r="AN125" s="526">
        <f t="shared" ca="1" si="370"/>
        <v>127423.09261607715</v>
      </c>
      <c r="AO125" s="526">
        <f t="shared" ca="1" si="370"/>
        <v>128668.83092453091</v>
      </c>
      <c r="AP125" s="526">
        <f t="shared" ca="1" si="370"/>
        <v>129918.72169401268</v>
      </c>
      <c r="AQ125" s="526">
        <f t="shared" ca="1" si="370"/>
        <v>131172.77876605943</v>
      </c>
      <c r="AR125" s="526">
        <f t="shared" ca="1" si="370"/>
        <v>132431.01602834626</v>
      </c>
      <c r="AS125" s="526">
        <f t="shared" ca="1" si="370"/>
        <v>133693.44741484086</v>
      </c>
      <c r="AT125" s="526">
        <f t="shared" ca="1" si="370"/>
        <v>134960.08690595691</v>
      </c>
      <c r="AU125" s="526">
        <f t="shared" ca="1" si="370"/>
        <v>136230.94852871029</v>
      </c>
      <c r="AV125" s="526">
        <f t="shared" ca="1" si="370"/>
        <v>135241.08391927258</v>
      </c>
      <c r="AW125" s="526">
        <f t="shared" ca="1" si="370"/>
        <v>136520.43207352899</v>
      </c>
      <c r="AX125" s="526">
        <f t="shared" ca="1" si="370"/>
        <v>137804.04472163261</v>
      </c>
      <c r="AY125" s="526">
        <f t="shared" ca="1" si="370"/>
        <v>139091.93607856351</v>
      </c>
      <c r="AZ125" s="526">
        <f t="shared" ca="1" si="370"/>
        <v>140384.12040668412</v>
      </c>
      <c r="BA125" s="526">
        <f t="shared" ca="1" si="370"/>
        <v>141680.61201589828</v>
      </c>
      <c r="BB125" s="526">
        <f t="shared" ca="1" si="370"/>
        <v>142981.42526381009</v>
      </c>
      <c r="BC125" s="526">
        <f t="shared" ca="1" si="370"/>
        <v>144286.57455588144</v>
      </c>
      <c r="BD125" s="526">
        <f t="shared" ca="1" si="370"/>
        <v>145596.07434559317</v>
      </c>
      <c r="BE125" s="526">
        <f t="shared" ca="1" si="370"/>
        <v>146909.93913460377</v>
      </c>
      <c r="BF125" s="526">
        <f t="shared" ca="1" si="370"/>
        <v>148228.18347291125</v>
      </c>
      <c r="BG125" s="526">
        <f t="shared" ca="1" si="370"/>
        <v>28129369.424453359</v>
      </c>
      <c r="BH125" s="526">
        <f t="shared" ca="1" si="370"/>
        <v>0</v>
      </c>
      <c r="BI125" s="526">
        <f t="shared" ca="1" si="370"/>
        <v>0</v>
      </c>
      <c r="BJ125" s="526">
        <f t="shared" ca="1" si="370"/>
        <v>0</v>
      </c>
      <c r="BK125" s="526">
        <f t="shared" ca="1" si="370"/>
        <v>0</v>
      </c>
      <c r="BL125" s="526">
        <f t="shared" ca="1" si="370"/>
        <v>0</v>
      </c>
      <c r="BM125" s="526">
        <f t="shared" ca="1" si="370"/>
        <v>0</v>
      </c>
      <c r="BN125" s="526">
        <f t="shared" ca="1" si="370"/>
        <v>0</v>
      </c>
      <c r="BO125" s="526">
        <f t="shared" ca="1" si="370"/>
        <v>0</v>
      </c>
      <c r="BP125" s="526">
        <f t="shared" ca="1" si="370"/>
        <v>0</v>
      </c>
      <c r="BQ125" s="526">
        <f t="shared" ca="1" si="370"/>
        <v>0</v>
      </c>
      <c r="BR125" s="526">
        <f t="shared" ca="1" si="370"/>
        <v>0</v>
      </c>
      <c r="BS125" s="526">
        <f t="shared" ca="1" si="370"/>
        <v>0</v>
      </c>
      <c r="BT125" s="526">
        <f t="shared" ca="1" si="370"/>
        <v>0</v>
      </c>
      <c r="BU125" s="526">
        <f t="shared" ca="1" si="370"/>
        <v>0</v>
      </c>
      <c r="BV125" s="526">
        <f t="shared" ca="1" si="370"/>
        <v>0</v>
      </c>
      <c r="BW125" s="526">
        <f t="shared" ca="1" si="370"/>
        <v>0</v>
      </c>
      <c r="BX125" s="526">
        <f t="shared" ref="BX125:EA125" ca="1" si="371">BX12+BX32+BX50+BX68+BX86+BX104+BX118</f>
        <v>0</v>
      </c>
      <c r="BY125" s="526">
        <f t="shared" ca="1" si="371"/>
        <v>0</v>
      </c>
      <c r="BZ125" s="526">
        <f t="shared" ca="1" si="371"/>
        <v>0</v>
      </c>
      <c r="CA125" s="526">
        <f t="shared" ca="1" si="371"/>
        <v>0</v>
      </c>
      <c r="CB125" s="526">
        <f t="shared" ca="1" si="371"/>
        <v>0</v>
      </c>
      <c r="CC125" s="526">
        <f t="shared" ca="1" si="371"/>
        <v>0</v>
      </c>
      <c r="CD125" s="526">
        <f t="shared" ca="1" si="371"/>
        <v>0</v>
      </c>
      <c r="CE125" s="526">
        <f t="shared" ca="1" si="371"/>
        <v>0</v>
      </c>
      <c r="CF125" s="526">
        <f t="shared" ca="1" si="371"/>
        <v>0</v>
      </c>
      <c r="CG125" s="526">
        <f t="shared" ca="1" si="371"/>
        <v>0</v>
      </c>
      <c r="CH125" s="526">
        <f t="shared" ca="1" si="371"/>
        <v>0</v>
      </c>
      <c r="CI125" s="526">
        <f t="shared" ca="1" si="371"/>
        <v>0</v>
      </c>
      <c r="CJ125" s="526">
        <f t="shared" ca="1" si="371"/>
        <v>0</v>
      </c>
      <c r="CK125" s="526">
        <f t="shared" ca="1" si="371"/>
        <v>0</v>
      </c>
      <c r="CL125" s="526">
        <f t="shared" ca="1" si="371"/>
        <v>0</v>
      </c>
      <c r="CM125" s="526">
        <f t="shared" ca="1" si="371"/>
        <v>0</v>
      </c>
      <c r="CN125" s="526">
        <f t="shared" ca="1" si="371"/>
        <v>0</v>
      </c>
      <c r="CO125" s="526">
        <f t="shared" ca="1" si="371"/>
        <v>0</v>
      </c>
      <c r="CP125" s="526">
        <f t="shared" ca="1" si="371"/>
        <v>0</v>
      </c>
      <c r="CQ125" s="526">
        <f t="shared" ca="1" si="371"/>
        <v>0</v>
      </c>
      <c r="CR125" s="526">
        <f t="shared" ca="1" si="371"/>
        <v>0</v>
      </c>
      <c r="CS125" s="526">
        <f t="shared" ca="1" si="371"/>
        <v>0</v>
      </c>
      <c r="CT125" s="526">
        <f t="shared" ca="1" si="371"/>
        <v>0</v>
      </c>
      <c r="CU125" s="526">
        <f t="shared" ca="1" si="371"/>
        <v>0</v>
      </c>
      <c r="CV125" s="526">
        <f t="shared" ca="1" si="371"/>
        <v>0</v>
      </c>
      <c r="CW125" s="526">
        <f t="shared" ca="1" si="371"/>
        <v>0</v>
      </c>
      <c r="CX125" s="526">
        <f t="shared" ca="1" si="371"/>
        <v>0</v>
      </c>
      <c r="CY125" s="526">
        <f t="shared" ca="1" si="371"/>
        <v>0</v>
      </c>
      <c r="CZ125" s="526">
        <f t="shared" ca="1" si="371"/>
        <v>0</v>
      </c>
      <c r="DA125" s="526">
        <f t="shared" ca="1" si="371"/>
        <v>0</v>
      </c>
      <c r="DB125" s="526">
        <f t="shared" ca="1" si="371"/>
        <v>0</v>
      </c>
      <c r="DC125" s="526">
        <f t="shared" ca="1" si="371"/>
        <v>0</v>
      </c>
      <c r="DD125" s="526">
        <f t="shared" ca="1" si="371"/>
        <v>0</v>
      </c>
      <c r="DE125" s="526">
        <f t="shared" ca="1" si="371"/>
        <v>0</v>
      </c>
      <c r="DF125" s="526">
        <f t="shared" ca="1" si="371"/>
        <v>0</v>
      </c>
      <c r="DG125" s="526">
        <f t="shared" ca="1" si="371"/>
        <v>0</v>
      </c>
      <c r="DH125" s="526">
        <f t="shared" ca="1" si="371"/>
        <v>0</v>
      </c>
      <c r="DI125" s="526">
        <f t="shared" ca="1" si="371"/>
        <v>0</v>
      </c>
      <c r="DJ125" s="526">
        <f t="shared" ca="1" si="371"/>
        <v>0</v>
      </c>
      <c r="DK125" s="526">
        <f t="shared" ca="1" si="371"/>
        <v>0</v>
      </c>
      <c r="DL125" s="526">
        <f t="shared" ca="1" si="371"/>
        <v>0</v>
      </c>
      <c r="DM125" s="526">
        <f t="shared" ca="1" si="371"/>
        <v>0</v>
      </c>
      <c r="DN125" s="526">
        <f t="shared" ca="1" si="371"/>
        <v>0</v>
      </c>
      <c r="DO125" s="526">
        <f t="shared" ca="1" si="371"/>
        <v>0</v>
      </c>
      <c r="DP125" s="526">
        <f t="shared" ca="1" si="371"/>
        <v>0</v>
      </c>
      <c r="DQ125" s="526">
        <f t="shared" ca="1" si="371"/>
        <v>0</v>
      </c>
      <c r="DR125" s="526">
        <f t="shared" ca="1" si="371"/>
        <v>0</v>
      </c>
      <c r="DS125" s="526">
        <f t="shared" ca="1" si="371"/>
        <v>0</v>
      </c>
      <c r="DT125" s="526">
        <f t="shared" ca="1" si="371"/>
        <v>0</v>
      </c>
      <c r="DU125" s="526">
        <f t="shared" ca="1" si="371"/>
        <v>0</v>
      </c>
      <c r="DV125" s="526">
        <f t="shared" ca="1" si="371"/>
        <v>0</v>
      </c>
      <c r="DW125" s="526">
        <f t="shared" ca="1" si="371"/>
        <v>0</v>
      </c>
      <c r="DX125" s="526">
        <f t="shared" ca="1" si="371"/>
        <v>0</v>
      </c>
      <c r="DY125" s="526">
        <f t="shared" ca="1" si="371"/>
        <v>0</v>
      </c>
      <c r="DZ125" s="526">
        <f t="shared" ca="1" si="371"/>
        <v>0</v>
      </c>
      <c r="EA125" s="526">
        <f t="shared" ca="1" si="371"/>
        <v>0</v>
      </c>
      <c r="EB125" s="523" t="s">
        <v>557</v>
      </c>
    </row>
    <row r="126" spans="7:132">
      <c r="G126" s="518" t="s">
        <v>1193</v>
      </c>
      <c r="H126" s="539"/>
      <c r="I126" s="526">
        <f ca="1">SUM(K126:EA126)</f>
        <v>20296000</v>
      </c>
      <c r="K126" s="526">
        <f t="shared" ref="K126:AP126" ca="1" si="372">K11</f>
        <v>20296000</v>
      </c>
      <c r="L126" s="526">
        <f t="shared" si="372"/>
        <v>0</v>
      </c>
      <c r="M126" s="526">
        <f t="shared" si="372"/>
        <v>0</v>
      </c>
      <c r="N126" s="526">
        <f t="shared" si="372"/>
        <v>0</v>
      </c>
      <c r="O126" s="526">
        <f t="shared" si="372"/>
        <v>0</v>
      </c>
      <c r="P126" s="526">
        <f t="shared" si="372"/>
        <v>0</v>
      </c>
      <c r="Q126" s="526">
        <f t="shared" si="372"/>
        <v>0</v>
      </c>
      <c r="R126" s="526">
        <f t="shared" si="372"/>
        <v>0</v>
      </c>
      <c r="S126" s="526">
        <f t="shared" si="372"/>
        <v>0</v>
      </c>
      <c r="T126" s="526">
        <f t="shared" si="372"/>
        <v>0</v>
      </c>
      <c r="U126" s="526">
        <f t="shared" si="372"/>
        <v>0</v>
      </c>
      <c r="V126" s="526">
        <f t="shared" si="372"/>
        <v>0</v>
      </c>
      <c r="W126" s="526">
        <f t="shared" si="372"/>
        <v>0</v>
      </c>
      <c r="X126" s="526">
        <f t="shared" si="372"/>
        <v>0</v>
      </c>
      <c r="Y126" s="526">
        <f t="shared" si="372"/>
        <v>0</v>
      </c>
      <c r="Z126" s="526">
        <f t="shared" si="372"/>
        <v>0</v>
      </c>
      <c r="AA126" s="526">
        <f t="shared" si="372"/>
        <v>0</v>
      </c>
      <c r="AB126" s="526">
        <f t="shared" si="372"/>
        <v>0</v>
      </c>
      <c r="AC126" s="526">
        <f t="shared" si="372"/>
        <v>0</v>
      </c>
      <c r="AD126" s="526">
        <f t="shared" si="372"/>
        <v>0</v>
      </c>
      <c r="AE126" s="526">
        <f t="shared" si="372"/>
        <v>0</v>
      </c>
      <c r="AF126" s="526">
        <f t="shared" si="372"/>
        <v>0</v>
      </c>
      <c r="AG126" s="526">
        <f t="shared" si="372"/>
        <v>0</v>
      </c>
      <c r="AH126" s="526">
        <f t="shared" si="372"/>
        <v>0</v>
      </c>
      <c r="AI126" s="526">
        <f t="shared" si="372"/>
        <v>0</v>
      </c>
      <c r="AJ126" s="526">
        <f t="shared" si="372"/>
        <v>0</v>
      </c>
      <c r="AK126" s="526">
        <f t="shared" si="372"/>
        <v>0</v>
      </c>
      <c r="AL126" s="526">
        <f t="shared" si="372"/>
        <v>0</v>
      </c>
      <c r="AM126" s="526">
        <f t="shared" si="372"/>
        <v>0</v>
      </c>
      <c r="AN126" s="526">
        <f t="shared" si="372"/>
        <v>0</v>
      </c>
      <c r="AO126" s="526">
        <f t="shared" si="372"/>
        <v>0</v>
      </c>
      <c r="AP126" s="526">
        <f t="shared" si="372"/>
        <v>0</v>
      </c>
      <c r="AQ126" s="526">
        <f t="shared" ref="AQ126:BV126" si="373">AQ11</f>
        <v>0</v>
      </c>
      <c r="AR126" s="526">
        <f t="shared" si="373"/>
        <v>0</v>
      </c>
      <c r="AS126" s="526">
        <f t="shared" si="373"/>
        <v>0</v>
      </c>
      <c r="AT126" s="526">
        <f t="shared" si="373"/>
        <v>0</v>
      </c>
      <c r="AU126" s="526">
        <f t="shared" si="373"/>
        <v>0</v>
      </c>
      <c r="AV126" s="526">
        <f t="shared" si="373"/>
        <v>0</v>
      </c>
      <c r="AW126" s="526">
        <f t="shared" si="373"/>
        <v>0</v>
      </c>
      <c r="AX126" s="526">
        <f t="shared" si="373"/>
        <v>0</v>
      </c>
      <c r="AY126" s="526">
        <f t="shared" si="373"/>
        <v>0</v>
      </c>
      <c r="AZ126" s="526">
        <f t="shared" si="373"/>
        <v>0</v>
      </c>
      <c r="BA126" s="526">
        <f t="shared" si="373"/>
        <v>0</v>
      </c>
      <c r="BB126" s="526">
        <f t="shared" si="373"/>
        <v>0</v>
      </c>
      <c r="BC126" s="526">
        <f t="shared" si="373"/>
        <v>0</v>
      </c>
      <c r="BD126" s="526">
        <f t="shared" si="373"/>
        <v>0</v>
      </c>
      <c r="BE126" s="526">
        <f t="shared" si="373"/>
        <v>0</v>
      </c>
      <c r="BF126" s="526">
        <f t="shared" si="373"/>
        <v>0</v>
      </c>
      <c r="BG126" s="526">
        <f t="shared" si="373"/>
        <v>0</v>
      </c>
      <c r="BH126" s="526">
        <f t="shared" si="373"/>
        <v>0</v>
      </c>
      <c r="BI126" s="526">
        <f t="shared" si="373"/>
        <v>0</v>
      </c>
      <c r="BJ126" s="526">
        <f t="shared" si="373"/>
        <v>0</v>
      </c>
      <c r="BK126" s="526">
        <f t="shared" si="373"/>
        <v>0</v>
      </c>
      <c r="BL126" s="526">
        <f t="shared" si="373"/>
        <v>0</v>
      </c>
      <c r="BM126" s="526">
        <f t="shared" si="373"/>
        <v>0</v>
      </c>
      <c r="BN126" s="526">
        <f t="shared" si="373"/>
        <v>0</v>
      </c>
      <c r="BO126" s="526">
        <f t="shared" si="373"/>
        <v>0</v>
      </c>
      <c r="BP126" s="526">
        <f t="shared" si="373"/>
        <v>0</v>
      </c>
      <c r="BQ126" s="526">
        <f t="shared" si="373"/>
        <v>0</v>
      </c>
      <c r="BR126" s="526">
        <f t="shared" si="373"/>
        <v>0</v>
      </c>
      <c r="BS126" s="526">
        <f t="shared" si="373"/>
        <v>0</v>
      </c>
      <c r="BT126" s="526">
        <f t="shared" si="373"/>
        <v>0</v>
      </c>
      <c r="BU126" s="526">
        <f t="shared" si="373"/>
        <v>0</v>
      </c>
      <c r="BV126" s="526">
        <f t="shared" si="373"/>
        <v>0</v>
      </c>
      <c r="BW126" s="526">
        <f t="shared" ref="BW126:DB126" si="374">BW11</f>
        <v>0</v>
      </c>
      <c r="BX126" s="526">
        <f t="shared" si="374"/>
        <v>0</v>
      </c>
      <c r="BY126" s="526">
        <f t="shared" si="374"/>
        <v>0</v>
      </c>
      <c r="BZ126" s="526">
        <f t="shared" si="374"/>
        <v>0</v>
      </c>
      <c r="CA126" s="526">
        <f t="shared" si="374"/>
        <v>0</v>
      </c>
      <c r="CB126" s="526">
        <f t="shared" si="374"/>
        <v>0</v>
      </c>
      <c r="CC126" s="526">
        <f t="shared" si="374"/>
        <v>0</v>
      </c>
      <c r="CD126" s="526">
        <f t="shared" si="374"/>
        <v>0</v>
      </c>
      <c r="CE126" s="526">
        <f t="shared" si="374"/>
        <v>0</v>
      </c>
      <c r="CF126" s="526">
        <f t="shared" si="374"/>
        <v>0</v>
      </c>
      <c r="CG126" s="526">
        <f t="shared" si="374"/>
        <v>0</v>
      </c>
      <c r="CH126" s="526">
        <f t="shared" si="374"/>
        <v>0</v>
      </c>
      <c r="CI126" s="526">
        <f t="shared" si="374"/>
        <v>0</v>
      </c>
      <c r="CJ126" s="526">
        <f t="shared" si="374"/>
        <v>0</v>
      </c>
      <c r="CK126" s="526">
        <f t="shared" si="374"/>
        <v>0</v>
      </c>
      <c r="CL126" s="526">
        <f t="shared" si="374"/>
        <v>0</v>
      </c>
      <c r="CM126" s="526">
        <f t="shared" si="374"/>
        <v>0</v>
      </c>
      <c r="CN126" s="526">
        <f t="shared" si="374"/>
        <v>0</v>
      </c>
      <c r="CO126" s="526">
        <f t="shared" si="374"/>
        <v>0</v>
      </c>
      <c r="CP126" s="526">
        <f t="shared" si="374"/>
        <v>0</v>
      </c>
      <c r="CQ126" s="526">
        <f t="shared" si="374"/>
        <v>0</v>
      </c>
      <c r="CR126" s="526">
        <f t="shared" si="374"/>
        <v>0</v>
      </c>
      <c r="CS126" s="526">
        <f t="shared" si="374"/>
        <v>0</v>
      </c>
      <c r="CT126" s="526">
        <f t="shared" si="374"/>
        <v>0</v>
      </c>
      <c r="CU126" s="526">
        <f t="shared" si="374"/>
        <v>0</v>
      </c>
      <c r="CV126" s="526">
        <f t="shared" si="374"/>
        <v>0</v>
      </c>
      <c r="CW126" s="526">
        <f t="shared" si="374"/>
        <v>0</v>
      </c>
      <c r="CX126" s="526">
        <f t="shared" si="374"/>
        <v>0</v>
      </c>
      <c r="CY126" s="526">
        <f t="shared" si="374"/>
        <v>0</v>
      </c>
      <c r="CZ126" s="526">
        <f t="shared" si="374"/>
        <v>0</v>
      </c>
      <c r="DA126" s="526">
        <f t="shared" si="374"/>
        <v>0</v>
      </c>
      <c r="DB126" s="526">
        <f t="shared" si="374"/>
        <v>0</v>
      </c>
      <c r="DC126" s="526">
        <f t="shared" ref="DC126:EA126" si="375">DC11</f>
        <v>0</v>
      </c>
      <c r="DD126" s="526">
        <f t="shared" si="375"/>
        <v>0</v>
      </c>
      <c r="DE126" s="526">
        <f t="shared" si="375"/>
        <v>0</v>
      </c>
      <c r="DF126" s="526">
        <f t="shared" si="375"/>
        <v>0</v>
      </c>
      <c r="DG126" s="526">
        <f t="shared" si="375"/>
        <v>0</v>
      </c>
      <c r="DH126" s="526">
        <f t="shared" si="375"/>
        <v>0</v>
      </c>
      <c r="DI126" s="526">
        <f t="shared" si="375"/>
        <v>0</v>
      </c>
      <c r="DJ126" s="526">
        <f t="shared" si="375"/>
        <v>0</v>
      </c>
      <c r="DK126" s="526">
        <f t="shared" si="375"/>
        <v>0</v>
      </c>
      <c r="DL126" s="526">
        <f t="shared" si="375"/>
        <v>0</v>
      </c>
      <c r="DM126" s="526">
        <f t="shared" si="375"/>
        <v>0</v>
      </c>
      <c r="DN126" s="526">
        <f t="shared" si="375"/>
        <v>0</v>
      </c>
      <c r="DO126" s="526">
        <f t="shared" si="375"/>
        <v>0</v>
      </c>
      <c r="DP126" s="526">
        <f t="shared" si="375"/>
        <v>0</v>
      </c>
      <c r="DQ126" s="526">
        <f t="shared" si="375"/>
        <v>0</v>
      </c>
      <c r="DR126" s="526">
        <f t="shared" si="375"/>
        <v>0</v>
      </c>
      <c r="DS126" s="526">
        <f t="shared" si="375"/>
        <v>0</v>
      </c>
      <c r="DT126" s="526">
        <f t="shared" si="375"/>
        <v>0</v>
      </c>
      <c r="DU126" s="526">
        <f t="shared" si="375"/>
        <v>0</v>
      </c>
      <c r="DV126" s="526">
        <f t="shared" si="375"/>
        <v>0</v>
      </c>
      <c r="DW126" s="526">
        <f t="shared" si="375"/>
        <v>0</v>
      </c>
      <c r="DX126" s="526">
        <f t="shared" si="375"/>
        <v>0</v>
      </c>
      <c r="DY126" s="526">
        <f t="shared" si="375"/>
        <v>0</v>
      </c>
      <c r="DZ126" s="526">
        <f t="shared" si="375"/>
        <v>0</v>
      </c>
      <c r="EA126" s="526">
        <f t="shared" si="375"/>
        <v>0</v>
      </c>
      <c r="EB126" s="523"/>
    </row>
    <row r="127" spans="7:132">
      <c r="G127" s="518" t="s">
        <v>1194</v>
      </c>
      <c r="H127" s="539"/>
      <c r="I127" s="557">
        <f ca="1">-I126+I125</f>
        <v>13322411.009529933</v>
      </c>
      <c r="K127" s="526">
        <f ca="1">-K126+K125</f>
        <v>-20296000</v>
      </c>
      <c r="L127" s="526">
        <f t="shared" ref="L127:BW127" ca="1" si="376">-L126+L125</f>
        <v>75142.199419975848</v>
      </c>
      <c r="M127" s="526">
        <f t="shared" ca="1" si="376"/>
        <v>77255.772749442272</v>
      </c>
      <c r="N127" s="526">
        <f t="shared" ca="1" si="376"/>
        <v>79383.436567771874</v>
      </c>
      <c r="O127" s="526">
        <f t="shared" ca="1" si="376"/>
        <v>81525.284811557081</v>
      </c>
      <c r="P127" s="526">
        <f t="shared" ca="1" si="376"/>
        <v>83681.412043634118</v>
      </c>
      <c r="Q127" s="526">
        <f t="shared" ca="1" si="376"/>
        <v>85851.913457258299</v>
      </c>
      <c r="R127" s="526">
        <f t="shared" ca="1" si="376"/>
        <v>88036.884880306709</v>
      </c>
      <c r="S127" s="526">
        <f t="shared" ca="1" si="376"/>
        <v>90236.422779508677</v>
      </c>
      <c r="T127" s="526">
        <f t="shared" ca="1" si="376"/>
        <v>92450.624264705359</v>
      </c>
      <c r="U127" s="526">
        <f t="shared" ca="1" si="376"/>
        <v>94679.587093136754</v>
      </c>
      <c r="V127" s="526">
        <f t="shared" ca="1" si="376"/>
        <v>96923.409673757662</v>
      </c>
      <c r="W127" s="526">
        <f t="shared" ca="1" si="376"/>
        <v>99182.191071582594</v>
      </c>
      <c r="X127" s="526">
        <f t="shared" ca="1" si="376"/>
        <v>99132.252015780003</v>
      </c>
      <c r="Y127" s="526">
        <f t="shared" ca="1" si="376"/>
        <v>101277.30024087873</v>
      </c>
      <c r="Z127" s="526">
        <f t="shared" ca="1" si="376"/>
        <v>103435.75501738423</v>
      </c>
      <c r="AA127" s="526">
        <f t="shared" ca="1" si="376"/>
        <v>105607.70013624289</v>
      </c>
      <c r="AB127" s="526">
        <f t="shared" ca="1" si="376"/>
        <v>107793.2199120944</v>
      </c>
      <c r="AC127" s="526">
        <f t="shared" ca="1" si="376"/>
        <v>109992.39918654515</v>
      </c>
      <c r="AD127" s="526">
        <f t="shared" ca="1" si="376"/>
        <v>112205.32333146107</v>
      </c>
      <c r="AE127" s="526">
        <f t="shared" ca="1" si="376"/>
        <v>114432.07825228265</v>
      </c>
      <c r="AF127" s="526">
        <f t="shared" ca="1" si="376"/>
        <v>116672.75039135954</v>
      </c>
      <c r="AG127" s="526">
        <f t="shared" ca="1" si="376"/>
        <v>118927.4267313055</v>
      </c>
      <c r="AH127" s="526">
        <f t="shared" ca="1" si="376"/>
        <v>121196.19479837616</v>
      </c>
      <c r="AI127" s="526">
        <f t="shared" ca="1" si="376"/>
        <v>123479.14266586611</v>
      </c>
      <c r="AJ127" s="526">
        <f t="shared" ca="1" si="376"/>
        <v>122481.38876808564</v>
      </c>
      <c r="AK127" s="526">
        <f t="shared" ca="1" si="376"/>
        <v>123710.65473037933</v>
      </c>
      <c r="AL127" s="526">
        <f t="shared" ca="1" si="376"/>
        <v>124944.01824588062</v>
      </c>
      <c r="AM127" s="526">
        <f t="shared" ca="1" si="376"/>
        <v>126181.4929731002</v>
      </c>
      <c r="AN127" s="526">
        <f t="shared" ca="1" si="376"/>
        <v>127423.09261607715</v>
      </c>
      <c r="AO127" s="526">
        <f t="shared" ca="1" si="376"/>
        <v>128668.83092453091</v>
      </c>
      <c r="AP127" s="526">
        <f t="shared" ca="1" si="376"/>
        <v>129918.72169401268</v>
      </c>
      <c r="AQ127" s="526">
        <f t="shared" ca="1" si="376"/>
        <v>131172.77876605943</v>
      </c>
      <c r="AR127" s="526">
        <f t="shared" ca="1" si="376"/>
        <v>132431.01602834626</v>
      </c>
      <c r="AS127" s="526">
        <f t="shared" ca="1" si="376"/>
        <v>133693.44741484086</v>
      </c>
      <c r="AT127" s="526">
        <f t="shared" ca="1" si="376"/>
        <v>134960.08690595691</v>
      </c>
      <c r="AU127" s="526">
        <f t="shared" ca="1" si="376"/>
        <v>136230.94852871029</v>
      </c>
      <c r="AV127" s="526">
        <f t="shared" ca="1" si="376"/>
        <v>135241.08391927258</v>
      </c>
      <c r="AW127" s="526">
        <f t="shared" ca="1" si="376"/>
        <v>136520.43207352899</v>
      </c>
      <c r="AX127" s="526">
        <f t="shared" ca="1" si="376"/>
        <v>137804.04472163261</v>
      </c>
      <c r="AY127" s="526">
        <f t="shared" ca="1" si="376"/>
        <v>139091.93607856351</v>
      </c>
      <c r="AZ127" s="526">
        <f t="shared" ca="1" si="376"/>
        <v>140384.12040668412</v>
      </c>
      <c r="BA127" s="526">
        <f t="shared" ca="1" si="376"/>
        <v>141680.61201589828</v>
      </c>
      <c r="BB127" s="526">
        <f t="shared" ca="1" si="376"/>
        <v>142981.42526381009</v>
      </c>
      <c r="BC127" s="526">
        <f t="shared" ca="1" si="376"/>
        <v>144286.57455588144</v>
      </c>
      <c r="BD127" s="526">
        <f t="shared" ca="1" si="376"/>
        <v>145596.07434559317</v>
      </c>
      <c r="BE127" s="526">
        <f t="shared" ca="1" si="376"/>
        <v>146909.93913460377</v>
      </c>
      <c r="BF127" s="526">
        <f t="shared" ca="1" si="376"/>
        <v>148228.18347291125</v>
      </c>
      <c r="BG127" s="526">
        <f t="shared" ca="1" si="376"/>
        <v>28129369.424453359</v>
      </c>
      <c r="BH127" s="526">
        <f t="shared" ca="1" si="376"/>
        <v>0</v>
      </c>
      <c r="BI127" s="526">
        <f t="shared" ca="1" si="376"/>
        <v>0</v>
      </c>
      <c r="BJ127" s="526">
        <f t="shared" ca="1" si="376"/>
        <v>0</v>
      </c>
      <c r="BK127" s="526">
        <f t="shared" ca="1" si="376"/>
        <v>0</v>
      </c>
      <c r="BL127" s="526">
        <f t="shared" ca="1" si="376"/>
        <v>0</v>
      </c>
      <c r="BM127" s="526">
        <f t="shared" ca="1" si="376"/>
        <v>0</v>
      </c>
      <c r="BN127" s="526">
        <f t="shared" ca="1" si="376"/>
        <v>0</v>
      </c>
      <c r="BO127" s="526">
        <f t="shared" ca="1" si="376"/>
        <v>0</v>
      </c>
      <c r="BP127" s="526">
        <f t="shared" ca="1" si="376"/>
        <v>0</v>
      </c>
      <c r="BQ127" s="526">
        <f t="shared" ca="1" si="376"/>
        <v>0</v>
      </c>
      <c r="BR127" s="526">
        <f t="shared" ca="1" si="376"/>
        <v>0</v>
      </c>
      <c r="BS127" s="526">
        <f t="shared" ca="1" si="376"/>
        <v>0</v>
      </c>
      <c r="BT127" s="526">
        <f t="shared" ca="1" si="376"/>
        <v>0</v>
      </c>
      <c r="BU127" s="526">
        <f t="shared" ca="1" si="376"/>
        <v>0</v>
      </c>
      <c r="BV127" s="526">
        <f t="shared" ca="1" si="376"/>
        <v>0</v>
      </c>
      <c r="BW127" s="526">
        <f t="shared" ca="1" si="376"/>
        <v>0</v>
      </c>
      <c r="BX127" s="526">
        <f t="shared" ref="BX127:EA127" ca="1" si="377">-BX126+BX125</f>
        <v>0</v>
      </c>
      <c r="BY127" s="526">
        <f t="shared" ca="1" si="377"/>
        <v>0</v>
      </c>
      <c r="BZ127" s="526">
        <f t="shared" ca="1" si="377"/>
        <v>0</v>
      </c>
      <c r="CA127" s="526">
        <f t="shared" ca="1" si="377"/>
        <v>0</v>
      </c>
      <c r="CB127" s="526">
        <f t="shared" ca="1" si="377"/>
        <v>0</v>
      </c>
      <c r="CC127" s="526">
        <f t="shared" ca="1" si="377"/>
        <v>0</v>
      </c>
      <c r="CD127" s="526">
        <f t="shared" ca="1" si="377"/>
        <v>0</v>
      </c>
      <c r="CE127" s="526">
        <f t="shared" ca="1" si="377"/>
        <v>0</v>
      </c>
      <c r="CF127" s="526">
        <f t="shared" ca="1" si="377"/>
        <v>0</v>
      </c>
      <c r="CG127" s="526">
        <f t="shared" ca="1" si="377"/>
        <v>0</v>
      </c>
      <c r="CH127" s="526">
        <f t="shared" ca="1" si="377"/>
        <v>0</v>
      </c>
      <c r="CI127" s="526">
        <f t="shared" ca="1" si="377"/>
        <v>0</v>
      </c>
      <c r="CJ127" s="526">
        <f t="shared" ca="1" si="377"/>
        <v>0</v>
      </c>
      <c r="CK127" s="526">
        <f t="shared" ca="1" si="377"/>
        <v>0</v>
      </c>
      <c r="CL127" s="526">
        <f t="shared" ca="1" si="377"/>
        <v>0</v>
      </c>
      <c r="CM127" s="526">
        <f t="shared" ca="1" si="377"/>
        <v>0</v>
      </c>
      <c r="CN127" s="526">
        <f t="shared" ca="1" si="377"/>
        <v>0</v>
      </c>
      <c r="CO127" s="526">
        <f t="shared" ca="1" si="377"/>
        <v>0</v>
      </c>
      <c r="CP127" s="526">
        <f t="shared" ca="1" si="377"/>
        <v>0</v>
      </c>
      <c r="CQ127" s="526">
        <f t="shared" ca="1" si="377"/>
        <v>0</v>
      </c>
      <c r="CR127" s="526">
        <f t="shared" ca="1" si="377"/>
        <v>0</v>
      </c>
      <c r="CS127" s="526">
        <f t="shared" ca="1" si="377"/>
        <v>0</v>
      </c>
      <c r="CT127" s="526">
        <f t="shared" ca="1" si="377"/>
        <v>0</v>
      </c>
      <c r="CU127" s="526">
        <f t="shared" ca="1" si="377"/>
        <v>0</v>
      </c>
      <c r="CV127" s="526">
        <f t="shared" ca="1" si="377"/>
        <v>0</v>
      </c>
      <c r="CW127" s="526">
        <f t="shared" ca="1" si="377"/>
        <v>0</v>
      </c>
      <c r="CX127" s="526">
        <f t="shared" ca="1" si="377"/>
        <v>0</v>
      </c>
      <c r="CY127" s="526">
        <f t="shared" ca="1" si="377"/>
        <v>0</v>
      </c>
      <c r="CZ127" s="526">
        <f t="shared" ca="1" si="377"/>
        <v>0</v>
      </c>
      <c r="DA127" s="526">
        <f t="shared" ca="1" si="377"/>
        <v>0</v>
      </c>
      <c r="DB127" s="526">
        <f t="shared" ca="1" si="377"/>
        <v>0</v>
      </c>
      <c r="DC127" s="526">
        <f t="shared" ca="1" si="377"/>
        <v>0</v>
      </c>
      <c r="DD127" s="526">
        <f t="shared" ca="1" si="377"/>
        <v>0</v>
      </c>
      <c r="DE127" s="526">
        <f t="shared" ca="1" si="377"/>
        <v>0</v>
      </c>
      <c r="DF127" s="526">
        <f t="shared" ca="1" si="377"/>
        <v>0</v>
      </c>
      <c r="DG127" s="526">
        <f t="shared" ca="1" si="377"/>
        <v>0</v>
      </c>
      <c r="DH127" s="526">
        <f t="shared" ca="1" si="377"/>
        <v>0</v>
      </c>
      <c r="DI127" s="526">
        <f t="shared" ca="1" si="377"/>
        <v>0</v>
      </c>
      <c r="DJ127" s="526">
        <f t="shared" ca="1" si="377"/>
        <v>0</v>
      </c>
      <c r="DK127" s="526">
        <f t="shared" ca="1" si="377"/>
        <v>0</v>
      </c>
      <c r="DL127" s="526">
        <f t="shared" ca="1" si="377"/>
        <v>0</v>
      </c>
      <c r="DM127" s="526">
        <f t="shared" ca="1" si="377"/>
        <v>0</v>
      </c>
      <c r="DN127" s="526">
        <f t="shared" ca="1" si="377"/>
        <v>0</v>
      </c>
      <c r="DO127" s="526">
        <f t="shared" ca="1" si="377"/>
        <v>0</v>
      </c>
      <c r="DP127" s="526">
        <f t="shared" ca="1" si="377"/>
        <v>0</v>
      </c>
      <c r="DQ127" s="526">
        <f t="shared" ca="1" si="377"/>
        <v>0</v>
      </c>
      <c r="DR127" s="526">
        <f t="shared" ca="1" si="377"/>
        <v>0</v>
      </c>
      <c r="DS127" s="526">
        <f t="shared" ca="1" si="377"/>
        <v>0</v>
      </c>
      <c r="DT127" s="526">
        <f t="shared" ca="1" si="377"/>
        <v>0</v>
      </c>
      <c r="DU127" s="526">
        <f t="shared" ca="1" si="377"/>
        <v>0</v>
      </c>
      <c r="DV127" s="526">
        <f t="shared" ca="1" si="377"/>
        <v>0</v>
      </c>
      <c r="DW127" s="526">
        <f t="shared" ca="1" si="377"/>
        <v>0</v>
      </c>
      <c r="DX127" s="526">
        <f t="shared" ca="1" si="377"/>
        <v>0</v>
      </c>
      <c r="DY127" s="526">
        <f t="shared" ca="1" si="377"/>
        <v>0</v>
      </c>
      <c r="DZ127" s="526">
        <f t="shared" ca="1" si="377"/>
        <v>0</v>
      </c>
      <c r="EA127" s="526">
        <f t="shared" ca="1" si="377"/>
        <v>0</v>
      </c>
      <c r="EB127" s="523"/>
    </row>
    <row r="128" spans="7:132">
      <c r="G128" s="518" t="s">
        <v>1140</v>
      </c>
      <c r="H128" s="558">
        <f ca="1">XIRR(K127:EA127,$K$2:$EA$2,)</f>
        <v>0.14791656136512762</v>
      </c>
      <c r="K128" s="526"/>
      <c r="L128" s="526"/>
      <c r="M128" s="526"/>
      <c r="N128" s="526"/>
      <c r="O128" s="526"/>
      <c r="P128" s="526"/>
      <c r="Q128" s="526"/>
      <c r="R128" s="526"/>
      <c r="S128" s="526"/>
      <c r="T128" s="526"/>
      <c r="U128" s="526"/>
      <c r="V128" s="526"/>
      <c r="W128" s="526"/>
      <c r="X128" s="526"/>
      <c r="Y128" s="526"/>
      <c r="Z128" s="526"/>
      <c r="AA128" s="526"/>
      <c r="AB128" s="526"/>
      <c r="AC128" s="526"/>
      <c r="AD128" s="526"/>
      <c r="AE128" s="526"/>
      <c r="AF128" s="526"/>
      <c r="AG128" s="526"/>
      <c r="AH128" s="526"/>
      <c r="AI128" s="526"/>
      <c r="AJ128" s="526"/>
      <c r="AK128" s="526"/>
      <c r="AL128" s="526"/>
      <c r="AM128" s="526"/>
      <c r="AN128" s="526"/>
      <c r="AO128" s="526"/>
      <c r="AP128" s="526"/>
      <c r="AQ128" s="526"/>
      <c r="AR128" s="526"/>
      <c r="AS128" s="526"/>
      <c r="AT128" s="526"/>
      <c r="AU128" s="526"/>
      <c r="AV128" s="526"/>
      <c r="AW128" s="526"/>
      <c r="AX128" s="526"/>
      <c r="AY128" s="526"/>
      <c r="AZ128" s="526"/>
      <c r="BA128" s="526"/>
      <c r="BB128" s="526"/>
      <c r="BC128" s="526"/>
      <c r="BD128" s="526"/>
      <c r="BE128" s="526"/>
      <c r="BF128" s="526"/>
      <c r="BG128" s="526"/>
      <c r="BH128" s="526"/>
      <c r="BI128" s="526"/>
      <c r="BJ128" s="526"/>
      <c r="BK128" s="526"/>
      <c r="BL128" s="526"/>
      <c r="BM128" s="526"/>
      <c r="BN128" s="526"/>
      <c r="BO128" s="526"/>
      <c r="BP128" s="526"/>
      <c r="BQ128" s="526"/>
      <c r="BR128" s="526"/>
      <c r="BS128" s="526"/>
      <c r="BT128" s="526"/>
      <c r="BU128" s="526"/>
      <c r="BV128" s="526"/>
      <c r="BW128" s="526"/>
      <c r="BX128" s="526"/>
      <c r="BY128" s="526"/>
      <c r="BZ128" s="526"/>
      <c r="CA128" s="526"/>
      <c r="CB128" s="526"/>
      <c r="CC128" s="526"/>
      <c r="CD128" s="526"/>
      <c r="CE128" s="526"/>
      <c r="CF128" s="526"/>
      <c r="CG128" s="526"/>
      <c r="CH128" s="526"/>
      <c r="CI128" s="526"/>
      <c r="CJ128" s="526"/>
      <c r="CK128" s="526"/>
      <c r="CL128" s="526"/>
      <c r="CM128" s="526"/>
      <c r="CN128" s="526"/>
      <c r="CO128" s="526"/>
      <c r="CP128" s="526"/>
      <c r="CQ128" s="526"/>
      <c r="CR128" s="526"/>
      <c r="CS128" s="526"/>
      <c r="CT128" s="526"/>
      <c r="CU128" s="526"/>
      <c r="CV128" s="526"/>
      <c r="CW128" s="526"/>
      <c r="CX128" s="526"/>
      <c r="CY128" s="526"/>
      <c r="CZ128" s="526"/>
      <c r="DA128" s="526"/>
      <c r="DB128" s="526"/>
      <c r="DC128" s="526"/>
      <c r="DD128" s="526"/>
      <c r="DE128" s="526"/>
      <c r="DF128" s="526"/>
      <c r="DG128" s="526"/>
      <c r="DH128" s="526"/>
      <c r="DI128" s="526"/>
      <c r="DJ128" s="526"/>
      <c r="DK128" s="526"/>
      <c r="DL128" s="526"/>
      <c r="DM128" s="526"/>
      <c r="DN128" s="526"/>
      <c r="DO128" s="526"/>
      <c r="DP128" s="526"/>
      <c r="DQ128" s="526"/>
      <c r="DR128" s="526"/>
      <c r="DS128" s="526"/>
      <c r="DT128" s="526"/>
      <c r="DU128" s="526"/>
      <c r="DV128" s="526"/>
      <c r="DW128" s="526"/>
      <c r="DX128" s="526"/>
      <c r="DY128" s="526"/>
      <c r="DZ128" s="526"/>
      <c r="EA128" s="526"/>
      <c r="EB128" s="523" t="s">
        <v>557</v>
      </c>
    </row>
    <row r="129" spans="7:132" ht="18" thickBot="1">
      <c r="G129" s="554" t="s">
        <v>1143</v>
      </c>
      <c r="H129" s="559">
        <f ca="1">I125/I126</f>
        <v>1.6564057454439265</v>
      </c>
      <c r="I129" s="555"/>
      <c r="J129" s="555"/>
      <c r="K129" s="556"/>
      <c r="L129" s="556"/>
      <c r="M129" s="556"/>
      <c r="N129" s="556"/>
      <c r="O129" s="556"/>
      <c r="P129" s="556"/>
      <c r="Q129" s="556"/>
      <c r="R129" s="556"/>
      <c r="S129" s="556"/>
      <c r="T129" s="556"/>
      <c r="U129" s="556"/>
      <c r="V129" s="556"/>
      <c r="W129" s="556"/>
      <c r="X129" s="556"/>
      <c r="Y129" s="556"/>
      <c r="Z129" s="556"/>
      <c r="AA129" s="556"/>
      <c r="AB129" s="556"/>
      <c r="AC129" s="556"/>
      <c r="AD129" s="556"/>
      <c r="AE129" s="556"/>
      <c r="AF129" s="556"/>
      <c r="AG129" s="556"/>
      <c r="AH129" s="556"/>
      <c r="AI129" s="556"/>
      <c r="AJ129" s="556"/>
      <c r="AK129" s="556"/>
      <c r="AL129" s="556"/>
      <c r="AM129" s="556"/>
      <c r="AN129" s="556"/>
      <c r="AO129" s="556"/>
      <c r="AP129" s="556"/>
      <c r="AQ129" s="556"/>
      <c r="AR129" s="556"/>
      <c r="AS129" s="556"/>
      <c r="AT129" s="556"/>
      <c r="AU129" s="556"/>
      <c r="AV129" s="556"/>
      <c r="AW129" s="556"/>
      <c r="AX129" s="556"/>
      <c r="AY129" s="556"/>
      <c r="AZ129" s="556"/>
      <c r="BA129" s="556"/>
      <c r="BB129" s="556"/>
      <c r="BC129" s="556"/>
      <c r="BD129" s="556"/>
      <c r="BE129" s="556"/>
      <c r="BF129" s="556"/>
      <c r="BG129" s="556"/>
      <c r="BH129" s="556"/>
      <c r="BI129" s="556"/>
      <c r="BJ129" s="556"/>
      <c r="BK129" s="556"/>
      <c r="BL129" s="556"/>
      <c r="BM129" s="556"/>
      <c r="BN129" s="556"/>
      <c r="BO129" s="556"/>
      <c r="BP129" s="556"/>
      <c r="BQ129" s="556"/>
      <c r="BR129" s="556"/>
      <c r="BS129" s="556"/>
      <c r="BT129" s="556"/>
      <c r="BU129" s="556"/>
      <c r="BV129" s="556"/>
      <c r="BW129" s="556"/>
      <c r="BX129" s="556"/>
      <c r="BY129" s="556"/>
      <c r="BZ129" s="556"/>
      <c r="CA129" s="556"/>
      <c r="CB129" s="556"/>
      <c r="CC129" s="556"/>
      <c r="CD129" s="556"/>
      <c r="CE129" s="556"/>
      <c r="CF129" s="556"/>
      <c r="CG129" s="556"/>
      <c r="CH129" s="556"/>
      <c r="CI129" s="556"/>
      <c r="CJ129" s="556"/>
      <c r="CK129" s="556"/>
      <c r="CL129" s="556"/>
      <c r="CM129" s="556"/>
      <c r="CN129" s="556"/>
      <c r="CO129" s="556"/>
      <c r="CP129" s="556"/>
      <c r="CQ129" s="556"/>
      <c r="CR129" s="556"/>
      <c r="CS129" s="556"/>
      <c r="CT129" s="556"/>
      <c r="CU129" s="556"/>
      <c r="CV129" s="556"/>
      <c r="CW129" s="556"/>
      <c r="CX129" s="556"/>
      <c r="CY129" s="556"/>
      <c r="CZ129" s="556"/>
      <c r="DA129" s="556"/>
      <c r="DB129" s="556"/>
      <c r="DC129" s="556"/>
      <c r="DD129" s="556"/>
      <c r="DE129" s="556"/>
      <c r="DF129" s="556"/>
      <c r="DG129" s="556"/>
      <c r="DH129" s="556"/>
      <c r="DI129" s="556"/>
      <c r="DJ129" s="556"/>
      <c r="DK129" s="556"/>
      <c r="DL129" s="556"/>
      <c r="DM129" s="556"/>
      <c r="DN129" s="556"/>
      <c r="DO129" s="556"/>
      <c r="DP129" s="556"/>
      <c r="DQ129" s="556"/>
      <c r="DR129" s="556"/>
      <c r="DS129" s="556"/>
      <c r="DT129" s="556"/>
      <c r="DU129" s="556"/>
      <c r="DV129" s="556"/>
      <c r="DW129" s="556"/>
      <c r="DX129" s="556"/>
      <c r="DY129" s="556"/>
      <c r="DZ129" s="556"/>
      <c r="EA129" s="556"/>
      <c r="EB129" s="523" t="s">
        <v>557</v>
      </c>
    </row>
    <row r="131" spans="7:132" ht="19">
      <c r="G131" s="173" t="s">
        <v>1195</v>
      </c>
      <c r="H131" s="530"/>
      <c r="I131" s="530"/>
      <c r="J131" s="530"/>
      <c r="K131" s="530"/>
      <c r="L131" s="530"/>
      <c r="M131" s="530"/>
      <c r="N131" s="530"/>
      <c r="O131" s="530"/>
      <c r="P131" s="530"/>
      <c r="Q131" s="530"/>
      <c r="R131" s="530"/>
      <c r="S131" s="530"/>
      <c r="T131" s="530"/>
      <c r="U131" s="530"/>
      <c r="V131" s="530"/>
      <c r="W131" s="530"/>
      <c r="X131" s="530"/>
      <c r="Y131" s="530"/>
      <c r="Z131" s="530"/>
      <c r="AA131" s="530"/>
      <c r="AB131" s="530"/>
      <c r="AC131" s="530"/>
      <c r="AD131" s="530"/>
      <c r="AE131" s="530"/>
      <c r="AF131" s="530"/>
      <c r="AG131" s="530"/>
      <c r="AH131" s="530"/>
      <c r="AI131" s="530"/>
      <c r="AJ131" s="530"/>
      <c r="AK131" s="530"/>
      <c r="AL131" s="530"/>
      <c r="AM131" s="530"/>
      <c r="AN131" s="530"/>
      <c r="AO131" s="530"/>
      <c r="AP131" s="530"/>
      <c r="AQ131" s="530"/>
      <c r="AR131" s="530"/>
      <c r="AS131" s="530"/>
      <c r="AT131" s="530"/>
      <c r="AU131" s="530"/>
      <c r="AV131" s="530"/>
      <c r="AW131" s="530"/>
      <c r="AX131" s="530"/>
      <c r="AY131" s="530"/>
      <c r="AZ131" s="530"/>
      <c r="BA131" s="530"/>
      <c r="BB131" s="530"/>
      <c r="BC131" s="530"/>
      <c r="BD131" s="530"/>
      <c r="BE131" s="530"/>
      <c r="BF131" s="530"/>
      <c r="BG131" s="530"/>
      <c r="BH131" s="530"/>
      <c r="BI131" s="530"/>
      <c r="BJ131" s="530"/>
      <c r="BK131" s="530"/>
      <c r="BL131" s="530"/>
      <c r="BM131" s="530"/>
      <c r="BN131" s="530"/>
      <c r="BO131" s="530"/>
      <c r="BP131" s="530"/>
      <c r="BQ131" s="530"/>
      <c r="BR131" s="530"/>
      <c r="BS131" s="530"/>
      <c r="BT131" s="530"/>
      <c r="BU131" s="530"/>
      <c r="BV131" s="530"/>
      <c r="BW131" s="530"/>
      <c r="BX131" s="530"/>
      <c r="BY131" s="530"/>
      <c r="BZ131" s="530"/>
      <c r="CA131" s="530"/>
      <c r="CB131" s="530"/>
      <c r="CC131" s="530"/>
      <c r="CD131" s="530"/>
      <c r="CE131" s="530"/>
      <c r="CF131" s="530"/>
      <c r="CG131" s="530"/>
      <c r="CH131" s="530"/>
      <c r="CI131" s="530"/>
      <c r="CJ131" s="530"/>
      <c r="CK131" s="530"/>
      <c r="CL131" s="530"/>
      <c r="CM131" s="530"/>
      <c r="CN131" s="530"/>
      <c r="CO131" s="530"/>
      <c r="CP131" s="530"/>
      <c r="CQ131" s="530"/>
      <c r="CR131" s="530"/>
      <c r="CS131" s="530"/>
      <c r="CT131" s="530"/>
      <c r="CU131" s="530"/>
      <c r="CV131" s="530"/>
      <c r="CW131" s="530"/>
      <c r="CX131" s="530"/>
      <c r="CY131" s="530"/>
      <c r="CZ131" s="530"/>
      <c r="DA131" s="530"/>
      <c r="DB131" s="530"/>
      <c r="DC131" s="530"/>
      <c r="DD131" s="530"/>
      <c r="DE131" s="530"/>
      <c r="DF131" s="530"/>
      <c r="DG131" s="530"/>
      <c r="DH131" s="530"/>
      <c r="DI131" s="530"/>
      <c r="DJ131" s="530"/>
      <c r="DK131" s="530"/>
      <c r="DL131" s="530"/>
      <c r="DM131" s="530"/>
      <c r="DN131" s="530"/>
      <c r="DO131" s="530"/>
      <c r="DP131" s="530"/>
      <c r="DQ131" s="530"/>
      <c r="DR131" s="530"/>
      <c r="DS131" s="530"/>
      <c r="DT131" s="530"/>
      <c r="DU131" s="530"/>
      <c r="DV131" s="530"/>
      <c r="DW131" s="530"/>
      <c r="DX131" s="530"/>
      <c r="DY131" s="530"/>
      <c r="DZ131" s="530"/>
      <c r="EA131" s="530"/>
      <c r="EB131" s="523" t="s">
        <v>557</v>
      </c>
    </row>
    <row r="132" spans="7:132">
      <c r="G132" s="518" t="s">
        <v>1192</v>
      </c>
      <c r="H132" s="539"/>
      <c r="I132" s="526">
        <f ca="1">SUM(K132:EA132)</f>
        <v>1240859.0283729024</v>
      </c>
      <c r="K132" s="526">
        <f ca="1">K19+K39+K57+K75+K93+K111+K119</f>
        <v>0</v>
      </c>
      <c r="L132" s="526">
        <f t="shared" ref="L132:BW132" ca="1" si="378">L19+L39+L57+L75+L93+L111+L119</f>
        <v>0</v>
      </c>
      <c r="M132" s="526">
        <f t="shared" ca="1" si="378"/>
        <v>0</v>
      </c>
      <c r="N132" s="526">
        <f t="shared" ca="1" si="378"/>
        <v>0</v>
      </c>
      <c r="O132" s="526">
        <f t="shared" ca="1" si="378"/>
        <v>0</v>
      </c>
      <c r="P132" s="526">
        <f t="shared" ca="1" si="378"/>
        <v>0</v>
      </c>
      <c r="Q132" s="526">
        <f t="shared" ca="1" si="378"/>
        <v>0</v>
      </c>
      <c r="R132" s="526">
        <f t="shared" ca="1" si="378"/>
        <v>0</v>
      </c>
      <c r="S132" s="526">
        <f t="shared" ca="1" si="378"/>
        <v>0</v>
      </c>
      <c r="T132" s="526">
        <f t="shared" ca="1" si="378"/>
        <v>0</v>
      </c>
      <c r="U132" s="526">
        <f t="shared" ca="1" si="378"/>
        <v>0</v>
      </c>
      <c r="V132" s="526">
        <f t="shared" ca="1" si="378"/>
        <v>0</v>
      </c>
      <c r="W132" s="526">
        <f t="shared" ca="1" si="378"/>
        <v>0</v>
      </c>
      <c r="X132" s="526">
        <f t="shared" ca="1" si="378"/>
        <v>0</v>
      </c>
      <c r="Y132" s="526">
        <f t="shared" ca="1" si="378"/>
        <v>0</v>
      </c>
      <c r="Z132" s="526">
        <f t="shared" ca="1" si="378"/>
        <v>0</v>
      </c>
      <c r="AA132" s="526">
        <f t="shared" ca="1" si="378"/>
        <v>0</v>
      </c>
      <c r="AB132" s="526">
        <f t="shared" ca="1" si="378"/>
        <v>0</v>
      </c>
      <c r="AC132" s="526">
        <f t="shared" ca="1" si="378"/>
        <v>0</v>
      </c>
      <c r="AD132" s="526">
        <f t="shared" ca="1" si="378"/>
        <v>0</v>
      </c>
      <c r="AE132" s="526">
        <f t="shared" ca="1" si="378"/>
        <v>0</v>
      </c>
      <c r="AF132" s="526">
        <f t="shared" ca="1" si="378"/>
        <v>0</v>
      </c>
      <c r="AG132" s="526">
        <f t="shared" ca="1" si="378"/>
        <v>0</v>
      </c>
      <c r="AH132" s="526">
        <f t="shared" ca="1" si="378"/>
        <v>0</v>
      </c>
      <c r="AI132" s="526">
        <f t="shared" ca="1" si="378"/>
        <v>0</v>
      </c>
      <c r="AJ132" s="526">
        <f t="shared" ca="1" si="378"/>
        <v>0</v>
      </c>
      <c r="AK132" s="526">
        <f t="shared" ca="1" si="378"/>
        <v>0</v>
      </c>
      <c r="AL132" s="526">
        <f t="shared" ca="1" si="378"/>
        <v>0</v>
      </c>
      <c r="AM132" s="526">
        <f t="shared" ca="1" si="378"/>
        <v>0</v>
      </c>
      <c r="AN132" s="526">
        <f t="shared" ca="1" si="378"/>
        <v>0</v>
      </c>
      <c r="AO132" s="526">
        <f t="shared" ca="1" si="378"/>
        <v>0</v>
      </c>
      <c r="AP132" s="526">
        <f t="shared" ca="1" si="378"/>
        <v>0</v>
      </c>
      <c r="AQ132" s="526">
        <f t="shared" ca="1" si="378"/>
        <v>0</v>
      </c>
      <c r="AR132" s="526">
        <f t="shared" ca="1" si="378"/>
        <v>0</v>
      </c>
      <c r="AS132" s="526">
        <f t="shared" ca="1" si="378"/>
        <v>0</v>
      </c>
      <c r="AT132" s="526">
        <f t="shared" ca="1" si="378"/>
        <v>0</v>
      </c>
      <c r="AU132" s="526">
        <f t="shared" ca="1" si="378"/>
        <v>0</v>
      </c>
      <c r="AV132" s="526">
        <f t="shared" ca="1" si="378"/>
        <v>0</v>
      </c>
      <c r="AW132" s="526">
        <f t="shared" ca="1" si="378"/>
        <v>0</v>
      </c>
      <c r="AX132" s="526">
        <f t="shared" ca="1" si="378"/>
        <v>0</v>
      </c>
      <c r="AY132" s="526">
        <f t="shared" ca="1" si="378"/>
        <v>0</v>
      </c>
      <c r="AZ132" s="526">
        <f t="shared" ca="1" si="378"/>
        <v>0</v>
      </c>
      <c r="BA132" s="526">
        <f t="shared" ca="1" si="378"/>
        <v>0</v>
      </c>
      <c r="BB132" s="526">
        <f t="shared" ca="1" si="378"/>
        <v>0</v>
      </c>
      <c r="BC132" s="526">
        <f t="shared" ca="1" si="378"/>
        <v>0</v>
      </c>
      <c r="BD132" s="526">
        <f t="shared" ca="1" si="378"/>
        <v>0</v>
      </c>
      <c r="BE132" s="526">
        <f t="shared" ca="1" si="378"/>
        <v>0</v>
      </c>
      <c r="BF132" s="526">
        <f t="shared" ca="1" si="378"/>
        <v>0</v>
      </c>
      <c r="BG132" s="526">
        <f t="shared" ca="1" si="378"/>
        <v>1240859.0283729024</v>
      </c>
      <c r="BH132" s="526">
        <f t="shared" ca="1" si="378"/>
        <v>0</v>
      </c>
      <c r="BI132" s="526">
        <f t="shared" ca="1" si="378"/>
        <v>0</v>
      </c>
      <c r="BJ132" s="526">
        <f t="shared" ca="1" si="378"/>
        <v>0</v>
      </c>
      <c r="BK132" s="526">
        <f t="shared" ca="1" si="378"/>
        <v>0</v>
      </c>
      <c r="BL132" s="526">
        <f t="shared" ca="1" si="378"/>
        <v>0</v>
      </c>
      <c r="BM132" s="526">
        <f t="shared" ca="1" si="378"/>
        <v>0</v>
      </c>
      <c r="BN132" s="526">
        <f t="shared" ca="1" si="378"/>
        <v>0</v>
      </c>
      <c r="BO132" s="526">
        <f t="shared" ca="1" si="378"/>
        <v>0</v>
      </c>
      <c r="BP132" s="526">
        <f t="shared" ca="1" si="378"/>
        <v>0</v>
      </c>
      <c r="BQ132" s="526">
        <f t="shared" ca="1" si="378"/>
        <v>0</v>
      </c>
      <c r="BR132" s="526">
        <f t="shared" ca="1" si="378"/>
        <v>0</v>
      </c>
      <c r="BS132" s="526">
        <f t="shared" ca="1" si="378"/>
        <v>0</v>
      </c>
      <c r="BT132" s="526">
        <f t="shared" ca="1" si="378"/>
        <v>0</v>
      </c>
      <c r="BU132" s="526">
        <f t="shared" ca="1" si="378"/>
        <v>0</v>
      </c>
      <c r="BV132" s="526">
        <f t="shared" ca="1" si="378"/>
        <v>0</v>
      </c>
      <c r="BW132" s="526">
        <f t="shared" ca="1" si="378"/>
        <v>0</v>
      </c>
      <c r="BX132" s="526">
        <f t="shared" ref="BX132:EA132" ca="1" si="379">BX19+BX39+BX57+BX75+BX93+BX111+BX119</f>
        <v>0</v>
      </c>
      <c r="BY132" s="526">
        <f t="shared" ca="1" si="379"/>
        <v>0</v>
      </c>
      <c r="BZ132" s="526">
        <f t="shared" ca="1" si="379"/>
        <v>0</v>
      </c>
      <c r="CA132" s="526">
        <f t="shared" ca="1" si="379"/>
        <v>0</v>
      </c>
      <c r="CB132" s="526">
        <f t="shared" ca="1" si="379"/>
        <v>0</v>
      </c>
      <c r="CC132" s="526">
        <f t="shared" ca="1" si="379"/>
        <v>0</v>
      </c>
      <c r="CD132" s="526">
        <f t="shared" ca="1" si="379"/>
        <v>0</v>
      </c>
      <c r="CE132" s="526">
        <f t="shared" ca="1" si="379"/>
        <v>0</v>
      </c>
      <c r="CF132" s="526">
        <f t="shared" ca="1" si="379"/>
        <v>0</v>
      </c>
      <c r="CG132" s="526">
        <f t="shared" ca="1" si="379"/>
        <v>0</v>
      </c>
      <c r="CH132" s="526">
        <f t="shared" ca="1" si="379"/>
        <v>0</v>
      </c>
      <c r="CI132" s="526">
        <f t="shared" ca="1" si="379"/>
        <v>0</v>
      </c>
      <c r="CJ132" s="526">
        <f t="shared" ca="1" si="379"/>
        <v>0</v>
      </c>
      <c r="CK132" s="526">
        <f t="shared" ca="1" si="379"/>
        <v>0</v>
      </c>
      <c r="CL132" s="526">
        <f t="shared" ca="1" si="379"/>
        <v>0</v>
      </c>
      <c r="CM132" s="526">
        <f t="shared" ca="1" si="379"/>
        <v>0</v>
      </c>
      <c r="CN132" s="526">
        <f t="shared" ca="1" si="379"/>
        <v>0</v>
      </c>
      <c r="CO132" s="526">
        <f t="shared" ca="1" si="379"/>
        <v>0</v>
      </c>
      <c r="CP132" s="526">
        <f t="shared" ca="1" si="379"/>
        <v>0</v>
      </c>
      <c r="CQ132" s="526">
        <f t="shared" ca="1" si="379"/>
        <v>0</v>
      </c>
      <c r="CR132" s="526">
        <f t="shared" ca="1" si="379"/>
        <v>0</v>
      </c>
      <c r="CS132" s="526">
        <f t="shared" ca="1" si="379"/>
        <v>0</v>
      </c>
      <c r="CT132" s="526">
        <f t="shared" ca="1" si="379"/>
        <v>0</v>
      </c>
      <c r="CU132" s="526">
        <f t="shared" ca="1" si="379"/>
        <v>0</v>
      </c>
      <c r="CV132" s="526">
        <f t="shared" ca="1" si="379"/>
        <v>0</v>
      </c>
      <c r="CW132" s="526">
        <f t="shared" ca="1" si="379"/>
        <v>0</v>
      </c>
      <c r="CX132" s="526">
        <f t="shared" ca="1" si="379"/>
        <v>0</v>
      </c>
      <c r="CY132" s="526">
        <f t="shared" ca="1" si="379"/>
        <v>0</v>
      </c>
      <c r="CZ132" s="526">
        <f t="shared" ca="1" si="379"/>
        <v>0</v>
      </c>
      <c r="DA132" s="526">
        <f t="shared" ca="1" si="379"/>
        <v>0</v>
      </c>
      <c r="DB132" s="526">
        <f t="shared" ca="1" si="379"/>
        <v>0</v>
      </c>
      <c r="DC132" s="526">
        <f t="shared" ca="1" si="379"/>
        <v>0</v>
      </c>
      <c r="DD132" s="526">
        <f t="shared" ca="1" si="379"/>
        <v>0</v>
      </c>
      <c r="DE132" s="526">
        <f t="shared" ca="1" si="379"/>
        <v>0</v>
      </c>
      <c r="DF132" s="526">
        <f t="shared" ca="1" si="379"/>
        <v>0</v>
      </c>
      <c r="DG132" s="526">
        <f t="shared" ca="1" si="379"/>
        <v>0</v>
      </c>
      <c r="DH132" s="526">
        <f t="shared" ca="1" si="379"/>
        <v>0</v>
      </c>
      <c r="DI132" s="526">
        <f t="shared" ca="1" si="379"/>
        <v>0</v>
      </c>
      <c r="DJ132" s="526">
        <f t="shared" ca="1" si="379"/>
        <v>0</v>
      </c>
      <c r="DK132" s="526">
        <f t="shared" ca="1" si="379"/>
        <v>0</v>
      </c>
      <c r="DL132" s="526">
        <f t="shared" ca="1" si="379"/>
        <v>0</v>
      </c>
      <c r="DM132" s="526">
        <f t="shared" ca="1" si="379"/>
        <v>0</v>
      </c>
      <c r="DN132" s="526">
        <f t="shared" ca="1" si="379"/>
        <v>0</v>
      </c>
      <c r="DO132" s="526">
        <f t="shared" ca="1" si="379"/>
        <v>0</v>
      </c>
      <c r="DP132" s="526">
        <f t="shared" ca="1" si="379"/>
        <v>0</v>
      </c>
      <c r="DQ132" s="526">
        <f t="shared" ca="1" si="379"/>
        <v>0</v>
      </c>
      <c r="DR132" s="526">
        <f t="shared" ca="1" si="379"/>
        <v>0</v>
      </c>
      <c r="DS132" s="526">
        <f t="shared" ca="1" si="379"/>
        <v>0</v>
      </c>
      <c r="DT132" s="526">
        <f t="shared" ca="1" si="379"/>
        <v>0</v>
      </c>
      <c r="DU132" s="526">
        <f t="shared" ca="1" si="379"/>
        <v>0</v>
      </c>
      <c r="DV132" s="526">
        <f t="shared" ca="1" si="379"/>
        <v>0</v>
      </c>
      <c r="DW132" s="526">
        <f t="shared" ca="1" si="379"/>
        <v>0</v>
      </c>
      <c r="DX132" s="526">
        <f t="shared" ca="1" si="379"/>
        <v>0</v>
      </c>
      <c r="DY132" s="526">
        <f t="shared" ca="1" si="379"/>
        <v>0</v>
      </c>
      <c r="DZ132" s="526">
        <f t="shared" ca="1" si="379"/>
        <v>0</v>
      </c>
      <c r="EA132" s="526">
        <f t="shared" ca="1" si="379"/>
        <v>0</v>
      </c>
      <c r="EB132" s="523" t="s">
        <v>557</v>
      </c>
    </row>
    <row r="133" spans="7:132">
      <c r="G133" s="518" t="s">
        <v>1193</v>
      </c>
      <c r="H133" s="539"/>
      <c r="I133" s="526">
        <f ca="1">SUM(K133:EA133)</f>
        <v>0</v>
      </c>
      <c r="K133" s="526">
        <f t="shared" ref="K133:AP133" ca="1" si="380">K18</f>
        <v>0</v>
      </c>
      <c r="L133" s="526">
        <f t="shared" si="380"/>
        <v>0</v>
      </c>
      <c r="M133" s="526">
        <f t="shared" si="380"/>
        <v>0</v>
      </c>
      <c r="N133" s="526">
        <f t="shared" si="380"/>
        <v>0</v>
      </c>
      <c r="O133" s="526">
        <f t="shared" si="380"/>
        <v>0</v>
      </c>
      <c r="P133" s="526">
        <f t="shared" si="380"/>
        <v>0</v>
      </c>
      <c r="Q133" s="526">
        <f t="shared" si="380"/>
        <v>0</v>
      </c>
      <c r="R133" s="526">
        <f t="shared" si="380"/>
        <v>0</v>
      </c>
      <c r="S133" s="526">
        <f t="shared" si="380"/>
        <v>0</v>
      </c>
      <c r="T133" s="526">
        <f t="shared" si="380"/>
        <v>0</v>
      </c>
      <c r="U133" s="526">
        <f t="shared" si="380"/>
        <v>0</v>
      </c>
      <c r="V133" s="526">
        <f t="shared" si="380"/>
        <v>0</v>
      </c>
      <c r="W133" s="526">
        <f t="shared" si="380"/>
        <v>0</v>
      </c>
      <c r="X133" s="526">
        <f t="shared" si="380"/>
        <v>0</v>
      </c>
      <c r="Y133" s="526">
        <f t="shared" si="380"/>
        <v>0</v>
      </c>
      <c r="Z133" s="526">
        <f t="shared" si="380"/>
        <v>0</v>
      </c>
      <c r="AA133" s="526">
        <f t="shared" si="380"/>
        <v>0</v>
      </c>
      <c r="AB133" s="526">
        <f t="shared" si="380"/>
        <v>0</v>
      </c>
      <c r="AC133" s="526">
        <f t="shared" si="380"/>
        <v>0</v>
      </c>
      <c r="AD133" s="526">
        <f t="shared" si="380"/>
        <v>0</v>
      </c>
      <c r="AE133" s="526">
        <f t="shared" si="380"/>
        <v>0</v>
      </c>
      <c r="AF133" s="526">
        <f t="shared" si="380"/>
        <v>0</v>
      </c>
      <c r="AG133" s="526">
        <f t="shared" si="380"/>
        <v>0</v>
      </c>
      <c r="AH133" s="526">
        <f t="shared" si="380"/>
        <v>0</v>
      </c>
      <c r="AI133" s="526">
        <f t="shared" si="380"/>
        <v>0</v>
      </c>
      <c r="AJ133" s="526">
        <f t="shared" si="380"/>
        <v>0</v>
      </c>
      <c r="AK133" s="526">
        <f t="shared" si="380"/>
        <v>0</v>
      </c>
      <c r="AL133" s="526">
        <f t="shared" si="380"/>
        <v>0</v>
      </c>
      <c r="AM133" s="526">
        <f t="shared" si="380"/>
        <v>0</v>
      </c>
      <c r="AN133" s="526">
        <f t="shared" si="380"/>
        <v>0</v>
      </c>
      <c r="AO133" s="526">
        <f t="shared" si="380"/>
        <v>0</v>
      </c>
      <c r="AP133" s="526">
        <f t="shared" si="380"/>
        <v>0</v>
      </c>
      <c r="AQ133" s="526">
        <f t="shared" ref="AQ133:BV133" si="381">AQ18</f>
        <v>0</v>
      </c>
      <c r="AR133" s="526">
        <f t="shared" si="381"/>
        <v>0</v>
      </c>
      <c r="AS133" s="526">
        <f t="shared" si="381"/>
        <v>0</v>
      </c>
      <c r="AT133" s="526">
        <f t="shared" si="381"/>
        <v>0</v>
      </c>
      <c r="AU133" s="526">
        <f t="shared" si="381"/>
        <v>0</v>
      </c>
      <c r="AV133" s="526">
        <f t="shared" si="381"/>
        <v>0</v>
      </c>
      <c r="AW133" s="526">
        <f t="shared" si="381"/>
        <v>0</v>
      </c>
      <c r="AX133" s="526">
        <f t="shared" si="381"/>
        <v>0</v>
      </c>
      <c r="AY133" s="526">
        <f t="shared" si="381"/>
        <v>0</v>
      </c>
      <c r="AZ133" s="526">
        <f t="shared" si="381"/>
        <v>0</v>
      </c>
      <c r="BA133" s="526">
        <f t="shared" si="381"/>
        <v>0</v>
      </c>
      <c r="BB133" s="526">
        <f t="shared" si="381"/>
        <v>0</v>
      </c>
      <c r="BC133" s="526">
        <f t="shared" si="381"/>
        <v>0</v>
      </c>
      <c r="BD133" s="526">
        <f t="shared" si="381"/>
        <v>0</v>
      </c>
      <c r="BE133" s="526">
        <f t="shared" si="381"/>
        <v>0</v>
      </c>
      <c r="BF133" s="526">
        <f t="shared" si="381"/>
        <v>0</v>
      </c>
      <c r="BG133" s="526">
        <f t="shared" si="381"/>
        <v>0</v>
      </c>
      <c r="BH133" s="526">
        <f t="shared" si="381"/>
        <v>0</v>
      </c>
      <c r="BI133" s="526">
        <f t="shared" si="381"/>
        <v>0</v>
      </c>
      <c r="BJ133" s="526">
        <f t="shared" si="381"/>
        <v>0</v>
      </c>
      <c r="BK133" s="526">
        <f t="shared" si="381"/>
        <v>0</v>
      </c>
      <c r="BL133" s="526">
        <f t="shared" si="381"/>
        <v>0</v>
      </c>
      <c r="BM133" s="526">
        <f t="shared" si="381"/>
        <v>0</v>
      </c>
      <c r="BN133" s="526">
        <f t="shared" si="381"/>
        <v>0</v>
      </c>
      <c r="BO133" s="526">
        <f t="shared" si="381"/>
        <v>0</v>
      </c>
      <c r="BP133" s="526">
        <f t="shared" si="381"/>
        <v>0</v>
      </c>
      <c r="BQ133" s="526">
        <f t="shared" si="381"/>
        <v>0</v>
      </c>
      <c r="BR133" s="526">
        <f t="shared" si="381"/>
        <v>0</v>
      </c>
      <c r="BS133" s="526">
        <f t="shared" si="381"/>
        <v>0</v>
      </c>
      <c r="BT133" s="526">
        <f t="shared" si="381"/>
        <v>0</v>
      </c>
      <c r="BU133" s="526">
        <f t="shared" si="381"/>
        <v>0</v>
      </c>
      <c r="BV133" s="526">
        <f t="shared" si="381"/>
        <v>0</v>
      </c>
      <c r="BW133" s="526">
        <f t="shared" ref="BW133:DB133" si="382">BW18</f>
        <v>0</v>
      </c>
      <c r="BX133" s="526">
        <f t="shared" si="382"/>
        <v>0</v>
      </c>
      <c r="BY133" s="526">
        <f t="shared" si="382"/>
        <v>0</v>
      </c>
      <c r="BZ133" s="526">
        <f t="shared" si="382"/>
        <v>0</v>
      </c>
      <c r="CA133" s="526">
        <f t="shared" si="382"/>
        <v>0</v>
      </c>
      <c r="CB133" s="526">
        <f t="shared" si="382"/>
        <v>0</v>
      </c>
      <c r="CC133" s="526">
        <f t="shared" si="382"/>
        <v>0</v>
      </c>
      <c r="CD133" s="526">
        <f t="shared" si="382"/>
        <v>0</v>
      </c>
      <c r="CE133" s="526">
        <f t="shared" si="382"/>
        <v>0</v>
      </c>
      <c r="CF133" s="526">
        <f t="shared" si="382"/>
        <v>0</v>
      </c>
      <c r="CG133" s="526">
        <f t="shared" si="382"/>
        <v>0</v>
      </c>
      <c r="CH133" s="526">
        <f t="shared" si="382"/>
        <v>0</v>
      </c>
      <c r="CI133" s="526">
        <f t="shared" si="382"/>
        <v>0</v>
      </c>
      <c r="CJ133" s="526">
        <f t="shared" si="382"/>
        <v>0</v>
      </c>
      <c r="CK133" s="526">
        <f t="shared" si="382"/>
        <v>0</v>
      </c>
      <c r="CL133" s="526">
        <f t="shared" si="382"/>
        <v>0</v>
      </c>
      <c r="CM133" s="526">
        <f t="shared" si="382"/>
        <v>0</v>
      </c>
      <c r="CN133" s="526">
        <f t="shared" si="382"/>
        <v>0</v>
      </c>
      <c r="CO133" s="526">
        <f t="shared" si="382"/>
        <v>0</v>
      </c>
      <c r="CP133" s="526">
        <f t="shared" si="382"/>
        <v>0</v>
      </c>
      <c r="CQ133" s="526">
        <f t="shared" si="382"/>
        <v>0</v>
      </c>
      <c r="CR133" s="526">
        <f t="shared" si="382"/>
        <v>0</v>
      </c>
      <c r="CS133" s="526">
        <f t="shared" si="382"/>
        <v>0</v>
      </c>
      <c r="CT133" s="526">
        <f t="shared" si="382"/>
        <v>0</v>
      </c>
      <c r="CU133" s="526">
        <f t="shared" si="382"/>
        <v>0</v>
      </c>
      <c r="CV133" s="526">
        <f t="shared" si="382"/>
        <v>0</v>
      </c>
      <c r="CW133" s="526">
        <f t="shared" si="382"/>
        <v>0</v>
      </c>
      <c r="CX133" s="526">
        <f t="shared" si="382"/>
        <v>0</v>
      </c>
      <c r="CY133" s="526">
        <f t="shared" si="382"/>
        <v>0</v>
      </c>
      <c r="CZ133" s="526">
        <f t="shared" si="382"/>
        <v>0</v>
      </c>
      <c r="DA133" s="526">
        <f t="shared" si="382"/>
        <v>0</v>
      </c>
      <c r="DB133" s="526">
        <f t="shared" si="382"/>
        <v>0</v>
      </c>
      <c r="DC133" s="526">
        <f t="shared" ref="DC133:EA133" si="383">DC18</f>
        <v>0</v>
      </c>
      <c r="DD133" s="526">
        <f t="shared" si="383"/>
        <v>0</v>
      </c>
      <c r="DE133" s="526">
        <f t="shared" si="383"/>
        <v>0</v>
      </c>
      <c r="DF133" s="526">
        <f t="shared" si="383"/>
        <v>0</v>
      </c>
      <c r="DG133" s="526">
        <f t="shared" si="383"/>
        <v>0</v>
      </c>
      <c r="DH133" s="526">
        <f t="shared" si="383"/>
        <v>0</v>
      </c>
      <c r="DI133" s="526">
        <f t="shared" si="383"/>
        <v>0</v>
      </c>
      <c r="DJ133" s="526">
        <f t="shared" si="383"/>
        <v>0</v>
      </c>
      <c r="DK133" s="526">
        <f t="shared" si="383"/>
        <v>0</v>
      </c>
      <c r="DL133" s="526">
        <f t="shared" si="383"/>
        <v>0</v>
      </c>
      <c r="DM133" s="526">
        <f t="shared" si="383"/>
        <v>0</v>
      </c>
      <c r="DN133" s="526">
        <f t="shared" si="383"/>
        <v>0</v>
      </c>
      <c r="DO133" s="526">
        <f t="shared" si="383"/>
        <v>0</v>
      </c>
      <c r="DP133" s="526">
        <f t="shared" si="383"/>
        <v>0</v>
      </c>
      <c r="DQ133" s="526">
        <f t="shared" si="383"/>
        <v>0</v>
      </c>
      <c r="DR133" s="526">
        <f t="shared" si="383"/>
        <v>0</v>
      </c>
      <c r="DS133" s="526">
        <f t="shared" si="383"/>
        <v>0</v>
      </c>
      <c r="DT133" s="526">
        <f t="shared" si="383"/>
        <v>0</v>
      </c>
      <c r="DU133" s="526">
        <f t="shared" si="383"/>
        <v>0</v>
      </c>
      <c r="DV133" s="526">
        <f t="shared" si="383"/>
        <v>0</v>
      </c>
      <c r="DW133" s="526">
        <f t="shared" si="383"/>
        <v>0</v>
      </c>
      <c r="DX133" s="526">
        <f t="shared" si="383"/>
        <v>0</v>
      </c>
      <c r="DY133" s="526">
        <f t="shared" si="383"/>
        <v>0</v>
      </c>
      <c r="DZ133" s="526">
        <f t="shared" si="383"/>
        <v>0</v>
      </c>
      <c r="EA133" s="526">
        <f t="shared" si="383"/>
        <v>0</v>
      </c>
      <c r="EB133" s="523"/>
    </row>
    <row r="134" spans="7:132">
      <c r="G134" s="518" t="s">
        <v>1194</v>
      </c>
      <c r="H134" s="539"/>
      <c r="I134" s="557">
        <f ca="1">-I133+I132</f>
        <v>1240859.0283729024</v>
      </c>
      <c r="K134" s="526">
        <f ca="1">-K133+K132</f>
        <v>0</v>
      </c>
      <c r="L134" s="526">
        <f t="shared" ref="L134:BW134" ca="1" si="384">-L133+L132</f>
        <v>0</v>
      </c>
      <c r="M134" s="526">
        <f t="shared" ca="1" si="384"/>
        <v>0</v>
      </c>
      <c r="N134" s="526">
        <f t="shared" ca="1" si="384"/>
        <v>0</v>
      </c>
      <c r="O134" s="526">
        <f t="shared" ca="1" si="384"/>
        <v>0</v>
      </c>
      <c r="P134" s="526">
        <f t="shared" ca="1" si="384"/>
        <v>0</v>
      </c>
      <c r="Q134" s="526">
        <f t="shared" ca="1" si="384"/>
        <v>0</v>
      </c>
      <c r="R134" s="526">
        <f t="shared" ca="1" si="384"/>
        <v>0</v>
      </c>
      <c r="S134" s="526">
        <f t="shared" ca="1" si="384"/>
        <v>0</v>
      </c>
      <c r="T134" s="526">
        <f t="shared" ca="1" si="384"/>
        <v>0</v>
      </c>
      <c r="U134" s="526">
        <f t="shared" ca="1" si="384"/>
        <v>0</v>
      </c>
      <c r="V134" s="526">
        <f t="shared" ca="1" si="384"/>
        <v>0</v>
      </c>
      <c r="W134" s="526">
        <f t="shared" ca="1" si="384"/>
        <v>0</v>
      </c>
      <c r="X134" s="526">
        <f t="shared" ca="1" si="384"/>
        <v>0</v>
      </c>
      <c r="Y134" s="526">
        <f t="shared" ca="1" si="384"/>
        <v>0</v>
      </c>
      <c r="Z134" s="526">
        <f t="shared" ca="1" si="384"/>
        <v>0</v>
      </c>
      <c r="AA134" s="526">
        <f t="shared" ca="1" si="384"/>
        <v>0</v>
      </c>
      <c r="AB134" s="526">
        <f t="shared" ca="1" si="384"/>
        <v>0</v>
      </c>
      <c r="AC134" s="526">
        <f t="shared" ca="1" si="384"/>
        <v>0</v>
      </c>
      <c r="AD134" s="526">
        <f t="shared" ca="1" si="384"/>
        <v>0</v>
      </c>
      <c r="AE134" s="526">
        <f t="shared" ca="1" si="384"/>
        <v>0</v>
      </c>
      <c r="AF134" s="526">
        <f t="shared" ca="1" si="384"/>
        <v>0</v>
      </c>
      <c r="AG134" s="526">
        <f t="shared" ca="1" si="384"/>
        <v>0</v>
      </c>
      <c r="AH134" s="526">
        <f t="shared" ca="1" si="384"/>
        <v>0</v>
      </c>
      <c r="AI134" s="526">
        <f t="shared" ca="1" si="384"/>
        <v>0</v>
      </c>
      <c r="AJ134" s="526">
        <f t="shared" ca="1" si="384"/>
        <v>0</v>
      </c>
      <c r="AK134" s="526">
        <f t="shared" ca="1" si="384"/>
        <v>0</v>
      </c>
      <c r="AL134" s="526">
        <f t="shared" ca="1" si="384"/>
        <v>0</v>
      </c>
      <c r="AM134" s="526">
        <f t="shared" ca="1" si="384"/>
        <v>0</v>
      </c>
      <c r="AN134" s="526">
        <f t="shared" ca="1" si="384"/>
        <v>0</v>
      </c>
      <c r="AO134" s="526">
        <f t="shared" ca="1" si="384"/>
        <v>0</v>
      </c>
      <c r="AP134" s="526">
        <f t="shared" ca="1" si="384"/>
        <v>0</v>
      </c>
      <c r="AQ134" s="526">
        <f t="shared" ca="1" si="384"/>
        <v>0</v>
      </c>
      <c r="AR134" s="526">
        <f t="shared" ca="1" si="384"/>
        <v>0</v>
      </c>
      <c r="AS134" s="526">
        <f t="shared" ca="1" si="384"/>
        <v>0</v>
      </c>
      <c r="AT134" s="526">
        <f t="shared" ca="1" si="384"/>
        <v>0</v>
      </c>
      <c r="AU134" s="526">
        <f t="shared" ca="1" si="384"/>
        <v>0</v>
      </c>
      <c r="AV134" s="526">
        <f t="shared" ca="1" si="384"/>
        <v>0</v>
      </c>
      <c r="AW134" s="526">
        <f t="shared" ca="1" si="384"/>
        <v>0</v>
      </c>
      <c r="AX134" s="526">
        <f t="shared" ca="1" si="384"/>
        <v>0</v>
      </c>
      <c r="AY134" s="526">
        <f t="shared" ca="1" si="384"/>
        <v>0</v>
      </c>
      <c r="AZ134" s="526">
        <f t="shared" ca="1" si="384"/>
        <v>0</v>
      </c>
      <c r="BA134" s="526">
        <f t="shared" ca="1" si="384"/>
        <v>0</v>
      </c>
      <c r="BB134" s="526">
        <f t="shared" ca="1" si="384"/>
        <v>0</v>
      </c>
      <c r="BC134" s="526">
        <f t="shared" ca="1" si="384"/>
        <v>0</v>
      </c>
      <c r="BD134" s="526">
        <f t="shared" ca="1" si="384"/>
        <v>0</v>
      </c>
      <c r="BE134" s="526">
        <f t="shared" ca="1" si="384"/>
        <v>0</v>
      </c>
      <c r="BF134" s="526">
        <f t="shared" ca="1" si="384"/>
        <v>0</v>
      </c>
      <c r="BG134" s="526">
        <f t="shared" ca="1" si="384"/>
        <v>1240859.0283729024</v>
      </c>
      <c r="BH134" s="526">
        <f t="shared" ca="1" si="384"/>
        <v>0</v>
      </c>
      <c r="BI134" s="526">
        <f t="shared" ca="1" si="384"/>
        <v>0</v>
      </c>
      <c r="BJ134" s="526">
        <f t="shared" ca="1" si="384"/>
        <v>0</v>
      </c>
      <c r="BK134" s="526">
        <f t="shared" ca="1" si="384"/>
        <v>0</v>
      </c>
      <c r="BL134" s="526">
        <f t="shared" ca="1" si="384"/>
        <v>0</v>
      </c>
      <c r="BM134" s="526">
        <f t="shared" ca="1" si="384"/>
        <v>0</v>
      </c>
      <c r="BN134" s="526">
        <f t="shared" ca="1" si="384"/>
        <v>0</v>
      </c>
      <c r="BO134" s="526">
        <f t="shared" ca="1" si="384"/>
        <v>0</v>
      </c>
      <c r="BP134" s="526">
        <f t="shared" ca="1" si="384"/>
        <v>0</v>
      </c>
      <c r="BQ134" s="526">
        <f t="shared" ca="1" si="384"/>
        <v>0</v>
      </c>
      <c r="BR134" s="526">
        <f t="shared" ca="1" si="384"/>
        <v>0</v>
      </c>
      <c r="BS134" s="526">
        <f t="shared" ca="1" si="384"/>
        <v>0</v>
      </c>
      <c r="BT134" s="526">
        <f t="shared" ca="1" si="384"/>
        <v>0</v>
      </c>
      <c r="BU134" s="526">
        <f t="shared" ca="1" si="384"/>
        <v>0</v>
      </c>
      <c r="BV134" s="526">
        <f t="shared" ca="1" si="384"/>
        <v>0</v>
      </c>
      <c r="BW134" s="526">
        <f t="shared" ca="1" si="384"/>
        <v>0</v>
      </c>
      <c r="BX134" s="526">
        <f t="shared" ref="BX134:EA134" ca="1" si="385">-BX133+BX132</f>
        <v>0</v>
      </c>
      <c r="BY134" s="526">
        <f t="shared" ca="1" si="385"/>
        <v>0</v>
      </c>
      <c r="BZ134" s="526">
        <f t="shared" ca="1" si="385"/>
        <v>0</v>
      </c>
      <c r="CA134" s="526">
        <f t="shared" ca="1" si="385"/>
        <v>0</v>
      </c>
      <c r="CB134" s="526">
        <f t="shared" ca="1" si="385"/>
        <v>0</v>
      </c>
      <c r="CC134" s="526">
        <f t="shared" ca="1" si="385"/>
        <v>0</v>
      </c>
      <c r="CD134" s="526">
        <f t="shared" ca="1" si="385"/>
        <v>0</v>
      </c>
      <c r="CE134" s="526">
        <f t="shared" ca="1" si="385"/>
        <v>0</v>
      </c>
      <c r="CF134" s="526">
        <f t="shared" ca="1" si="385"/>
        <v>0</v>
      </c>
      <c r="CG134" s="526">
        <f t="shared" ca="1" si="385"/>
        <v>0</v>
      </c>
      <c r="CH134" s="526">
        <f t="shared" ca="1" si="385"/>
        <v>0</v>
      </c>
      <c r="CI134" s="526">
        <f t="shared" ca="1" si="385"/>
        <v>0</v>
      </c>
      <c r="CJ134" s="526">
        <f t="shared" ca="1" si="385"/>
        <v>0</v>
      </c>
      <c r="CK134" s="526">
        <f t="shared" ca="1" si="385"/>
        <v>0</v>
      </c>
      <c r="CL134" s="526">
        <f t="shared" ca="1" si="385"/>
        <v>0</v>
      </c>
      <c r="CM134" s="526">
        <f t="shared" ca="1" si="385"/>
        <v>0</v>
      </c>
      <c r="CN134" s="526">
        <f t="shared" ca="1" si="385"/>
        <v>0</v>
      </c>
      <c r="CO134" s="526">
        <f t="shared" ca="1" si="385"/>
        <v>0</v>
      </c>
      <c r="CP134" s="526">
        <f t="shared" ca="1" si="385"/>
        <v>0</v>
      </c>
      <c r="CQ134" s="526">
        <f t="shared" ca="1" si="385"/>
        <v>0</v>
      </c>
      <c r="CR134" s="526">
        <f t="shared" ca="1" si="385"/>
        <v>0</v>
      </c>
      <c r="CS134" s="526">
        <f t="shared" ca="1" si="385"/>
        <v>0</v>
      </c>
      <c r="CT134" s="526">
        <f t="shared" ca="1" si="385"/>
        <v>0</v>
      </c>
      <c r="CU134" s="526">
        <f t="shared" ca="1" si="385"/>
        <v>0</v>
      </c>
      <c r="CV134" s="526">
        <f t="shared" ca="1" si="385"/>
        <v>0</v>
      </c>
      <c r="CW134" s="526">
        <f t="shared" ca="1" si="385"/>
        <v>0</v>
      </c>
      <c r="CX134" s="526">
        <f t="shared" ca="1" si="385"/>
        <v>0</v>
      </c>
      <c r="CY134" s="526">
        <f t="shared" ca="1" si="385"/>
        <v>0</v>
      </c>
      <c r="CZ134" s="526">
        <f t="shared" ca="1" si="385"/>
        <v>0</v>
      </c>
      <c r="DA134" s="526">
        <f t="shared" ca="1" si="385"/>
        <v>0</v>
      </c>
      <c r="DB134" s="526">
        <f t="shared" ca="1" si="385"/>
        <v>0</v>
      </c>
      <c r="DC134" s="526">
        <f t="shared" ca="1" si="385"/>
        <v>0</v>
      </c>
      <c r="DD134" s="526">
        <f t="shared" ca="1" si="385"/>
        <v>0</v>
      </c>
      <c r="DE134" s="526">
        <f t="shared" ca="1" si="385"/>
        <v>0</v>
      </c>
      <c r="DF134" s="526">
        <f t="shared" ca="1" si="385"/>
        <v>0</v>
      </c>
      <c r="DG134" s="526">
        <f t="shared" ca="1" si="385"/>
        <v>0</v>
      </c>
      <c r="DH134" s="526">
        <f t="shared" ca="1" si="385"/>
        <v>0</v>
      </c>
      <c r="DI134" s="526">
        <f t="shared" ca="1" si="385"/>
        <v>0</v>
      </c>
      <c r="DJ134" s="526">
        <f t="shared" ca="1" si="385"/>
        <v>0</v>
      </c>
      <c r="DK134" s="526">
        <f t="shared" ca="1" si="385"/>
        <v>0</v>
      </c>
      <c r="DL134" s="526">
        <f t="shared" ca="1" si="385"/>
        <v>0</v>
      </c>
      <c r="DM134" s="526">
        <f t="shared" ca="1" si="385"/>
        <v>0</v>
      </c>
      <c r="DN134" s="526">
        <f t="shared" ca="1" si="385"/>
        <v>0</v>
      </c>
      <c r="DO134" s="526">
        <f t="shared" ca="1" si="385"/>
        <v>0</v>
      </c>
      <c r="DP134" s="526">
        <f t="shared" ca="1" si="385"/>
        <v>0</v>
      </c>
      <c r="DQ134" s="526">
        <f t="shared" ca="1" si="385"/>
        <v>0</v>
      </c>
      <c r="DR134" s="526">
        <f t="shared" ca="1" si="385"/>
        <v>0</v>
      </c>
      <c r="DS134" s="526">
        <f t="shared" ca="1" si="385"/>
        <v>0</v>
      </c>
      <c r="DT134" s="526">
        <f t="shared" ca="1" si="385"/>
        <v>0</v>
      </c>
      <c r="DU134" s="526">
        <f t="shared" ca="1" si="385"/>
        <v>0</v>
      </c>
      <c r="DV134" s="526">
        <f t="shared" ca="1" si="385"/>
        <v>0</v>
      </c>
      <c r="DW134" s="526">
        <f t="shared" ca="1" si="385"/>
        <v>0</v>
      </c>
      <c r="DX134" s="526">
        <f t="shared" ca="1" si="385"/>
        <v>0</v>
      </c>
      <c r="DY134" s="526">
        <f t="shared" ca="1" si="385"/>
        <v>0</v>
      </c>
      <c r="DZ134" s="526">
        <f t="shared" ca="1" si="385"/>
        <v>0</v>
      </c>
      <c r="EA134" s="526">
        <f t="shared" ca="1" si="385"/>
        <v>0</v>
      </c>
      <c r="EB134" s="523"/>
    </row>
    <row r="135" spans="7:132">
      <c r="G135" s="518" t="s">
        <v>1140</v>
      </c>
      <c r="H135" s="558" t="e">
        <f ca="1">XIRR(K134:EA134,$K$2:$EA$2,)</f>
        <v>#NUM!</v>
      </c>
      <c r="K135" s="526"/>
      <c r="L135" s="526"/>
      <c r="M135" s="526"/>
      <c r="N135" s="526"/>
      <c r="O135" s="526"/>
      <c r="P135" s="526"/>
      <c r="Q135" s="526"/>
      <c r="R135" s="526"/>
      <c r="S135" s="526"/>
      <c r="T135" s="526"/>
      <c r="U135" s="526"/>
      <c r="V135" s="526"/>
      <c r="W135" s="526"/>
      <c r="X135" s="526"/>
      <c r="Y135" s="526"/>
      <c r="Z135" s="526"/>
      <c r="AA135" s="526"/>
      <c r="AB135" s="526"/>
      <c r="AC135" s="526"/>
      <c r="AD135" s="526"/>
      <c r="AE135" s="526"/>
      <c r="AF135" s="526"/>
      <c r="AG135" s="526"/>
      <c r="AH135" s="526"/>
      <c r="AI135" s="526"/>
      <c r="AJ135" s="526"/>
      <c r="AK135" s="526"/>
      <c r="AL135" s="526"/>
      <c r="AM135" s="526"/>
      <c r="AN135" s="526"/>
      <c r="AO135" s="526"/>
      <c r="AP135" s="526"/>
      <c r="AQ135" s="526"/>
      <c r="AR135" s="526"/>
      <c r="AS135" s="526"/>
      <c r="AT135" s="526"/>
      <c r="AU135" s="526"/>
      <c r="AV135" s="526"/>
      <c r="AW135" s="526"/>
      <c r="AX135" s="526"/>
      <c r="AY135" s="526"/>
      <c r="AZ135" s="526"/>
      <c r="BA135" s="526"/>
      <c r="BB135" s="526"/>
      <c r="BC135" s="526"/>
      <c r="BD135" s="526"/>
      <c r="BE135" s="526"/>
      <c r="BF135" s="526"/>
      <c r="BG135" s="526"/>
      <c r="BH135" s="526"/>
      <c r="BI135" s="526"/>
      <c r="BJ135" s="526"/>
      <c r="BK135" s="526"/>
      <c r="BL135" s="526"/>
      <c r="BM135" s="526"/>
      <c r="BN135" s="526"/>
      <c r="BO135" s="526"/>
      <c r="BP135" s="526"/>
      <c r="BQ135" s="526"/>
      <c r="BR135" s="526"/>
      <c r="BS135" s="526"/>
      <c r="BT135" s="526"/>
      <c r="BU135" s="526"/>
      <c r="BV135" s="526"/>
      <c r="BW135" s="526"/>
      <c r="BX135" s="526"/>
      <c r="BY135" s="526"/>
      <c r="BZ135" s="526"/>
      <c r="CA135" s="526"/>
      <c r="CB135" s="526"/>
      <c r="CC135" s="526"/>
      <c r="CD135" s="526"/>
      <c r="CE135" s="526"/>
      <c r="CF135" s="526"/>
      <c r="CG135" s="526"/>
      <c r="CH135" s="526"/>
      <c r="CI135" s="526"/>
      <c r="CJ135" s="526"/>
      <c r="CK135" s="526"/>
      <c r="CL135" s="526"/>
      <c r="CM135" s="526"/>
      <c r="CN135" s="526"/>
      <c r="CO135" s="526"/>
      <c r="CP135" s="526"/>
      <c r="CQ135" s="526"/>
      <c r="CR135" s="526"/>
      <c r="CS135" s="526"/>
      <c r="CT135" s="526"/>
      <c r="CU135" s="526"/>
      <c r="CV135" s="526"/>
      <c r="CW135" s="526"/>
      <c r="CX135" s="526"/>
      <c r="CY135" s="526"/>
      <c r="CZ135" s="526"/>
      <c r="DA135" s="526"/>
      <c r="DB135" s="526"/>
      <c r="DC135" s="526"/>
      <c r="DD135" s="526"/>
      <c r="DE135" s="526"/>
      <c r="DF135" s="526"/>
      <c r="DG135" s="526"/>
      <c r="DH135" s="526"/>
      <c r="DI135" s="526"/>
      <c r="DJ135" s="526"/>
      <c r="DK135" s="526"/>
      <c r="DL135" s="526"/>
      <c r="DM135" s="526"/>
      <c r="DN135" s="526"/>
      <c r="DO135" s="526"/>
      <c r="DP135" s="526"/>
      <c r="DQ135" s="526"/>
      <c r="DR135" s="526"/>
      <c r="DS135" s="526"/>
      <c r="DT135" s="526"/>
      <c r="DU135" s="526"/>
      <c r="DV135" s="526"/>
      <c r="DW135" s="526"/>
      <c r="DX135" s="526"/>
      <c r="DY135" s="526"/>
      <c r="DZ135" s="526"/>
      <c r="EA135" s="526"/>
      <c r="EB135" s="523" t="s">
        <v>557</v>
      </c>
    </row>
    <row r="136" spans="7:132" ht="18" thickBot="1">
      <c r="G136" s="554" t="s">
        <v>1143</v>
      </c>
      <c r="H136" s="559" t="e">
        <f ca="1">I132/I133</f>
        <v>#DIV/0!</v>
      </c>
      <c r="I136" s="555"/>
      <c r="J136" s="555"/>
      <c r="K136" s="556"/>
      <c r="L136" s="556"/>
      <c r="M136" s="556"/>
      <c r="N136" s="556"/>
      <c r="O136" s="556"/>
      <c r="P136" s="556"/>
      <c r="Q136" s="556"/>
      <c r="R136" s="556"/>
      <c r="S136" s="556"/>
      <c r="T136" s="556"/>
      <c r="U136" s="556"/>
      <c r="V136" s="556"/>
      <c r="W136" s="556"/>
      <c r="X136" s="556"/>
      <c r="Y136" s="556"/>
      <c r="Z136" s="556"/>
      <c r="AA136" s="556"/>
      <c r="AB136" s="556"/>
      <c r="AC136" s="556"/>
      <c r="AD136" s="556"/>
      <c r="AE136" s="556"/>
      <c r="AF136" s="556"/>
      <c r="AG136" s="556"/>
      <c r="AH136" s="556"/>
      <c r="AI136" s="556"/>
      <c r="AJ136" s="556"/>
      <c r="AK136" s="556"/>
      <c r="AL136" s="556"/>
      <c r="AM136" s="556"/>
      <c r="AN136" s="556"/>
      <c r="AO136" s="556"/>
      <c r="AP136" s="556"/>
      <c r="AQ136" s="556"/>
      <c r="AR136" s="556"/>
      <c r="AS136" s="556"/>
      <c r="AT136" s="556"/>
      <c r="AU136" s="556"/>
      <c r="AV136" s="556"/>
      <c r="AW136" s="556"/>
      <c r="AX136" s="556"/>
      <c r="AY136" s="556"/>
      <c r="AZ136" s="556"/>
      <c r="BA136" s="556"/>
      <c r="BB136" s="556"/>
      <c r="BC136" s="556"/>
      <c r="BD136" s="556"/>
      <c r="BE136" s="556"/>
      <c r="BF136" s="556"/>
      <c r="BG136" s="556"/>
      <c r="BH136" s="556"/>
      <c r="BI136" s="556"/>
      <c r="BJ136" s="556"/>
      <c r="BK136" s="556"/>
      <c r="BL136" s="556"/>
      <c r="BM136" s="556"/>
      <c r="BN136" s="556"/>
      <c r="BO136" s="556"/>
      <c r="BP136" s="556"/>
      <c r="BQ136" s="556"/>
      <c r="BR136" s="556"/>
      <c r="BS136" s="556"/>
      <c r="BT136" s="556"/>
      <c r="BU136" s="556"/>
      <c r="BV136" s="556"/>
      <c r="BW136" s="556"/>
      <c r="BX136" s="556"/>
      <c r="BY136" s="556"/>
      <c r="BZ136" s="556"/>
      <c r="CA136" s="556"/>
      <c r="CB136" s="556"/>
      <c r="CC136" s="556"/>
      <c r="CD136" s="556"/>
      <c r="CE136" s="556"/>
      <c r="CF136" s="556"/>
      <c r="CG136" s="556"/>
      <c r="CH136" s="556"/>
      <c r="CI136" s="556"/>
      <c r="CJ136" s="556"/>
      <c r="CK136" s="556"/>
      <c r="CL136" s="556"/>
      <c r="CM136" s="556"/>
      <c r="CN136" s="556"/>
      <c r="CO136" s="556"/>
      <c r="CP136" s="556"/>
      <c r="CQ136" s="556"/>
      <c r="CR136" s="556"/>
      <c r="CS136" s="556"/>
      <c r="CT136" s="556"/>
      <c r="CU136" s="556"/>
      <c r="CV136" s="556"/>
      <c r="CW136" s="556"/>
      <c r="CX136" s="556"/>
      <c r="CY136" s="556"/>
      <c r="CZ136" s="556"/>
      <c r="DA136" s="556"/>
      <c r="DB136" s="556"/>
      <c r="DC136" s="556"/>
      <c r="DD136" s="556"/>
      <c r="DE136" s="556"/>
      <c r="DF136" s="556"/>
      <c r="DG136" s="556"/>
      <c r="DH136" s="556"/>
      <c r="DI136" s="556"/>
      <c r="DJ136" s="556"/>
      <c r="DK136" s="556"/>
      <c r="DL136" s="556"/>
      <c r="DM136" s="556"/>
      <c r="DN136" s="556"/>
      <c r="DO136" s="556"/>
      <c r="DP136" s="556"/>
      <c r="DQ136" s="556"/>
      <c r="DR136" s="556"/>
      <c r="DS136" s="556"/>
      <c r="DT136" s="556"/>
      <c r="DU136" s="556"/>
      <c r="DV136" s="556"/>
      <c r="DW136" s="556"/>
      <c r="DX136" s="556"/>
      <c r="DY136" s="556"/>
      <c r="DZ136" s="556"/>
      <c r="EA136" s="556"/>
      <c r="EB136" s="523" t="s">
        <v>557</v>
      </c>
    </row>
  </sheetData>
  <conditionalFormatting sqref="C22">
    <cfRule type="containsText" dxfId="3" priority="1" operator="containsText" text="ERROR">
      <formula>NOT(ISERROR(SEARCH("ERROR",C22)))</formula>
    </cfRule>
    <cfRule type="cellIs" dxfId="2" priority="2" operator="equal">
      <formula>"OK"</formula>
    </cfRule>
  </conditionalFormatting>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
    <tabColor rgb="FF00B0F0"/>
  </sheetPr>
  <dimension ref="B2:EC135"/>
  <sheetViews>
    <sheetView showGridLines="0" workbookViewId="0">
      <selection activeCell="L23" sqref="L22:L23"/>
    </sheetView>
  </sheetViews>
  <sheetFormatPr defaultColWidth="9.1796875" defaultRowHeight="17.5"/>
  <cols>
    <col min="1" max="1" width="3.453125" style="138" customWidth="1"/>
    <col min="2" max="2" width="24.7265625" style="138" bestFit="1" customWidth="1"/>
    <col min="3" max="3" width="23" style="138" customWidth="1"/>
    <col min="4" max="4" width="16.7265625" style="138" bestFit="1" customWidth="1"/>
    <col min="5" max="5" width="15.54296875" style="138" bestFit="1" customWidth="1"/>
    <col min="6" max="6" width="16.7265625" style="138" bestFit="1" customWidth="1"/>
    <col min="7" max="7" width="3.81640625" style="138" customWidth="1"/>
    <col min="8" max="8" width="49.1796875" style="518" bestFit="1" customWidth="1"/>
    <col min="9" max="9" width="10.7265625" style="138" customWidth="1"/>
    <col min="10" max="10" width="14" style="138" bestFit="1" customWidth="1"/>
    <col min="11" max="11" width="2.7265625" style="138" customWidth="1"/>
    <col min="12" max="132" width="15.7265625" style="138" customWidth="1"/>
    <col min="133" max="16384" width="9.1796875" style="138"/>
  </cols>
  <sheetData>
    <row r="2" spans="2:133" ht="19">
      <c r="L2" s="366">
        <v>44059</v>
      </c>
      <c r="M2" s="366">
        <v>44073</v>
      </c>
      <c r="N2" s="366">
        <v>44104</v>
      </c>
      <c r="O2" s="366">
        <v>44135</v>
      </c>
      <c r="P2" s="366">
        <v>44165</v>
      </c>
      <c r="Q2" s="366">
        <v>44196</v>
      </c>
      <c r="R2" s="366">
        <v>44227</v>
      </c>
      <c r="S2" s="366">
        <v>44255</v>
      </c>
      <c r="T2" s="366">
        <v>44286</v>
      </c>
      <c r="U2" s="366">
        <v>44316</v>
      </c>
      <c r="V2" s="366">
        <v>44347</v>
      </c>
      <c r="W2" s="366">
        <v>44377</v>
      </c>
      <c r="X2" s="366">
        <v>44408</v>
      </c>
      <c r="Y2" s="366">
        <v>44439</v>
      </c>
      <c r="Z2" s="366">
        <v>44469</v>
      </c>
      <c r="AA2" s="366">
        <v>44500</v>
      </c>
      <c r="AB2" s="366">
        <v>44530</v>
      </c>
      <c r="AC2" s="366">
        <v>44561</v>
      </c>
      <c r="AD2" s="366">
        <v>44592</v>
      </c>
      <c r="AE2" s="366">
        <v>44620</v>
      </c>
      <c r="AF2" s="366">
        <v>44651</v>
      </c>
      <c r="AG2" s="366">
        <v>44681</v>
      </c>
      <c r="AH2" s="366">
        <v>44712</v>
      </c>
      <c r="AI2" s="366">
        <v>44742</v>
      </c>
      <c r="AJ2" s="366">
        <v>44773</v>
      </c>
      <c r="AK2" s="366">
        <v>44804</v>
      </c>
      <c r="AL2" s="366">
        <v>44834</v>
      </c>
      <c r="AM2" s="366">
        <v>44865</v>
      </c>
      <c r="AN2" s="366">
        <v>44895</v>
      </c>
      <c r="AO2" s="366">
        <v>44926</v>
      </c>
      <c r="AP2" s="366">
        <v>44957</v>
      </c>
      <c r="AQ2" s="366">
        <v>44985</v>
      </c>
      <c r="AR2" s="366">
        <v>45016</v>
      </c>
      <c r="AS2" s="366">
        <v>45046</v>
      </c>
      <c r="AT2" s="366">
        <v>45077</v>
      </c>
      <c r="AU2" s="366">
        <v>45107</v>
      </c>
      <c r="AV2" s="366">
        <v>45138</v>
      </c>
      <c r="AW2" s="366">
        <v>45169</v>
      </c>
      <c r="AX2" s="366">
        <v>45199</v>
      </c>
      <c r="AY2" s="366">
        <v>45230</v>
      </c>
      <c r="AZ2" s="366">
        <v>45260</v>
      </c>
      <c r="BA2" s="366">
        <v>45291</v>
      </c>
      <c r="BB2" s="366">
        <v>45322</v>
      </c>
      <c r="BC2" s="366">
        <v>45351</v>
      </c>
      <c r="BD2" s="366">
        <v>45382</v>
      </c>
      <c r="BE2" s="366">
        <v>45412</v>
      </c>
      <c r="BF2" s="366">
        <v>45443</v>
      </c>
      <c r="BG2" s="366">
        <v>45473</v>
      </c>
      <c r="BH2" s="366">
        <v>45504</v>
      </c>
      <c r="BI2" s="366">
        <v>45535</v>
      </c>
      <c r="BJ2" s="366">
        <v>45565</v>
      </c>
      <c r="BK2" s="366">
        <v>45596</v>
      </c>
      <c r="BL2" s="366">
        <v>45626</v>
      </c>
      <c r="BM2" s="366">
        <v>45657</v>
      </c>
      <c r="BN2" s="366">
        <v>45688</v>
      </c>
      <c r="BO2" s="366">
        <v>45716</v>
      </c>
      <c r="BP2" s="366">
        <v>45747</v>
      </c>
      <c r="BQ2" s="366">
        <v>45777</v>
      </c>
      <c r="BR2" s="366">
        <v>45808</v>
      </c>
      <c r="BS2" s="366">
        <v>45838</v>
      </c>
      <c r="BT2" s="366">
        <v>45869</v>
      </c>
      <c r="BU2" s="366">
        <v>45900</v>
      </c>
      <c r="BV2" s="366">
        <v>45930</v>
      </c>
      <c r="BW2" s="366">
        <v>45961</v>
      </c>
      <c r="BX2" s="366">
        <v>45991</v>
      </c>
      <c r="BY2" s="366">
        <v>46022</v>
      </c>
      <c r="BZ2" s="366">
        <v>46053</v>
      </c>
      <c r="CA2" s="366">
        <v>46081</v>
      </c>
      <c r="CB2" s="366">
        <v>46112</v>
      </c>
      <c r="CC2" s="366">
        <v>46142</v>
      </c>
      <c r="CD2" s="366">
        <v>46173</v>
      </c>
      <c r="CE2" s="366">
        <v>46203</v>
      </c>
      <c r="CF2" s="366">
        <v>46234</v>
      </c>
      <c r="CG2" s="366">
        <v>46265</v>
      </c>
      <c r="CH2" s="366">
        <v>46295</v>
      </c>
      <c r="CI2" s="366">
        <v>46326</v>
      </c>
      <c r="CJ2" s="366">
        <v>46356</v>
      </c>
      <c r="CK2" s="366">
        <v>46387</v>
      </c>
      <c r="CL2" s="366">
        <v>46418</v>
      </c>
      <c r="CM2" s="366">
        <v>46446</v>
      </c>
      <c r="CN2" s="366">
        <v>46477</v>
      </c>
      <c r="CO2" s="366">
        <v>46507</v>
      </c>
      <c r="CP2" s="366">
        <v>46538</v>
      </c>
      <c r="CQ2" s="366">
        <v>46568</v>
      </c>
      <c r="CR2" s="366">
        <v>46599</v>
      </c>
      <c r="CS2" s="366">
        <v>46630</v>
      </c>
      <c r="CT2" s="366">
        <v>46660</v>
      </c>
      <c r="CU2" s="366">
        <v>46691</v>
      </c>
      <c r="CV2" s="366">
        <v>46721</v>
      </c>
      <c r="CW2" s="366">
        <v>46752</v>
      </c>
      <c r="CX2" s="366">
        <v>46783</v>
      </c>
      <c r="CY2" s="366">
        <v>46812</v>
      </c>
      <c r="CZ2" s="366">
        <v>46843</v>
      </c>
      <c r="DA2" s="366">
        <v>46873</v>
      </c>
      <c r="DB2" s="366">
        <v>46904</v>
      </c>
      <c r="DC2" s="366">
        <v>46934</v>
      </c>
      <c r="DD2" s="366">
        <v>46965</v>
      </c>
      <c r="DE2" s="366">
        <v>46996</v>
      </c>
      <c r="DF2" s="366">
        <v>47026</v>
      </c>
      <c r="DG2" s="366">
        <v>47057</v>
      </c>
      <c r="DH2" s="366">
        <v>47087</v>
      </c>
      <c r="DI2" s="366">
        <v>47118</v>
      </c>
      <c r="DJ2" s="366">
        <v>47149</v>
      </c>
      <c r="DK2" s="366">
        <v>47177</v>
      </c>
      <c r="DL2" s="366">
        <v>47208</v>
      </c>
      <c r="DM2" s="366">
        <v>47238</v>
      </c>
      <c r="DN2" s="366">
        <v>47269</v>
      </c>
      <c r="DO2" s="366">
        <v>47299</v>
      </c>
      <c r="DP2" s="366">
        <v>47330</v>
      </c>
      <c r="DQ2" s="366">
        <v>47361</v>
      </c>
      <c r="DR2" s="366">
        <v>47391</v>
      </c>
      <c r="DS2" s="366">
        <v>47422</v>
      </c>
      <c r="DT2" s="366">
        <v>47452</v>
      </c>
      <c r="DU2" s="366">
        <v>47483</v>
      </c>
      <c r="DV2" s="366">
        <v>47514</v>
      </c>
      <c r="DW2" s="366">
        <v>47542</v>
      </c>
      <c r="DX2" s="366">
        <v>47573</v>
      </c>
      <c r="DY2" s="366">
        <v>47603</v>
      </c>
      <c r="DZ2" s="366">
        <v>47634</v>
      </c>
      <c r="EA2" s="366">
        <v>47664</v>
      </c>
      <c r="EB2" s="366">
        <v>47695</v>
      </c>
      <c r="EC2" s="519" t="s">
        <v>557</v>
      </c>
    </row>
    <row r="3" spans="2:133" ht="19">
      <c r="L3" s="369">
        <v>0</v>
      </c>
      <c r="M3" s="369">
        <v>1</v>
      </c>
      <c r="N3" s="369">
        <v>1</v>
      </c>
      <c r="O3" s="369">
        <v>1</v>
      </c>
      <c r="P3" s="369">
        <v>1</v>
      </c>
      <c r="Q3" s="369">
        <v>1</v>
      </c>
      <c r="R3" s="369">
        <v>1</v>
      </c>
      <c r="S3" s="369">
        <v>1</v>
      </c>
      <c r="T3" s="369">
        <v>1</v>
      </c>
      <c r="U3" s="369">
        <v>1</v>
      </c>
      <c r="V3" s="369">
        <v>1</v>
      </c>
      <c r="W3" s="369">
        <v>1</v>
      </c>
      <c r="X3" s="369">
        <v>1</v>
      </c>
      <c r="Y3" s="369">
        <v>2</v>
      </c>
      <c r="Z3" s="369">
        <v>2</v>
      </c>
      <c r="AA3" s="369">
        <v>2</v>
      </c>
      <c r="AB3" s="369">
        <v>2</v>
      </c>
      <c r="AC3" s="369">
        <v>2</v>
      </c>
      <c r="AD3" s="369">
        <v>2</v>
      </c>
      <c r="AE3" s="369">
        <v>2</v>
      </c>
      <c r="AF3" s="369">
        <v>2</v>
      </c>
      <c r="AG3" s="369">
        <v>2</v>
      </c>
      <c r="AH3" s="369">
        <v>2</v>
      </c>
      <c r="AI3" s="369">
        <v>2</v>
      </c>
      <c r="AJ3" s="369">
        <v>2</v>
      </c>
      <c r="AK3" s="369">
        <v>3</v>
      </c>
      <c r="AL3" s="369">
        <v>3</v>
      </c>
      <c r="AM3" s="369">
        <v>3</v>
      </c>
      <c r="AN3" s="369">
        <v>3</v>
      </c>
      <c r="AO3" s="369">
        <v>3</v>
      </c>
      <c r="AP3" s="369">
        <v>3</v>
      </c>
      <c r="AQ3" s="369">
        <v>3</v>
      </c>
      <c r="AR3" s="369">
        <v>3</v>
      </c>
      <c r="AS3" s="369">
        <v>3</v>
      </c>
      <c r="AT3" s="369">
        <v>3</v>
      </c>
      <c r="AU3" s="369">
        <v>3</v>
      </c>
      <c r="AV3" s="369">
        <v>3</v>
      </c>
      <c r="AW3" s="369">
        <v>4</v>
      </c>
      <c r="AX3" s="369">
        <v>4</v>
      </c>
      <c r="AY3" s="369">
        <v>4</v>
      </c>
      <c r="AZ3" s="369">
        <v>4</v>
      </c>
      <c r="BA3" s="369">
        <v>4</v>
      </c>
      <c r="BB3" s="369">
        <v>4</v>
      </c>
      <c r="BC3" s="369">
        <v>4</v>
      </c>
      <c r="BD3" s="369">
        <v>4</v>
      </c>
      <c r="BE3" s="369">
        <v>4</v>
      </c>
      <c r="BF3" s="369">
        <v>4</v>
      </c>
      <c r="BG3" s="369">
        <v>4</v>
      </c>
      <c r="BH3" s="369">
        <v>4</v>
      </c>
      <c r="BI3" s="369">
        <v>5</v>
      </c>
      <c r="BJ3" s="369">
        <v>5</v>
      </c>
      <c r="BK3" s="369">
        <v>5</v>
      </c>
      <c r="BL3" s="369">
        <v>5</v>
      </c>
      <c r="BM3" s="369">
        <v>5</v>
      </c>
      <c r="BN3" s="369">
        <v>5</v>
      </c>
      <c r="BO3" s="369">
        <v>5</v>
      </c>
      <c r="BP3" s="369">
        <v>5</v>
      </c>
      <c r="BQ3" s="369">
        <v>5</v>
      </c>
      <c r="BR3" s="369">
        <v>5</v>
      </c>
      <c r="BS3" s="369">
        <v>5</v>
      </c>
      <c r="BT3" s="369">
        <v>5</v>
      </c>
      <c r="BU3" s="369">
        <v>6</v>
      </c>
      <c r="BV3" s="369">
        <v>6</v>
      </c>
      <c r="BW3" s="369">
        <v>6</v>
      </c>
      <c r="BX3" s="369">
        <v>6</v>
      </c>
      <c r="BY3" s="369">
        <v>6</v>
      </c>
      <c r="BZ3" s="369">
        <v>6</v>
      </c>
      <c r="CA3" s="369">
        <v>6</v>
      </c>
      <c r="CB3" s="369">
        <v>6</v>
      </c>
      <c r="CC3" s="369">
        <v>6</v>
      </c>
      <c r="CD3" s="369">
        <v>6</v>
      </c>
      <c r="CE3" s="369">
        <v>6</v>
      </c>
      <c r="CF3" s="369">
        <v>6</v>
      </c>
      <c r="CG3" s="369">
        <v>7</v>
      </c>
      <c r="CH3" s="369">
        <v>7</v>
      </c>
      <c r="CI3" s="369">
        <v>7</v>
      </c>
      <c r="CJ3" s="369">
        <v>7</v>
      </c>
      <c r="CK3" s="369">
        <v>7</v>
      </c>
      <c r="CL3" s="369">
        <v>7</v>
      </c>
      <c r="CM3" s="369">
        <v>7</v>
      </c>
      <c r="CN3" s="369">
        <v>7</v>
      </c>
      <c r="CO3" s="369">
        <v>7</v>
      </c>
      <c r="CP3" s="369">
        <v>7</v>
      </c>
      <c r="CQ3" s="369">
        <v>7</v>
      </c>
      <c r="CR3" s="369">
        <v>7</v>
      </c>
      <c r="CS3" s="369">
        <v>8</v>
      </c>
      <c r="CT3" s="369">
        <v>8</v>
      </c>
      <c r="CU3" s="369">
        <v>8</v>
      </c>
      <c r="CV3" s="369">
        <v>8</v>
      </c>
      <c r="CW3" s="369">
        <v>8</v>
      </c>
      <c r="CX3" s="369">
        <v>8</v>
      </c>
      <c r="CY3" s="369">
        <v>8</v>
      </c>
      <c r="CZ3" s="369">
        <v>8</v>
      </c>
      <c r="DA3" s="369">
        <v>8</v>
      </c>
      <c r="DB3" s="369">
        <v>8</v>
      </c>
      <c r="DC3" s="369">
        <v>8</v>
      </c>
      <c r="DD3" s="369">
        <v>8</v>
      </c>
      <c r="DE3" s="369">
        <v>9</v>
      </c>
      <c r="DF3" s="369">
        <v>9</v>
      </c>
      <c r="DG3" s="369">
        <v>9</v>
      </c>
      <c r="DH3" s="369">
        <v>9</v>
      </c>
      <c r="DI3" s="369">
        <v>9</v>
      </c>
      <c r="DJ3" s="369">
        <v>9</v>
      </c>
      <c r="DK3" s="369">
        <v>9</v>
      </c>
      <c r="DL3" s="369">
        <v>9</v>
      </c>
      <c r="DM3" s="369">
        <v>9</v>
      </c>
      <c r="DN3" s="369">
        <v>9</v>
      </c>
      <c r="DO3" s="369">
        <v>9</v>
      </c>
      <c r="DP3" s="369">
        <v>9</v>
      </c>
      <c r="DQ3" s="369">
        <v>10</v>
      </c>
      <c r="DR3" s="369">
        <v>10</v>
      </c>
      <c r="DS3" s="369">
        <v>10</v>
      </c>
      <c r="DT3" s="369">
        <v>10</v>
      </c>
      <c r="DU3" s="369">
        <v>10</v>
      </c>
      <c r="DV3" s="369">
        <v>10</v>
      </c>
      <c r="DW3" s="369">
        <v>10</v>
      </c>
      <c r="DX3" s="369">
        <v>10</v>
      </c>
      <c r="DY3" s="369">
        <v>10</v>
      </c>
      <c r="DZ3" s="369">
        <v>10</v>
      </c>
      <c r="EA3" s="369">
        <v>10</v>
      </c>
      <c r="EB3" s="369">
        <v>10</v>
      </c>
      <c r="EC3" s="376" t="s">
        <v>557</v>
      </c>
    </row>
    <row r="4" spans="2:133" ht="19">
      <c r="L4" s="369">
        <v>0</v>
      </c>
      <c r="M4" s="369">
        <v>1</v>
      </c>
      <c r="N4" s="369">
        <v>2</v>
      </c>
      <c r="O4" s="369">
        <v>3</v>
      </c>
      <c r="P4" s="369">
        <v>4</v>
      </c>
      <c r="Q4" s="369">
        <v>5</v>
      </c>
      <c r="R4" s="369">
        <v>6</v>
      </c>
      <c r="S4" s="369">
        <v>7</v>
      </c>
      <c r="T4" s="369">
        <v>8</v>
      </c>
      <c r="U4" s="369">
        <v>9</v>
      </c>
      <c r="V4" s="369">
        <v>10</v>
      </c>
      <c r="W4" s="369">
        <v>11</v>
      </c>
      <c r="X4" s="369">
        <v>12</v>
      </c>
      <c r="Y4" s="369">
        <v>13</v>
      </c>
      <c r="Z4" s="369">
        <v>14</v>
      </c>
      <c r="AA4" s="369">
        <v>15</v>
      </c>
      <c r="AB4" s="369">
        <v>16</v>
      </c>
      <c r="AC4" s="369">
        <v>17</v>
      </c>
      <c r="AD4" s="369">
        <v>18</v>
      </c>
      <c r="AE4" s="369">
        <v>19</v>
      </c>
      <c r="AF4" s="369">
        <v>20</v>
      </c>
      <c r="AG4" s="369">
        <v>21</v>
      </c>
      <c r="AH4" s="369">
        <v>22</v>
      </c>
      <c r="AI4" s="369">
        <v>23</v>
      </c>
      <c r="AJ4" s="369">
        <v>24</v>
      </c>
      <c r="AK4" s="369">
        <v>25</v>
      </c>
      <c r="AL4" s="369">
        <v>26</v>
      </c>
      <c r="AM4" s="369">
        <v>27</v>
      </c>
      <c r="AN4" s="369">
        <v>28</v>
      </c>
      <c r="AO4" s="369">
        <v>29</v>
      </c>
      <c r="AP4" s="369">
        <v>30</v>
      </c>
      <c r="AQ4" s="369">
        <v>31</v>
      </c>
      <c r="AR4" s="369">
        <v>32</v>
      </c>
      <c r="AS4" s="369">
        <v>33</v>
      </c>
      <c r="AT4" s="369">
        <v>34</v>
      </c>
      <c r="AU4" s="369">
        <v>35</v>
      </c>
      <c r="AV4" s="369">
        <v>36</v>
      </c>
      <c r="AW4" s="369">
        <v>37</v>
      </c>
      <c r="AX4" s="369">
        <v>38</v>
      </c>
      <c r="AY4" s="369">
        <v>39</v>
      </c>
      <c r="AZ4" s="369">
        <v>40</v>
      </c>
      <c r="BA4" s="369">
        <v>41</v>
      </c>
      <c r="BB4" s="369">
        <v>42</v>
      </c>
      <c r="BC4" s="369">
        <v>43</v>
      </c>
      <c r="BD4" s="369">
        <v>44</v>
      </c>
      <c r="BE4" s="369">
        <v>45</v>
      </c>
      <c r="BF4" s="369">
        <v>46</v>
      </c>
      <c r="BG4" s="369">
        <v>47</v>
      </c>
      <c r="BH4" s="369">
        <v>48</v>
      </c>
      <c r="BI4" s="369">
        <v>49</v>
      </c>
      <c r="BJ4" s="369">
        <v>50</v>
      </c>
      <c r="BK4" s="369">
        <v>51</v>
      </c>
      <c r="BL4" s="369">
        <v>52</v>
      </c>
      <c r="BM4" s="369">
        <v>53</v>
      </c>
      <c r="BN4" s="369">
        <v>54</v>
      </c>
      <c r="BO4" s="369">
        <v>55</v>
      </c>
      <c r="BP4" s="369">
        <v>56</v>
      </c>
      <c r="BQ4" s="369">
        <v>57</v>
      </c>
      <c r="BR4" s="369">
        <v>58</v>
      </c>
      <c r="BS4" s="369">
        <v>59</v>
      </c>
      <c r="BT4" s="369">
        <v>60</v>
      </c>
      <c r="BU4" s="369">
        <v>61</v>
      </c>
      <c r="BV4" s="369">
        <v>62</v>
      </c>
      <c r="BW4" s="369">
        <v>63</v>
      </c>
      <c r="BX4" s="369">
        <v>64</v>
      </c>
      <c r="BY4" s="369">
        <v>65</v>
      </c>
      <c r="BZ4" s="369">
        <v>66</v>
      </c>
      <c r="CA4" s="369">
        <v>67</v>
      </c>
      <c r="CB4" s="369">
        <v>68</v>
      </c>
      <c r="CC4" s="369">
        <v>69</v>
      </c>
      <c r="CD4" s="369">
        <v>70</v>
      </c>
      <c r="CE4" s="369">
        <v>71</v>
      </c>
      <c r="CF4" s="369">
        <v>72</v>
      </c>
      <c r="CG4" s="369">
        <v>73</v>
      </c>
      <c r="CH4" s="369">
        <v>74</v>
      </c>
      <c r="CI4" s="369">
        <v>75</v>
      </c>
      <c r="CJ4" s="369">
        <v>76</v>
      </c>
      <c r="CK4" s="369">
        <v>77</v>
      </c>
      <c r="CL4" s="369">
        <v>78</v>
      </c>
      <c r="CM4" s="369">
        <v>79</v>
      </c>
      <c r="CN4" s="369">
        <v>80</v>
      </c>
      <c r="CO4" s="369">
        <v>81</v>
      </c>
      <c r="CP4" s="369">
        <v>82</v>
      </c>
      <c r="CQ4" s="369">
        <v>83</v>
      </c>
      <c r="CR4" s="369">
        <v>84</v>
      </c>
      <c r="CS4" s="369">
        <v>85</v>
      </c>
      <c r="CT4" s="369">
        <v>86</v>
      </c>
      <c r="CU4" s="369">
        <v>87</v>
      </c>
      <c r="CV4" s="369">
        <v>88</v>
      </c>
      <c r="CW4" s="369">
        <v>89</v>
      </c>
      <c r="CX4" s="369">
        <v>90</v>
      </c>
      <c r="CY4" s="369">
        <v>91</v>
      </c>
      <c r="CZ4" s="369">
        <v>92</v>
      </c>
      <c r="DA4" s="369">
        <v>93</v>
      </c>
      <c r="DB4" s="369">
        <v>94</v>
      </c>
      <c r="DC4" s="369">
        <v>95</v>
      </c>
      <c r="DD4" s="369">
        <v>96</v>
      </c>
      <c r="DE4" s="369">
        <v>97</v>
      </c>
      <c r="DF4" s="369">
        <v>98</v>
      </c>
      <c r="DG4" s="369">
        <v>99</v>
      </c>
      <c r="DH4" s="369">
        <v>100</v>
      </c>
      <c r="DI4" s="369">
        <v>101</v>
      </c>
      <c r="DJ4" s="369">
        <v>102</v>
      </c>
      <c r="DK4" s="369">
        <v>103</v>
      </c>
      <c r="DL4" s="369">
        <v>104</v>
      </c>
      <c r="DM4" s="369">
        <v>105</v>
      </c>
      <c r="DN4" s="369">
        <v>106</v>
      </c>
      <c r="DO4" s="369">
        <v>107</v>
      </c>
      <c r="DP4" s="369">
        <v>108</v>
      </c>
      <c r="DQ4" s="369">
        <v>109</v>
      </c>
      <c r="DR4" s="369">
        <v>110</v>
      </c>
      <c r="DS4" s="369">
        <v>111</v>
      </c>
      <c r="DT4" s="369">
        <v>112</v>
      </c>
      <c r="DU4" s="369">
        <v>113</v>
      </c>
      <c r="DV4" s="369">
        <v>114</v>
      </c>
      <c r="DW4" s="369">
        <v>115</v>
      </c>
      <c r="DX4" s="369">
        <v>116</v>
      </c>
      <c r="DY4" s="369">
        <v>117</v>
      </c>
      <c r="DZ4" s="369">
        <v>118</v>
      </c>
      <c r="EA4" s="369">
        <v>119</v>
      </c>
      <c r="EB4" s="369">
        <v>120</v>
      </c>
      <c r="EC4" s="376" t="s">
        <v>557</v>
      </c>
    </row>
    <row r="5" spans="2:133" ht="19">
      <c r="B5" s="173" t="s">
        <v>1133</v>
      </c>
      <c r="C5" s="173"/>
      <c r="D5" s="173"/>
      <c r="E5" s="175"/>
      <c r="F5" s="175"/>
      <c r="H5" s="520" t="s">
        <v>1134</v>
      </c>
      <c r="I5" s="521"/>
      <c r="J5" s="521"/>
      <c r="K5" s="521"/>
      <c r="L5" s="522">
        <f ca="1">'Monthly Cash Flow'!D129</f>
        <v>-20296000</v>
      </c>
      <c r="M5" s="522">
        <f>'Monthly Cash Flow'!E129</f>
        <v>75142.199419975848</v>
      </c>
      <c r="N5" s="522">
        <f>'Monthly Cash Flow'!F129</f>
        <v>77255.772749442272</v>
      </c>
      <c r="O5" s="522">
        <f>'Monthly Cash Flow'!G129</f>
        <v>79383.436567771874</v>
      </c>
      <c r="P5" s="522">
        <f>'Monthly Cash Flow'!H129</f>
        <v>81525.284811557081</v>
      </c>
      <c r="Q5" s="522">
        <f>'Monthly Cash Flow'!I129</f>
        <v>83681.412043634118</v>
      </c>
      <c r="R5" s="522">
        <f>'Monthly Cash Flow'!J129</f>
        <v>85851.913457258299</v>
      </c>
      <c r="S5" s="522">
        <f>'Monthly Cash Flow'!K129</f>
        <v>88036.884880306709</v>
      </c>
      <c r="T5" s="522">
        <f>'Monthly Cash Flow'!L129</f>
        <v>90236.422779508677</v>
      </c>
      <c r="U5" s="522">
        <f>'Monthly Cash Flow'!M129</f>
        <v>92450.624264705359</v>
      </c>
      <c r="V5" s="522">
        <f>'Monthly Cash Flow'!N129</f>
        <v>94679.587093136754</v>
      </c>
      <c r="W5" s="522">
        <f>'Monthly Cash Flow'!O129</f>
        <v>96923.409673757662</v>
      </c>
      <c r="X5" s="522">
        <f>'Monthly Cash Flow'!P129</f>
        <v>99182.191071582594</v>
      </c>
      <c r="Y5" s="522">
        <f>'Monthly Cash Flow'!Q129</f>
        <v>99132.252015780003</v>
      </c>
      <c r="Z5" s="522">
        <f>'Monthly Cash Flow'!R129</f>
        <v>101277.30024087873</v>
      </c>
      <c r="AA5" s="522">
        <f>'Monthly Cash Flow'!S129</f>
        <v>103435.75501738423</v>
      </c>
      <c r="AB5" s="522">
        <f>'Monthly Cash Flow'!T129</f>
        <v>105607.70013624289</v>
      </c>
      <c r="AC5" s="522">
        <f>'Monthly Cash Flow'!U129</f>
        <v>107793.2199120944</v>
      </c>
      <c r="AD5" s="522">
        <f>'Monthly Cash Flow'!V129</f>
        <v>109992.39918654515</v>
      </c>
      <c r="AE5" s="522">
        <f>'Monthly Cash Flow'!W129</f>
        <v>112205.32333146107</v>
      </c>
      <c r="AF5" s="522">
        <f>'Monthly Cash Flow'!X129</f>
        <v>114432.07825228265</v>
      </c>
      <c r="AG5" s="522">
        <f>'Monthly Cash Flow'!Y129</f>
        <v>116672.75039135954</v>
      </c>
      <c r="AH5" s="522">
        <f>'Monthly Cash Flow'!Z129</f>
        <v>118927.4267313055</v>
      </c>
      <c r="AI5" s="522">
        <f>'Monthly Cash Flow'!AA129</f>
        <v>121196.19479837616</v>
      </c>
      <c r="AJ5" s="522">
        <f>'Monthly Cash Flow'!AB129</f>
        <v>123479.14266586611</v>
      </c>
      <c r="AK5" s="522">
        <f>'Monthly Cash Flow'!AC129</f>
        <v>122481.38876808564</v>
      </c>
      <c r="AL5" s="522">
        <f>'Monthly Cash Flow'!AD129</f>
        <v>123710.65473037933</v>
      </c>
      <c r="AM5" s="522">
        <f>'Monthly Cash Flow'!AE129</f>
        <v>124944.01824588062</v>
      </c>
      <c r="AN5" s="522">
        <f>'Monthly Cash Flow'!AF129</f>
        <v>126181.4929731002</v>
      </c>
      <c r="AO5" s="522">
        <f>'Monthly Cash Flow'!AG129</f>
        <v>127423.09261607715</v>
      </c>
      <c r="AP5" s="522">
        <f>'Monthly Cash Flow'!AH129</f>
        <v>128668.83092453091</v>
      </c>
      <c r="AQ5" s="522">
        <f>'Monthly Cash Flow'!AI129</f>
        <v>129918.72169401268</v>
      </c>
      <c r="AR5" s="522">
        <f>'Monthly Cash Flow'!AJ129</f>
        <v>131172.77876605943</v>
      </c>
      <c r="AS5" s="522">
        <f>'Monthly Cash Flow'!AK129</f>
        <v>132431.01602834626</v>
      </c>
      <c r="AT5" s="522">
        <f>'Monthly Cash Flow'!AL129</f>
        <v>133693.44741484086</v>
      </c>
      <c r="AU5" s="522">
        <f>'Monthly Cash Flow'!AM129</f>
        <v>134960.08690595691</v>
      </c>
      <c r="AV5" s="522">
        <f>'Monthly Cash Flow'!AN129</f>
        <v>136230.94852871029</v>
      </c>
      <c r="AW5" s="522">
        <f>'Monthly Cash Flow'!AO129</f>
        <v>135241.08391927258</v>
      </c>
      <c r="AX5" s="522">
        <f>'Monthly Cash Flow'!AP129</f>
        <v>136520.43207352899</v>
      </c>
      <c r="AY5" s="522">
        <f>'Monthly Cash Flow'!AQ129</f>
        <v>137804.04472163261</v>
      </c>
      <c r="AZ5" s="522">
        <f>'Monthly Cash Flow'!AR129</f>
        <v>139091.93607856351</v>
      </c>
      <c r="BA5" s="522">
        <f>'Monthly Cash Flow'!AS129</f>
        <v>140384.12040668412</v>
      </c>
      <c r="BB5" s="522">
        <f>'Monthly Cash Flow'!AT129</f>
        <v>141680.61201589828</v>
      </c>
      <c r="BC5" s="522">
        <f>'Monthly Cash Flow'!AU129</f>
        <v>142981.42526381009</v>
      </c>
      <c r="BD5" s="522">
        <f>'Monthly Cash Flow'!AV129</f>
        <v>144286.57455588144</v>
      </c>
      <c r="BE5" s="522">
        <f>'Monthly Cash Flow'!AW129</f>
        <v>145596.07434559317</v>
      </c>
      <c r="BF5" s="522">
        <f>'Monthly Cash Flow'!AX129</f>
        <v>146909.93913460377</v>
      </c>
      <c r="BG5" s="522">
        <f>'Monthly Cash Flow'!AY129</f>
        <v>148228.18347291125</v>
      </c>
      <c r="BH5" s="522">
        <f>'Monthly Cash Flow'!AZ129</f>
        <v>29370228.452826262</v>
      </c>
      <c r="BI5" s="522">
        <f>'Monthly Cash Flow'!BA129</f>
        <v>0</v>
      </c>
      <c r="BJ5" s="522">
        <f>'Monthly Cash Flow'!BB129</f>
        <v>0</v>
      </c>
      <c r="BK5" s="522">
        <f>'Monthly Cash Flow'!BC129</f>
        <v>0</v>
      </c>
      <c r="BL5" s="522">
        <f>'Monthly Cash Flow'!BD129</f>
        <v>0</v>
      </c>
      <c r="BM5" s="522">
        <f>'Monthly Cash Flow'!BE129</f>
        <v>0</v>
      </c>
      <c r="BN5" s="522">
        <f>'Monthly Cash Flow'!BF129</f>
        <v>0</v>
      </c>
      <c r="BO5" s="522">
        <f>'Monthly Cash Flow'!BG129</f>
        <v>0</v>
      </c>
      <c r="BP5" s="522">
        <f>'Monthly Cash Flow'!BH129</f>
        <v>0</v>
      </c>
      <c r="BQ5" s="522">
        <f>'Monthly Cash Flow'!BI129</f>
        <v>0</v>
      </c>
      <c r="BR5" s="522">
        <f>'Monthly Cash Flow'!BJ129</f>
        <v>0</v>
      </c>
      <c r="BS5" s="522">
        <f>'Monthly Cash Flow'!BK129</f>
        <v>0</v>
      </c>
      <c r="BT5" s="522">
        <f>'Monthly Cash Flow'!BL129</f>
        <v>0</v>
      </c>
      <c r="BU5" s="522">
        <f>'Monthly Cash Flow'!BM129</f>
        <v>0</v>
      </c>
      <c r="BV5" s="522">
        <f>'Monthly Cash Flow'!BN129</f>
        <v>0</v>
      </c>
      <c r="BW5" s="522">
        <f>'Monthly Cash Flow'!BO129</f>
        <v>0</v>
      </c>
      <c r="BX5" s="522">
        <f>'Monthly Cash Flow'!BP129</f>
        <v>0</v>
      </c>
      <c r="BY5" s="522">
        <f>'Monthly Cash Flow'!BQ129</f>
        <v>0</v>
      </c>
      <c r="BZ5" s="522">
        <f>'Monthly Cash Flow'!BR129</f>
        <v>0</v>
      </c>
      <c r="CA5" s="522">
        <f>'Monthly Cash Flow'!BS129</f>
        <v>0</v>
      </c>
      <c r="CB5" s="522">
        <f>'Monthly Cash Flow'!BT129</f>
        <v>0</v>
      </c>
      <c r="CC5" s="522">
        <f>'Monthly Cash Flow'!BU129</f>
        <v>0</v>
      </c>
      <c r="CD5" s="522">
        <f>'Monthly Cash Flow'!BV129</f>
        <v>0</v>
      </c>
      <c r="CE5" s="522">
        <f>'Monthly Cash Flow'!BW129</f>
        <v>0</v>
      </c>
      <c r="CF5" s="522">
        <f>'Monthly Cash Flow'!BX129</f>
        <v>0</v>
      </c>
      <c r="CG5" s="522">
        <f>'Monthly Cash Flow'!BY129</f>
        <v>0</v>
      </c>
      <c r="CH5" s="522">
        <f>'Monthly Cash Flow'!BZ129</f>
        <v>0</v>
      </c>
      <c r="CI5" s="522">
        <f>'Monthly Cash Flow'!CA129</f>
        <v>0</v>
      </c>
      <c r="CJ5" s="522">
        <f>'Monthly Cash Flow'!CB129</f>
        <v>0</v>
      </c>
      <c r="CK5" s="522">
        <f>'Monthly Cash Flow'!CC129</f>
        <v>0</v>
      </c>
      <c r="CL5" s="522">
        <f>'Monthly Cash Flow'!CD129</f>
        <v>0</v>
      </c>
      <c r="CM5" s="522">
        <f>'Monthly Cash Flow'!CE129</f>
        <v>0</v>
      </c>
      <c r="CN5" s="522">
        <f>'Monthly Cash Flow'!CF129</f>
        <v>0</v>
      </c>
      <c r="CO5" s="522">
        <f>'Monthly Cash Flow'!CG129</f>
        <v>0</v>
      </c>
      <c r="CP5" s="522">
        <f>'Monthly Cash Flow'!CH129</f>
        <v>0</v>
      </c>
      <c r="CQ5" s="522">
        <f>'Monthly Cash Flow'!CI129</f>
        <v>0</v>
      </c>
      <c r="CR5" s="522">
        <f>'Monthly Cash Flow'!CJ129</f>
        <v>0</v>
      </c>
      <c r="CS5" s="522">
        <f>'Monthly Cash Flow'!CK129</f>
        <v>0</v>
      </c>
      <c r="CT5" s="522">
        <f>'Monthly Cash Flow'!CL129</f>
        <v>0</v>
      </c>
      <c r="CU5" s="522">
        <f>'Monthly Cash Flow'!CM129</f>
        <v>0</v>
      </c>
      <c r="CV5" s="522">
        <f>'Monthly Cash Flow'!CN129</f>
        <v>0</v>
      </c>
      <c r="CW5" s="522">
        <f>'Monthly Cash Flow'!CO129</f>
        <v>0</v>
      </c>
      <c r="CX5" s="522">
        <f>'Monthly Cash Flow'!CP129</f>
        <v>0</v>
      </c>
      <c r="CY5" s="522">
        <f>'Monthly Cash Flow'!CQ129</f>
        <v>0</v>
      </c>
      <c r="CZ5" s="522">
        <f>'Monthly Cash Flow'!CR129</f>
        <v>0</v>
      </c>
      <c r="DA5" s="522">
        <f>'Monthly Cash Flow'!CS129</f>
        <v>0</v>
      </c>
      <c r="DB5" s="522">
        <f>'Monthly Cash Flow'!CT129</f>
        <v>0</v>
      </c>
      <c r="DC5" s="522">
        <f>'Monthly Cash Flow'!CU129</f>
        <v>0</v>
      </c>
      <c r="DD5" s="522">
        <f>'Monthly Cash Flow'!CV129</f>
        <v>0</v>
      </c>
      <c r="DE5" s="522">
        <f>'Monthly Cash Flow'!CW129</f>
        <v>0</v>
      </c>
      <c r="DF5" s="522">
        <f>'Monthly Cash Flow'!CX129</f>
        <v>0</v>
      </c>
      <c r="DG5" s="522">
        <f>'Monthly Cash Flow'!CY129</f>
        <v>0</v>
      </c>
      <c r="DH5" s="522">
        <f>'Monthly Cash Flow'!CZ129</f>
        <v>0</v>
      </c>
      <c r="DI5" s="522">
        <f>'Monthly Cash Flow'!DA129</f>
        <v>0</v>
      </c>
      <c r="DJ5" s="522">
        <f>'Monthly Cash Flow'!DB129</f>
        <v>0</v>
      </c>
      <c r="DK5" s="522">
        <f>'Monthly Cash Flow'!DC129</f>
        <v>0</v>
      </c>
      <c r="DL5" s="522">
        <f>'Monthly Cash Flow'!DD129</f>
        <v>0</v>
      </c>
      <c r="DM5" s="522">
        <f>'Monthly Cash Flow'!DE129</f>
        <v>0</v>
      </c>
      <c r="DN5" s="522">
        <f>'Monthly Cash Flow'!DF129</f>
        <v>0</v>
      </c>
      <c r="DO5" s="522">
        <f>'Monthly Cash Flow'!DG129</f>
        <v>0</v>
      </c>
      <c r="DP5" s="522">
        <f>'Monthly Cash Flow'!DH129</f>
        <v>0</v>
      </c>
      <c r="DQ5" s="522">
        <f>'Monthly Cash Flow'!DI129</f>
        <v>0</v>
      </c>
      <c r="DR5" s="522">
        <f>'Monthly Cash Flow'!DJ129</f>
        <v>0</v>
      </c>
      <c r="DS5" s="522">
        <f>'Monthly Cash Flow'!DK129</f>
        <v>0</v>
      </c>
      <c r="DT5" s="522">
        <f>'Monthly Cash Flow'!DL129</f>
        <v>0</v>
      </c>
      <c r="DU5" s="522">
        <f>'Monthly Cash Flow'!DM129</f>
        <v>0</v>
      </c>
      <c r="DV5" s="522">
        <f>'Monthly Cash Flow'!DN129</f>
        <v>0</v>
      </c>
      <c r="DW5" s="522">
        <f>'Monthly Cash Flow'!DO129</f>
        <v>0</v>
      </c>
      <c r="DX5" s="522">
        <f>'Monthly Cash Flow'!DP129</f>
        <v>0</v>
      </c>
      <c r="DY5" s="522">
        <f>'Monthly Cash Flow'!DQ129</f>
        <v>0</v>
      </c>
      <c r="DZ5" s="522">
        <f>'Monthly Cash Flow'!DR129</f>
        <v>0</v>
      </c>
      <c r="EA5" s="522">
        <f>'Monthly Cash Flow'!DS129</f>
        <v>0</v>
      </c>
      <c r="EB5" s="522">
        <f>'Monthly Cash Flow'!DT129</f>
        <v>0</v>
      </c>
      <c r="EC5" s="523" t="s">
        <v>557</v>
      </c>
    </row>
    <row r="6" spans="2:133" ht="19">
      <c r="B6" s="524"/>
      <c r="C6" s="524"/>
      <c r="D6" s="525" t="s">
        <v>1135</v>
      </c>
      <c r="E6" s="525" t="s">
        <v>1136</v>
      </c>
      <c r="F6" s="525" t="s">
        <v>1137</v>
      </c>
      <c r="BU6" s="526"/>
      <c r="EC6" s="523" t="s">
        <v>557</v>
      </c>
    </row>
    <row r="7" spans="2:133" ht="19">
      <c r="B7" s="106" t="s">
        <v>1138</v>
      </c>
      <c r="C7" s="106"/>
      <c r="D7" s="527">
        <f>'Inputs and Assumptions'!G6</f>
        <v>0</v>
      </c>
      <c r="E7" s="528">
        <f>1-D7</f>
        <v>1</v>
      </c>
      <c r="F7" s="528">
        <f>D7+E7</f>
        <v>1</v>
      </c>
      <c r="H7" s="173" t="s">
        <v>1139</v>
      </c>
      <c r="I7" s="529"/>
      <c r="J7" s="529"/>
      <c r="K7" s="530"/>
      <c r="L7" s="530"/>
      <c r="M7" s="530"/>
      <c r="N7" s="530"/>
      <c r="O7" s="530"/>
      <c r="P7" s="530"/>
      <c r="Q7" s="530"/>
      <c r="R7" s="530"/>
      <c r="S7" s="530"/>
      <c r="T7" s="530"/>
      <c r="U7" s="530"/>
      <c r="V7" s="530"/>
      <c r="W7" s="530"/>
      <c r="X7" s="530"/>
      <c r="Y7" s="530"/>
      <c r="Z7" s="530"/>
      <c r="AA7" s="530"/>
      <c r="AB7" s="530"/>
      <c r="AC7" s="530"/>
      <c r="AD7" s="530"/>
      <c r="AE7" s="530"/>
      <c r="AF7" s="530"/>
      <c r="AG7" s="530"/>
      <c r="AH7" s="530"/>
      <c r="AI7" s="530"/>
      <c r="AJ7" s="530"/>
      <c r="AK7" s="530"/>
      <c r="AL7" s="530"/>
      <c r="AM7" s="530"/>
      <c r="AN7" s="530"/>
      <c r="AO7" s="530"/>
      <c r="AP7" s="530"/>
      <c r="AQ7" s="530"/>
      <c r="AR7" s="530"/>
      <c r="AS7" s="530"/>
      <c r="AT7" s="530"/>
      <c r="AU7" s="530"/>
      <c r="AV7" s="530"/>
      <c r="AW7" s="530"/>
      <c r="AX7" s="530"/>
      <c r="AY7" s="530"/>
      <c r="AZ7" s="530"/>
      <c r="BA7" s="530"/>
      <c r="BB7" s="530"/>
      <c r="BC7" s="530"/>
      <c r="BD7" s="530"/>
      <c r="BE7" s="530"/>
      <c r="BF7" s="530"/>
      <c r="BG7" s="530"/>
      <c r="BH7" s="530"/>
      <c r="BI7" s="530"/>
      <c r="BJ7" s="530"/>
      <c r="BK7" s="530"/>
      <c r="BL7" s="530"/>
      <c r="BM7" s="530"/>
      <c r="BN7" s="530"/>
      <c r="BO7" s="530"/>
      <c r="BP7" s="530"/>
      <c r="BQ7" s="530"/>
      <c r="BR7" s="530"/>
      <c r="BS7" s="530"/>
      <c r="BT7" s="530"/>
      <c r="BU7" s="530"/>
      <c r="BV7" s="530"/>
      <c r="BW7" s="530"/>
      <c r="BX7" s="530"/>
      <c r="BY7" s="530"/>
      <c r="BZ7" s="530"/>
      <c r="CA7" s="530"/>
      <c r="CB7" s="530"/>
      <c r="CC7" s="530"/>
      <c r="CD7" s="530"/>
      <c r="CE7" s="530"/>
      <c r="CF7" s="530"/>
      <c r="CG7" s="530"/>
      <c r="CH7" s="530"/>
      <c r="CI7" s="530"/>
      <c r="CJ7" s="530"/>
      <c r="CK7" s="530"/>
      <c r="CL7" s="530"/>
      <c r="CM7" s="530"/>
      <c r="CN7" s="530"/>
      <c r="CO7" s="530"/>
      <c r="CP7" s="530"/>
      <c r="CQ7" s="530"/>
      <c r="CR7" s="530"/>
      <c r="CS7" s="530"/>
      <c r="CT7" s="530"/>
      <c r="CU7" s="530"/>
      <c r="CV7" s="530"/>
      <c r="CW7" s="530"/>
      <c r="CX7" s="530"/>
      <c r="CY7" s="530"/>
      <c r="CZ7" s="530"/>
      <c r="DA7" s="530"/>
      <c r="DB7" s="530"/>
      <c r="DC7" s="530"/>
      <c r="DD7" s="530"/>
      <c r="DE7" s="530"/>
      <c r="DF7" s="530"/>
      <c r="DG7" s="530"/>
      <c r="DH7" s="530"/>
      <c r="DI7" s="530"/>
      <c r="DJ7" s="530"/>
      <c r="DK7" s="530"/>
      <c r="DL7" s="530"/>
      <c r="DM7" s="530"/>
      <c r="DN7" s="530"/>
      <c r="DO7" s="530"/>
      <c r="DP7" s="530"/>
      <c r="DQ7" s="530"/>
      <c r="DR7" s="530"/>
      <c r="DS7" s="530"/>
      <c r="DT7" s="530"/>
      <c r="DU7" s="530"/>
      <c r="DV7" s="530"/>
      <c r="DW7" s="530"/>
      <c r="DX7" s="530"/>
      <c r="DY7" s="530"/>
      <c r="DZ7" s="530"/>
      <c r="EA7" s="530"/>
      <c r="EB7" s="530"/>
      <c r="EC7" s="523" t="s">
        <v>557</v>
      </c>
    </row>
    <row r="8" spans="2:133" ht="19">
      <c r="B8" s="106" t="s">
        <v>1107</v>
      </c>
      <c r="C8" s="1001">
        <f ca="1">D8/F8</f>
        <v>6.6299385980589265E-2</v>
      </c>
      <c r="D8" s="531">
        <f ca="1">J133</f>
        <v>965535.8613824707</v>
      </c>
      <c r="E8" s="531">
        <f ca="1">J126</f>
        <v>13597734.176520362</v>
      </c>
      <c r="F8" s="532">
        <f ca="1">SUMIF(L5:EB5,"&gt;0")+(SUMIF(L5:EB5,"&lt;0"))</f>
        <v>14563270.037902832</v>
      </c>
      <c r="H8" s="520" t="s">
        <v>1136</v>
      </c>
      <c r="I8" s="533"/>
      <c r="J8" s="533"/>
      <c r="K8" s="521"/>
      <c r="L8" s="521"/>
      <c r="M8" s="521"/>
      <c r="N8" s="521"/>
      <c r="O8" s="521"/>
      <c r="P8" s="521"/>
      <c r="Q8" s="521"/>
      <c r="R8" s="521"/>
      <c r="S8" s="521"/>
      <c r="T8" s="521"/>
      <c r="U8" s="521"/>
      <c r="V8" s="521"/>
      <c r="W8" s="521"/>
      <c r="X8" s="521"/>
      <c r="Y8" s="521"/>
      <c r="Z8" s="521"/>
      <c r="AA8" s="521"/>
      <c r="AB8" s="521"/>
      <c r="AC8" s="521"/>
      <c r="AD8" s="521"/>
      <c r="AE8" s="521"/>
      <c r="AF8" s="521"/>
      <c r="AG8" s="521"/>
      <c r="AH8" s="521"/>
      <c r="AI8" s="521"/>
      <c r="AJ8" s="521"/>
      <c r="AK8" s="521"/>
      <c r="AL8" s="521"/>
      <c r="AM8" s="521"/>
      <c r="AN8" s="521"/>
      <c r="AO8" s="521"/>
      <c r="AP8" s="521"/>
      <c r="AQ8" s="521"/>
      <c r="AR8" s="521"/>
      <c r="AS8" s="521"/>
      <c r="AT8" s="521"/>
      <c r="AU8" s="521"/>
      <c r="AV8" s="521"/>
      <c r="AW8" s="521"/>
      <c r="AX8" s="521"/>
      <c r="AY8" s="521"/>
      <c r="AZ8" s="521"/>
      <c r="BA8" s="521"/>
      <c r="BB8" s="521"/>
      <c r="BC8" s="521"/>
      <c r="BD8" s="521"/>
      <c r="BE8" s="521"/>
      <c r="BF8" s="521"/>
      <c r="BG8" s="521"/>
      <c r="BH8" s="521"/>
      <c r="BI8" s="521"/>
      <c r="BJ8" s="521"/>
      <c r="BK8" s="521"/>
      <c r="BL8" s="521"/>
      <c r="BM8" s="521"/>
      <c r="BN8" s="521"/>
      <c r="BO8" s="521"/>
      <c r="BP8" s="521"/>
      <c r="BQ8" s="521"/>
      <c r="BR8" s="521"/>
      <c r="BS8" s="521"/>
      <c r="BT8" s="521"/>
      <c r="BU8" s="521"/>
      <c r="BV8" s="521"/>
      <c r="BW8" s="521"/>
      <c r="BX8" s="521"/>
      <c r="BY8" s="521"/>
      <c r="BZ8" s="521"/>
      <c r="CA8" s="521"/>
      <c r="CB8" s="521"/>
      <c r="CC8" s="521"/>
      <c r="CD8" s="521"/>
      <c r="CE8" s="521"/>
      <c r="CF8" s="521"/>
      <c r="CG8" s="521"/>
      <c r="CH8" s="521"/>
      <c r="CI8" s="521"/>
      <c r="CJ8" s="521"/>
      <c r="CK8" s="521"/>
      <c r="CL8" s="521"/>
      <c r="CM8" s="521"/>
      <c r="CN8" s="521"/>
      <c r="CO8" s="521"/>
      <c r="CP8" s="521"/>
      <c r="CQ8" s="521"/>
      <c r="CR8" s="521"/>
      <c r="CS8" s="521"/>
      <c r="CT8" s="521"/>
      <c r="CU8" s="521"/>
      <c r="CV8" s="521"/>
      <c r="CW8" s="521"/>
      <c r="CX8" s="521"/>
      <c r="CY8" s="521"/>
      <c r="CZ8" s="521"/>
      <c r="DA8" s="521"/>
      <c r="DB8" s="521"/>
      <c r="DC8" s="521"/>
      <c r="DD8" s="521"/>
      <c r="DE8" s="521"/>
      <c r="DF8" s="521"/>
      <c r="DG8" s="521"/>
      <c r="DH8" s="521"/>
      <c r="DI8" s="521"/>
      <c r="DJ8" s="521"/>
      <c r="DK8" s="521"/>
      <c r="DL8" s="521"/>
      <c r="DM8" s="521"/>
      <c r="DN8" s="521"/>
      <c r="DO8" s="521"/>
      <c r="DP8" s="521"/>
      <c r="DQ8" s="521"/>
      <c r="DR8" s="521"/>
      <c r="DS8" s="521"/>
      <c r="DT8" s="521"/>
      <c r="DU8" s="521"/>
      <c r="DV8" s="521"/>
      <c r="DW8" s="521"/>
      <c r="DX8" s="521"/>
      <c r="DY8" s="521"/>
      <c r="DZ8" s="521"/>
      <c r="EA8" s="521"/>
      <c r="EB8" s="521"/>
      <c r="EC8" s="523" t="s">
        <v>557</v>
      </c>
    </row>
    <row r="9" spans="2:133" ht="19">
      <c r="B9" s="106" t="s">
        <v>1140</v>
      </c>
      <c r="C9" s="106"/>
      <c r="D9" s="527" t="e">
        <f ca="1">I134</f>
        <v>#NUM!</v>
      </c>
      <c r="E9" s="527">
        <f ca="1">I127</f>
        <v>0.15229130387306214</v>
      </c>
      <c r="F9" s="528">
        <f ca="1">XIRR(L5:EB5,L2:EB2,)</f>
        <v>0.16096987128257753</v>
      </c>
      <c r="H9" s="518" t="s">
        <v>1141</v>
      </c>
      <c r="J9" s="1002" t="s">
        <v>1142</v>
      </c>
      <c r="L9" s="526">
        <f>K13</f>
        <v>0</v>
      </c>
      <c r="M9" s="526">
        <f t="shared" ref="M9:BX9" ca="1" si="0">L13</f>
        <v>20296000</v>
      </c>
      <c r="N9" s="526">
        <f t="shared" ca="1" si="0"/>
        <v>20382700.954725057</v>
      </c>
      <c r="O9" s="526">
        <f t="shared" ca="1" si="0"/>
        <v>20467979.701708943</v>
      </c>
      <c r="P9" s="526">
        <f t="shared" ca="1" si="0"/>
        <v>20551810.809578549</v>
      </c>
      <c r="Q9" s="526">
        <f t="shared" ca="1" si="0"/>
        <v>20634168.550230835</v>
      </c>
      <c r="R9" s="526">
        <f t="shared" ca="1" si="0"/>
        <v>20715026.89584041</v>
      </c>
      <c r="S9" s="526">
        <f t="shared" ca="1" si="0"/>
        <v>20794359.5158391</v>
      </c>
      <c r="T9" s="526">
        <f t="shared" ca="1" si="0"/>
        <v>20872139.773867205</v>
      </c>
      <c r="U9" s="526">
        <f t="shared" ca="1" si="0"/>
        <v>20948340.724696223</v>
      </c>
      <c r="V9" s="526">
        <f t="shared" ca="1" si="0"/>
        <v>21022935.111122768</v>
      </c>
      <c r="W9" s="526">
        <f t="shared" ca="1" si="0"/>
        <v>21095895.360833455</v>
      </c>
      <c r="X9" s="526">
        <f t="shared" ca="1" si="0"/>
        <v>21167193.583240442</v>
      </c>
      <c r="Y9" s="526">
        <f t="shared" ca="1" si="0"/>
        <v>21236801.56628741</v>
      </c>
      <c r="Z9" s="526">
        <f t="shared" ca="1" si="0"/>
        <v>21307014.552221969</v>
      </c>
      <c r="AA9" s="526">
        <f t="shared" ca="1" si="0"/>
        <v>21375642.378141206</v>
      </c>
      <c r="AB9" s="526">
        <f t="shared" ca="1" si="0"/>
        <v>21442658.997205146</v>
      </c>
      <c r="AC9" s="526">
        <f t="shared" ca="1" si="0"/>
        <v>21508038.071081713</v>
      </c>
      <c r="AD9" s="526">
        <f t="shared" ca="1" si="0"/>
        <v>21571752.967098635</v>
      </c>
      <c r="AE9" s="526">
        <f t="shared" ca="1" si="0"/>
        <v>21633776.755369358</v>
      </c>
      <c r="AF9" s="526">
        <f t="shared" ca="1" si="0"/>
        <v>21694082.205892768</v>
      </c>
      <c r="AG9" s="526">
        <f t="shared" ca="1" si="0"/>
        <v>21752641.785626456</v>
      </c>
      <c r="AH9" s="526">
        <f t="shared" ca="1" si="0"/>
        <v>21809427.655533321</v>
      </c>
      <c r="AI9" s="526">
        <f t="shared" ca="1" si="0"/>
        <v>21864411.667601254</v>
      </c>
      <c r="AJ9" s="526">
        <f t="shared" ca="1" si="0"/>
        <v>21917565.361835692</v>
      </c>
      <c r="AK9" s="526">
        <f t="shared" ca="1" si="0"/>
        <v>21968859.96322478</v>
      </c>
      <c r="AL9" s="526">
        <f t="shared" ca="1" si="0"/>
        <v>22021561.348866373</v>
      </c>
      <c r="AM9" s="526">
        <f t="shared" ca="1" si="0"/>
        <v>22073453.716795575</v>
      </c>
      <c r="AN9" s="526">
        <f t="shared" ca="1" si="0"/>
        <v>22124526.518238332</v>
      </c>
      <c r="AO9" s="526">
        <f t="shared" ca="1" si="0"/>
        <v>22174769.106644668</v>
      </c>
      <c r="AP9" s="526">
        <f t="shared" ca="1" si="0"/>
        <v>22224170.73686349</v>
      </c>
      <c r="AQ9" s="526">
        <f t="shared" ca="1" si="0"/>
        <v>22272720.564310644</v>
      </c>
      <c r="AR9" s="526">
        <f t="shared" ca="1" si="0"/>
        <v>22320407.644130178</v>
      </c>
      <c r="AS9" s="526">
        <f t="shared" ca="1" si="0"/>
        <v>22367220.930348791</v>
      </c>
      <c r="AT9" s="526">
        <f t="shared" ca="1" si="0"/>
        <v>22413149.275023364</v>
      </c>
      <c r="AU9" s="526">
        <f t="shared" ca="1" si="0"/>
        <v>22458181.427381542</v>
      </c>
      <c r="AV9" s="526">
        <f t="shared" ca="1" si="0"/>
        <v>22502306.032955322</v>
      </c>
      <c r="AW9" s="526">
        <f t="shared" ca="1" si="0"/>
        <v>22545511.632707566</v>
      </c>
      <c r="AX9" s="526">
        <f t="shared" ca="1" si="0"/>
        <v>22590051.624588989</v>
      </c>
      <c r="AY9" s="526">
        <f t="shared" ca="1" si="0"/>
        <v>22633667.436466116</v>
      </c>
      <c r="AZ9" s="526">
        <f t="shared" ca="1" si="0"/>
        <v>22676347.434303969</v>
      </c>
      <c r="BA9" s="526">
        <f t="shared" ca="1" si="0"/>
        <v>22718079.877081156</v>
      </c>
      <c r="BB9" s="526">
        <f t="shared" ca="1" si="0"/>
        <v>22758852.915889371</v>
      </c>
      <c r="BC9" s="526">
        <f t="shared" ca="1" si="0"/>
        <v>22798654.593025539</v>
      </c>
      <c r="BD9" s="526">
        <f t="shared" ca="1" si="0"/>
        <v>22837472.841076586</v>
      </c>
      <c r="BE9" s="526">
        <f t="shared" ca="1" si="0"/>
        <v>22875295.481996726</v>
      </c>
      <c r="BF9" s="526">
        <f t="shared" ca="1" si="0"/>
        <v>22912110.226177245</v>
      </c>
      <c r="BG9" s="526">
        <f t="shared" ca="1" si="0"/>
        <v>22947904.6715087</v>
      </c>
      <c r="BH9" s="526">
        <f t="shared" ca="1" si="0"/>
        <v>22982666.302435495</v>
      </c>
      <c r="BI9" s="526">
        <f t="shared" ca="1" si="0"/>
        <v>0</v>
      </c>
      <c r="BJ9" s="526">
        <f t="shared" ca="1" si="0"/>
        <v>0</v>
      </c>
      <c r="BK9" s="526">
        <f t="shared" ca="1" si="0"/>
        <v>0</v>
      </c>
      <c r="BL9" s="526">
        <f t="shared" ca="1" si="0"/>
        <v>0</v>
      </c>
      <c r="BM9" s="526">
        <f t="shared" ca="1" si="0"/>
        <v>0</v>
      </c>
      <c r="BN9" s="526">
        <f t="shared" ca="1" si="0"/>
        <v>0</v>
      </c>
      <c r="BO9" s="526">
        <f t="shared" ca="1" si="0"/>
        <v>0</v>
      </c>
      <c r="BP9" s="526">
        <f t="shared" ca="1" si="0"/>
        <v>0</v>
      </c>
      <c r="BQ9" s="526">
        <f t="shared" ca="1" si="0"/>
        <v>0</v>
      </c>
      <c r="BR9" s="526">
        <f t="shared" ca="1" si="0"/>
        <v>0</v>
      </c>
      <c r="BS9" s="526">
        <f t="shared" ca="1" si="0"/>
        <v>0</v>
      </c>
      <c r="BT9" s="526">
        <f t="shared" ca="1" si="0"/>
        <v>0</v>
      </c>
      <c r="BU9" s="526">
        <f t="shared" ca="1" si="0"/>
        <v>0</v>
      </c>
      <c r="BV9" s="526">
        <f t="shared" ca="1" si="0"/>
        <v>0</v>
      </c>
      <c r="BW9" s="526">
        <f t="shared" ca="1" si="0"/>
        <v>0</v>
      </c>
      <c r="BX9" s="526">
        <f t="shared" ca="1" si="0"/>
        <v>0</v>
      </c>
      <c r="BY9" s="526">
        <f t="shared" ref="BY9:EB9" ca="1" si="1">BX13</f>
        <v>0</v>
      </c>
      <c r="BZ9" s="526">
        <f t="shared" ca="1" si="1"/>
        <v>0</v>
      </c>
      <c r="CA9" s="526">
        <f t="shared" ca="1" si="1"/>
        <v>0</v>
      </c>
      <c r="CB9" s="526">
        <f t="shared" ca="1" si="1"/>
        <v>0</v>
      </c>
      <c r="CC9" s="526">
        <f t="shared" ca="1" si="1"/>
        <v>0</v>
      </c>
      <c r="CD9" s="526">
        <f t="shared" ca="1" si="1"/>
        <v>0</v>
      </c>
      <c r="CE9" s="526">
        <f t="shared" ca="1" si="1"/>
        <v>0</v>
      </c>
      <c r="CF9" s="526">
        <f t="shared" ca="1" si="1"/>
        <v>0</v>
      </c>
      <c r="CG9" s="526">
        <f t="shared" ca="1" si="1"/>
        <v>0</v>
      </c>
      <c r="CH9" s="526">
        <f t="shared" ca="1" si="1"/>
        <v>0</v>
      </c>
      <c r="CI9" s="526">
        <f t="shared" ca="1" si="1"/>
        <v>0</v>
      </c>
      <c r="CJ9" s="526">
        <f t="shared" ca="1" si="1"/>
        <v>0</v>
      </c>
      <c r="CK9" s="526">
        <f t="shared" ca="1" si="1"/>
        <v>0</v>
      </c>
      <c r="CL9" s="526">
        <f t="shared" ca="1" si="1"/>
        <v>0</v>
      </c>
      <c r="CM9" s="526">
        <f t="shared" ca="1" si="1"/>
        <v>0</v>
      </c>
      <c r="CN9" s="526">
        <f t="shared" ca="1" si="1"/>
        <v>0</v>
      </c>
      <c r="CO9" s="526">
        <f t="shared" ca="1" si="1"/>
        <v>0</v>
      </c>
      <c r="CP9" s="526">
        <f t="shared" ca="1" si="1"/>
        <v>0</v>
      </c>
      <c r="CQ9" s="526">
        <f t="shared" ca="1" si="1"/>
        <v>0</v>
      </c>
      <c r="CR9" s="526">
        <f t="shared" ca="1" si="1"/>
        <v>0</v>
      </c>
      <c r="CS9" s="526">
        <f t="shared" ca="1" si="1"/>
        <v>0</v>
      </c>
      <c r="CT9" s="526">
        <f t="shared" ca="1" si="1"/>
        <v>0</v>
      </c>
      <c r="CU9" s="526">
        <f t="shared" ca="1" si="1"/>
        <v>0</v>
      </c>
      <c r="CV9" s="526">
        <f t="shared" ca="1" si="1"/>
        <v>0</v>
      </c>
      <c r="CW9" s="526">
        <f t="shared" ca="1" si="1"/>
        <v>0</v>
      </c>
      <c r="CX9" s="526">
        <f t="shared" ca="1" si="1"/>
        <v>0</v>
      </c>
      <c r="CY9" s="526">
        <f t="shared" ca="1" si="1"/>
        <v>0</v>
      </c>
      <c r="CZ9" s="526">
        <f t="shared" ca="1" si="1"/>
        <v>0</v>
      </c>
      <c r="DA9" s="526">
        <f t="shared" ca="1" si="1"/>
        <v>0</v>
      </c>
      <c r="DB9" s="526">
        <f t="shared" ca="1" si="1"/>
        <v>0</v>
      </c>
      <c r="DC9" s="526">
        <f t="shared" ca="1" si="1"/>
        <v>0</v>
      </c>
      <c r="DD9" s="526">
        <f t="shared" ca="1" si="1"/>
        <v>0</v>
      </c>
      <c r="DE9" s="526">
        <f t="shared" ca="1" si="1"/>
        <v>0</v>
      </c>
      <c r="DF9" s="526">
        <f t="shared" ca="1" si="1"/>
        <v>0</v>
      </c>
      <c r="DG9" s="526">
        <f t="shared" ca="1" si="1"/>
        <v>0</v>
      </c>
      <c r="DH9" s="526">
        <f t="shared" ca="1" si="1"/>
        <v>0</v>
      </c>
      <c r="DI9" s="526">
        <f t="shared" ca="1" si="1"/>
        <v>0</v>
      </c>
      <c r="DJ9" s="526">
        <f t="shared" ca="1" si="1"/>
        <v>0</v>
      </c>
      <c r="DK9" s="526">
        <f t="shared" ca="1" si="1"/>
        <v>0</v>
      </c>
      <c r="DL9" s="526">
        <f t="shared" ca="1" si="1"/>
        <v>0</v>
      </c>
      <c r="DM9" s="526">
        <f t="shared" ca="1" si="1"/>
        <v>0</v>
      </c>
      <c r="DN9" s="526">
        <f t="shared" ca="1" si="1"/>
        <v>0</v>
      </c>
      <c r="DO9" s="526">
        <f t="shared" ca="1" si="1"/>
        <v>0</v>
      </c>
      <c r="DP9" s="526">
        <f t="shared" ca="1" si="1"/>
        <v>0</v>
      </c>
      <c r="DQ9" s="526">
        <f t="shared" ca="1" si="1"/>
        <v>0</v>
      </c>
      <c r="DR9" s="526">
        <f t="shared" ca="1" si="1"/>
        <v>0</v>
      </c>
      <c r="DS9" s="526">
        <f t="shared" ca="1" si="1"/>
        <v>0</v>
      </c>
      <c r="DT9" s="526">
        <f t="shared" ca="1" si="1"/>
        <v>0</v>
      </c>
      <c r="DU9" s="526">
        <f t="shared" ca="1" si="1"/>
        <v>0</v>
      </c>
      <c r="DV9" s="526">
        <f t="shared" ca="1" si="1"/>
        <v>0</v>
      </c>
      <c r="DW9" s="526">
        <f t="shared" ca="1" si="1"/>
        <v>0</v>
      </c>
      <c r="DX9" s="526">
        <f t="shared" ca="1" si="1"/>
        <v>0</v>
      </c>
      <c r="DY9" s="526">
        <f t="shared" ca="1" si="1"/>
        <v>0</v>
      </c>
      <c r="DZ9" s="526">
        <f t="shared" ca="1" si="1"/>
        <v>0</v>
      </c>
      <c r="EA9" s="526">
        <f t="shared" ca="1" si="1"/>
        <v>0</v>
      </c>
      <c r="EB9" s="526">
        <f t="shared" ca="1" si="1"/>
        <v>0</v>
      </c>
      <c r="EC9" s="523" t="s">
        <v>557</v>
      </c>
    </row>
    <row r="10" spans="2:133" ht="19.5" thickBot="1">
      <c r="B10" s="141" t="s">
        <v>1143</v>
      </c>
      <c r="C10" s="141"/>
      <c r="D10" s="535" t="e">
        <f ca="1">I135</f>
        <v>#DIV/0!</v>
      </c>
      <c r="E10" s="535">
        <f ca="1">I128</f>
        <v>1.6699711360130254</v>
      </c>
      <c r="F10" s="536">
        <f ca="1">SUMIF(L5:EB5,"&gt;0")/-SUMIF(L5:EB5,"&lt;0")</f>
        <v>1.7175438528726268</v>
      </c>
      <c r="H10" s="518" t="s">
        <v>1144</v>
      </c>
      <c r="I10" s="537">
        <f>F14</f>
        <v>0.1</v>
      </c>
      <c r="J10" s="538">
        <f>((I10+1)^(1/12)-1)</f>
        <v>7.9741404289037643E-3</v>
      </c>
      <c r="L10" s="526">
        <f>L9*$J10</f>
        <v>0</v>
      </c>
      <c r="M10" s="526">
        <f t="shared" ref="M10:BX10" ca="1" si="2">M9*$J10</f>
        <v>161843.1541450308</v>
      </c>
      <c r="N10" s="526">
        <f t="shared" ca="1" si="2"/>
        <v>162534.51973332843</v>
      </c>
      <c r="O10" s="526">
        <f t="shared" ca="1" si="2"/>
        <v>163214.54443737888</v>
      </c>
      <c r="P10" s="526">
        <f t="shared" ca="1" si="2"/>
        <v>163883.02546384171</v>
      </c>
      <c r="Q10" s="526">
        <f t="shared" ca="1" si="2"/>
        <v>164539.75765321028</v>
      </c>
      <c r="R10" s="526">
        <f t="shared" ca="1" si="2"/>
        <v>165184.53345594986</v>
      </c>
      <c r="S10" s="526">
        <f t="shared" ca="1" si="2"/>
        <v>165817.14290841226</v>
      </c>
      <c r="T10" s="526">
        <f t="shared" ca="1" si="2"/>
        <v>166437.37360852474</v>
      </c>
      <c r="U10" s="526">
        <f t="shared" ca="1" si="2"/>
        <v>167045.01069125134</v>
      </c>
      <c r="V10" s="526">
        <f t="shared" ca="1" si="2"/>
        <v>167639.83680382452</v>
      </c>
      <c r="W10" s="526">
        <f t="shared" ca="1" si="2"/>
        <v>168221.63208074542</v>
      </c>
      <c r="X10" s="526">
        <f t="shared" ca="1" si="2"/>
        <v>168790.17411854994</v>
      </c>
      <c r="Y10" s="526">
        <f t="shared" ca="1" si="2"/>
        <v>169345.23795033921</v>
      </c>
      <c r="Z10" s="526">
        <f t="shared" ca="1" si="2"/>
        <v>169905.12616011404</v>
      </c>
      <c r="AA10" s="526">
        <f t="shared" ca="1" si="2"/>
        <v>170452.37408132441</v>
      </c>
      <c r="AB10" s="526">
        <f t="shared" ca="1" si="2"/>
        <v>170986.77401281061</v>
      </c>
      <c r="AC10" s="526">
        <f t="shared" ca="1" si="2"/>
        <v>171508.11592901402</v>
      </c>
      <c r="AD10" s="526">
        <f t="shared" ca="1" si="2"/>
        <v>172016.18745726594</v>
      </c>
      <c r="AE10" s="526">
        <f t="shared" ca="1" si="2"/>
        <v>172510.7738548693</v>
      </c>
      <c r="AF10" s="526">
        <f t="shared" ca="1" si="2"/>
        <v>172991.65798597128</v>
      </c>
      <c r="AG10" s="526">
        <f t="shared" ca="1" si="2"/>
        <v>173458.62029822529</v>
      </c>
      <c r="AH10" s="526">
        <f t="shared" ca="1" si="2"/>
        <v>173911.4387992401</v>
      </c>
      <c r="AI10" s="526">
        <f t="shared" ca="1" si="2"/>
        <v>174349.88903281433</v>
      </c>
      <c r="AJ10" s="526">
        <f t="shared" ca="1" si="2"/>
        <v>174773.74405495476</v>
      </c>
      <c r="AK10" s="526">
        <f t="shared" ca="1" si="2"/>
        <v>175182.77440967597</v>
      </c>
      <c r="AL10" s="526">
        <f t="shared" ca="1" si="2"/>
        <v>175603.02265957987</v>
      </c>
      <c r="AM10" s="526">
        <f t="shared" ca="1" si="2"/>
        <v>176016.81968863565</v>
      </c>
      <c r="AN10" s="526">
        <f t="shared" ca="1" si="2"/>
        <v>176424.08137943773</v>
      </c>
      <c r="AO10" s="526">
        <f t="shared" ca="1" si="2"/>
        <v>176824.72283490145</v>
      </c>
      <c r="AP10" s="526">
        <f t="shared" ca="1" si="2"/>
        <v>177218.65837168312</v>
      </c>
      <c r="AQ10" s="526">
        <f t="shared" ca="1" si="2"/>
        <v>177605.80151354577</v>
      </c>
      <c r="AR10" s="526">
        <f t="shared" ca="1" si="2"/>
        <v>177986.06498467107</v>
      </c>
      <c r="AS10" s="526">
        <f t="shared" ca="1" si="2"/>
        <v>178359.36070291678</v>
      </c>
      <c r="AT10" s="526">
        <f t="shared" ca="1" si="2"/>
        <v>178725.59977301891</v>
      </c>
      <c r="AU10" s="526">
        <f t="shared" ca="1" si="2"/>
        <v>179084.69247973879</v>
      </c>
      <c r="AV10" s="526">
        <f t="shared" ca="1" si="2"/>
        <v>179436.54828095413</v>
      </c>
      <c r="AW10" s="526">
        <f t="shared" ca="1" si="2"/>
        <v>179781.07580069351</v>
      </c>
      <c r="AX10" s="526">
        <f t="shared" ca="1" si="2"/>
        <v>180136.24395065822</v>
      </c>
      <c r="AY10" s="526">
        <f t="shared" ca="1" si="2"/>
        <v>180484.04255948708</v>
      </c>
      <c r="AZ10" s="526">
        <f t="shared" ca="1" si="2"/>
        <v>180824.37885575142</v>
      </c>
      <c r="BA10" s="526">
        <f t="shared" ca="1" si="2"/>
        <v>181157.1592148979</v>
      </c>
      <c r="BB10" s="526">
        <f t="shared" ca="1" si="2"/>
        <v>181482.28915206777</v>
      </c>
      <c r="BC10" s="526">
        <f t="shared" ca="1" si="2"/>
        <v>181799.67331485744</v>
      </c>
      <c r="BD10" s="526">
        <f t="shared" ca="1" si="2"/>
        <v>182109.21547602053</v>
      </c>
      <c r="BE10" s="526">
        <f t="shared" ca="1" si="2"/>
        <v>182410.81852610971</v>
      </c>
      <c r="BF10" s="526">
        <f t="shared" ca="1" si="2"/>
        <v>182704.38446605933</v>
      </c>
      <c r="BG10" s="526">
        <f t="shared" ca="1" si="2"/>
        <v>182989.81439970707</v>
      </c>
      <c r="BH10" s="526">
        <f t="shared" ca="1" si="2"/>
        <v>183267.00852625506</v>
      </c>
      <c r="BI10" s="526">
        <f t="shared" ca="1" si="2"/>
        <v>0</v>
      </c>
      <c r="BJ10" s="526">
        <f t="shared" ca="1" si="2"/>
        <v>0</v>
      </c>
      <c r="BK10" s="526">
        <f t="shared" ca="1" si="2"/>
        <v>0</v>
      </c>
      <c r="BL10" s="526">
        <f t="shared" ca="1" si="2"/>
        <v>0</v>
      </c>
      <c r="BM10" s="526">
        <f t="shared" ca="1" si="2"/>
        <v>0</v>
      </c>
      <c r="BN10" s="526">
        <f t="shared" ca="1" si="2"/>
        <v>0</v>
      </c>
      <c r="BO10" s="526">
        <f t="shared" ca="1" si="2"/>
        <v>0</v>
      </c>
      <c r="BP10" s="526">
        <f t="shared" ca="1" si="2"/>
        <v>0</v>
      </c>
      <c r="BQ10" s="526">
        <f t="shared" ca="1" si="2"/>
        <v>0</v>
      </c>
      <c r="BR10" s="526">
        <f t="shared" ca="1" si="2"/>
        <v>0</v>
      </c>
      <c r="BS10" s="526">
        <f t="shared" ca="1" si="2"/>
        <v>0</v>
      </c>
      <c r="BT10" s="526">
        <f t="shared" ca="1" si="2"/>
        <v>0</v>
      </c>
      <c r="BU10" s="526">
        <f t="shared" ca="1" si="2"/>
        <v>0</v>
      </c>
      <c r="BV10" s="526">
        <f t="shared" ca="1" si="2"/>
        <v>0</v>
      </c>
      <c r="BW10" s="526">
        <f t="shared" ca="1" si="2"/>
        <v>0</v>
      </c>
      <c r="BX10" s="526">
        <f t="shared" ca="1" si="2"/>
        <v>0</v>
      </c>
      <c r="BY10" s="526">
        <f t="shared" ref="BY10:EB10" ca="1" si="3">BY9*$J10</f>
        <v>0</v>
      </c>
      <c r="BZ10" s="526">
        <f t="shared" ca="1" si="3"/>
        <v>0</v>
      </c>
      <c r="CA10" s="526">
        <f t="shared" ca="1" si="3"/>
        <v>0</v>
      </c>
      <c r="CB10" s="526">
        <f t="shared" ca="1" si="3"/>
        <v>0</v>
      </c>
      <c r="CC10" s="526">
        <f t="shared" ca="1" si="3"/>
        <v>0</v>
      </c>
      <c r="CD10" s="526">
        <f t="shared" ca="1" si="3"/>
        <v>0</v>
      </c>
      <c r="CE10" s="526">
        <f t="shared" ca="1" si="3"/>
        <v>0</v>
      </c>
      <c r="CF10" s="526">
        <f t="shared" ca="1" si="3"/>
        <v>0</v>
      </c>
      <c r="CG10" s="526">
        <f t="shared" ca="1" si="3"/>
        <v>0</v>
      </c>
      <c r="CH10" s="526">
        <f t="shared" ca="1" si="3"/>
        <v>0</v>
      </c>
      <c r="CI10" s="526">
        <f t="shared" ca="1" si="3"/>
        <v>0</v>
      </c>
      <c r="CJ10" s="526">
        <f t="shared" ca="1" si="3"/>
        <v>0</v>
      </c>
      <c r="CK10" s="526">
        <f t="shared" ca="1" si="3"/>
        <v>0</v>
      </c>
      <c r="CL10" s="526">
        <f t="shared" ca="1" si="3"/>
        <v>0</v>
      </c>
      <c r="CM10" s="526">
        <f t="shared" ca="1" si="3"/>
        <v>0</v>
      </c>
      <c r="CN10" s="526">
        <f t="shared" ca="1" si="3"/>
        <v>0</v>
      </c>
      <c r="CO10" s="526">
        <f t="shared" ca="1" si="3"/>
        <v>0</v>
      </c>
      <c r="CP10" s="526">
        <f t="shared" ca="1" si="3"/>
        <v>0</v>
      </c>
      <c r="CQ10" s="526">
        <f t="shared" ca="1" si="3"/>
        <v>0</v>
      </c>
      <c r="CR10" s="526">
        <f t="shared" ca="1" si="3"/>
        <v>0</v>
      </c>
      <c r="CS10" s="526">
        <f t="shared" ca="1" si="3"/>
        <v>0</v>
      </c>
      <c r="CT10" s="526">
        <f t="shared" ca="1" si="3"/>
        <v>0</v>
      </c>
      <c r="CU10" s="526">
        <f t="shared" ca="1" si="3"/>
        <v>0</v>
      </c>
      <c r="CV10" s="526">
        <f t="shared" ca="1" si="3"/>
        <v>0</v>
      </c>
      <c r="CW10" s="526">
        <f t="shared" ca="1" si="3"/>
        <v>0</v>
      </c>
      <c r="CX10" s="526">
        <f t="shared" ca="1" si="3"/>
        <v>0</v>
      </c>
      <c r="CY10" s="526">
        <f t="shared" ca="1" si="3"/>
        <v>0</v>
      </c>
      <c r="CZ10" s="526">
        <f t="shared" ca="1" si="3"/>
        <v>0</v>
      </c>
      <c r="DA10" s="526">
        <f t="shared" ca="1" si="3"/>
        <v>0</v>
      </c>
      <c r="DB10" s="526">
        <f t="shared" ca="1" si="3"/>
        <v>0</v>
      </c>
      <c r="DC10" s="526">
        <f t="shared" ca="1" si="3"/>
        <v>0</v>
      </c>
      <c r="DD10" s="526">
        <f t="shared" ca="1" si="3"/>
        <v>0</v>
      </c>
      <c r="DE10" s="526">
        <f t="shared" ca="1" si="3"/>
        <v>0</v>
      </c>
      <c r="DF10" s="526">
        <f t="shared" ca="1" si="3"/>
        <v>0</v>
      </c>
      <c r="DG10" s="526">
        <f t="shared" ca="1" si="3"/>
        <v>0</v>
      </c>
      <c r="DH10" s="526">
        <f t="shared" ca="1" si="3"/>
        <v>0</v>
      </c>
      <c r="DI10" s="526">
        <f t="shared" ca="1" si="3"/>
        <v>0</v>
      </c>
      <c r="DJ10" s="526">
        <f t="shared" ca="1" si="3"/>
        <v>0</v>
      </c>
      <c r="DK10" s="526">
        <f t="shared" ca="1" si="3"/>
        <v>0</v>
      </c>
      <c r="DL10" s="526">
        <f t="shared" ca="1" si="3"/>
        <v>0</v>
      </c>
      <c r="DM10" s="526">
        <f t="shared" ca="1" si="3"/>
        <v>0</v>
      </c>
      <c r="DN10" s="526">
        <f t="shared" ca="1" si="3"/>
        <v>0</v>
      </c>
      <c r="DO10" s="526">
        <f t="shared" ca="1" si="3"/>
        <v>0</v>
      </c>
      <c r="DP10" s="526">
        <f t="shared" ca="1" si="3"/>
        <v>0</v>
      </c>
      <c r="DQ10" s="526">
        <f t="shared" ca="1" si="3"/>
        <v>0</v>
      </c>
      <c r="DR10" s="526">
        <f t="shared" ca="1" si="3"/>
        <v>0</v>
      </c>
      <c r="DS10" s="526">
        <f t="shared" ca="1" si="3"/>
        <v>0</v>
      </c>
      <c r="DT10" s="526">
        <f t="shared" ca="1" si="3"/>
        <v>0</v>
      </c>
      <c r="DU10" s="526">
        <f t="shared" ca="1" si="3"/>
        <v>0</v>
      </c>
      <c r="DV10" s="526">
        <f t="shared" ca="1" si="3"/>
        <v>0</v>
      </c>
      <c r="DW10" s="526">
        <f t="shared" ca="1" si="3"/>
        <v>0</v>
      </c>
      <c r="DX10" s="526">
        <f t="shared" ca="1" si="3"/>
        <v>0</v>
      </c>
      <c r="DY10" s="526">
        <f t="shared" ca="1" si="3"/>
        <v>0</v>
      </c>
      <c r="DZ10" s="526">
        <f t="shared" ca="1" si="3"/>
        <v>0</v>
      </c>
      <c r="EA10" s="526">
        <f t="shared" ca="1" si="3"/>
        <v>0</v>
      </c>
      <c r="EB10" s="526">
        <f t="shared" ca="1" si="3"/>
        <v>0</v>
      </c>
      <c r="EC10" s="523" t="s">
        <v>557</v>
      </c>
    </row>
    <row r="11" spans="2:133" ht="18" thickBot="1">
      <c r="H11" s="518" t="s">
        <v>1145</v>
      </c>
      <c r="I11" s="539">
        <f>E7</f>
        <v>1</v>
      </c>
      <c r="J11" s="540"/>
      <c r="L11" s="526">
        <f ca="1">-MIN(L5,0)*$I11</f>
        <v>20296000</v>
      </c>
      <c r="M11" s="526">
        <f t="shared" ref="M11:BX11" si="4">-MIN(M5,0)*$I11</f>
        <v>0</v>
      </c>
      <c r="N11" s="526">
        <f t="shared" si="4"/>
        <v>0</v>
      </c>
      <c r="O11" s="526">
        <f t="shared" si="4"/>
        <v>0</v>
      </c>
      <c r="P11" s="526">
        <f t="shared" si="4"/>
        <v>0</v>
      </c>
      <c r="Q11" s="526">
        <f t="shared" si="4"/>
        <v>0</v>
      </c>
      <c r="R11" s="526">
        <f t="shared" si="4"/>
        <v>0</v>
      </c>
      <c r="S11" s="526">
        <f t="shared" si="4"/>
        <v>0</v>
      </c>
      <c r="T11" s="526">
        <f t="shared" si="4"/>
        <v>0</v>
      </c>
      <c r="U11" s="526">
        <f t="shared" si="4"/>
        <v>0</v>
      </c>
      <c r="V11" s="526">
        <f t="shared" si="4"/>
        <v>0</v>
      </c>
      <c r="W11" s="526">
        <f t="shared" si="4"/>
        <v>0</v>
      </c>
      <c r="X11" s="526">
        <f t="shared" si="4"/>
        <v>0</v>
      </c>
      <c r="Y11" s="526">
        <f t="shared" si="4"/>
        <v>0</v>
      </c>
      <c r="Z11" s="526">
        <f t="shared" si="4"/>
        <v>0</v>
      </c>
      <c r="AA11" s="526">
        <f t="shared" si="4"/>
        <v>0</v>
      </c>
      <c r="AB11" s="526">
        <f t="shared" si="4"/>
        <v>0</v>
      </c>
      <c r="AC11" s="526">
        <f t="shared" si="4"/>
        <v>0</v>
      </c>
      <c r="AD11" s="526">
        <f t="shared" si="4"/>
        <v>0</v>
      </c>
      <c r="AE11" s="526">
        <f t="shared" si="4"/>
        <v>0</v>
      </c>
      <c r="AF11" s="526">
        <f t="shared" si="4"/>
        <v>0</v>
      </c>
      <c r="AG11" s="526">
        <f t="shared" si="4"/>
        <v>0</v>
      </c>
      <c r="AH11" s="526">
        <f t="shared" si="4"/>
        <v>0</v>
      </c>
      <c r="AI11" s="526">
        <f t="shared" si="4"/>
        <v>0</v>
      </c>
      <c r="AJ11" s="526">
        <f t="shared" si="4"/>
        <v>0</v>
      </c>
      <c r="AK11" s="526">
        <f t="shared" si="4"/>
        <v>0</v>
      </c>
      <c r="AL11" s="526">
        <f t="shared" si="4"/>
        <v>0</v>
      </c>
      <c r="AM11" s="526">
        <f t="shared" si="4"/>
        <v>0</v>
      </c>
      <c r="AN11" s="526">
        <f t="shared" si="4"/>
        <v>0</v>
      </c>
      <c r="AO11" s="526">
        <f t="shared" si="4"/>
        <v>0</v>
      </c>
      <c r="AP11" s="526">
        <f t="shared" si="4"/>
        <v>0</v>
      </c>
      <c r="AQ11" s="526">
        <f t="shared" si="4"/>
        <v>0</v>
      </c>
      <c r="AR11" s="526">
        <f t="shared" si="4"/>
        <v>0</v>
      </c>
      <c r="AS11" s="526">
        <f t="shared" si="4"/>
        <v>0</v>
      </c>
      <c r="AT11" s="526">
        <f t="shared" si="4"/>
        <v>0</v>
      </c>
      <c r="AU11" s="526">
        <f t="shared" si="4"/>
        <v>0</v>
      </c>
      <c r="AV11" s="526">
        <f t="shared" si="4"/>
        <v>0</v>
      </c>
      <c r="AW11" s="526">
        <f t="shared" si="4"/>
        <v>0</v>
      </c>
      <c r="AX11" s="526">
        <f t="shared" si="4"/>
        <v>0</v>
      </c>
      <c r="AY11" s="526">
        <f t="shared" si="4"/>
        <v>0</v>
      </c>
      <c r="AZ11" s="526">
        <f t="shared" si="4"/>
        <v>0</v>
      </c>
      <c r="BA11" s="526">
        <f t="shared" si="4"/>
        <v>0</v>
      </c>
      <c r="BB11" s="526">
        <f t="shared" si="4"/>
        <v>0</v>
      </c>
      <c r="BC11" s="526">
        <f t="shared" si="4"/>
        <v>0</v>
      </c>
      <c r="BD11" s="526">
        <f t="shared" si="4"/>
        <v>0</v>
      </c>
      <c r="BE11" s="526">
        <f t="shared" si="4"/>
        <v>0</v>
      </c>
      <c r="BF11" s="526">
        <f t="shared" si="4"/>
        <v>0</v>
      </c>
      <c r="BG11" s="526">
        <f t="shared" si="4"/>
        <v>0</v>
      </c>
      <c r="BH11" s="526">
        <f t="shared" si="4"/>
        <v>0</v>
      </c>
      <c r="BI11" s="526">
        <f t="shared" si="4"/>
        <v>0</v>
      </c>
      <c r="BJ11" s="526">
        <f t="shared" si="4"/>
        <v>0</v>
      </c>
      <c r="BK11" s="526">
        <f t="shared" si="4"/>
        <v>0</v>
      </c>
      <c r="BL11" s="526">
        <f t="shared" si="4"/>
        <v>0</v>
      </c>
      <c r="BM11" s="526">
        <f t="shared" si="4"/>
        <v>0</v>
      </c>
      <c r="BN11" s="526">
        <f t="shared" si="4"/>
        <v>0</v>
      </c>
      <c r="BO11" s="526">
        <f t="shared" si="4"/>
        <v>0</v>
      </c>
      <c r="BP11" s="526">
        <f t="shared" si="4"/>
        <v>0</v>
      </c>
      <c r="BQ11" s="526">
        <f t="shared" si="4"/>
        <v>0</v>
      </c>
      <c r="BR11" s="526">
        <f t="shared" si="4"/>
        <v>0</v>
      </c>
      <c r="BS11" s="526">
        <f t="shared" si="4"/>
        <v>0</v>
      </c>
      <c r="BT11" s="526">
        <f t="shared" si="4"/>
        <v>0</v>
      </c>
      <c r="BU11" s="526">
        <f t="shared" si="4"/>
        <v>0</v>
      </c>
      <c r="BV11" s="526">
        <f t="shared" si="4"/>
        <v>0</v>
      </c>
      <c r="BW11" s="526">
        <f t="shared" si="4"/>
        <v>0</v>
      </c>
      <c r="BX11" s="526">
        <f t="shared" si="4"/>
        <v>0</v>
      </c>
      <c r="BY11" s="526">
        <f t="shared" ref="BY11:EB11" si="5">-MIN(BY5,0)*$I11</f>
        <v>0</v>
      </c>
      <c r="BZ11" s="526">
        <f t="shared" si="5"/>
        <v>0</v>
      </c>
      <c r="CA11" s="526">
        <f t="shared" si="5"/>
        <v>0</v>
      </c>
      <c r="CB11" s="526">
        <f t="shared" si="5"/>
        <v>0</v>
      </c>
      <c r="CC11" s="526">
        <f t="shared" si="5"/>
        <v>0</v>
      </c>
      <c r="CD11" s="526">
        <f t="shared" si="5"/>
        <v>0</v>
      </c>
      <c r="CE11" s="526">
        <f t="shared" si="5"/>
        <v>0</v>
      </c>
      <c r="CF11" s="526">
        <f t="shared" si="5"/>
        <v>0</v>
      </c>
      <c r="CG11" s="526">
        <f t="shared" si="5"/>
        <v>0</v>
      </c>
      <c r="CH11" s="526">
        <f t="shared" si="5"/>
        <v>0</v>
      </c>
      <c r="CI11" s="526">
        <f t="shared" si="5"/>
        <v>0</v>
      </c>
      <c r="CJ11" s="526">
        <f t="shared" si="5"/>
        <v>0</v>
      </c>
      <c r="CK11" s="526">
        <f t="shared" si="5"/>
        <v>0</v>
      </c>
      <c r="CL11" s="526">
        <f t="shared" si="5"/>
        <v>0</v>
      </c>
      <c r="CM11" s="526">
        <f t="shared" si="5"/>
        <v>0</v>
      </c>
      <c r="CN11" s="526">
        <f t="shared" si="5"/>
        <v>0</v>
      </c>
      <c r="CO11" s="526">
        <f t="shared" si="5"/>
        <v>0</v>
      </c>
      <c r="CP11" s="526">
        <f t="shared" si="5"/>
        <v>0</v>
      </c>
      <c r="CQ11" s="526">
        <f t="shared" si="5"/>
        <v>0</v>
      </c>
      <c r="CR11" s="526">
        <f t="shared" si="5"/>
        <v>0</v>
      </c>
      <c r="CS11" s="526">
        <f t="shared" si="5"/>
        <v>0</v>
      </c>
      <c r="CT11" s="526">
        <f t="shared" si="5"/>
        <v>0</v>
      </c>
      <c r="CU11" s="526">
        <f t="shared" si="5"/>
        <v>0</v>
      </c>
      <c r="CV11" s="526">
        <f t="shared" si="5"/>
        <v>0</v>
      </c>
      <c r="CW11" s="526">
        <f t="shared" si="5"/>
        <v>0</v>
      </c>
      <c r="CX11" s="526">
        <f t="shared" si="5"/>
        <v>0</v>
      </c>
      <c r="CY11" s="526">
        <f t="shared" si="5"/>
        <v>0</v>
      </c>
      <c r="CZ11" s="526">
        <f t="shared" si="5"/>
        <v>0</v>
      </c>
      <c r="DA11" s="526">
        <f t="shared" si="5"/>
        <v>0</v>
      </c>
      <c r="DB11" s="526">
        <f t="shared" si="5"/>
        <v>0</v>
      </c>
      <c r="DC11" s="526">
        <f t="shared" si="5"/>
        <v>0</v>
      </c>
      <c r="DD11" s="526">
        <f t="shared" si="5"/>
        <v>0</v>
      </c>
      <c r="DE11" s="526">
        <f t="shared" si="5"/>
        <v>0</v>
      </c>
      <c r="DF11" s="526">
        <f t="shared" si="5"/>
        <v>0</v>
      </c>
      <c r="DG11" s="526">
        <f t="shared" si="5"/>
        <v>0</v>
      </c>
      <c r="DH11" s="526">
        <f t="shared" si="5"/>
        <v>0</v>
      </c>
      <c r="DI11" s="526">
        <f t="shared" si="5"/>
        <v>0</v>
      </c>
      <c r="DJ11" s="526">
        <f t="shared" si="5"/>
        <v>0</v>
      </c>
      <c r="DK11" s="526">
        <f t="shared" si="5"/>
        <v>0</v>
      </c>
      <c r="DL11" s="526">
        <f t="shared" si="5"/>
        <v>0</v>
      </c>
      <c r="DM11" s="526">
        <f t="shared" si="5"/>
        <v>0</v>
      </c>
      <c r="DN11" s="526">
        <f t="shared" si="5"/>
        <v>0</v>
      </c>
      <c r="DO11" s="526">
        <f t="shared" si="5"/>
        <v>0</v>
      </c>
      <c r="DP11" s="526">
        <f t="shared" si="5"/>
        <v>0</v>
      </c>
      <c r="DQ11" s="526">
        <f t="shared" si="5"/>
        <v>0</v>
      </c>
      <c r="DR11" s="526">
        <f t="shared" si="5"/>
        <v>0</v>
      </c>
      <c r="DS11" s="526">
        <f t="shared" si="5"/>
        <v>0</v>
      </c>
      <c r="DT11" s="526">
        <f t="shared" si="5"/>
        <v>0</v>
      </c>
      <c r="DU11" s="526">
        <f t="shared" si="5"/>
        <v>0</v>
      </c>
      <c r="DV11" s="526">
        <f t="shared" si="5"/>
        <v>0</v>
      </c>
      <c r="DW11" s="526">
        <f t="shared" si="5"/>
        <v>0</v>
      </c>
      <c r="DX11" s="526">
        <f t="shared" si="5"/>
        <v>0</v>
      </c>
      <c r="DY11" s="526">
        <f t="shared" si="5"/>
        <v>0</v>
      </c>
      <c r="DZ11" s="526">
        <f t="shared" si="5"/>
        <v>0</v>
      </c>
      <c r="EA11" s="526">
        <f t="shared" si="5"/>
        <v>0</v>
      </c>
      <c r="EB11" s="526">
        <f t="shared" si="5"/>
        <v>0</v>
      </c>
      <c r="EC11" s="523" t="s">
        <v>557</v>
      </c>
    </row>
    <row r="12" spans="2:133" ht="19">
      <c r="B12" s="173" t="s">
        <v>1146</v>
      </c>
      <c r="C12" s="1018" t="s">
        <v>1196</v>
      </c>
      <c r="D12" s="2017" t="s">
        <v>1197</v>
      </c>
      <c r="E12" s="2018"/>
      <c r="F12" s="175"/>
      <c r="H12" s="518" t="s">
        <v>1147</v>
      </c>
      <c r="I12" s="539">
        <f>E7</f>
        <v>1</v>
      </c>
      <c r="J12" s="540"/>
      <c r="L12" s="526">
        <f ca="1">MIN(MAX(L5,0)*$I12,L9+L10)</f>
        <v>0</v>
      </c>
      <c r="M12" s="526">
        <f t="shared" ref="M12:BX12" ca="1" si="6">MIN(MAX(M5,0)*$I12,M9+M10)</f>
        <v>75142.199419975848</v>
      </c>
      <c r="N12" s="526">
        <f t="shared" ca="1" si="6"/>
        <v>77255.772749442272</v>
      </c>
      <c r="O12" s="526">
        <f t="shared" ca="1" si="6"/>
        <v>79383.436567771874</v>
      </c>
      <c r="P12" s="526">
        <f t="shared" ca="1" si="6"/>
        <v>81525.284811557081</v>
      </c>
      <c r="Q12" s="526">
        <f t="shared" ca="1" si="6"/>
        <v>83681.412043634118</v>
      </c>
      <c r="R12" s="526">
        <f t="shared" ca="1" si="6"/>
        <v>85851.913457258299</v>
      </c>
      <c r="S12" s="526">
        <f t="shared" ca="1" si="6"/>
        <v>88036.884880306709</v>
      </c>
      <c r="T12" s="526">
        <f t="shared" ca="1" si="6"/>
        <v>90236.422779508677</v>
      </c>
      <c r="U12" s="526">
        <f t="shared" ca="1" si="6"/>
        <v>92450.624264705359</v>
      </c>
      <c r="V12" s="526">
        <f t="shared" ca="1" si="6"/>
        <v>94679.587093136754</v>
      </c>
      <c r="W12" s="526">
        <f t="shared" ca="1" si="6"/>
        <v>96923.409673757662</v>
      </c>
      <c r="X12" s="526">
        <f t="shared" ca="1" si="6"/>
        <v>99182.191071582594</v>
      </c>
      <c r="Y12" s="526">
        <f t="shared" ca="1" si="6"/>
        <v>99132.252015780003</v>
      </c>
      <c r="Z12" s="526">
        <f t="shared" ca="1" si="6"/>
        <v>101277.30024087873</v>
      </c>
      <c r="AA12" s="526">
        <f t="shared" ca="1" si="6"/>
        <v>103435.75501738423</v>
      </c>
      <c r="AB12" s="526">
        <f t="shared" ca="1" si="6"/>
        <v>105607.70013624289</v>
      </c>
      <c r="AC12" s="526">
        <f t="shared" ca="1" si="6"/>
        <v>107793.2199120944</v>
      </c>
      <c r="AD12" s="526">
        <f t="shared" ca="1" si="6"/>
        <v>109992.39918654515</v>
      </c>
      <c r="AE12" s="526">
        <f t="shared" ca="1" si="6"/>
        <v>112205.32333146107</v>
      </c>
      <c r="AF12" s="526">
        <f t="shared" ca="1" si="6"/>
        <v>114432.07825228265</v>
      </c>
      <c r="AG12" s="526">
        <f t="shared" ca="1" si="6"/>
        <v>116672.75039135954</v>
      </c>
      <c r="AH12" s="526">
        <f t="shared" ca="1" si="6"/>
        <v>118927.4267313055</v>
      </c>
      <c r="AI12" s="526">
        <f t="shared" ca="1" si="6"/>
        <v>121196.19479837616</v>
      </c>
      <c r="AJ12" s="526">
        <f t="shared" ca="1" si="6"/>
        <v>123479.14266586611</v>
      </c>
      <c r="AK12" s="526">
        <f t="shared" ca="1" si="6"/>
        <v>122481.38876808564</v>
      </c>
      <c r="AL12" s="526">
        <f t="shared" ca="1" si="6"/>
        <v>123710.65473037933</v>
      </c>
      <c r="AM12" s="526">
        <f t="shared" ca="1" si="6"/>
        <v>124944.01824588062</v>
      </c>
      <c r="AN12" s="526">
        <f t="shared" ca="1" si="6"/>
        <v>126181.4929731002</v>
      </c>
      <c r="AO12" s="526">
        <f t="shared" ca="1" si="6"/>
        <v>127423.09261607715</v>
      </c>
      <c r="AP12" s="526">
        <f t="shared" ca="1" si="6"/>
        <v>128668.83092453091</v>
      </c>
      <c r="AQ12" s="526">
        <f t="shared" ca="1" si="6"/>
        <v>129918.72169401268</v>
      </c>
      <c r="AR12" s="526">
        <f t="shared" ca="1" si="6"/>
        <v>131172.77876605943</v>
      </c>
      <c r="AS12" s="526">
        <f t="shared" ca="1" si="6"/>
        <v>132431.01602834626</v>
      </c>
      <c r="AT12" s="526">
        <f t="shared" ca="1" si="6"/>
        <v>133693.44741484086</v>
      </c>
      <c r="AU12" s="526">
        <f t="shared" ca="1" si="6"/>
        <v>134960.08690595691</v>
      </c>
      <c r="AV12" s="526">
        <f t="shared" ca="1" si="6"/>
        <v>136230.94852871029</v>
      </c>
      <c r="AW12" s="526">
        <f t="shared" ca="1" si="6"/>
        <v>135241.08391927258</v>
      </c>
      <c r="AX12" s="526">
        <f t="shared" ca="1" si="6"/>
        <v>136520.43207352899</v>
      </c>
      <c r="AY12" s="526">
        <f t="shared" ca="1" si="6"/>
        <v>137804.04472163261</v>
      </c>
      <c r="AZ12" s="526">
        <f t="shared" ca="1" si="6"/>
        <v>139091.93607856351</v>
      </c>
      <c r="BA12" s="526">
        <f t="shared" ca="1" si="6"/>
        <v>140384.12040668412</v>
      </c>
      <c r="BB12" s="526">
        <f t="shared" ca="1" si="6"/>
        <v>141680.61201589828</v>
      </c>
      <c r="BC12" s="526">
        <f t="shared" ca="1" si="6"/>
        <v>142981.42526381009</v>
      </c>
      <c r="BD12" s="526">
        <f t="shared" ca="1" si="6"/>
        <v>144286.57455588144</v>
      </c>
      <c r="BE12" s="526">
        <f t="shared" ca="1" si="6"/>
        <v>145596.07434559317</v>
      </c>
      <c r="BF12" s="526">
        <f t="shared" ca="1" si="6"/>
        <v>146909.93913460377</v>
      </c>
      <c r="BG12" s="526">
        <f t="shared" ca="1" si="6"/>
        <v>148228.18347291125</v>
      </c>
      <c r="BH12" s="526">
        <f t="shared" ca="1" si="6"/>
        <v>23165933.310961749</v>
      </c>
      <c r="BI12" s="526">
        <f t="shared" ca="1" si="6"/>
        <v>0</v>
      </c>
      <c r="BJ12" s="526">
        <f t="shared" ca="1" si="6"/>
        <v>0</v>
      </c>
      <c r="BK12" s="526">
        <f t="shared" ca="1" si="6"/>
        <v>0</v>
      </c>
      <c r="BL12" s="526">
        <f t="shared" ca="1" si="6"/>
        <v>0</v>
      </c>
      <c r="BM12" s="526">
        <f t="shared" ca="1" si="6"/>
        <v>0</v>
      </c>
      <c r="BN12" s="526">
        <f t="shared" ca="1" si="6"/>
        <v>0</v>
      </c>
      <c r="BO12" s="526">
        <f t="shared" ca="1" si="6"/>
        <v>0</v>
      </c>
      <c r="BP12" s="526">
        <f t="shared" ca="1" si="6"/>
        <v>0</v>
      </c>
      <c r="BQ12" s="526">
        <f t="shared" ca="1" si="6"/>
        <v>0</v>
      </c>
      <c r="BR12" s="526">
        <f t="shared" ca="1" si="6"/>
        <v>0</v>
      </c>
      <c r="BS12" s="526">
        <f t="shared" ca="1" si="6"/>
        <v>0</v>
      </c>
      <c r="BT12" s="526">
        <f t="shared" ca="1" si="6"/>
        <v>0</v>
      </c>
      <c r="BU12" s="526">
        <f t="shared" ca="1" si="6"/>
        <v>0</v>
      </c>
      <c r="BV12" s="526">
        <f t="shared" ca="1" si="6"/>
        <v>0</v>
      </c>
      <c r="BW12" s="526">
        <f t="shared" ca="1" si="6"/>
        <v>0</v>
      </c>
      <c r="BX12" s="526">
        <f t="shared" ca="1" si="6"/>
        <v>0</v>
      </c>
      <c r="BY12" s="526">
        <f t="shared" ref="BY12:EB12" ca="1" si="7">MIN(MAX(BY5,0)*$I12,BY9+BY10)</f>
        <v>0</v>
      </c>
      <c r="BZ12" s="526">
        <f t="shared" ca="1" si="7"/>
        <v>0</v>
      </c>
      <c r="CA12" s="526">
        <f t="shared" ca="1" si="7"/>
        <v>0</v>
      </c>
      <c r="CB12" s="526">
        <f t="shared" ca="1" si="7"/>
        <v>0</v>
      </c>
      <c r="CC12" s="526">
        <f t="shared" ca="1" si="7"/>
        <v>0</v>
      </c>
      <c r="CD12" s="526">
        <f t="shared" ca="1" si="7"/>
        <v>0</v>
      </c>
      <c r="CE12" s="526">
        <f t="shared" ca="1" si="7"/>
        <v>0</v>
      </c>
      <c r="CF12" s="526">
        <f t="shared" ca="1" si="7"/>
        <v>0</v>
      </c>
      <c r="CG12" s="526">
        <f t="shared" ca="1" si="7"/>
        <v>0</v>
      </c>
      <c r="CH12" s="526">
        <f t="shared" ca="1" si="7"/>
        <v>0</v>
      </c>
      <c r="CI12" s="526">
        <f t="shared" ca="1" si="7"/>
        <v>0</v>
      </c>
      <c r="CJ12" s="526">
        <f t="shared" ca="1" si="7"/>
        <v>0</v>
      </c>
      <c r="CK12" s="526">
        <f t="shared" ca="1" si="7"/>
        <v>0</v>
      </c>
      <c r="CL12" s="526">
        <f t="shared" ca="1" si="7"/>
        <v>0</v>
      </c>
      <c r="CM12" s="526">
        <f t="shared" ca="1" si="7"/>
        <v>0</v>
      </c>
      <c r="CN12" s="526">
        <f t="shared" ca="1" si="7"/>
        <v>0</v>
      </c>
      <c r="CO12" s="526">
        <f t="shared" ca="1" si="7"/>
        <v>0</v>
      </c>
      <c r="CP12" s="526">
        <f t="shared" ca="1" si="7"/>
        <v>0</v>
      </c>
      <c r="CQ12" s="526">
        <f t="shared" ca="1" si="7"/>
        <v>0</v>
      </c>
      <c r="CR12" s="526">
        <f t="shared" ca="1" si="7"/>
        <v>0</v>
      </c>
      <c r="CS12" s="526">
        <f t="shared" ca="1" si="7"/>
        <v>0</v>
      </c>
      <c r="CT12" s="526">
        <f t="shared" ca="1" si="7"/>
        <v>0</v>
      </c>
      <c r="CU12" s="526">
        <f t="shared" ca="1" si="7"/>
        <v>0</v>
      </c>
      <c r="CV12" s="526">
        <f t="shared" ca="1" si="7"/>
        <v>0</v>
      </c>
      <c r="CW12" s="526">
        <f t="shared" ca="1" si="7"/>
        <v>0</v>
      </c>
      <c r="CX12" s="526">
        <f t="shared" ca="1" si="7"/>
        <v>0</v>
      </c>
      <c r="CY12" s="526">
        <f t="shared" ca="1" si="7"/>
        <v>0</v>
      </c>
      <c r="CZ12" s="526">
        <f t="shared" ca="1" si="7"/>
        <v>0</v>
      </c>
      <c r="DA12" s="526">
        <f t="shared" ca="1" si="7"/>
        <v>0</v>
      </c>
      <c r="DB12" s="526">
        <f t="shared" ca="1" si="7"/>
        <v>0</v>
      </c>
      <c r="DC12" s="526">
        <f t="shared" ca="1" si="7"/>
        <v>0</v>
      </c>
      <c r="DD12" s="526">
        <f t="shared" ca="1" si="7"/>
        <v>0</v>
      </c>
      <c r="DE12" s="526">
        <f t="shared" ca="1" si="7"/>
        <v>0</v>
      </c>
      <c r="DF12" s="526">
        <f t="shared" ca="1" si="7"/>
        <v>0</v>
      </c>
      <c r="DG12" s="526">
        <f t="shared" ca="1" si="7"/>
        <v>0</v>
      </c>
      <c r="DH12" s="526">
        <f t="shared" ca="1" si="7"/>
        <v>0</v>
      </c>
      <c r="DI12" s="526">
        <f t="shared" ca="1" si="7"/>
        <v>0</v>
      </c>
      <c r="DJ12" s="526">
        <f t="shared" ca="1" si="7"/>
        <v>0</v>
      </c>
      <c r="DK12" s="526">
        <f t="shared" ca="1" si="7"/>
        <v>0</v>
      </c>
      <c r="DL12" s="526">
        <f t="shared" ca="1" si="7"/>
        <v>0</v>
      </c>
      <c r="DM12" s="526">
        <f t="shared" ca="1" si="7"/>
        <v>0</v>
      </c>
      <c r="DN12" s="526">
        <f t="shared" ca="1" si="7"/>
        <v>0</v>
      </c>
      <c r="DO12" s="526">
        <f t="shared" ca="1" si="7"/>
        <v>0</v>
      </c>
      <c r="DP12" s="526">
        <f t="shared" ca="1" si="7"/>
        <v>0</v>
      </c>
      <c r="DQ12" s="526">
        <f t="shared" ca="1" si="7"/>
        <v>0</v>
      </c>
      <c r="DR12" s="526">
        <f t="shared" ca="1" si="7"/>
        <v>0</v>
      </c>
      <c r="DS12" s="526">
        <f t="shared" ca="1" si="7"/>
        <v>0</v>
      </c>
      <c r="DT12" s="526">
        <f t="shared" ca="1" si="7"/>
        <v>0</v>
      </c>
      <c r="DU12" s="526">
        <f t="shared" ca="1" si="7"/>
        <v>0</v>
      </c>
      <c r="DV12" s="526">
        <f t="shared" ca="1" si="7"/>
        <v>0</v>
      </c>
      <c r="DW12" s="526">
        <f t="shared" ca="1" si="7"/>
        <v>0</v>
      </c>
      <c r="DX12" s="526">
        <f t="shared" ca="1" si="7"/>
        <v>0</v>
      </c>
      <c r="DY12" s="526">
        <f t="shared" ca="1" si="7"/>
        <v>0</v>
      </c>
      <c r="DZ12" s="526">
        <f t="shared" ca="1" si="7"/>
        <v>0</v>
      </c>
      <c r="EA12" s="526">
        <f t="shared" ca="1" si="7"/>
        <v>0</v>
      </c>
      <c r="EB12" s="526">
        <f t="shared" ca="1" si="7"/>
        <v>0</v>
      </c>
      <c r="EC12" s="523" t="s">
        <v>557</v>
      </c>
    </row>
    <row r="13" spans="2:133" ht="19">
      <c r="B13" s="524"/>
      <c r="C13" s="1003" t="s">
        <v>1198</v>
      </c>
      <c r="D13" s="1004" t="s">
        <v>1135</v>
      </c>
      <c r="E13" s="1005" t="s">
        <v>1136</v>
      </c>
      <c r="F13" s="525" t="s">
        <v>1140</v>
      </c>
      <c r="H13" s="518" t="s">
        <v>1148</v>
      </c>
      <c r="I13" s="523"/>
      <c r="J13" s="523"/>
      <c r="L13" s="526">
        <f ca="1">L9+L10+L11-L12</f>
        <v>20296000</v>
      </c>
      <c r="M13" s="526">
        <f t="shared" ref="M13:BX13" ca="1" si="8">M9+M10+M11-M12</f>
        <v>20382700.954725057</v>
      </c>
      <c r="N13" s="526">
        <f t="shared" ca="1" si="8"/>
        <v>20467979.701708943</v>
      </c>
      <c r="O13" s="526">
        <f t="shared" ca="1" si="8"/>
        <v>20551810.809578549</v>
      </c>
      <c r="P13" s="526">
        <f t="shared" ca="1" si="8"/>
        <v>20634168.550230835</v>
      </c>
      <c r="Q13" s="526">
        <f t="shared" ca="1" si="8"/>
        <v>20715026.89584041</v>
      </c>
      <c r="R13" s="526">
        <f t="shared" ca="1" si="8"/>
        <v>20794359.5158391</v>
      </c>
      <c r="S13" s="526">
        <f t="shared" ca="1" si="8"/>
        <v>20872139.773867205</v>
      </c>
      <c r="T13" s="526">
        <f t="shared" ca="1" si="8"/>
        <v>20948340.724696223</v>
      </c>
      <c r="U13" s="526">
        <f t="shared" ca="1" si="8"/>
        <v>21022935.111122768</v>
      </c>
      <c r="V13" s="526">
        <f t="shared" ca="1" si="8"/>
        <v>21095895.360833455</v>
      </c>
      <c r="W13" s="526">
        <f t="shared" ca="1" si="8"/>
        <v>21167193.583240442</v>
      </c>
      <c r="X13" s="526">
        <f t="shared" ca="1" si="8"/>
        <v>21236801.56628741</v>
      </c>
      <c r="Y13" s="526">
        <f t="shared" ca="1" si="8"/>
        <v>21307014.552221969</v>
      </c>
      <c r="Z13" s="526">
        <f t="shared" ca="1" si="8"/>
        <v>21375642.378141206</v>
      </c>
      <c r="AA13" s="526">
        <f t="shared" ca="1" si="8"/>
        <v>21442658.997205146</v>
      </c>
      <c r="AB13" s="526">
        <f t="shared" ca="1" si="8"/>
        <v>21508038.071081713</v>
      </c>
      <c r="AC13" s="526">
        <f t="shared" ca="1" si="8"/>
        <v>21571752.967098635</v>
      </c>
      <c r="AD13" s="526">
        <f t="shared" ca="1" si="8"/>
        <v>21633776.755369358</v>
      </c>
      <c r="AE13" s="526">
        <f t="shared" ca="1" si="8"/>
        <v>21694082.205892768</v>
      </c>
      <c r="AF13" s="526">
        <f t="shared" ca="1" si="8"/>
        <v>21752641.785626456</v>
      </c>
      <c r="AG13" s="526">
        <f t="shared" ca="1" si="8"/>
        <v>21809427.655533321</v>
      </c>
      <c r="AH13" s="526">
        <f t="shared" ca="1" si="8"/>
        <v>21864411.667601254</v>
      </c>
      <c r="AI13" s="526">
        <f t="shared" ca="1" si="8"/>
        <v>21917565.361835692</v>
      </c>
      <c r="AJ13" s="526">
        <f t="shared" ca="1" si="8"/>
        <v>21968859.96322478</v>
      </c>
      <c r="AK13" s="526">
        <f t="shared" ca="1" si="8"/>
        <v>22021561.348866373</v>
      </c>
      <c r="AL13" s="526">
        <f t="shared" ca="1" si="8"/>
        <v>22073453.716795575</v>
      </c>
      <c r="AM13" s="526">
        <f t="shared" ca="1" si="8"/>
        <v>22124526.518238332</v>
      </c>
      <c r="AN13" s="526">
        <f t="shared" ca="1" si="8"/>
        <v>22174769.106644668</v>
      </c>
      <c r="AO13" s="526">
        <f t="shared" ca="1" si="8"/>
        <v>22224170.73686349</v>
      </c>
      <c r="AP13" s="526">
        <f t="shared" ca="1" si="8"/>
        <v>22272720.564310644</v>
      </c>
      <c r="AQ13" s="526">
        <f t="shared" ca="1" si="8"/>
        <v>22320407.644130178</v>
      </c>
      <c r="AR13" s="526">
        <f t="shared" ca="1" si="8"/>
        <v>22367220.930348791</v>
      </c>
      <c r="AS13" s="526">
        <f t="shared" ca="1" si="8"/>
        <v>22413149.275023364</v>
      </c>
      <c r="AT13" s="526">
        <f t="shared" ca="1" si="8"/>
        <v>22458181.427381542</v>
      </c>
      <c r="AU13" s="526">
        <f t="shared" ca="1" si="8"/>
        <v>22502306.032955322</v>
      </c>
      <c r="AV13" s="526">
        <f t="shared" ca="1" si="8"/>
        <v>22545511.632707566</v>
      </c>
      <c r="AW13" s="526">
        <f t="shared" ca="1" si="8"/>
        <v>22590051.624588989</v>
      </c>
      <c r="AX13" s="526">
        <f t="shared" ca="1" si="8"/>
        <v>22633667.436466116</v>
      </c>
      <c r="AY13" s="526">
        <f t="shared" ca="1" si="8"/>
        <v>22676347.434303969</v>
      </c>
      <c r="AZ13" s="526">
        <f t="shared" ca="1" si="8"/>
        <v>22718079.877081156</v>
      </c>
      <c r="BA13" s="526">
        <f t="shared" ca="1" si="8"/>
        <v>22758852.915889371</v>
      </c>
      <c r="BB13" s="526">
        <f t="shared" ca="1" si="8"/>
        <v>22798654.593025539</v>
      </c>
      <c r="BC13" s="526">
        <f t="shared" ca="1" si="8"/>
        <v>22837472.841076586</v>
      </c>
      <c r="BD13" s="526">
        <f t="shared" ca="1" si="8"/>
        <v>22875295.481996726</v>
      </c>
      <c r="BE13" s="526">
        <f t="shared" ca="1" si="8"/>
        <v>22912110.226177245</v>
      </c>
      <c r="BF13" s="526">
        <f t="shared" ca="1" si="8"/>
        <v>22947904.6715087</v>
      </c>
      <c r="BG13" s="526">
        <f t="shared" ca="1" si="8"/>
        <v>22982666.302435495</v>
      </c>
      <c r="BH13" s="526">
        <f t="shared" ca="1" si="8"/>
        <v>0</v>
      </c>
      <c r="BI13" s="526">
        <f t="shared" ca="1" si="8"/>
        <v>0</v>
      </c>
      <c r="BJ13" s="526">
        <f t="shared" ca="1" si="8"/>
        <v>0</v>
      </c>
      <c r="BK13" s="526">
        <f t="shared" ca="1" si="8"/>
        <v>0</v>
      </c>
      <c r="BL13" s="526">
        <f t="shared" ca="1" si="8"/>
        <v>0</v>
      </c>
      <c r="BM13" s="526">
        <f t="shared" ca="1" si="8"/>
        <v>0</v>
      </c>
      <c r="BN13" s="526">
        <f t="shared" ca="1" si="8"/>
        <v>0</v>
      </c>
      <c r="BO13" s="526">
        <f t="shared" ca="1" si="8"/>
        <v>0</v>
      </c>
      <c r="BP13" s="526">
        <f t="shared" ca="1" si="8"/>
        <v>0</v>
      </c>
      <c r="BQ13" s="526">
        <f t="shared" ca="1" si="8"/>
        <v>0</v>
      </c>
      <c r="BR13" s="526">
        <f t="shared" ca="1" si="8"/>
        <v>0</v>
      </c>
      <c r="BS13" s="526">
        <f t="shared" ca="1" si="8"/>
        <v>0</v>
      </c>
      <c r="BT13" s="526">
        <f t="shared" ca="1" si="8"/>
        <v>0</v>
      </c>
      <c r="BU13" s="526">
        <f t="shared" ca="1" si="8"/>
        <v>0</v>
      </c>
      <c r="BV13" s="526">
        <f t="shared" ca="1" si="8"/>
        <v>0</v>
      </c>
      <c r="BW13" s="526">
        <f t="shared" ca="1" si="8"/>
        <v>0</v>
      </c>
      <c r="BX13" s="526">
        <f t="shared" ca="1" si="8"/>
        <v>0</v>
      </c>
      <c r="BY13" s="526">
        <f t="shared" ref="BY13:EB13" ca="1" si="9">BY9+BY10+BY11-BY12</f>
        <v>0</v>
      </c>
      <c r="BZ13" s="526">
        <f t="shared" ca="1" si="9"/>
        <v>0</v>
      </c>
      <c r="CA13" s="526">
        <f t="shared" ca="1" si="9"/>
        <v>0</v>
      </c>
      <c r="CB13" s="526">
        <f t="shared" ca="1" si="9"/>
        <v>0</v>
      </c>
      <c r="CC13" s="526">
        <f t="shared" ca="1" si="9"/>
        <v>0</v>
      </c>
      <c r="CD13" s="526">
        <f t="shared" ca="1" si="9"/>
        <v>0</v>
      </c>
      <c r="CE13" s="526">
        <f t="shared" ca="1" si="9"/>
        <v>0</v>
      </c>
      <c r="CF13" s="526">
        <f t="shared" ca="1" si="9"/>
        <v>0</v>
      </c>
      <c r="CG13" s="526">
        <f t="shared" ca="1" si="9"/>
        <v>0</v>
      </c>
      <c r="CH13" s="526">
        <f t="shared" ca="1" si="9"/>
        <v>0</v>
      </c>
      <c r="CI13" s="526">
        <f t="shared" ca="1" si="9"/>
        <v>0</v>
      </c>
      <c r="CJ13" s="526">
        <f t="shared" ca="1" si="9"/>
        <v>0</v>
      </c>
      <c r="CK13" s="526">
        <f t="shared" ca="1" si="9"/>
        <v>0</v>
      </c>
      <c r="CL13" s="526">
        <f t="shared" ca="1" si="9"/>
        <v>0</v>
      </c>
      <c r="CM13" s="526">
        <f t="shared" ca="1" si="9"/>
        <v>0</v>
      </c>
      <c r="CN13" s="526">
        <f t="shared" ca="1" si="9"/>
        <v>0</v>
      </c>
      <c r="CO13" s="526">
        <f t="shared" ca="1" si="9"/>
        <v>0</v>
      </c>
      <c r="CP13" s="526">
        <f t="shared" ca="1" si="9"/>
        <v>0</v>
      </c>
      <c r="CQ13" s="526">
        <f t="shared" ca="1" si="9"/>
        <v>0</v>
      </c>
      <c r="CR13" s="526">
        <f t="shared" ca="1" si="9"/>
        <v>0</v>
      </c>
      <c r="CS13" s="526">
        <f t="shared" ca="1" si="9"/>
        <v>0</v>
      </c>
      <c r="CT13" s="526">
        <f t="shared" ca="1" si="9"/>
        <v>0</v>
      </c>
      <c r="CU13" s="526">
        <f t="shared" ca="1" si="9"/>
        <v>0</v>
      </c>
      <c r="CV13" s="526">
        <f t="shared" ca="1" si="9"/>
        <v>0</v>
      </c>
      <c r="CW13" s="526">
        <f t="shared" ca="1" si="9"/>
        <v>0</v>
      </c>
      <c r="CX13" s="526">
        <f t="shared" ca="1" si="9"/>
        <v>0</v>
      </c>
      <c r="CY13" s="526">
        <f t="shared" ca="1" si="9"/>
        <v>0</v>
      </c>
      <c r="CZ13" s="526">
        <f t="shared" ca="1" si="9"/>
        <v>0</v>
      </c>
      <c r="DA13" s="526">
        <f t="shared" ca="1" si="9"/>
        <v>0</v>
      </c>
      <c r="DB13" s="526">
        <f t="shared" ca="1" si="9"/>
        <v>0</v>
      </c>
      <c r="DC13" s="526">
        <f t="shared" ca="1" si="9"/>
        <v>0</v>
      </c>
      <c r="DD13" s="526">
        <f t="shared" ca="1" si="9"/>
        <v>0</v>
      </c>
      <c r="DE13" s="526">
        <f t="shared" ca="1" si="9"/>
        <v>0</v>
      </c>
      <c r="DF13" s="526">
        <f t="shared" ca="1" si="9"/>
        <v>0</v>
      </c>
      <c r="DG13" s="526">
        <f t="shared" ca="1" si="9"/>
        <v>0</v>
      </c>
      <c r="DH13" s="526">
        <f t="shared" ca="1" si="9"/>
        <v>0</v>
      </c>
      <c r="DI13" s="526">
        <f t="shared" ca="1" si="9"/>
        <v>0</v>
      </c>
      <c r="DJ13" s="526">
        <f t="shared" ca="1" si="9"/>
        <v>0</v>
      </c>
      <c r="DK13" s="526">
        <f t="shared" ca="1" si="9"/>
        <v>0</v>
      </c>
      <c r="DL13" s="526">
        <f t="shared" ca="1" si="9"/>
        <v>0</v>
      </c>
      <c r="DM13" s="526">
        <f t="shared" ca="1" si="9"/>
        <v>0</v>
      </c>
      <c r="DN13" s="526">
        <f t="shared" ca="1" si="9"/>
        <v>0</v>
      </c>
      <c r="DO13" s="526">
        <f t="shared" ca="1" si="9"/>
        <v>0</v>
      </c>
      <c r="DP13" s="526">
        <f t="shared" ca="1" si="9"/>
        <v>0</v>
      </c>
      <c r="DQ13" s="526">
        <f t="shared" ca="1" si="9"/>
        <v>0</v>
      </c>
      <c r="DR13" s="526">
        <f t="shared" ca="1" si="9"/>
        <v>0</v>
      </c>
      <c r="DS13" s="526">
        <f t="shared" ca="1" si="9"/>
        <v>0</v>
      </c>
      <c r="DT13" s="526">
        <f t="shared" ca="1" si="9"/>
        <v>0</v>
      </c>
      <c r="DU13" s="526">
        <f t="shared" ca="1" si="9"/>
        <v>0</v>
      </c>
      <c r="DV13" s="526">
        <f t="shared" ca="1" si="9"/>
        <v>0</v>
      </c>
      <c r="DW13" s="526">
        <f t="shared" ca="1" si="9"/>
        <v>0</v>
      </c>
      <c r="DX13" s="526">
        <f t="shared" ca="1" si="9"/>
        <v>0</v>
      </c>
      <c r="DY13" s="526">
        <f t="shared" ca="1" si="9"/>
        <v>0</v>
      </c>
      <c r="DZ13" s="526">
        <f t="shared" ca="1" si="9"/>
        <v>0</v>
      </c>
      <c r="EA13" s="526">
        <f t="shared" ca="1" si="9"/>
        <v>0</v>
      </c>
      <c r="EB13" s="526">
        <f t="shared" ca="1" si="9"/>
        <v>0</v>
      </c>
      <c r="EC13" s="523" t="s">
        <v>557</v>
      </c>
    </row>
    <row r="14" spans="2:133" ht="19">
      <c r="B14" s="106" t="s">
        <v>1149</v>
      </c>
      <c r="C14" s="1006"/>
      <c r="D14" s="1007">
        <f>D7</f>
        <v>0</v>
      </c>
      <c r="E14" s="1008">
        <f>E7</f>
        <v>1</v>
      </c>
      <c r="F14" s="542">
        <v>0.1</v>
      </c>
      <c r="H14" s="518" t="s">
        <v>1150</v>
      </c>
      <c r="J14" s="543" t="s">
        <v>1105</v>
      </c>
      <c r="L14" s="526">
        <f ca="1">-L11+L12</f>
        <v>-20296000</v>
      </c>
      <c r="M14" s="526">
        <f t="shared" ref="M14:BX14" ca="1" si="10">-M11+M12</f>
        <v>75142.199419975848</v>
      </c>
      <c r="N14" s="526">
        <f t="shared" ca="1" si="10"/>
        <v>77255.772749442272</v>
      </c>
      <c r="O14" s="526">
        <f t="shared" ca="1" si="10"/>
        <v>79383.436567771874</v>
      </c>
      <c r="P14" s="526">
        <f t="shared" ca="1" si="10"/>
        <v>81525.284811557081</v>
      </c>
      <c r="Q14" s="526">
        <f t="shared" ca="1" si="10"/>
        <v>83681.412043634118</v>
      </c>
      <c r="R14" s="526">
        <f t="shared" ca="1" si="10"/>
        <v>85851.913457258299</v>
      </c>
      <c r="S14" s="526">
        <f t="shared" ca="1" si="10"/>
        <v>88036.884880306709</v>
      </c>
      <c r="T14" s="526">
        <f t="shared" ca="1" si="10"/>
        <v>90236.422779508677</v>
      </c>
      <c r="U14" s="526">
        <f t="shared" ca="1" si="10"/>
        <v>92450.624264705359</v>
      </c>
      <c r="V14" s="526">
        <f t="shared" ca="1" si="10"/>
        <v>94679.587093136754</v>
      </c>
      <c r="W14" s="526">
        <f t="shared" ca="1" si="10"/>
        <v>96923.409673757662</v>
      </c>
      <c r="X14" s="526">
        <f t="shared" ca="1" si="10"/>
        <v>99182.191071582594</v>
      </c>
      <c r="Y14" s="526">
        <f t="shared" ca="1" si="10"/>
        <v>99132.252015780003</v>
      </c>
      <c r="Z14" s="526">
        <f t="shared" ca="1" si="10"/>
        <v>101277.30024087873</v>
      </c>
      <c r="AA14" s="526">
        <f t="shared" ca="1" si="10"/>
        <v>103435.75501738423</v>
      </c>
      <c r="AB14" s="526">
        <f t="shared" ca="1" si="10"/>
        <v>105607.70013624289</v>
      </c>
      <c r="AC14" s="526">
        <f t="shared" ca="1" si="10"/>
        <v>107793.2199120944</v>
      </c>
      <c r="AD14" s="526">
        <f t="shared" ca="1" si="10"/>
        <v>109992.39918654515</v>
      </c>
      <c r="AE14" s="526">
        <f t="shared" ca="1" si="10"/>
        <v>112205.32333146107</v>
      </c>
      <c r="AF14" s="526">
        <f t="shared" ca="1" si="10"/>
        <v>114432.07825228265</v>
      </c>
      <c r="AG14" s="526">
        <f t="shared" ca="1" si="10"/>
        <v>116672.75039135954</v>
      </c>
      <c r="AH14" s="526">
        <f t="shared" ca="1" si="10"/>
        <v>118927.4267313055</v>
      </c>
      <c r="AI14" s="526">
        <f t="shared" ca="1" si="10"/>
        <v>121196.19479837616</v>
      </c>
      <c r="AJ14" s="526">
        <f t="shared" ca="1" si="10"/>
        <v>123479.14266586611</v>
      </c>
      <c r="AK14" s="526">
        <f t="shared" ca="1" si="10"/>
        <v>122481.38876808564</v>
      </c>
      <c r="AL14" s="526">
        <f t="shared" ca="1" si="10"/>
        <v>123710.65473037933</v>
      </c>
      <c r="AM14" s="526">
        <f t="shared" ca="1" si="10"/>
        <v>124944.01824588062</v>
      </c>
      <c r="AN14" s="526">
        <f t="shared" ca="1" si="10"/>
        <v>126181.4929731002</v>
      </c>
      <c r="AO14" s="526">
        <f t="shared" ca="1" si="10"/>
        <v>127423.09261607715</v>
      </c>
      <c r="AP14" s="526">
        <f t="shared" ca="1" si="10"/>
        <v>128668.83092453091</v>
      </c>
      <c r="AQ14" s="526">
        <f t="shared" ca="1" si="10"/>
        <v>129918.72169401268</v>
      </c>
      <c r="AR14" s="526">
        <f t="shared" ca="1" si="10"/>
        <v>131172.77876605943</v>
      </c>
      <c r="AS14" s="526">
        <f t="shared" ca="1" si="10"/>
        <v>132431.01602834626</v>
      </c>
      <c r="AT14" s="526">
        <f t="shared" ca="1" si="10"/>
        <v>133693.44741484086</v>
      </c>
      <c r="AU14" s="526">
        <f t="shared" ca="1" si="10"/>
        <v>134960.08690595691</v>
      </c>
      <c r="AV14" s="526">
        <f t="shared" ca="1" si="10"/>
        <v>136230.94852871029</v>
      </c>
      <c r="AW14" s="526">
        <f t="shared" ca="1" si="10"/>
        <v>135241.08391927258</v>
      </c>
      <c r="AX14" s="526">
        <f t="shared" ca="1" si="10"/>
        <v>136520.43207352899</v>
      </c>
      <c r="AY14" s="526">
        <f t="shared" ca="1" si="10"/>
        <v>137804.04472163261</v>
      </c>
      <c r="AZ14" s="526">
        <f t="shared" ca="1" si="10"/>
        <v>139091.93607856351</v>
      </c>
      <c r="BA14" s="526">
        <f t="shared" ca="1" si="10"/>
        <v>140384.12040668412</v>
      </c>
      <c r="BB14" s="526">
        <f t="shared" ca="1" si="10"/>
        <v>141680.61201589828</v>
      </c>
      <c r="BC14" s="526">
        <f t="shared" ca="1" si="10"/>
        <v>142981.42526381009</v>
      </c>
      <c r="BD14" s="526">
        <f t="shared" ca="1" si="10"/>
        <v>144286.57455588144</v>
      </c>
      <c r="BE14" s="526">
        <f t="shared" ca="1" si="10"/>
        <v>145596.07434559317</v>
      </c>
      <c r="BF14" s="526">
        <f t="shared" ca="1" si="10"/>
        <v>146909.93913460377</v>
      </c>
      <c r="BG14" s="526">
        <f t="shared" ca="1" si="10"/>
        <v>148228.18347291125</v>
      </c>
      <c r="BH14" s="526">
        <f t="shared" ca="1" si="10"/>
        <v>23165933.310961749</v>
      </c>
      <c r="BI14" s="526">
        <f t="shared" ca="1" si="10"/>
        <v>0</v>
      </c>
      <c r="BJ14" s="526">
        <f t="shared" ca="1" si="10"/>
        <v>0</v>
      </c>
      <c r="BK14" s="526">
        <f t="shared" ca="1" si="10"/>
        <v>0</v>
      </c>
      <c r="BL14" s="526">
        <f t="shared" ca="1" si="10"/>
        <v>0</v>
      </c>
      <c r="BM14" s="526">
        <f t="shared" ca="1" si="10"/>
        <v>0</v>
      </c>
      <c r="BN14" s="526">
        <f t="shared" ca="1" si="10"/>
        <v>0</v>
      </c>
      <c r="BO14" s="526">
        <f t="shared" ca="1" si="10"/>
        <v>0</v>
      </c>
      <c r="BP14" s="526">
        <f t="shared" ca="1" si="10"/>
        <v>0</v>
      </c>
      <c r="BQ14" s="526">
        <f t="shared" ca="1" si="10"/>
        <v>0</v>
      </c>
      <c r="BR14" s="526">
        <f t="shared" ca="1" si="10"/>
        <v>0</v>
      </c>
      <c r="BS14" s="526">
        <f t="shared" ca="1" si="10"/>
        <v>0</v>
      </c>
      <c r="BT14" s="526">
        <f t="shared" ca="1" si="10"/>
        <v>0</v>
      </c>
      <c r="BU14" s="526">
        <f t="shared" ca="1" si="10"/>
        <v>0</v>
      </c>
      <c r="BV14" s="526">
        <f t="shared" ca="1" si="10"/>
        <v>0</v>
      </c>
      <c r="BW14" s="526">
        <f t="shared" ca="1" si="10"/>
        <v>0</v>
      </c>
      <c r="BX14" s="526">
        <f t="shared" ca="1" si="10"/>
        <v>0</v>
      </c>
      <c r="BY14" s="526">
        <f t="shared" ref="BY14:EB14" ca="1" si="11">-BY11+BY12</f>
        <v>0</v>
      </c>
      <c r="BZ14" s="526">
        <f t="shared" ca="1" si="11"/>
        <v>0</v>
      </c>
      <c r="CA14" s="526">
        <f t="shared" ca="1" si="11"/>
        <v>0</v>
      </c>
      <c r="CB14" s="526">
        <f t="shared" ca="1" si="11"/>
        <v>0</v>
      </c>
      <c r="CC14" s="526">
        <f t="shared" ca="1" si="11"/>
        <v>0</v>
      </c>
      <c r="CD14" s="526">
        <f t="shared" ca="1" si="11"/>
        <v>0</v>
      </c>
      <c r="CE14" s="526">
        <f t="shared" ca="1" si="11"/>
        <v>0</v>
      </c>
      <c r="CF14" s="526">
        <f t="shared" ca="1" si="11"/>
        <v>0</v>
      </c>
      <c r="CG14" s="526">
        <f t="shared" ca="1" si="11"/>
        <v>0</v>
      </c>
      <c r="CH14" s="526">
        <f t="shared" ca="1" si="11"/>
        <v>0</v>
      </c>
      <c r="CI14" s="526">
        <f t="shared" ca="1" si="11"/>
        <v>0</v>
      </c>
      <c r="CJ14" s="526">
        <f t="shared" ca="1" si="11"/>
        <v>0</v>
      </c>
      <c r="CK14" s="526">
        <f t="shared" ca="1" si="11"/>
        <v>0</v>
      </c>
      <c r="CL14" s="526">
        <f t="shared" ca="1" si="11"/>
        <v>0</v>
      </c>
      <c r="CM14" s="526">
        <f t="shared" ca="1" si="11"/>
        <v>0</v>
      </c>
      <c r="CN14" s="526">
        <f t="shared" ca="1" si="11"/>
        <v>0</v>
      </c>
      <c r="CO14" s="526">
        <f t="shared" ca="1" si="11"/>
        <v>0</v>
      </c>
      <c r="CP14" s="526">
        <f t="shared" ca="1" si="11"/>
        <v>0</v>
      </c>
      <c r="CQ14" s="526">
        <f t="shared" ca="1" si="11"/>
        <v>0</v>
      </c>
      <c r="CR14" s="526">
        <f t="shared" ca="1" si="11"/>
        <v>0</v>
      </c>
      <c r="CS14" s="526">
        <f t="shared" ca="1" si="11"/>
        <v>0</v>
      </c>
      <c r="CT14" s="526">
        <f t="shared" ca="1" si="11"/>
        <v>0</v>
      </c>
      <c r="CU14" s="526">
        <f t="shared" ca="1" si="11"/>
        <v>0</v>
      </c>
      <c r="CV14" s="526">
        <f t="shared" ca="1" si="11"/>
        <v>0</v>
      </c>
      <c r="CW14" s="526">
        <f t="shared" ca="1" si="11"/>
        <v>0</v>
      </c>
      <c r="CX14" s="526">
        <f t="shared" ca="1" si="11"/>
        <v>0</v>
      </c>
      <c r="CY14" s="526">
        <f t="shared" ca="1" si="11"/>
        <v>0</v>
      </c>
      <c r="CZ14" s="526">
        <f t="shared" ca="1" si="11"/>
        <v>0</v>
      </c>
      <c r="DA14" s="526">
        <f t="shared" ca="1" si="11"/>
        <v>0</v>
      </c>
      <c r="DB14" s="526">
        <f t="shared" ca="1" si="11"/>
        <v>0</v>
      </c>
      <c r="DC14" s="526">
        <f t="shared" ca="1" si="11"/>
        <v>0</v>
      </c>
      <c r="DD14" s="526">
        <f t="shared" ca="1" si="11"/>
        <v>0</v>
      </c>
      <c r="DE14" s="526">
        <f t="shared" ca="1" si="11"/>
        <v>0</v>
      </c>
      <c r="DF14" s="526">
        <f t="shared" ca="1" si="11"/>
        <v>0</v>
      </c>
      <c r="DG14" s="526">
        <f t="shared" ca="1" si="11"/>
        <v>0</v>
      </c>
      <c r="DH14" s="526">
        <f t="shared" ca="1" si="11"/>
        <v>0</v>
      </c>
      <c r="DI14" s="526">
        <f t="shared" ca="1" si="11"/>
        <v>0</v>
      </c>
      <c r="DJ14" s="526">
        <f t="shared" ca="1" si="11"/>
        <v>0</v>
      </c>
      <c r="DK14" s="526">
        <f t="shared" ca="1" si="11"/>
        <v>0</v>
      </c>
      <c r="DL14" s="526">
        <f t="shared" ca="1" si="11"/>
        <v>0</v>
      </c>
      <c r="DM14" s="526">
        <f t="shared" ca="1" si="11"/>
        <v>0</v>
      </c>
      <c r="DN14" s="526">
        <f t="shared" ca="1" si="11"/>
        <v>0</v>
      </c>
      <c r="DO14" s="526">
        <f t="shared" ca="1" si="11"/>
        <v>0</v>
      </c>
      <c r="DP14" s="526">
        <f t="shared" ca="1" si="11"/>
        <v>0</v>
      </c>
      <c r="DQ14" s="526">
        <f t="shared" ca="1" si="11"/>
        <v>0</v>
      </c>
      <c r="DR14" s="526">
        <f t="shared" ca="1" si="11"/>
        <v>0</v>
      </c>
      <c r="DS14" s="526">
        <f t="shared" ca="1" si="11"/>
        <v>0</v>
      </c>
      <c r="DT14" s="526">
        <f t="shared" ca="1" si="11"/>
        <v>0</v>
      </c>
      <c r="DU14" s="526">
        <f t="shared" ca="1" si="11"/>
        <v>0</v>
      </c>
      <c r="DV14" s="526">
        <f t="shared" ca="1" si="11"/>
        <v>0</v>
      </c>
      <c r="DW14" s="526">
        <f t="shared" ca="1" si="11"/>
        <v>0</v>
      </c>
      <c r="DX14" s="526">
        <f t="shared" ca="1" si="11"/>
        <v>0</v>
      </c>
      <c r="DY14" s="526">
        <f t="shared" ca="1" si="11"/>
        <v>0</v>
      </c>
      <c r="DZ14" s="526">
        <f t="shared" ca="1" si="11"/>
        <v>0</v>
      </c>
      <c r="EA14" s="526">
        <f t="shared" ca="1" si="11"/>
        <v>0</v>
      </c>
      <c r="EB14" s="526">
        <f t="shared" ca="1" si="11"/>
        <v>0</v>
      </c>
      <c r="EC14" s="523" t="s">
        <v>557</v>
      </c>
    </row>
    <row r="15" spans="2:133" ht="19">
      <c r="B15" s="106" t="s">
        <v>1151</v>
      </c>
      <c r="C15" s="1009">
        <v>0.9</v>
      </c>
      <c r="D15" s="1010">
        <f>1-E15</f>
        <v>9.9999999999999978E-2</v>
      </c>
      <c r="E15" s="1011">
        <f>$E$7*C15</f>
        <v>0.9</v>
      </c>
      <c r="F15" s="542">
        <v>0.125</v>
      </c>
      <c r="H15" s="545" t="s">
        <v>1152</v>
      </c>
      <c r="I15" s="547" t="s">
        <v>1153</v>
      </c>
      <c r="J15" s="547">
        <f ca="1">XIRR(L14:EB14,$L$2:$EB$2,)</f>
        <v>0.10123302340507506</v>
      </c>
      <c r="EC15" s="523" t="s">
        <v>557</v>
      </c>
    </row>
    <row r="16" spans="2:133" ht="19">
      <c r="B16" s="106" t="s">
        <v>1154</v>
      </c>
      <c r="C16" s="1009">
        <v>0.8</v>
      </c>
      <c r="D16" s="1010">
        <f t="shared" ref="D16:D19" si="12">1-E16</f>
        <v>0.19999999999999996</v>
      </c>
      <c r="E16" s="1011">
        <f t="shared" ref="E16:E20" si="13">$E$7*C16</f>
        <v>0.8</v>
      </c>
      <c r="F16" s="542">
        <v>0.15</v>
      </c>
      <c r="I16" s="547" t="s">
        <v>1155</v>
      </c>
      <c r="J16" s="1012">
        <f ca="1">ABS((SUMIF(L14:EB14,"&gt;0")/SUMIF(L14:EB14,"&lt;0")))</f>
        <v>1.4118533157291251</v>
      </c>
      <c r="EC16" s="523" t="s">
        <v>557</v>
      </c>
    </row>
    <row r="17" spans="2:133" ht="19">
      <c r="B17" s="106" t="s">
        <v>1156</v>
      </c>
      <c r="C17" s="1013">
        <v>0.75</v>
      </c>
      <c r="D17" s="1010">
        <f t="shared" si="12"/>
        <v>0.25</v>
      </c>
      <c r="E17" s="1011">
        <f t="shared" si="13"/>
        <v>0.75</v>
      </c>
      <c r="F17" s="542">
        <v>0.17499999999999999</v>
      </c>
      <c r="H17" s="520" t="s">
        <v>1135</v>
      </c>
      <c r="I17" s="533"/>
      <c r="J17" s="533"/>
      <c r="K17" s="521"/>
      <c r="L17" s="521"/>
      <c r="M17" s="521"/>
      <c r="N17" s="521"/>
      <c r="O17" s="521"/>
      <c r="P17" s="521"/>
      <c r="Q17" s="521"/>
      <c r="R17" s="521"/>
      <c r="S17" s="521"/>
      <c r="T17" s="521"/>
      <c r="U17" s="521"/>
      <c r="V17" s="521"/>
      <c r="W17" s="521"/>
      <c r="X17" s="521"/>
      <c r="Y17" s="521"/>
      <c r="Z17" s="521"/>
      <c r="AA17" s="521"/>
      <c r="AB17" s="521"/>
      <c r="AC17" s="521"/>
      <c r="AD17" s="521"/>
      <c r="AE17" s="521"/>
      <c r="AF17" s="521"/>
      <c r="AG17" s="521"/>
      <c r="AH17" s="521"/>
      <c r="AI17" s="521"/>
      <c r="AJ17" s="521"/>
      <c r="AK17" s="521"/>
      <c r="AL17" s="521"/>
      <c r="AM17" s="521"/>
      <c r="AN17" s="521"/>
      <c r="AO17" s="521"/>
      <c r="AP17" s="521"/>
      <c r="AQ17" s="521"/>
      <c r="AR17" s="521"/>
      <c r="AS17" s="521"/>
      <c r="AT17" s="521"/>
      <c r="AU17" s="521"/>
      <c r="AV17" s="521"/>
      <c r="AW17" s="521"/>
      <c r="AX17" s="521"/>
      <c r="AY17" s="521"/>
      <c r="AZ17" s="521"/>
      <c r="BA17" s="521"/>
      <c r="BB17" s="521"/>
      <c r="BC17" s="521"/>
      <c r="BD17" s="521"/>
      <c r="BE17" s="521"/>
      <c r="BF17" s="521"/>
      <c r="BG17" s="521"/>
      <c r="BH17" s="521"/>
      <c r="BI17" s="521"/>
      <c r="BJ17" s="521"/>
      <c r="BK17" s="521"/>
      <c r="BL17" s="521"/>
      <c r="BM17" s="521"/>
      <c r="BN17" s="521"/>
      <c r="BO17" s="521"/>
      <c r="BP17" s="521"/>
      <c r="BQ17" s="521"/>
      <c r="BR17" s="521"/>
      <c r="BS17" s="521"/>
      <c r="BT17" s="521"/>
      <c r="BU17" s="521"/>
      <c r="BV17" s="521"/>
      <c r="BW17" s="521"/>
      <c r="BX17" s="521"/>
      <c r="BY17" s="521"/>
      <c r="BZ17" s="521"/>
      <c r="CA17" s="521"/>
      <c r="CB17" s="521"/>
      <c r="CC17" s="521"/>
      <c r="CD17" s="521"/>
      <c r="CE17" s="521"/>
      <c r="CF17" s="521"/>
      <c r="CG17" s="521"/>
      <c r="CH17" s="521"/>
      <c r="CI17" s="521"/>
      <c r="CJ17" s="521"/>
      <c r="CK17" s="521"/>
      <c r="CL17" s="521"/>
      <c r="CM17" s="521"/>
      <c r="CN17" s="521"/>
      <c r="CO17" s="521"/>
      <c r="CP17" s="521"/>
      <c r="CQ17" s="521"/>
      <c r="CR17" s="521"/>
      <c r="CS17" s="521"/>
      <c r="CT17" s="521"/>
      <c r="CU17" s="521"/>
      <c r="CV17" s="521"/>
      <c r="CW17" s="521"/>
      <c r="CX17" s="521"/>
      <c r="CY17" s="521"/>
      <c r="CZ17" s="521"/>
      <c r="DA17" s="521"/>
      <c r="DB17" s="521"/>
      <c r="DC17" s="521"/>
      <c r="DD17" s="521"/>
      <c r="DE17" s="521"/>
      <c r="DF17" s="521"/>
      <c r="DG17" s="521"/>
      <c r="DH17" s="521"/>
      <c r="DI17" s="521"/>
      <c r="DJ17" s="521"/>
      <c r="DK17" s="521"/>
      <c r="DL17" s="521"/>
      <c r="DM17" s="521"/>
      <c r="DN17" s="521"/>
      <c r="DO17" s="521"/>
      <c r="DP17" s="521"/>
      <c r="DQ17" s="521"/>
      <c r="DR17" s="521"/>
      <c r="DS17" s="521"/>
      <c r="DT17" s="521"/>
      <c r="DU17" s="521"/>
      <c r="DV17" s="521"/>
      <c r="DW17" s="521"/>
      <c r="DX17" s="521"/>
      <c r="DY17" s="521"/>
      <c r="DZ17" s="521"/>
      <c r="EA17" s="521"/>
      <c r="EB17" s="521"/>
      <c r="EC17" s="523" t="s">
        <v>557</v>
      </c>
    </row>
    <row r="18" spans="2:133" ht="19">
      <c r="B18" s="106" t="s">
        <v>1157</v>
      </c>
      <c r="C18" s="1013">
        <v>0.7</v>
      </c>
      <c r="D18" s="1010">
        <f t="shared" si="12"/>
        <v>0.30000000000000004</v>
      </c>
      <c r="E18" s="1011">
        <f t="shared" si="13"/>
        <v>0.7</v>
      </c>
      <c r="F18" s="542">
        <v>0.2</v>
      </c>
      <c r="H18" s="518" t="s">
        <v>1158</v>
      </c>
      <c r="I18" s="539">
        <f>D7</f>
        <v>0</v>
      </c>
      <c r="J18" s="540"/>
      <c r="L18" s="526">
        <f ca="1">-MIN(L5,0)*$I18</f>
        <v>0</v>
      </c>
      <c r="M18" s="526">
        <f t="shared" ref="M18:BX18" si="14">-MIN(M5,0)*$I18</f>
        <v>0</v>
      </c>
      <c r="N18" s="526">
        <f t="shared" si="14"/>
        <v>0</v>
      </c>
      <c r="O18" s="526">
        <f t="shared" si="14"/>
        <v>0</v>
      </c>
      <c r="P18" s="526">
        <f t="shared" si="14"/>
        <v>0</v>
      </c>
      <c r="Q18" s="526">
        <f t="shared" si="14"/>
        <v>0</v>
      </c>
      <c r="R18" s="526">
        <f t="shared" si="14"/>
        <v>0</v>
      </c>
      <c r="S18" s="526">
        <f t="shared" si="14"/>
        <v>0</v>
      </c>
      <c r="T18" s="526">
        <f t="shared" si="14"/>
        <v>0</v>
      </c>
      <c r="U18" s="526">
        <f t="shared" si="14"/>
        <v>0</v>
      </c>
      <c r="V18" s="526">
        <f t="shared" si="14"/>
        <v>0</v>
      </c>
      <c r="W18" s="526">
        <f t="shared" si="14"/>
        <v>0</v>
      </c>
      <c r="X18" s="526">
        <f t="shared" si="14"/>
        <v>0</v>
      </c>
      <c r="Y18" s="526">
        <f t="shared" si="14"/>
        <v>0</v>
      </c>
      <c r="Z18" s="526">
        <f t="shared" si="14"/>
        <v>0</v>
      </c>
      <c r="AA18" s="526">
        <f t="shared" si="14"/>
        <v>0</v>
      </c>
      <c r="AB18" s="526">
        <f t="shared" si="14"/>
        <v>0</v>
      </c>
      <c r="AC18" s="526">
        <f t="shared" si="14"/>
        <v>0</v>
      </c>
      <c r="AD18" s="526">
        <f t="shared" si="14"/>
        <v>0</v>
      </c>
      <c r="AE18" s="526">
        <f t="shared" si="14"/>
        <v>0</v>
      </c>
      <c r="AF18" s="526">
        <f t="shared" si="14"/>
        <v>0</v>
      </c>
      <c r="AG18" s="526">
        <f t="shared" si="14"/>
        <v>0</v>
      </c>
      <c r="AH18" s="526">
        <f t="shared" si="14"/>
        <v>0</v>
      </c>
      <c r="AI18" s="526">
        <f t="shared" si="14"/>
        <v>0</v>
      </c>
      <c r="AJ18" s="526">
        <f t="shared" si="14"/>
        <v>0</v>
      </c>
      <c r="AK18" s="526">
        <f t="shared" si="14"/>
        <v>0</v>
      </c>
      <c r="AL18" s="526">
        <f t="shared" si="14"/>
        <v>0</v>
      </c>
      <c r="AM18" s="526">
        <f t="shared" si="14"/>
        <v>0</v>
      </c>
      <c r="AN18" s="526">
        <f t="shared" si="14"/>
        <v>0</v>
      </c>
      <c r="AO18" s="526">
        <f t="shared" si="14"/>
        <v>0</v>
      </c>
      <c r="AP18" s="526">
        <f t="shared" si="14"/>
        <v>0</v>
      </c>
      <c r="AQ18" s="526">
        <f t="shared" si="14"/>
        <v>0</v>
      </c>
      <c r="AR18" s="526">
        <f t="shared" si="14"/>
        <v>0</v>
      </c>
      <c r="AS18" s="526">
        <f t="shared" si="14"/>
        <v>0</v>
      </c>
      <c r="AT18" s="526">
        <f t="shared" si="14"/>
        <v>0</v>
      </c>
      <c r="AU18" s="526">
        <f t="shared" si="14"/>
        <v>0</v>
      </c>
      <c r="AV18" s="526">
        <f t="shared" si="14"/>
        <v>0</v>
      </c>
      <c r="AW18" s="526">
        <f t="shared" si="14"/>
        <v>0</v>
      </c>
      <c r="AX18" s="526">
        <f t="shared" si="14"/>
        <v>0</v>
      </c>
      <c r="AY18" s="526">
        <f t="shared" si="14"/>
        <v>0</v>
      </c>
      <c r="AZ18" s="526">
        <f t="shared" si="14"/>
        <v>0</v>
      </c>
      <c r="BA18" s="526">
        <f t="shared" si="14"/>
        <v>0</v>
      </c>
      <c r="BB18" s="526">
        <f t="shared" si="14"/>
        <v>0</v>
      </c>
      <c r="BC18" s="526">
        <f t="shared" si="14"/>
        <v>0</v>
      </c>
      <c r="BD18" s="526">
        <f t="shared" si="14"/>
        <v>0</v>
      </c>
      <c r="BE18" s="526">
        <f t="shared" si="14"/>
        <v>0</v>
      </c>
      <c r="BF18" s="526">
        <f t="shared" si="14"/>
        <v>0</v>
      </c>
      <c r="BG18" s="526">
        <f t="shared" si="14"/>
        <v>0</v>
      </c>
      <c r="BH18" s="526">
        <f t="shared" si="14"/>
        <v>0</v>
      </c>
      <c r="BI18" s="526">
        <f t="shared" si="14"/>
        <v>0</v>
      </c>
      <c r="BJ18" s="526">
        <f t="shared" si="14"/>
        <v>0</v>
      </c>
      <c r="BK18" s="526">
        <f t="shared" si="14"/>
        <v>0</v>
      </c>
      <c r="BL18" s="526">
        <f t="shared" si="14"/>
        <v>0</v>
      </c>
      <c r="BM18" s="526">
        <f t="shared" si="14"/>
        <v>0</v>
      </c>
      <c r="BN18" s="526">
        <f t="shared" si="14"/>
        <v>0</v>
      </c>
      <c r="BO18" s="526">
        <f t="shared" si="14"/>
        <v>0</v>
      </c>
      <c r="BP18" s="526">
        <f t="shared" si="14"/>
        <v>0</v>
      </c>
      <c r="BQ18" s="526">
        <f t="shared" si="14"/>
        <v>0</v>
      </c>
      <c r="BR18" s="526">
        <f t="shared" si="14"/>
        <v>0</v>
      </c>
      <c r="BS18" s="526">
        <f t="shared" si="14"/>
        <v>0</v>
      </c>
      <c r="BT18" s="526">
        <f t="shared" si="14"/>
        <v>0</v>
      </c>
      <c r="BU18" s="526">
        <f t="shared" si="14"/>
        <v>0</v>
      </c>
      <c r="BV18" s="526">
        <f t="shared" si="14"/>
        <v>0</v>
      </c>
      <c r="BW18" s="526">
        <f t="shared" si="14"/>
        <v>0</v>
      </c>
      <c r="BX18" s="526">
        <f t="shared" si="14"/>
        <v>0</v>
      </c>
      <c r="BY18" s="526">
        <f t="shared" ref="BY18:EB18" si="15">-MIN(BY5,0)*$I18</f>
        <v>0</v>
      </c>
      <c r="BZ18" s="526">
        <f t="shared" si="15"/>
        <v>0</v>
      </c>
      <c r="CA18" s="526">
        <f t="shared" si="15"/>
        <v>0</v>
      </c>
      <c r="CB18" s="526">
        <f t="shared" si="15"/>
        <v>0</v>
      </c>
      <c r="CC18" s="526">
        <f t="shared" si="15"/>
        <v>0</v>
      </c>
      <c r="CD18" s="526">
        <f t="shared" si="15"/>
        <v>0</v>
      </c>
      <c r="CE18" s="526">
        <f t="shared" si="15"/>
        <v>0</v>
      </c>
      <c r="CF18" s="526">
        <f t="shared" si="15"/>
        <v>0</v>
      </c>
      <c r="CG18" s="526">
        <f t="shared" si="15"/>
        <v>0</v>
      </c>
      <c r="CH18" s="526">
        <f t="shared" si="15"/>
        <v>0</v>
      </c>
      <c r="CI18" s="526">
        <f t="shared" si="15"/>
        <v>0</v>
      </c>
      <c r="CJ18" s="526">
        <f t="shared" si="15"/>
        <v>0</v>
      </c>
      <c r="CK18" s="526">
        <f t="shared" si="15"/>
        <v>0</v>
      </c>
      <c r="CL18" s="526">
        <f t="shared" si="15"/>
        <v>0</v>
      </c>
      <c r="CM18" s="526">
        <f t="shared" si="15"/>
        <v>0</v>
      </c>
      <c r="CN18" s="526">
        <f t="shared" si="15"/>
        <v>0</v>
      </c>
      <c r="CO18" s="526">
        <f t="shared" si="15"/>
        <v>0</v>
      </c>
      <c r="CP18" s="526">
        <f t="shared" si="15"/>
        <v>0</v>
      </c>
      <c r="CQ18" s="526">
        <f t="shared" si="15"/>
        <v>0</v>
      </c>
      <c r="CR18" s="526">
        <f t="shared" si="15"/>
        <v>0</v>
      </c>
      <c r="CS18" s="526">
        <f t="shared" si="15"/>
        <v>0</v>
      </c>
      <c r="CT18" s="526">
        <f t="shared" si="15"/>
        <v>0</v>
      </c>
      <c r="CU18" s="526">
        <f t="shared" si="15"/>
        <v>0</v>
      </c>
      <c r="CV18" s="526">
        <f t="shared" si="15"/>
        <v>0</v>
      </c>
      <c r="CW18" s="526">
        <f t="shared" si="15"/>
        <v>0</v>
      </c>
      <c r="CX18" s="526">
        <f t="shared" si="15"/>
        <v>0</v>
      </c>
      <c r="CY18" s="526">
        <f t="shared" si="15"/>
        <v>0</v>
      </c>
      <c r="CZ18" s="526">
        <f t="shared" si="15"/>
        <v>0</v>
      </c>
      <c r="DA18" s="526">
        <f t="shared" si="15"/>
        <v>0</v>
      </c>
      <c r="DB18" s="526">
        <f t="shared" si="15"/>
        <v>0</v>
      </c>
      <c r="DC18" s="526">
        <f t="shared" si="15"/>
        <v>0</v>
      </c>
      <c r="DD18" s="526">
        <f t="shared" si="15"/>
        <v>0</v>
      </c>
      <c r="DE18" s="526">
        <f t="shared" si="15"/>
        <v>0</v>
      </c>
      <c r="DF18" s="526">
        <f t="shared" si="15"/>
        <v>0</v>
      </c>
      <c r="DG18" s="526">
        <f t="shared" si="15"/>
        <v>0</v>
      </c>
      <c r="DH18" s="526">
        <f t="shared" si="15"/>
        <v>0</v>
      </c>
      <c r="DI18" s="526">
        <f t="shared" si="15"/>
        <v>0</v>
      </c>
      <c r="DJ18" s="526">
        <f t="shared" si="15"/>
        <v>0</v>
      </c>
      <c r="DK18" s="526">
        <f t="shared" si="15"/>
        <v>0</v>
      </c>
      <c r="DL18" s="526">
        <f t="shared" si="15"/>
        <v>0</v>
      </c>
      <c r="DM18" s="526">
        <f t="shared" si="15"/>
        <v>0</v>
      </c>
      <c r="DN18" s="526">
        <f t="shared" si="15"/>
        <v>0</v>
      </c>
      <c r="DO18" s="526">
        <f t="shared" si="15"/>
        <v>0</v>
      </c>
      <c r="DP18" s="526">
        <f t="shared" si="15"/>
        <v>0</v>
      </c>
      <c r="DQ18" s="526">
        <f t="shared" si="15"/>
        <v>0</v>
      </c>
      <c r="DR18" s="526">
        <f t="shared" si="15"/>
        <v>0</v>
      </c>
      <c r="DS18" s="526">
        <f t="shared" si="15"/>
        <v>0</v>
      </c>
      <c r="DT18" s="526">
        <f t="shared" si="15"/>
        <v>0</v>
      </c>
      <c r="DU18" s="526">
        <f t="shared" si="15"/>
        <v>0</v>
      </c>
      <c r="DV18" s="526">
        <f t="shared" si="15"/>
        <v>0</v>
      </c>
      <c r="DW18" s="526">
        <f t="shared" si="15"/>
        <v>0</v>
      </c>
      <c r="DX18" s="526">
        <f t="shared" si="15"/>
        <v>0</v>
      </c>
      <c r="DY18" s="526">
        <f t="shared" si="15"/>
        <v>0</v>
      </c>
      <c r="DZ18" s="526">
        <f t="shared" si="15"/>
        <v>0</v>
      </c>
      <c r="EA18" s="526">
        <f t="shared" si="15"/>
        <v>0</v>
      </c>
      <c r="EB18" s="526">
        <f t="shared" si="15"/>
        <v>0</v>
      </c>
      <c r="EC18" s="523" t="s">
        <v>557</v>
      </c>
    </row>
    <row r="19" spans="2:133" ht="19">
      <c r="B19" s="106" t="s">
        <v>1159</v>
      </c>
      <c r="C19" s="1013">
        <v>0.65</v>
      </c>
      <c r="D19" s="1010">
        <f t="shared" si="12"/>
        <v>0.35</v>
      </c>
      <c r="E19" s="1011">
        <f t="shared" si="13"/>
        <v>0.65</v>
      </c>
      <c r="F19" s="542">
        <v>0.22</v>
      </c>
      <c r="H19" s="518" t="s">
        <v>1160</v>
      </c>
      <c r="I19" s="539">
        <f>D7</f>
        <v>0</v>
      </c>
      <c r="J19" s="540"/>
      <c r="L19" s="526">
        <f ca="1">L12/$I12*$I19</f>
        <v>0</v>
      </c>
      <c r="M19" s="526">
        <f t="shared" ref="M19:BX19" ca="1" si="16">M12/$I12*$I19</f>
        <v>0</v>
      </c>
      <c r="N19" s="526">
        <f t="shared" ca="1" si="16"/>
        <v>0</v>
      </c>
      <c r="O19" s="526">
        <f t="shared" ca="1" si="16"/>
        <v>0</v>
      </c>
      <c r="P19" s="526">
        <f t="shared" ca="1" si="16"/>
        <v>0</v>
      </c>
      <c r="Q19" s="526">
        <f t="shared" ca="1" si="16"/>
        <v>0</v>
      </c>
      <c r="R19" s="526">
        <f t="shared" ca="1" si="16"/>
        <v>0</v>
      </c>
      <c r="S19" s="526">
        <f t="shared" ca="1" si="16"/>
        <v>0</v>
      </c>
      <c r="T19" s="526">
        <f t="shared" ca="1" si="16"/>
        <v>0</v>
      </c>
      <c r="U19" s="526">
        <f t="shared" ca="1" si="16"/>
        <v>0</v>
      </c>
      <c r="V19" s="526">
        <f t="shared" ca="1" si="16"/>
        <v>0</v>
      </c>
      <c r="W19" s="526">
        <f t="shared" ca="1" si="16"/>
        <v>0</v>
      </c>
      <c r="X19" s="526">
        <f t="shared" ca="1" si="16"/>
        <v>0</v>
      </c>
      <c r="Y19" s="526">
        <f t="shared" ca="1" si="16"/>
        <v>0</v>
      </c>
      <c r="Z19" s="526">
        <f t="shared" ca="1" si="16"/>
        <v>0</v>
      </c>
      <c r="AA19" s="526">
        <f t="shared" ca="1" si="16"/>
        <v>0</v>
      </c>
      <c r="AB19" s="526">
        <f t="shared" ca="1" si="16"/>
        <v>0</v>
      </c>
      <c r="AC19" s="526">
        <f t="shared" ca="1" si="16"/>
        <v>0</v>
      </c>
      <c r="AD19" s="526">
        <f t="shared" ca="1" si="16"/>
        <v>0</v>
      </c>
      <c r="AE19" s="526">
        <f t="shared" ca="1" si="16"/>
        <v>0</v>
      </c>
      <c r="AF19" s="526">
        <f t="shared" ca="1" si="16"/>
        <v>0</v>
      </c>
      <c r="AG19" s="526">
        <f t="shared" ca="1" si="16"/>
        <v>0</v>
      </c>
      <c r="AH19" s="526">
        <f t="shared" ca="1" si="16"/>
        <v>0</v>
      </c>
      <c r="AI19" s="526">
        <f t="shared" ca="1" si="16"/>
        <v>0</v>
      </c>
      <c r="AJ19" s="526">
        <f t="shared" ca="1" si="16"/>
        <v>0</v>
      </c>
      <c r="AK19" s="526">
        <f t="shared" ca="1" si="16"/>
        <v>0</v>
      </c>
      <c r="AL19" s="526">
        <f t="shared" ca="1" si="16"/>
        <v>0</v>
      </c>
      <c r="AM19" s="526">
        <f t="shared" ca="1" si="16"/>
        <v>0</v>
      </c>
      <c r="AN19" s="526">
        <f t="shared" ca="1" si="16"/>
        <v>0</v>
      </c>
      <c r="AO19" s="526">
        <f t="shared" ca="1" si="16"/>
        <v>0</v>
      </c>
      <c r="AP19" s="526">
        <f t="shared" ca="1" si="16"/>
        <v>0</v>
      </c>
      <c r="AQ19" s="526">
        <f t="shared" ca="1" si="16"/>
        <v>0</v>
      </c>
      <c r="AR19" s="526">
        <f t="shared" ca="1" si="16"/>
        <v>0</v>
      </c>
      <c r="AS19" s="526">
        <f t="shared" ca="1" si="16"/>
        <v>0</v>
      </c>
      <c r="AT19" s="526">
        <f t="shared" ca="1" si="16"/>
        <v>0</v>
      </c>
      <c r="AU19" s="526">
        <f t="shared" ca="1" si="16"/>
        <v>0</v>
      </c>
      <c r="AV19" s="526">
        <f t="shared" ca="1" si="16"/>
        <v>0</v>
      </c>
      <c r="AW19" s="526">
        <f t="shared" ca="1" si="16"/>
        <v>0</v>
      </c>
      <c r="AX19" s="526">
        <f t="shared" ca="1" si="16"/>
        <v>0</v>
      </c>
      <c r="AY19" s="526">
        <f t="shared" ca="1" si="16"/>
        <v>0</v>
      </c>
      <c r="AZ19" s="526">
        <f t="shared" ca="1" si="16"/>
        <v>0</v>
      </c>
      <c r="BA19" s="526">
        <f t="shared" ca="1" si="16"/>
        <v>0</v>
      </c>
      <c r="BB19" s="526">
        <f t="shared" ca="1" si="16"/>
        <v>0</v>
      </c>
      <c r="BC19" s="526">
        <f t="shared" ca="1" si="16"/>
        <v>0</v>
      </c>
      <c r="BD19" s="526">
        <f t="shared" ca="1" si="16"/>
        <v>0</v>
      </c>
      <c r="BE19" s="526">
        <f t="shared" ca="1" si="16"/>
        <v>0</v>
      </c>
      <c r="BF19" s="526">
        <f t="shared" ca="1" si="16"/>
        <v>0</v>
      </c>
      <c r="BG19" s="526">
        <f t="shared" ca="1" si="16"/>
        <v>0</v>
      </c>
      <c r="BH19" s="526">
        <f t="shared" ca="1" si="16"/>
        <v>0</v>
      </c>
      <c r="BI19" s="526">
        <f t="shared" ca="1" si="16"/>
        <v>0</v>
      </c>
      <c r="BJ19" s="526">
        <f t="shared" ca="1" si="16"/>
        <v>0</v>
      </c>
      <c r="BK19" s="526">
        <f t="shared" ca="1" si="16"/>
        <v>0</v>
      </c>
      <c r="BL19" s="526">
        <f t="shared" ca="1" si="16"/>
        <v>0</v>
      </c>
      <c r="BM19" s="526">
        <f t="shared" ca="1" si="16"/>
        <v>0</v>
      </c>
      <c r="BN19" s="526">
        <f t="shared" ca="1" si="16"/>
        <v>0</v>
      </c>
      <c r="BO19" s="526">
        <f t="shared" ca="1" si="16"/>
        <v>0</v>
      </c>
      <c r="BP19" s="526">
        <f t="shared" ca="1" si="16"/>
        <v>0</v>
      </c>
      <c r="BQ19" s="526">
        <f t="shared" ca="1" si="16"/>
        <v>0</v>
      </c>
      <c r="BR19" s="526">
        <f t="shared" ca="1" si="16"/>
        <v>0</v>
      </c>
      <c r="BS19" s="526">
        <f t="shared" ca="1" si="16"/>
        <v>0</v>
      </c>
      <c r="BT19" s="526">
        <f t="shared" ca="1" si="16"/>
        <v>0</v>
      </c>
      <c r="BU19" s="526">
        <f t="shared" ca="1" si="16"/>
        <v>0</v>
      </c>
      <c r="BV19" s="526">
        <f t="shared" ca="1" si="16"/>
        <v>0</v>
      </c>
      <c r="BW19" s="526">
        <f t="shared" ca="1" si="16"/>
        <v>0</v>
      </c>
      <c r="BX19" s="526">
        <f t="shared" ca="1" si="16"/>
        <v>0</v>
      </c>
      <c r="BY19" s="526">
        <f t="shared" ref="BY19:EB19" ca="1" si="17">BY12/$I12*$I19</f>
        <v>0</v>
      </c>
      <c r="BZ19" s="526">
        <f t="shared" ca="1" si="17"/>
        <v>0</v>
      </c>
      <c r="CA19" s="526">
        <f t="shared" ca="1" si="17"/>
        <v>0</v>
      </c>
      <c r="CB19" s="526">
        <f t="shared" ca="1" si="17"/>
        <v>0</v>
      </c>
      <c r="CC19" s="526">
        <f t="shared" ca="1" si="17"/>
        <v>0</v>
      </c>
      <c r="CD19" s="526">
        <f t="shared" ca="1" si="17"/>
        <v>0</v>
      </c>
      <c r="CE19" s="526">
        <f t="shared" ca="1" si="17"/>
        <v>0</v>
      </c>
      <c r="CF19" s="526">
        <f t="shared" ca="1" si="17"/>
        <v>0</v>
      </c>
      <c r="CG19" s="526">
        <f t="shared" ca="1" si="17"/>
        <v>0</v>
      </c>
      <c r="CH19" s="526">
        <f t="shared" ca="1" si="17"/>
        <v>0</v>
      </c>
      <c r="CI19" s="526">
        <f t="shared" ca="1" si="17"/>
        <v>0</v>
      </c>
      <c r="CJ19" s="526">
        <f t="shared" ca="1" si="17"/>
        <v>0</v>
      </c>
      <c r="CK19" s="526">
        <f t="shared" ca="1" si="17"/>
        <v>0</v>
      </c>
      <c r="CL19" s="526">
        <f t="shared" ca="1" si="17"/>
        <v>0</v>
      </c>
      <c r="CM19" s="526">
        <f t="shared" ca="1" si="17"/>
        <v>0</v>
      </c>
      <c r="CN19" s="526">
        <f t="shared" ca="1" si="17"/>
        <v>0</v>
      </c>
      <c r="CO19" s="526">
        <f t="shared" ca="1" si="17"/>
        <v>0</v>
      </c>
      <c r="CP19" s="526">
        <f t="shared" ca="1" si="17"/>
        <v>0</v>
      </c>
      <c r="CQ19" s="526">
        <f t="shared" ca="1" si="17"/>
        <v>0</v>
      </c>
      <c r="CR19" s="526">
        <f t="shared" ca="1" si="17"/>
        <v>0</v>
      </c>
      <c r="CS19" s="526">
        <f t="shared" ca="1" si="17"/>
        <v>0</v>
      </c>
      <c r="CT19" s="526">
        <f t="shared" ca="1" si="17"/>
        <v>0</v>
      </c>
      <c r="CU19" s="526">
        <f t="shared" ca="1" si="17"/>
        <v>0</v>
      </c>
      <c r="CV19" s="526">
        <f t="shared" ca="1" si="17"/>
        <v>0</v>
      </c>
      <c r="CW19" s="526">
        <f t="shared" ca="1" si="17"/>
        <v>0</v>
      </c>
      <c r="CX19" s="526">
        <f t="shared" ca="1" si="17"/>
        <v>0</v>
      </c>
      <c r="CY19" s="526">
        <f t="shared" ca="1" si="17"/>
        <v>0</v>
      </c>
      <c r="CZ19" s="526">
        <f t="shared" ca="1" si="17"/>
        <v>0</v>
      </c>
      <c r="DA19" s="526">
        <f t="shared" ca="1" si="17"/>
        <v>0</v>
      </c>
      <c r="DB19" s="526">
        <f t="shared" ca="1" si="17"/>
        <v>0</v>
      </c>
      <c r="DC19" s="526">
        <f t="shared" ca="1" si="17"/>
        <v>0</v>
      </c>
      <c r="DD19" s="526">
        <f t="shared" ca="1" si="17"/>
        <v>0</v>
      </c>
      <c r="DE19" s="526">
        <f t="shared" ca="1" si="17"/>
        <v>0</v>
      </c>
      <c r="DF19" s="526">
        <f t="shared" ca="1" si="17"/>
        <v>0</v>
      </c>
      <c r="DG19" s="526">
        <f t="shared" ca="1" si="17"/>
        <v>0</v>
      </c>
      <c r="DH19" s="526">
        <f t="shared" ca="1" si="17"/>
        <v>0</v>
      </c>
      <c r="DI19" s="526">
        <f t="shared" ca="1" si="17"/>
        <v>0</v>
      </c>
      <c r="DJ19" s="526">
        <f t="shared" ca="1" si="17"/>
        <v>0</v>
      </c>
      <c r="DK19" s="526">
        <f t="shared" ca="1" si="17"/>
        <v>0</v>
      </c>
      <c r="DL19" s="526">
        <f t="shared" ca="1" si="17"/>
        <v>0</v>
      </c>
      <c r="DM19" s="526">
        <f t="shared" ca="1" si="17"/>
        <v>0</v>
      </c>
      <c r="DN19" s="526">
        <f t="shared" ca="1" si="17"/>
        <v>0</v>
      </c>
      <c r="DO19" s="526">
        <f t="shared" ca="1" si="17"/>
        <v>0</v>
      </c>
      <c r="DP19" s="526">
        <f t="shared" ca="1" si="17"/>
        <v>0</v>
      </c>
      <c r="DQ19" s="526">
        <f t="shared" ca="1" si="17"/>
        <v>0</v>
      </c>
      <c r="DR19" s="526">
        <f t="shared" ca="1" si="17"/>
        <v>0</v>
      </c>
      <c r="DS19" s="526">
        <f t="shared" ca="1" si="17"/>
        <v>0</v>
      </c>
      <c r="DT19" s="526">
        <f t="shared" ca="1" si="17"/>
        <v>0</v>
      </c>
      <c r="DU19" s="526">
        <f t="shared" ca="1" si="17"/>
        <v>0</v>
      </c>
      <c r="DV19" s="526">
        <f t="shared" ca="1" si="17"/>
        <v>0</v>
      </c>
      <c r="DW19" s="526">
        <f t="shared" ca="1" si="17"/>
        <v>0</v>
      </c>
      <c r="DX19" s="526">
        <f t="shared" ca="1" si="17"/>
        <v>0</v>
      </c>
      <c r="DY19" s="526">
        <f t="shared" ca="1" si="17"/>
        <v>0</v>
      </c>
      <c r="DZ19" s="526">
        <f t="shared" ca="1" si="17"/>
        <v>0</v>
      </c>
      <c r="EA19" s="526">
        <f t="shared" ca="1" si="17"/>
        <v>0</v>
      </c>
      <c r="EB19" s="526">
        <f t="shared" ca="1" si="17"/>
        <v>0</v>
      </c>
      <c r="EC19" s="523" t="s">
        <v>557</v>
      </c>
    </row>
    <row r="20" spans="2:133" ht="19.5" thickBot="1">
      <c r="B20" s="141" t="s">
        <v>1161</v>
      </c>
      <c r="C20" s="1014">
        <v>0.6</v>
      </c>
      <c r="D20" s="1015">
        <f>1-E20</f>
        <v>0.4</v>
      </c>
      <c r="E20" s="1016">
        <f t="shared" si="13"/>
        <v>0.6</v>
      </c>
      <c r="F20" s="551"/>
      <c r="H20" s="518" t="s">
        <v>1150</v>
      </c>
      <c r="J20" s="543" t="s">
        <v>1105</v>
      </c>
      <c r="L20" s="526">
        <f ca="1">-L18+L19</f>
        <v>0</v>
      </c>
      <c r="M20" s="526">
        <f t="shared" ref="M20:BX20" ca="1" si="18">-M18+M19</f>
        <v>0</v>
      </c>
      <c r="N20" s="526">
        <f t="shared" ca="1" si="18"/>
        <v>0</v>
      </c>
      <c r="O20" s="526">
        <f t="shared" ca="1" si="18"/>
        <v>0</v>
      </c>
      <c r="P20" s="526">
        <f t="shared" ca="1" si="18"/>
        <v>0</v>
      </c>
      <c r="Q20" s="526">
        <f t="shared" ca="1" si="18"/>
        <v>0</v>
      </c>
      <c r="R20" s="526">
        <f t="shared" ca="1" si="18"/>
        <v>0</v>
      </c>
      <c r="S20" s="526">
        <f t="shared" ca="1" si="18"/>
        <v>0</v>
      </c>
      <c r="T20" s="526">
        <f t="shared" ca="1" si="18"/>
        <v>0</v>
      </c>
      <c r="U20" s="526">
        <f t="shared" ca="1" si="18"/>
        <v>0</v>
      </c>
      <c r="V20" s="526">
        <f t="shared" ca="1" si="18"/>
        <v>0</v>
      </c>
      <c r="W20" s="526">
        <f t="shared" ca="1" si="18"/>
        <v>0</v>
      </c>
      <c r="X20" s="526">
        <f t="shared" ca="1" si="18"/>
        <v>0</v>
      </c>
      <c r="Y20" s="526">
        <f t="shared" ca="1" si="18"/>
        <v>0</v>
      </c>
      <c r="Z20" s="526">
        <f t="shared" ca="1" si="18"/>
        <v>0</v>
      </c>
      <c r="AA20" s="526">
        <f t="shared" ca="1" si="18"/>
        <v>0</v>
      </c>
      <c r="AB20" s="526">
        <f t="shared" ca="1" si="18"/>
        <v>0</v>
      </c>
      <c r="AC20" s="526">
        <f t="shared" ca="1" si="18"/>
        <v>0</v>
      </c>
      <c r="AD20" s="526">
        <f t="shared" ca="1" si="18"/>
        <v>0</v>
      </c>
      <c r="AE20" s="526">
        <f t="shared" ca="1" si="18"/>
        <v>0</v>
      </c>
      <c r="AF20" s="526">
        <f t="shared" ca="1" si="18"/>
        <v>0</v>
      </c>
      <c r="AG20" s="526">
        <f t="shared" ca="1" si="18"/>
        <v>0</v>
      </c>
      <c r="AH20" s="526">
        <f t="shared" ca="1" si="18"/>
        <v>0</v>
      </c>
      <c r="AI20" s="526">
        <f t="shared" ca="1" si="18"/>
        <v>0</v>
      </c>
      <c r="AJ20" s="526">
        <f t="shared" ca="1" si="18"/>
        <v>0</v>
      </c>
      <c r="AK20" s="526">
        <f t="shared" ca="1" si="18"/>
        <v>0</v>
      </c>
      <c r="AL20" s="526">
        <f t="shared" ca="1" si="18"/>
        <v>0</v>
      </c>
      <c r="AM20" s="526">
        <f t="shared" ca="1" si="18"/>
        <v>0</v>
      </c>
      <c r="AN20" s="526">
        <f t="shared" ca="1" si="18"/>
        <v>0</v>
      </c>
      <c r="AO20" s="526">
        <f t="shared" ca="1" si="18"/>
        <v>0</v>
      </c>
      <c r="AP20" s="526">
        <f t="shared" ca="1" si="18"/>
        <v>0</v>
      </c>
      <c r="AQ20" s="526">
        <f t="shared" ca="1" si="18"/>
        <v>0</v>
      </c>
      <c r="AR20" s="526">
        <f t="shared" ca="1" si="18"/>
        <v>0</v>
      </c>
      <c r="AS20" s="526">
        <f t="shared" ca="1" si="18"/>
        <v>0</v>
      </c>
      <c r="AT20" s="526">
        <f t="shared" ca="1" si="18"/>
        <v>0</v>
      </c>
      <c r="AU20" s="526">
        <f t="shared" ca="1" si="18"/>
        <v>0</v>
      </c>
      <c r="AV20" s="526">
        <f t="shared" ca="1" si="18"/>
        <v>0</v>
      </c>
      <c r="AW20" s="526">
        <f t="shared" ca="1" si="18"/>
        <v>0</v>
      </c>
      <c r="AX20" s="526">
        <f t="shared" ca="1" si="18"/>
        <v>0</v>
      </c>
      <c r="AY20" s="526">
        <f t="shared" ca="1" si="18"/>
        <v>0</v>
      </c>
      <c r="AZ20" s="526">
        <f t="shared" ca="1" si="18"/>
        <v>0</v>
      </c>
      <c r="BA20" s="526">
        <f t="shared" ca="1" si="18"/>
        <v>0</v>
      </c>
      <c r="BB20" s="526">
        <f t="shared" ca="1" si="18"/>
        <v>0</v>
      </c>
      <c r="BC20" s="526">
        <f t="shared" ca="1" si="18"/>
        <v>0</v>
      </c>
      <c r="BD20" s="526">
        <f t="shared" ca="1" si="18"/>
        <v>0</v>
      </c>
      <c r="BE20" s="526">
        <f t="shared" ca="1" si="18"/>
        <v>0</v>
      </c>
      <c r="BF20" s="526">
        <f t="shared" ca="1" si="18"/>
        <v>0</v>
      </c>
      <c r="BG20" s="526">
        <f t="shared" ca="1" si="18"/>
        <v>0</v>
      </c>
      <c r="BH20" s="526">
        <f t="shared" ca="1" si="18"/>
        <v>0</v>
      </c>
      <c r="BI20" s="526">
        <f t="shared" ca="1" si="18"/>
        <v>0</v>
      </c>
      <c r="BJ20" s="526">
        <f t="shared" ca="1" si="18"/>
        <v>0</v>
      </c>
      <c r="BK20" s="526">
        <f t="shared" ca="1" si="18"/>
        <v>0</v>
      </c>
      <c r="BL20" s="526">
        <f t="shared" ca="1" si="18"/>
        <v>0</v>
      </c>
      <c r="BM20" s="526">
        <f t="shared" ca="1" si="18"/>
        <v>0</v>
      </c>
      <c r="BN20" s="526">
        <f t="shared" ca="1" si="18"/>
        <v>0</v>
      </c>
      <c r="BO20" s="526">
        <f t="shared" ca="1" si="18"/>
        <v>0</v>
      </c>
      <c r="BP20" s="526">
        <f t="shared" ca="1" si="18"/>
        <v>0</v>
      </c>
      <c r="BQ20" s="526">
        <f t="shared" ca="1" si="18"/>
        <v>0</v>
      </c>
      <c r="BR20" s="526">
        <f t="shared" ca="1" si="18"/>
        <v>0</v>
      </c>
      <c r="BS20" s="526">
        <f t="shared" ca="1" si="18"/>
        <v>0</v>
      </c>
      <c r="BT20" s="526">
        <f t="shared" ca="1" si="18"/>
        <v>0</v>
      </c>
      <c r="BU20" s="526">
        <f t="shared" ca="1" si="18"/>
        <v>0</v>
      </c>
      <c r="BV20" s="526">
        <f t="shared" ca="1" si="18"/>
        <v>0</v>
      </c>
      <c r="BW20" s="526">
        <f t="shared" ca="1" si="18"/>
        <v>0</v>
      </c>
      <c r="BX20" s="526">
        <f t="shared" ca="1" si="18"/>
        <v>0</v>
      </c>
      <c r="BY20" s="526">
        <f t="shared" ref="BY20:EB20" ca="1" si="19">-BY18+BY19</f>
        <v>0</v>
      </c>
      <c r="BZ20" s="526">
        <f t="shared" ca="1" si="19"/>
        <v>0</v>
      </c>
      <c r="CA20" s="526">
        <f t="shared" ca="1" si="19"/>
        <v>0</v>
      </c>
      <c r="CB20" s="526">
        <f t="shared" ca="1" si="19"/>
        <v>0</v>
      </c>
      <c r="CC20" s="526">
        <f t="shared" ca="1" si="19"/>
        <v>0</v>
      </c>
      <c r="CD20" s="526">
        <f t="shared" ca="1" si="19"/>
        <v>0</v>
      </c>
      <c r="CE20" s="526">
        <f t="shared" ca="1" si="19"/>
        <v>0</v>
      </c>
      <c r="CF20" s="526">
        <f t="shared" ca="1" si="19"/>
        <v>0</v>
      </c>
      <c r="CG20" s="526">
        <f t="shared" ca="1" si="19"/>
        <v>0</v>
      </c>
      <c r="CH20" s="526">
        <f t="shared" ca="1" si="19"/>
        <v>0</v>
      </c>
      <c r="CI20" s="526">
        <f t="shared" ca="1" si="19"/>
        <v>0</v>
      </c>
      <c r="CJ20" s="526">
        <f t="shared" ca="1" si="19"/>
        <v>0</v>
      </c>
      <c r="CK20" s="526">
        <f t="shared" ca="1" si="19"/>
        <v>0</v>
      </c>
      <c r="CL20" s="526">
        <f t="shared" ca="1" si="19"/>
        <v>0</v>
      </c>
      <c r="CM20" s="526">
        <f t="shared" ca="1" si="19"/>
        <v>0</v>
      </c>
      <c r="CN20" s="526">
        <f t="shared" ca="1" si="19"/>
        <v>0</v>
      </c>
      <c r="CO20" s="526">
        <f t="shared" ca="1" si="19"/>
        <v>0</v>
      </c>
      <c r="CP20" s="526">
        <f t="shared" ca="1" si="19"/>
        <v>0</v>
      </c>
      <c r="CQ20" s="526">
        <f t="shared" ca="1" si="19"/>
        <v>0</v>
      </c>
      <c r="CR20" s="526">
        <f t="shared" ca="1" si="19"/>
        <v>0</v>
      </c>
      <c r="CS20" s="526">
        <f t="shared" ca="1" si="19"/>
        <v>0</v>
      </c>
      <c r="CT20" s="526">
        <f t="shared" ca="1" si="19"/>
        <v>0</v>
      </c>
      <c r="CU20" s="526">
        <f t="shared" ca="1" si="19"/>
        <v>0</v>
      </c>
      <c r="CV20" s="526">
        <f t="shared" ca="1" si="19"/>
        <v>0</v>
      </c>
      <c r="CW20" s="526">
        <f t="shared" ca="1" si="19"/>
        <v>0</v>
      </c>
      <c r="CX20" s="526">
        <f t="shared" ca="1" si="19"/>
        <v>0</v>
      </c>
      <c r="CY20" s="526">
        <f t="shared" ca="1" si="19"/>
        <v>0</v>
      </c>
      <c r="CZ20" s="526">
        <f t="shared" ca="1" si="19"/>
        <v>0</v>
      </c>
      <c r="DA20" s="526">
        <f t="shared" ca="1" si="19"/>
        <v>0</v>
      </c>
      <c r="DB20" s="526">
        <f t="shared" ca="1" si="19"/>
        <v>0</v>
      </c>
      <c r="DC20" s="526">
        <f t="shared" ca="1" si="19"/>
        <v>0</v>
      </c>
      <c r="DD20" s="526">
        <f t="shared" ca="1" si="19"/>
        <v>0</v>
      </c>
      <c r="DE20" s="526">
        <f t="shared" ca="1" si="19"/>
        <v>0</v>
      </c>
      <c r="DF20" s="526">
        <f t="shared" ca="1" si="19"/>
        <v>0</v>
      </c>
      <c r="DG20" s="526">
        <f t="shared" ca="1" si="19"/>
        <v>0</v>
      </c>
      <c r="DH20" s="526">
        <f t="shared" ca="1" si="19"/>
        <v>0</v>
      </c>
      <c r="DI20" s="526">
        <f t="shared" ca="1" si="19"/>
        <v>0</v>
      </c>
      <c r="DJ20" s="526">
        <f t="shared" ca="1" si="19"/>
        <v>0</v>
      </c>
      <c r="DK20" s="526">
        <f t="shared" ca="1" si="19"/>
        <v>0</v>
      </c>
      <c r="DL20" s="526">
        <f t="shared" ca="1" si="19"/>
        <v>0</v>
      </c>
      <c r="DM20" s="526">
        <f t="shared" ca="1" si="19"/>
        <v>0</v>
      </c>
      <c r="DN20" s="526">
        <f t="shared" ca="1" si="19"/>
        <v>0</v>
      </c>
      <c r="DO20" s="526">
        <f t="shared" ca="1" si="19"/>
        <v>0</v>
      </c>
      <c r="DP20" s="526">
        <f t="shared" ca="1" si="19"/>
        <v>0</v>
      </c>
      <c r="DQ20" s="526">
        <f t="shared" ca="1" si="19"/>
        <v>0</v>
      </c>
      <c r="DR20" s="526">
        <f t="shared" ca="1" si="19"/>
        <v>0</v>
      </c>
      <c r="DS20" s="526">
        <f t="shared" ca="1" si="19"/>
        <v>0</v>
      </c>
      <c r="DT20" s="526">
        <f t="shared" ca="1" si="19"/>
        <v>0</v>
      </c>
      <c r="DU20" s="526">
        <f t="shared" ca="1" si="19"/>
        <v>0</v>
      </c>
      <c r="DV20" s="526">
        <f t="shared" ca="1" si="19"/>
        <v>0</v>
      </c>
      <c r="DW20" s="526">
        <f t="shared" ca="1" si="19"/>
        <v>0</v>
      </c>
      <c r="DX20" s="526">
        <f t="shared" ca="1" si="19"/>
        <v>0</v>
      </c>
      <c r="DY20" s="526">
        <f t="shared" ca="1" si="19"/>
        <v>0</v>
      </c>
      <c r="DZ20" s="526">
        <f t="shared" ca="1" si="19"/>
        <v>0</v>
      </c>
      <c r="EA20" s="526">
        <f t="shared" ca="1" si="19"/>
        <v>0</v>
      </c>
      <c r="EB20" s="526">
        <f t="shared" ca="1" si="19"/>
        <v>0</v>
      </c>
      <c r="EC20" s="523" t="s">
        <v>557</v>
      </c>
    </row>
    <row r="21" spans="2:133">
      <c r="H21" s="545" t="s">
        <v>1162</v>
      </c>
      <c r="I21" s="1017">
        <f>F14</f>
        <v>0.1</v>
      </c>
      <c r="J21" s="1017" t="e">
        <f ca="1">XIRR(L20:EB20,$L$2:$EB$2,)</f>
        <v>#NUM!</v>
      </c>
      <c r="EC21" s="523" t="s">
        <v>557</v>
      </c>
    </row>
    <row r="22" spans="2:133" ht="19">
      <c r="B22" s="173" t="s">
        <v>1163</v>
      </c>
      <c r="C22" s="173"/>
      <c r="D22" s="552" t="str">
        <f ca="1">IF(ROUND(D23,0)=ROUND(D24,0),"OK","ERROR")</f>
        <v>OK</v>
      </c>
      <c r="EC22" s="523" t="s">
        <v>557</v>
      </c>
    </row>
    <row r="23" spans="2:133" ht="19">
      <c r="B23" s="106" t="s">
        <v>1164</v>
      </c>
      <c r="C23" s="106"/>
      <c r="D23" s="532">
        <f ca="1">SUM(L5:EB5)</f>
        <v>14563270.037902832</v>
      </c>
      <c r="H23" s="518" t="s">
        <v>1190</v>
      </c>
      <c r="L23" s="526">
        <f ca="1">L12+L19</f>
        <v>0</v>
      </c>
      <c r="M23" s="526">
        <f t="shared" ref="M23:BX23" ca="1" si="20">M12+M19</f>
        <v>75142.199419975848</v>
      </c>
      <c r="N23" s="526">
        <f t="shared" ca="1" si="20"/>
        <v>77255.772749442272</v>
      </c>
      <c r="O23" s="526">
        <f t="shared" ca="1" si="20"/>
        <v>79383.436567771874</v>
      </c>
      <c r="P23" s="526">
        <f t="shared" ca="1" si="20"/>
        <v>81525.284811557081</v>
      </c>
      <c r="Q23" s="526">
        <f t="shared" ca="1" si="20"/>
        <v>83681.412043634118</v>
      </c>
      <c r="R23" s="526">
        <f t="shared" ca="1" si="20"/>
        <v>85851.913457258299</v>
      </c>
      <c r="S23" s="526">
        <f t="shared" ca="1" si="20"/>
        <v>88036.884880306709</v>
      </c>
      <c r="T23" s="526">
        <f t="shared" ca="1" si="20"/>
        <v>90236.422779508677</v>
      </c>
      <c r="U23" s="526">
        <f t="shared" ca="1" si="20"/>
        <v>92450.624264705359</v>
      </c>
      <c r="V23" s="526">
        <f t="shared" ca="1" si="20"/>
        <v>94679.587093136754</v>
      </c>
      <c r="W23" s="526">
        <f t="shared" ca="1" si="20"/>
        <v>96923.409673757662</v>
      </c>
      <c r="X23" s="526">
        <f t="shared" ca="1" si="20"/>
        <v>99182.191071582594</v>
      </c>
      <c r="Y23" s="526">
        <f t="shared" ca="1" si="20"/>
        <v>99132.252015780003</v>
      </c>
      <c r="Z23" s="526">
        <f t="shared" ca="1" si="20"/>
        <v>101277.30024087873</v>
      </c>
      <c r="AA23" s="526">
        <f t="shared" ca="1" si="20"/>
        <v>103435.75501738423</v>
      </c>
      <c r="AB23" s="526">
        <f t="shared" ca="1" si="20"/>
        <v>105607.70013624289</v>
      </c>
      <c r="AC23" s="526">
        <f t="shared" ca="1" si="20"/>
        <v>107793.2199120944</v>
      </c>
      <c r="AD23" s="526">
        <f t="shared" ca="1" si="20"/>
        <v>109992.39918654515</v>
      </c>
      <c r="AE23" s="526">
        <f t="shared" ca="1" si="20"/>
        <v>112205.32333146107</v>
      </c>
      <c r="AF23" s="526">
        <f t="shared" ca="1" si="20"/>
        <v>114432.07825228265</v>
      </c>
      <c r="AG23" s="526">
        <f t="shared" ca="1" si="20"/>
        <v>116672.75039135954</v>
      </c>
      <c r="AH23" s="526">
        <f t="shared" ca="1" si="20"/>
        <v>118927.4267313055</v>
      </c>
      <c r="AI23" s="526">
        <f t="shared" ca="1" si="20"/>
        <v>121196.19479837616</v>
      </c>
      <c r="AJ23" s="526">
        <f t="shared" ca="1" si="20"/>
        <v>123479.14266586611</v>
      </c>
      <c r="AK23" s="526">
        <f t="shared" ca="1" si="20"/>
        <v>122481.38876808564</v>
      </c>
      <c r="AL23" s="526">
        <f t="shared" ca="1" si="20"/>
        <v>123710.65473037933</v>
      </c>
      <c r="AM23" s="526">
        <f t="shared" ca="1" si="20"/>
        <v>124944.01824588062</v>
      </c>
      <c r="AN23" s="526">
        <f t="shared" ca="1" si="20"/>
        <v>126181.4929731002</v>
      </c>
      <c r="AO23" s="526">
        <f t="shared" ca="1" si="20"/>
        <v>127423.09261607715</v>
      </c>
      <c r="AP23" s="526">
        <f t="shared" ca="1" si="20"/>
        <v>128668.83092453091</v>
      </c>
      <c r="AQ23" s="526">
        <f t="shared" ca="1" si="20"/>
        <v>129918.72169401268</v>
      </c>
      <c r="AR23" s="526">
        <f t="shared" ca="1" si="20"/>
        <v>131172.77876605943</v>
      </c>
      <c r="AS23" s="526">
        <f t="shared" ca="1" si="20"/>
        <v>132431.01602834626</v>
      </c>
      <c r="AT23" s="526">
        <f t="shared" ca="1" si="20"/>
        <v>133693.44741484086</v>
      </c>
      <c r="AU23" s="526">
        <f t="shared" ca="1" si="20"/>
        <v>134960.08690595691</v>
      </c>
      <c r="AV23" s="526">
        <f t="shared" ca="1" si="20"/>
        <v>136230.94852871029</v>
      </c>
      <c r="AW23" s="526">
        <f t="shared" ca="1" si="20"/>
        <v>135241.08391927258</v>
      </c>
      <c r="AX23" s="526">
        <f t="shared" ca="1" si="20"/>
        <v>136520.43207352899</v>
      </c>
      <c r="AY23" s="526">
        <f t="shared" ca="1" si="20"/>
        <v>137804.04472163261</v>
      </c>
      <c r="AZ23" s="526">
        <f t="shared" ca="1" si="20"/>
        <v>139091.93607856351</v>
      </c>
      <c r="BA23" s="526">
        <f t="shared" ca="1" si="20"/>
        <v>140384.12040668412</v>
      </c>
      <c r="BB23" s="526">
        <f t="shared" ca="1" si="20"/>
        <v>141680.61201589828</v>
      </c>
      <c r="BC23" s="526">
        <f t="shared" ca="1" si="20"/>
        <v>142981.42526381009</v>
      </c>
      <c r="BD23" s="526">
        <f t="shared" ca="1" si="20"/>
        <v>144286.57455588144</v>
      </c>
      <c r="BE23" s="526">
        <f t="shared" ca="1" si="20"/>
        <v>145596.07434559317</v>
      </c>
      <c r="BF23" s="526">
        <f t="shared" ca="1" si="20"/>
        <v>146909.93913460377</v>
      </c>
      <c r="BG23" s="526">
        <f t="shared" ca="1" si="20"/>
        <v>148228.18347291125</v>
      </c>
      <c r="BH23" s="526">
        <f t="shared" ca="1" si="20"/>
        <v>23165933.310961749</v>
      </c>
      <c r="BI23" s="526">
        <f t="shared" ca="1" si="20"/>
        <v>0</v>
      </c>
      <c r="BJ23" s="526">
        <f t="shared" ca="1" si="20"/>
        <v>0</v>
      </c>
      <c r="BK23" s="526">
        <f t="shared" ca="1" si="20"/>
        <v>0</v>
      </c>
      <c r="BL23" s="526">
        <f t="shared" ca="1" si="20"/>
        <v>0</v>
      </c>
      <c r="BM23" s="526">
        <f t="shared" ca="1" si="20"/>
        <v>0</v>
      </c>
      <c r="BN23" s="526">
        <f t="shared" ca="1" si="20"/>
        <v>0</v>
      </c>
      <c r="BO23" s="526">
        <f t="shared" ca="1" si="20"/>
        <v>0</v>
      </c>
      <c r="BP23" s="526">
        <f t="shared" ca="1" si="20"/>
        <v>0</v>
      </c>
      <c r="BQ23" s="526">
        <f t="shared" ca="1" si="20"/>
        <v>0</v>
      </c>
      <c r="BR23" s="526">
        <f t="shared" ca="1" si="20"/>
        <v>0</v>
      </c>
      <c r="BS23" s="526">
        <f t="shared" ca="1" si="20"/>
        <v>0</v>
      </c>
      <c r="BT23" s="526">
        <f t="shared" ca="1" si="20"/>
        <v>0</v>
      </c>
      <c r="BU23" s="526">
        <f t="shared" ca="1" si="20"/>
        <v>0</v>
      </c>
      <c r="BV23" s="526">
        <f t="shared" ca="1" si="20"/>
        <v>0</v>
      </c>
      <c r="BW23" s="526">
        <f t="shared" ca="1" si="20"/>
        <v>0</v>
      </c>
      <c r="BX23" s="526">
        <f t="shared" ca="1" si="20"/>
        <v>0</v>
      </c>
      <c r="BY23" s="526">
        <f t="shared" ref="BY23:EB23" ca="1" si="21">BY12+BY19</f>
        <v>0</v>
      </c>
      <c r="BZ23" s="526">
        <f t="shared" ca="1" si="21"/>
        <v>0</v>
      </c>
      <c r="CA23" s="526">
        <f t="shared" ca="1" si="21"/>
        <v>0</v>
      </c>
      <c r="CB23" s="526">
        <f t="shared" ca="1" si="21"/>
        <v>0</v>
      </c>
      <c r="CC23" s="526">
        <f t="shared" ca="1" si="21"/>
        <v>0</v>
      </c>
      <c r="CD23" s="526">
        <f t="shared" ca="1" si="21"/>
        <v>0</v>
      </c>
      <c r="CE23" s="526">
        <f t="shared" ca="1" si="21"/>
        <v>0</v>
      </c>
      <c r="CF23" s="526">
        <f t="shared" ca="1" si="21"/>
        <v>0</v>
      </c>
      <c r="CG23" s="526">
        <f t="shared" ca="1" si="21"/>
        <v>0</v>
      </c>
      <c r="CH23" s="526">
        <f t="shared" ca="1" si="21"/>
        <v>0</v>
      </c>
      <c r="CI23" s="526">
        <f t="shared" ca="1" si="21"/>
        <v>0</v>
      </c>
      <c r="CJ23" s="526">
        <f t="shared" ca="1" si="21"/>
        <v>0</v>
      </c>
      <c r="CK23" s="526">
        <f t="shared" ca="1" si="21"/>
        <v>0</v>
      </c>
      <c r="CL23" s="526">
        <f t="shared" ca="1" si="21"/>
        <v>0</v>
      </c>
      <c r="CM23" s="526">
        <f t="shared" ca="1" si="21"/>
        <v>0</v>
      </c>
      <c r="CN23" s="526">
        <f t="shared" ca="1" si="21"/>
        <v>0</v>
      </c>
      <c r="CO23" s="526">
        <f t="shared" ca="1" si="21"/>
        <v>0</v>
      </c>
      <c r="CP23" s="526">
        <f t="shared" ca="1" si="21"/>
        <v>0</v>
      </c>
      <c r="CQ23" s="526">
        <f t="shared" ca="1" si="21"/>
        <v>0</v>
      </c>
      <c r="CR23" s="526">
        <f t="shared" ca="1" si="21"/>
        <v>0</v>
      </c>
      <c r="CS23" s="526">
        <f t="shared" ca="1" si="21"/>
        <v>0</v>
      </c>
      <c r="CT23" s="526">
        <f t="shared" ca="1" si="21"/>
        <v>0</v>
      </c>
      <c r="CU23" s="526">
        <f t="shared" ca="1" si="21"/>
        <v>0</v>
      </c>
      <c r="CV23" s="526">
        <f t="shared" ca="1" si="21"/>
        <v>0</v>
      </c>
      <c r="CW23" s="526">
        <f t="shared" ca="1" si="21"/>
        <v>0</v>
      </c>
      <c r="CX23" s="526">
        <f t="shared" ca="1" si="21"/>
        <v>0</v>
      </c>
      <c r="CY23" s="526">
        <f t="shared" ca="1" si="21"/>
        <v>0</v>
      </c>
      <c r="CZ23" s="526">
        <f t="shared" ca="1" si="21"/>
        <v>0</v>
      </c>
      <c r="DA23" s="526">
        <f t="shared" ca="1" si="21"/>
        <v>0</v>
      </c>
      <c r="DB23" s="526">
        <f t="shared" ca="1" si="21"/>
        <v>0</v>
      </c>
      <c r="DC23" s="526">
        <f t="shared" ca="1" si="21"/>
        <v>0</v>
      </c>
      <c r="DD23" s="526">
        <f t="shared" ca="1" si="21"/>
        <v>0</v>
      </c>
      <c r="DE23" s="526">
        <f t="shared" ca="1" si="21"/>
        <v>0</v>
      </c>
      <c r="DF23" s="526">
        <f t="shared" ca="1" si="21"/>
        <v>0</v>
      </c>
      <c r="DG23" s="526">
        <f t="shared" ca="1" si="21"/>
        <v>0</v>
      </c>
      <c r="DH23" s="526">
        <f t="shared" ca="1" si="21"/>
        <v>0</v>
      </c>
      <c r="DI23" s="526">
        <f t="shared" ca="1" si="21"/>
        <v>0</v>
      </c>
      <c r="DJ23" s="526">
        <f t="shared" ca="1" si="21"/>
        <v>0</v>
      </c>
      <c r="DK23" s="526">
        <f t="shared" ca="1" si="21"/>
        <v>0</v>
      </c>
      <c r="DL23" s="526">
        <f t="shared" ca="1" si="21"/>
        <v>0</v>
      </c>
      <c r="DM23" s="526">
        <f t="shared" ca="1" si="21"/>
        <v>0</v>
      </c>
      <c r="DN23" s="526">
        <f t="shared" ca="1" si="21"/>
        <v>0</v>
      </c>
      <c r="DO23" s="526">
        <f t="shared" ca="1" si="21"/>
        <v>0</v>
      </c>
      <c r="DP23" s="526">
        <f t="shared" ca="1" si="21"/>
        <v>0</v>
      </c>
      <c r="DQ23" s="526">
        <f t="shared" ca="1" si="21"/>
        <v>0</v>
      </c>
      <c r="DR23" s="526">
        <f t="shared" ca="1" si="21"/>
        <v>0</v>
      </c>
      <c r="DS23" s="526">
        <f t="shared" ca="1" si="21"/>
        <v>0</v>
      </c>
      <c r="DT23" s="526">
        <f t="shared" ca="1" si="21"/>
        <v>0</v>
      </c>
      <c r="DU23" s="526">
        <f t="shared" ca="1" si="21"/>
        <v>0</v>
      </c>
      <c r="DV23" s="526">
        <f t="shared" ca="1" si="21"/>
        <v>0</v>
      </c>
      <c r="DW23" s="526">
        <f t="shared" ca="1" si="21"/>
        <v>0</v>
      </c>
      <c r="DX23" s="526">
        <f t="shared" ca="1" si="21"/>
        <v>0</v>
      </c>
      <c r="DY23" s="526">
        <f t="shared" ca="1" si="21"/>
        <v>0</v>
      </c>
      <c r="DZ23" s="526">
        <f t="shared" ca="1" si="21"/>
        <v>0</v>
      </c>
      <c r="EA23" s="526">
        <f t="shared" ca="1" si="21"/>
        <v>0</v>
      </c>
      <c r="EB23" s="526">
        <f t="shared" ca="1" si="21"/>
        <v>0</v>
      </c>
      <c r="EC23" s="523" t="s">
        <v>557</v>
      </c>
    </row>
    <row r="24" spans="2:133" ht="19.5" thickBot="1">
      <c r="B24" s="141" t="s">
        <v>1166</v>
      </c>
      <c r="C24" s="141"/>
      <c r="D24" s="553">
        <f ca="1">SUM(L126:EB126,L133:EB133)</f>
        <v>14563270.037902834</v>
      </c>
      <c r="H24" s="554" t="s">
        <v>1167</v>
      </c>
      <c r="I24" s="555"/>
      <c r="J24" s="555"/>
      <c r="K24" s="555"/>
      <c r="L24" s="556">
        <f ca="1">MAX(L5,0)-L23</f>
        <v>0</v>
      </c>
      <c r="M24" s="556">
        <f t="shared" ref="M24:BX24" ca="1" si="22">MAX(M5,0)-M23</f>
        <v>0</v>
      </c>
      <c r="N24" s="556">
        <f t="shared" ca="1" si="22"/>
        <v>0</v>
      </c>
      <c r="O24" s="556">
        <f t="shared" ca="1" si="22"/>
        <v>0</v>
      </c>
      <c r="P24" s="556">
        <f t="shared" ca="1" si="22"/>
        <v>0</v>
      </c>
      <c r="Q24" s="556">
        <f t="shared" ca="1" si="22"/>
        <v>0</v>
      </c>
      <c r="R24" s="556">
        <f t="shared" ca="1" si="22"/>
        <v>0</v>
      </c>
      <c r="S24" s="556">
        <f t="shared" ca="1" si="22"/>
        <v>0</v>
      </c>
      <c r="T24" s="556">
        <f t="shared" ca="1" si="22"/>
        <v>0</v>
      </c>
      <c r="U24" s="556">
        <f t="shared" ca="1" si="22"/>
        <v>0</v>
      </c>
      <c r="V24" s="556">
        <f t="shared" ca="1" si="22"/>
        <v>0</v>
      </c>
      <c r="W24" s="556">
        <f t="shared" ca="1" si="22"/>
        <v>0</v>
      </c>
      <c r="X24" s="556">
        <f t="shared" ca="1" si="22"/>
        <v>0</v>
      </c>
      <c r="Y24" s="556">
        <f t="shared" ca="1" si="22"/>
        <v>0</v>
      </c>
      <c r="Z24" s="556">
        <f t="shared" ca="1" si="22"/>
        <v>0</v>
      </c>
      <c r="AA24" s="556">
        <f t="shared" ca="1" si="22"/>
        <v>0</v>
      </c>
      <c r="AB24" s="556">
        <f t="shared" ca="1" si="22"/>
        <v>0</v>
      </c>
      <c r="AC24" s="556">
        <f t="shared" ca="1" si="22"/>
        <v>0</v>
      </c>
      <c r="AD24" s="556">
        <f t="shared" ca="1" si="22"/>
        <v>0</v>
      </c>
      <c r="AE24" s="556">
        <f t="shared" ca="1" si="22"/>
        <v>0</v>
      </c>
      <c r="AF24" s="556">
        <f t="shared" ca="1" si="22"/>
        <v>0</v>
      </c>
      <c r="AG24" s="556">
        <f t="shared" ca="1" si="22"/>
        <v>0</v>
      </c>
      <c r="AH24" s="556">
        <f t="shared" ca="1" si="22"/>
        <v>0</v>
      </c>
      <c r="AI24" s="556">
        <f t="shared" ca="1" si="22"/>
        <v>0</v>
      </c>
      <c r="AJ24" s="556">
        <f t="shared" ca="1" si="22"/>
        <v>0</v>
      </c>
      <c r="AK24" s="556">
        <f t="shared" ca="1" si="22"/>
        <v>0</v>
      </c>
      <c r="AL24" s="556">
        <f t="shared" ca="1" si="22"/>
        <v>0</v>
      </c>
      <c r="AM24" s="556">
        <f t="shared" ca="1" si="22"/>
        <v>0</v>
      </c>
      <c r="AN24" s="556">
        <f t="shared" ca="1" si="22"/>
        <v>0</v>
      </c>
      <c r="AO24" s="556">
        <f t="shared" ca="1" si="22"/>
        <v>0</v>
      </c>
      <c r="AP24" s="556">
        <f t="shared" ca="1" si="22"/>
        <v>0</v>
      </c>
      <c r="AQ24" s="556">
        <f t="shared" ca="1" si="22"/>
        <v>0</v>
      </c>
      <c r="AR24" s="556">
        <f t="shared" ca="1" si="22"/>
        <v>0</v>
      </c>
      <c r="AS24" s="556">
        <f t="shared" ca="1" si="22"/>
        <v>0</v>
      </c>
      <c r="AT24" s="556">
        <f t="shared" ca="1" si="22"/>
        <v>0</v>
      </c>
      <c r="AU24" s="556">
        <f t="shared" ca="1" si="22"/>
        <v>0</v>
      </c>
      <c r="AV24" s="556">
        <f t="shared" ca="1" si="22"/>
        <v>0</v>
      </c>
      <c r="AW24" s="556">
        <f t="shared" ca="1" si="22"/>
        <v>0</v>
      </c>
      <c r="AX24" s="556">
        <f t="shared" ca="1" si="22"/>
        <v>0</v>
      </c>
      <c r="AY24" s="556">
        <f t="shared" ca="1" si="22"/>
        <v>0</v>
      </c>
      <c r="AZ24" s="556">
        <f t="shared" ca="1" si="22"/>
        <v>0</v>
      </c>
      <c r="BA24" s="556">
        <f t="shared" ca="1" si="22"/>
        <v>0</v>
      </c>
      <c r="BB24" s="556">
        <f t="shared" ca="1" si="22"/>
        <v>0</v>
      </c>
      <c r="BC24" s="556">
        <f t="shared" ca="1" si="22"/>
        <v>0</v>
      </c>
      <c r="BD24" s="556">
        <f t="shared" ca="1" si="22"/>
        <v>0</v>
      </c>
      <c r="BE24" s="556">
        <f t="shared" ca="1" si="22"/>
        <v>0</v>
      </c>
      <c r="BF24" s="556">
        <f t="shared" ca="1" si="22"/>
        <v>0</v>
      </c>
      <c r="BG24" s="556">
        <f t="shared" ca="1" si="22"/>
        <v>0</v>
      </c>
      <c r="BH24" s="556">
        <f t="shared" ca="1" si="22"/>
        <v>6204295.1418645121</v>
      </c>
      <c r="BI24" s="556">
        <f t="shared" ca="1" si="22"/>
        <v>0</v>
      </c>
      <c r="BJ24" s="556">
        <f t="shared" ca="1" si="22"/>
        <v>0</v>
      </c>
      <c r="BK24" s="556">
        <f t="shared" ca="1" si="22"/>
        <v>0</v>
      </c>
      <c r="BL24" s="556">
        <f t="shared" ca="1" si="22"/>
        <v>0</v>
      </c>
      <c r="BM24" s="556">
        <f t="shared" ca="1" si="22"/>
        <v>0</v>
      </c>
      <c r="BN24" s="556">
        <f t="shared" ca="1" si="22"/>
        <v>0</v>
      </c>
      <c r="BO24" s="556">
        <f t="shared" ca="1" si="22"/>
        <v>0</v>
      </c>
      <c r="BP24" s="556">
        <f t="shared" ca="1" si="22"/>
        <v>0</v>
      </c>
      <c r="BQ24" s="556">
        <f t="shared" ca="1" si="22"/>
        <v>0</v>
      </c>
      <c r="BR24" s="556">
        <f t="shared" ca="1" si="22"/>
        <v>0</v>
      </c>
      <c r="BS24" s="556">
        <f t="shared" ca="1" si="22"/>
        <v>0</v>
      </c>
      <c r="BT24" s="556">
        <f t="shared" ca="1" si="22"/>
        <v>0</v>
      </c>
      <c r="BU24" s="556">
        <f t="shared" ca="1" si="22"/>
        <v>0</v>
      </c>
      <c r="BV24" s="556">
        <f t="shared" ca="1" si="22"/>
        <v>0</v>
      </c>
      <c r="BW24" s="556">
        <f t="shared" ca="1" si="22"/>
        <v>0</v>
      </c>
      <c r="BX24" s="556">
        <f t="shared" ca="1" si="22"/>
        <v>0</v>
      </c>
      <c r="BY24" s="556">
        <f t="shared" ref="BY24:EB24" ca="1" si="23">MAX(BY5,0)-BY23</f>
        <v>0</v>
      </c>
      <c r="BZ24" s="556">
        <f t="shared" ca="1" si="23"/>
        <v>0</v>
      </c>
      <c r="CA24" s="556">
        <f t="shared" ca="1" si="23"/>
        <v>0</v>
      </c>
      <c r="CB24" s="556">
        <f t="shared" ca="1" si="23"/>
        <v>0</v>
      </c>
      <c r="CC24" s="556">
        <f t="shared" ca="1" si="23"/>
        <v>0</v>
      </c>
      <c r="CD24" s="556">
        <f t="shared" ca="1" si="23"/>
        <v>0</v>
      </c>
      <c r="CE24" s="556">
        <f t="shared" ca="1" si="23"/>
        <v>0</v>
      </c>
      <c r="CF24" s="556">
        <f t="shared" ca="1" si="23"/>
        <v>0</v>
      </c>
      <c r="CG24" s="556">
        <f t="shared" ca="1" si="23"/>
        <v>0</v>
      </c>
      <c r="CH24" s="556">
        <f t="shared" ca="1" si="23"/>
        <v>0</v>
      </c>
      <c r="CI24" s="556">
        <f t="shared" ca="1" si="23"/>
        <v>0</v>
      </c>
      <c r="CJ24" s="556">
        <f t="shared" ca="1" si="23"/>
        <v>0</v>
      </c>
      <c r="CK24" s="556">
        <f t="shared" ca="1" si="23"/>
        <v>0</v>
      </c>
      <c r="CL24" s="556">
        <f t="shared" ca="1" si="23"/>
        <v>0</v>
      </c>
      <c r="CM24" s="556">
        <f t="shared" ca="1" si="23"/>
        <v>0</v>
      </c>
      <c r="CN24" s="556">
        <f t="shared" ca="1" si="23"/>
        <v>0</v>
      </c>
      <c r="CO24" s="556">
        <f t="shared" ca="1" si="23"/>
        <v>0</v>
      </c>
      <c r="CP24" s="556">
        <f t="shared" ca="1" si="23"/>
        <v>0</v>
      </c>
      <c r="CQ24" s="556">
        <f t="shared" ca="1" si="23"/>
        <v>0</v>
      </c>
      <c r="CR24" s="556">
        <f t="shared" ca="1" si="23"/>
        <v>0</v>
      </c>
      <c r="CS24" s="556">
        <f t="shared" ca="1" si="23"/>
        <v>0</v>
      </c>
      <c r="CT24" s="556">
        <f t="shared" ca="1" si="23"/>
        <v>0</v>
      </c>
      <c r="CU24" s="556">
        <f t="shared" ca="1" si="23"/>
        <v>0</v>
      </c>
      <c r="CV24" s="556">
        <f t="shared" ca="1" si="23"/>
        <v>0</v>
      </c>
      <c r="CW24" s="556">
        <f t="shared" ca="1" si="23"/>
        <v>0</v>
      </c>
      <c r="CX24" s="556">
        <f t="shared" ca="1" si="23"/>
        <v>0</v>
      </c>
      <c r="CY24" s="556">
        <f t="shared" ca="1" si="23"/>
        <v>0</v>
      </c>
      <c r="CZ24" s="556">
        <f t="shared" ca="1" si="23"/>
        <v>0</v>
      </c>
      <c r="DA24" s="556">
        <f t="shared" ca="1" si="23"/>
        <v>0</v>
      </c>
      <c r="DB24" s="556">
        <f t="shared" ca="1" si="23"/>
        <v>0</v>
      </c>
      <c r="DC24" s="556">
        <f t="shared" ca="1" si="23"/>
        <v>0</v>
      </c>
      <c r="DD24" s="556">
        <f t="shared" ca="1" si="23"/>
        <v>0</v>
      </c>
      <c r="DE24" s="556">
        <f t="shared" ca="1" si="23"/>
        <v>0</v>
      </c>
      <c r="DF24" s="556">
        <f t="shared" ca="1" si="23"/>
        <v>0</v>
      </c>
      <c r="DG24" s="556">
        <f t="shared" ca="1" si="23"/>
        <v>0</v>
      </c>
      <c r="DH24" s="556">
        <f t="shared" ca="1" si="23"/>
        <v>0</v>
      </c>
      <c r="DI24" s="556">
        <f t="shared" ca="1" si="23"/>
        <v>0</v>
      </c>
      <c r="DJ24" s="556">
        <f t="shared" ca="1" si="23"/>
        <v>0</v>
      </c>
      <c r="DK24" s="556">
        <f t="shared" ca="1" si="23"/>
        <v>0</v>
      </c>
      <c r="DL24" s="556">
        <f t="shared" ca="1" si="23"/>
        <v>0</v>
      </c>
      <c r="DM24" s="556">
        <f t="shared" ca="1" si="23"/>
        <v>0</v>
      </c>
      <c r="DN24" s="556">
        <f t="shared" ca="1" si="23"/>
        <v>0</v>
      </c>
      <c r="DO24" s="556">
        <f t="shared" ca="1" si="23"/>
        <v>0</v>
      </c>
      <c r="DP24" s="556">
        <f t="shared" ca="1" si="23"/>
        <v>0</v>
      </c>
      <c r="DQ24" s="556">
        <f t="shared" ca="1" si="23"/>
        <v>0</v>
      </c>
      <c r="DR24" s="556">
        <f t="shared" ca="1" si="23"/>
        <v>0</v>
      </c>
      <c r="DS24" s="556">
        <f t="shared" ca="1" si="23"/>
        <v>0</v>
      </c>
      <c r="DT24" s="556">
        <f t="shared" ca="1" si="23"/>
        <v>0</v>
      </c>
      <c r="DU24" s="556">
        <f t="shared" ca="1" si="23"/>
        <v>0</v>
      </c>
      <c r="DV24" s="556">
        <f t="shared" ca="1" si="23"/>
        <v>0</v>
      </c>
      <c r="DW24" s="556">
        <f t="shared" ca="1" si="23"/>
        <v>0</v>
      </c>
      <c r="DX24" s="556">
        <f t="shared" ca="1" si="23"/>
        <v>0</v>
      </c>
      <c r="DY24" s="556">
        <f t="shared" ca="1" si="23"/>
        <v>0</v>
      </c>
      <c r="DZ24" s="556">
        <f t="shared" ca="1" si="23"/>
        <v>0</v>
      </c>
      <c r="EA24" s="556">
        <f t="shared" ca="1" si="23"/>
        <v>0</v>
      </c>
      <c r="EB24" s="556">
        <f t="shared" ca="1" si="23"/>
        <v>0</v>
      </c>
      <c r="EC24" s="523" t="s">
        <v>557</v>
      </c>
    </row>
    <row r="25" spans="2:133">
      <c r="L25" s="526"/>
      <c r="EC25" s="523" t="s">
        <v>557</v>
      </c>
    </row>
    <row r="26" spans="2:133" ht="19">
      <c r="B26" s="101"/>
      <c r="C26" s="101"/>
      <c r="D26" s="101"/>
      <c r="E26" s="101"/>
      <c r="H26" s="173" t="s">
        <v>1151</v>
      </c>
      <c r="I26" s="529"/>
      <c r="J26" s="529"/>
      <c r="K26" s="530"/>
      <c r="L26" s="530"/>
      <c r="M26" s="530"/>
      <c r="N26" s="530"/>
      <c r="O26" s="530"/>
      <c r="P26" s="530"/>
      <c r="Q26" s="530"/>
      <c r="R26" s="530"/>
      <c r="S26" s="530"/>
      <c r="T26" s="530"/>
      <c r="U26" s="530"/>
      <c r="V26" s="530"/>
      <c r="W26" s="530"/>
      <c r="X26" s="530"/>
      <c r="Y26" s="530"/>
      <c r="Z26" s="530"/>
      <c r="AA26" s="530"/>
      <c r="AB26" s="530"/>
      <c r="AC26" s="530"/>
      <c r="AD26" s="530"/>
      <c r="AE26" s="530"/>
      <c r="AF26" s="530"/>
      <c r="AG26" s="530"/>
      <c r="AH26" s="530"/>
      <c r="AI26" s="530"/>
      <c r="AJ26" s="530"/>
      <c r="AK26" s="530"/>
      <c r="AL26" s="530"/>
      <c r="AM26" s="530"/>
      <c r="AN26" s="530"/>
      <c r="AO26" s="530"/>
      <c r="AP26" s="530"/>
      <c r="AQ26" s="530"/>
      <c r="AR26" s="530"/>
      <c r="AS26" s="530"/>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c r="BW26" s="530"/>
      <c r="BX26" s="530"/>
      <c r="BY26" s="530"/>
      <c r="BZ26" s="530"/>
      <c r="CA26" s="530"/>
      <c r="CB26" s="530"/>
      <c r="CC26" s="530"/>
      <c r="CD26" s="530"/>
      <c r="CE26" s="530"/>
      <c r="CF26" s="530"/>
      <c r="CG26" s="530"/>
      <c r="CH26" s="530"/>
      <c r="CI26" s="530"/>
      <c r="CJ26" s="530"/>
      <c r="CK26" s="530"/>
      <c r="CL26" s="530"/>
      <c r="CM26" s="530"/>
      <c r="CN26" s="530"/>
      <c r="CO26" s="530"/>
      <c r="CP26" s="530"/>
      <c r="CQ26" s="530"/>
      <c r="CR26" s="530"/>
      <c r="CS26" s="530"/>
      <c r="CT26" s="530"/>
      <c r="CU26" s="530"/>
      <c r="CV26" s="530"/>
      <c r="CW26" s="530"/>
      <c r="CX26" s="530"/>
      <c r="CY26" s="530"/>
      <c r="CZ26" s="530"/>
      <c r="DA26" s="530"/>
      <c r="DB26" s="530"/>
      <c r="DC26" s="530"/>
      <c r="DD26" s="530"/>
      <c r="DE26" s="530"/>
      <c r="DF26" s="530"/>
      <c r="DG26" s="530"/>
      <c r="DH26" s="530"/>
      <c r="DI26" s="530"/>
      <c r="DJ26" s="530"/>
      <c r="DK26" s="530"/>
      <c r="DL26" s="530"/>
      <c r="DM26" s="530"/>
      <c r="DN26" s="530"/>
      <c r="DO26" s="530"/>
      <c r="DP26" s="530"/>
      <c r="DQ26" s="530"/>
      <c r="DR26" s="530"/>
      <c r="DS26" s="530"/>
      <c r="DT26" s="530"/>
      <c r="DU26" s="530"/>
      <c r="DV26" s="530"/>
      <c r="DW26" s="530"/>
      <c r="DX26" s="530"/>
      <c r="DY26" s="530"/>
      <c r="DZ26" s="530"/>
      <c r="EA26" s="530"/>
      <c r="EB26" s="530"/>
      <c r="EC26" s="523" t="s">
        <v>557</v>
      </c>
    </row>
    <row r="27" spans="2:133">
      <c r="B27" s="101"/>
      <c r="C27" s="101"/>
      <c r="D27" s="101"/>
      <c r="E27" s="101"/>
      <c r="H27" s="520" t="s">
        <v>1136</v>
      </c>
      <c r="I27" s="533"/>
      <c r="J27" s="533"/>
      <c r="K27" s="521"/>
      <c r="L27" s="521"/>
      <c r="M27" s="521"/>
      <c r="N27" s="521"/>
      <c r="O27" s="521"/>
      <c r="P27" s="521"/>
      <c r="Q27" s="521"/>
      <c r="R27" s="521"/>
      <c r="S27" s="521"/>
      <c r="T27" s="521"/>
      <c r="U27" s="521"/>
      <c r="V27" s="521"/>
      <c r="W27" s="521"/>
      <c r="X27" s="521"/>
      <c r="Y27" s="521"/>
      <c r="Z27" s="521"/>
      <c r="AA27" s="521"/>
      <c r="AB27" s="521"/>
      <c r="AC27" s="521"/>
      <c r="AD27" s="521"/>
      <c r="AE27" s="521"/>
      <c r="AF27" s="521"/>
      <c r="AG27" s="521"/>
      <c r="AH27" s="521"/>
      <c r="AI27" s="521"/>
      <c r="AJ27" s="521"/>
      <c r="AK27" s="521"/>
      <c r="AL27" s="521"/>
      <c r="AM27" s="521"/>
      <c r="AN27" s="521"/>
      <c r="AO27" s="521"/>
      <c r="AP27" s="521"/>
      <c r="AQ27" s="521"/>
      <c r="AR27" s="521"/>
      <c r="AS27" s="521"/>
      <c r="AT27" s="521"/>
      <c r="AU27" s="521"/>
      <c r="AV27" s="521"/>
      <c r="AW27" s="521"/>
      <c r="AX27" s="521"/>
      <c r="AY27" s="521"/>
      <c r="AZ27" s="521"/>
      <c r="BA27" s="521"/>
      <c r="BB27" s="521"/>
      <c r="BC27" s="521"/>
      <c r="BD27" s="521"/>
      <c r="BE27" s="521"/>
      <c r="BF27" s="521"/>
      <c r="BG27" s="521"/>
      <c r="BH27" s="521"/>
      <c r="BI27" s="521"/>
      <c r="BJ27" s="521"/>
      <c r="BK27" s="521"/>
      <c r="BL27" s="521"/>
      <c r="BM27" s="521"/>
      <c r="BN27" s="521"/>
      <c r="BO27" s="521"/>
      <c r="BP27" s="521"/>
      <c r="BQ27" s="521"/>
      <c r="BR27" s="521"/>
      <c r="BS27" s="521"/>
      <c r="BT27" s="521"/>
      <c r="BU27" s="521"/>
      <c r="BV27" s="521"/>
      <c r="BW27" s="521"/>
      <c r="BX27" s="521"/>
      <c r="BY27" s="521"/>
      <c r="BZ27" s="521"/>
      <c r="CA27" s="521"/>
      <c r="CB27" s="521"/>
      <c r="CC27" s="521"/>
      <c r="CD27" s="521"/>
      <c r="CE27" s="521"/>
      <c r="CF27" s="521"/>
      <c r="CG27" s="521"/>
      <c r="CH27" s="521"/>
      <c r="CI27" s="521"/>
      <c r="CJ27" s="521"/>
      <c r="CK27" s="521"/>
      <c r="CL27" s="521"/>
      <c r="CM27" s="521"/>
      <c r="CN27" s="521"/>
      <c r="CO27" s="521"/>
      <c r="CP27" s="521"/>
      <c r="CQ27" s="521"/>
      <c r="CR27" s="521"/>
      <c r="CS27" s="521"/>
      <c r="CT27" s="521"/>
      <c r="CU27" s="521"/>
      <c r="CV27" s="521"/>
      <c r="CW27" s="521"/>
      <c r="CX27" s="521"/>
      <c r="CY27" s="521"/>
      <c r="CZ27" s="521"/>
      <c r="DA27" s="521"/>
      <c r="DB27" s="521"/>
      <c r="DC27" s="521"/>
      <c r="DD27" s="521"/>
      <c r="DE27" s="521"/>
      <c r="DF27" s="521"/>
      <c r="DG27" s="521"/>
      <c r="DH27" s="521"/>
      <c r="DI27" s="521"/>
      <c r="DJ27" s="521"/>
      <c r="DK27" s="521"/>
      <c r="DL27" s="521"/>
      <c r="DM27" s="521"/>
      <c r="DN27" s="521"/>
      <c r="DO27" s="521"/>
      <c r="DP27" s="521"/>
      <c r="DQ27" s="521"/>
      <c r="DR27" s="521"/>
      <c r="DS27" s="521"/>
      <c r="DT27" s="521"/>
      <c r="DU27" s="521"/>
      <c r="DV27" s="521"/>
      <c r="DW27" s="521"/>
      <c r="DX27" s="521"/>
      <c r="DY27" s="521"/>
      <c r="DZ27" s="521"/>
      <c r="EA27" s="521"/>
      <c r="EB27" s="521"/>
      <c r="EC27" s="523" t="s">
        <v>557</v>
      </c>
    </row>
    <row r="28" spans="2:133">
      <c r="B28" s="101"/>
      <c r="C28" s="101"/>
      <c r="D28" s="101"/>
      <c r="E28" s="101"/>
      <c r="H28" s="518" t="s">
        <v>1141</v>
      </c>
      <c r="J28" s="1002" t="s">
        <v>1142</v>
      </c>
      <c r="L28" s="526">
        <f>K33</f>
        <v>0</v>
      </c>
      <c r="M28" s="526">
        <f t="shared" ref="M28:BX28" ca="1" si="24">L33</f>
        <v>20296000</v>
      </c>
      <c r="N28" s="526">
        <f t="shared" ca="1" si="24"/>
        <v>20421049.031488005</v>
      </c>
      <c r="O28" s="526">
        <f t="shared" ca="1" si="24"/>
        <v>20545217.920841724</v>
      </c>
      <c r="P28" s="526">
        <f t="shared" ca="1" si="24"/>
        <v>20668483.896219458</v>
      </c>
      <c r="Q28" s="526">
        <f t="shared" ca="1" si="24"/>
        <v>20790823.867231015</v>
      </c>
      <c r="R28" s="526">
        <f t="shared" ca="1" si="24"/>
        <v>20912214.421169445</v>
      </c>
      <c r="S28" s="526">
        <f t="shared" ca="1" si="24"/>
        <v>21032631.819201421</v>
      </c>
      <c r="T28" s="526">
        <f t="shared" ca="1" si="24"/>
        <v>21152051.992515843</v>
      </c>
      <c r="U28" s="526">
        <f t="shared" ca="1" si="24"/>
        <v>21270450.538430233</v>
      </c>
      <c r="V28" s="526">
        <f t="shared" ca="1" si="24"/>
        <v>21387802.716454435</v>
      </c>
      <c r="W28" s="526">
        <f t="shared" ca="1" si="24"/>
        <v>21504083.444311243</v>
      </c>
      <c r="X28" s="526">
        <f t="shared" ca="1" si="24"/>
        <v>21619267.293913428</v>
      </c>
      <c r="Y28" s="526">
        <f t="shared" ca="1" si="24"/>
        <v>21733328.487296771</v>
      </c>
      <c r="Z28" s="526">
        <f t="shared" ca="1" si="24"/>
        <v>21848564.671504848</v>
      </c>
      <c r="AA28" s="526">
        <f t="shared" ca="1" si="24"/>
        <v>21962792.448873408</v>
      </c>
      <c r="AB28" s="526">
        <f t="shared" ca="1" si="24"/>
        <v>22075988.46634895</v>
      </c>
      <c r="AC28" s="526">
        <f t="shared" ca="1" si="24"/>
        <v>22188129.056742307</v>
      </c>
      <c r="AD28" s="526">
        <f t="shared" ca="1" si="24"/>
        <v>22299190.235106442</v>
      </c>
      <c r="AE28" s="526">
        <f t="shared" ca="1" si="24"/>
        <v>22409147.695075259</v>
      </c>
      <c r="AF28" s="526">
        <f t="shared" ca="1" si="24"/>
        <v>22517976.805162985</v>
      </c>
      <c r="AG28" s="526">
        <f t="shared" ca="1" si="24"/>
        <v>22625652.605023775</v>
      </c>
      <c r="AH28" s="526">
        <f t="shared" ca="1" si="24"/>
        <v>22732149.801671047</v>
      </c>
      <c r="AI28" s="526">
        <f t="shared" ca="1" si="24"/>
        <v>22837442.765656192</v>
      </c>
      <c r="AJ28" s="526">
        <f t="shared" ca="1" si="24"/>
        <v>22941505.527206223</v>
      </c>
      <c r="AK28" s="526">
        <f t="shared" ca="1" si="24"/>
        <v>23044311.772319902</v>
      </c>
      <c r="AL28" s="526">
        <f t="shared" ca="1" si="24"/>
        <v>23149129.809011415</v>
      </c>
      <c r="AM28" s="526">
        <f t="shared" ca="1" si="24"/>
        <v>23253752.460888967</v>
      </c>
      <c r="AN28" s="526">
        <f t="shared" ca="1" si="24"/>
        <v>23358173.703205504</v>
      </c>
      <c r="AO28" s="526">
        <f t="shared" ca="1" si="24"/>
        <v>23462387.438129876</v>
      </c>
      <c r="AP28" s="526">
        <f t="shared" ca="1" si="24"/>
        <v>23566387.493980449</v>
      </c>
      <c r="AQ28" s="526">
        <f t="shared" ca="1" si="24"/>
        <v>23670167.624450989</v>
      </c>
      <c r="AR28" s="526">
        <f t="shared" ca="1" si="24"/>
        <v>23773721.507828768</v>
      </c>
      <c r="AS28" s="526">
        <f t="shared" ca="1" si="24"/>
        <v>23877042.746204793</v>
      </c>
      <c r="AT28" s="526">
        <f t="shared" ca="1" si="24"/>
        <v>23980124.864676114</v>
      </c>
      <c r="AU28" s="526">
        <f t="shared" ca="1" si="24"/>
        <v>24082961.310540076</v>
      </c>
      <c r="AV28" s="526">
        <f t="shared" ca="1" si="24"/>
        <v>24185545.452480506</v>
      </c>
      <c r="AW28" s="526">
        <f t="shared" ca="1" si="24"/>
        <v>24287870.579745695</v>
      </c>
      <c r="AX28" s="526">
        <f t="shared" ca="1" si="24"/>
        <v>24392194.863755718</v>
      </c>
      <c r="AY28" s="526">
        <f t="shared" ca="1" si="24"/>
        <v>24496268.810590472</v>
      </c>
      <c r="AZ28" s="526">
        <f t="shared" ca="1" si="24"/>
        <v>24600085.686535221</v>
      </c>
      <c r="BA28" s="526">
        <f t="shared" ca="1" si="24"/>
        <v>24703638.677241702</v>
      </c>
      <c r="BB28" s="526">
        <f t="shared" ca="1" si="24"/>
        <v>24806920.886885423</v>
      </c>
      <c r="BC28" s="526">
        <f t="shared" ca="1" si="24"/>
        <v>24909925.33731446</v>
      </c>
      <c r="BD28" s="526">
        <f t="shared" ca="1" si="24"/>
        <v>25012644.967189733</v>
      </c>
      <c r="BE28" s="526">
        <f t="shared" ca="1" si="24"/>
        <v>25115072.631116606</v>
      </c>
      <c r="BF28" s="526">
        <f t="shared" ca="1" si="24"/>
        <v>25217201.098767787</v>
      </c>
      <c r="BG28" s="526">
        <f t="shared" ca="1" si="24"/>
        <v>25319023.053997412</v>
      </c>
      <c r="BH28" s="526">
        <f t="shared" ca="1" si="24"/>
        <v>25420531.093946222</v>
      </c>
      <c r="BI28" s="526">
        <f t="shared" ca="1" si="24"/>
        <v>0</v>
      </c>
      <c r="BJ28" s="526">
        <f t="shared" ca="1" si="24"/>
        <v>0</v>
      </c>
      <c r="BK28" s="526">
        <f t="shared" ca="1" si="24"/>
        <v>0</v>
      </c>
      <c r="BL28" s="526">
        <f t="shared" ca="1" si="24"/>
        <v>0</v>
      </c>
      <c r="BM28" s="526">
        <f t="shared" ca="1" si="24"/>
        <v>0</v>
      </c>
      <c r="BN28" s="526">
        <f t="shared" ca="1" si="24"/>
        <v>0</v>
      </c>
      <c r="BO28" s="526">
        <f t="shared" ca="1" si="24"/>
        <v>0</v>
      </c>
      <c r="BP28" s="526">
        <f t="shared" ca="1" si="24"/>
        <v>0</v>
      </c>
      <c r="BQ28" s="526">
        <f t="shared" ca="1" si="24"/>
        <v>0</v>
      </c>
      <c r="BR28" s="526">
        <f t="shared" ca="1" si="24"/>
        <v>0</v>
      </c>
      <c r="BS28" s="526">
        <f t="shared" ca="1" si="24"/>
        <v>0</v>
      </c>
      <c r="BT28" s="526">
        <f t="shared" ca="1" si="24"/>
        <v>0</v>
      </c>
      <c r="BU28" s="526">
        <f t="shared" ca="1" si="24"/>
        <v>0</v>
      </c>
      <c r="BV28" s="526">
        <f t="shared" ca="1" si="24"/>
        <v>0</v>
      </c>
      <c r="BW28" s="526">
        <f t="shared" ca="1" si="24"/>
        <v>0</v>
      </c>
      <c r="BX28" s="526">
        <f t="shared" ca="1" si="24"/>
        <v>0</v>
      </c>
      <c r="BY28" s="526">
        <f t="shared" ref="BY28:EB28" ca="1" si="25">BX33</f>
        <v>0</v>
      </c>
      <c r="BZ28" s="526">
        <f t="shared" ca="1" si="25"/>
        <v>0</v>
      </c>
      <c r="CA28" s="526">
        <f t="shared" ca="1" si="25"/>
        <v>0</v>
      </c>
      <c r="CB28" s="526">
        <f t="shared" ca="1" si="25"/>
        <v>0</v>
      </c>
      <c r="CC28" s="526">
        <f t="shared" ca="1" si="25"/>
        <v>0</v>
      </c>
      <c r="CD28" s="526">
        <f t="shared" ca="1" si="25"/>
        <v>0</v>
      </c>
      <c r="CE28" s="526">
        <f t="shared" ca="1" si="25"/>
        <v>0</v>
      </c>
      <c r="CF28" s="526">
        <f t="shared" ca="1" si="25"/>
        <v>0</v>
      </c>
      <c r="CG28" s="526">
        <f t="shared" ca="1" si="25"/>
        <v>0</v>
      </c>
      <c r="CH28" s="526">
        <f t="shared" ca="1" si="25"/>
        <v>0</v>
      </c>
      <c r="CI28" s="526">
        <f t="shared" ca="1" si="25"/>
        <v>0</v>
      </c>
      <c r="CJ28" s="526">
        <f t="shared" ca="1" si="25"/>
        <v>0</v>
      </c>
      <c r="CK28" s="526">
        <f t="shared" ca="1" si="25"/>
        <v>0</v>
      </c>
      <c r="CL28" s="526">
        <f t="shared" ca="1" si="25"/>
        <v>0</v>
      </c>
      <c r="CM28" s="526">
        <f t="shared" ca="1" si="25"/>
        <v>0</v>
      </c>
      <c r="CN28" s="526">
        <f t="shared" ca="1" si="25"/>
        <v>0</v>
      </c>
      <c r="CO28" s="526">
        <f t="shared" ca="1" si="25"/>
        <v>0</v>
      </c>
      <c r="CP28" s="526">
        <f t="shared" ca="1" si="25"/>
        <v>0</v>
      </c>
      <c r="CQ28" s="526">
        <f t="shared" ca="1" si="25"/>
        <v>0</v>
      </c>
      <c r="CR28" s="526">
        <f t="shared" ca="1" si="25"/>
        <v>0</v>
      </c>
      <c r="CS28" s="526">
        <f t="shared" ca="1" si="25"/>
        <v>0</v>
      </c>
      <c r="CT28" s="526">
        <f t="shared" ca="1" si="25"/>
        <v>0</v>
      </c>
      <c r="CU28" s="526">
        <f t="shared" ca="1" si="25"/>
        <v>0</v>
      </c>
      <c r="CV28" s="526">
        <f t="shared" ca="1" si="25"/>
        <v>0</v>
      </c>
      <c r="CW28" s="526">
        <f t="shared" ca="1" si="25"/>
        <v>0</v>
      </c>
      <c r="CX28" s="526">
        <f t="shared" ca="1" si="25"/>
        <v>0</v>
      </c>
      <c r="CY28" s="526">
        <f t="shared" ca="1" si="25"/>
        <v>0</v>
      </c>
      <c r="CZ28" s="526">
        <f t="shared" ca="1" si="25"/>
        <v>0</v>
      </c>
      <c r="DA28" s="526">
        <f t="shared" ca="1" si="25"/>
        <v>0</v>
      </c>
      <c r="DB28" s="526">
        <f t="shared" ca="1" si="25"/>
        <v>0</v>
      </c>
      <c r="DC28" s="526">
        <f t="shared" ca="1" si="25"/>
        <v>0</v>
      </c>
      <c r="DD28" s="526">
        <f t="shared" ca="1" si="25"/>
        <v>0</v>
      </c>
      <c r="DE28" s="526">
        <f t="shared" ca="1" si="25"/>
        <v>0</v>
      </c>
      <c r="DF28" s="526">
        <f t="shared" ca="1" si="25"/>
        <v>0</v>
      </c>
      <c r="DG28" s="526">
        <f t="shared" ca="1" si="25"/>
        <v>0</v>
      </c>
      <c r="DH28" s="526">
        <f t="shared" ca="1" si="25"/>
        <v>0</v>
      </c>
      <c r="DI28" s="526">
        <f t="shared" ca="1" si="25"/>
        <v>0</v>
      </c>
      <c r="DJ28" s="526">
        <f t="shared" ca="1" si="25"/>
        <v>0</v>
      </c>
      <c r="DK28" s="526">
        <f t="shared" ca="1" si="25"/>
        <v>0</v>
      </c>
      <c r="DL28" s="526">
        <f t="shared" ca="1" si="25"/>
        <v>0</v>
      </c>
      <c r="DM28" s="526">
        <f t="shared" ca="1" si="25"/>
        <v>0</v>
      </c>
      <c r="DN28" s="526">
        <f t="shared" ca="1" si="25"/>
        <v>0</v>
      </c>
      <c r="DO28" s="526">
        <f t="shared" ca="1" si="25"/>
        <v>0</v>
      </c>
      <c r="DP28" s="526">
        <f t="shared" ca="1" si="25"/>
        <v>0</v>
      </c>
      <c r="DQ28" s="526">
        <f t="shared" ca="1" si="25"/>
        <v>0</v>
      </c>
      <c r="DR28" s="526">
        <f t="shared" ca="1" si="25"/>
        <v>0</v>
      </c>
      <c r="DS28" s="526">
        <f t="shared" ca="1" si="25"/>
        <v>0</v>
      </c>
      <c r="DT28" s="526">
        <f t="shared" ca="1" si="25"/>
        <v>0</v>
      </c>
      <c r="DU28" s="526">
        <f t="shared" ca="1" si="25"/>
        <v>0</v>
      </c>
      <c r="DV28" s="526">
        <f t="shared" ca="1" si="25"/>
        <v>0</v>
      </c>
      <c r="DW28" s="526">
        <f t="shared" ca="1" si="25"/>
        <v>0</v>
      </c>
      <c r="DX28" s="526">
        <f t="shared" ca="1" si="25"/>
        <v>0</v>
      </c>
      <c r="DY28" s="526">
        <f t="shared" ca="1" si="25"/>
        <v>0</v>
      </c>
      <c r="DZ28" s="526">
        <f t="shared" ca="1" si="25"/>
        <v>0</v>
      </c>
      <c r="EA28" s="526">
        <f t="shared" ca="1" si="25"/>
        <v>0</v>
      </c>
      <c r="EB28" s="526">
        <f t="shared" ca="1" si="25"/>
        <v>0</v>
      </c>
      <c r="EC28" s="523" t="s">
        <v>557</v>
      </c>
    </row>
    <row r="29" spans="2:133">
      <c r="B29" s="101"/>
      <c r="C29" s="101"/>
      <c r="D29" s="101"/>
      <c r="E29" s="101"/>
      <c r="H29" s="518" t="s">
        <v>1168</v>
      </c>
      <c r="I29" s="537">
        <f>F15</f>
        <v>0.125</v>
      </c>
      <c r="J29" s="538">
        <f>((I29+1)^(1/12)-1)</f>
        <v>9.8635805532114595E-3</v>
      </c>
      <c r="L29" s="526">
        <f>L28*$J29</f>
        <v>0</v>
      </c>
      <c r="M29" s="526">
        <f ca="1">M28*$J29</f>
        <v>200191.23090797977</v>
      </c>
      <c r="N29" s="526">
        <f t="shared" ref="N29:BY29" ca="1" si="26">N28*$J29</f>
        <v>201424.66210316279</v>
      </c>
      <c r="O29" s="526">
        <f t="shared" ca="1" si="26"/>
        <v>202649.411945506</v>
      </c>
      <c r="P29" s="526">
        <f t="shared" ca="1" si="26"/>
        <v>203865.25582311448</v>
      </c>
      <c r="Q29" s="526">
        <f t="shared" ca="1" si="26"/>
        <v>205071.96598206452</v>
      </c>
      <c r="R29" s="526">
        <f t="shared" ca="1" si="26"/>
        <v>206269.31148923517</v>
      </c>
      <c r="S29" s="526">
        <f t="shared" ca="1" si="26"/>
        <v>207457.05819473171</v>
      </c>
      <c r="T29" s="526">
        <f t="shared" ca="1" si="26"/>
        <v>208634.96869389698</v>
      </c>
      <c r="U29" s="526">
        <f t="shared" ca="1" si="26"/>
        <v>209802.80228890665</v>
      </c>
      <c r="V29" s="526">
        <f t="shared" ca="1" si="26"/>
        <v>210960.31494994319</v>
      </c>
      <c r="W29" s="526">
        <f t="shared" ca="1" si="26"/>
        <v>212107.25927594487</v>
      </c>
      <c r="X29" s="526">
        <f t="shared" ca="1" si="26"/>
        <v>213243.38445492502</v>
      </c>
      <c r="Y29" s="526">
        <f t="shared" ca="1" si="26"/>
        <v>214368.43622385705</v>
      </c>
      <c r="Z29" s="526">
        <f t="shared" ca="1" si="26"/>
        <v>215505.07760943813</v>
      </c>
      <c r="AA29" s="526">
        <f t="shared" ca="1" si="26"/>
        <v>216631.77249292724</v>
      </c>
      <c r="AB29" s="526">
        <f t="shared" ca="1" si="26"/>
        <v>217748.29052959997</v>
      </c>
      <c r="AC29" s="526">
        <f t="shared" ca="1" si="26"/>
        <v>218854.39827622953</v>
      </c>
      <c r="AD29" s="526">
        <f t="shared" ca="1" si="26"/>
        <v>219949.85915535878</v>
      </c>
      <c r="AE29" s="526">
        <f t="shared" ca="1" si="26"/>
        <v>221034.43341918773</v>
      </c>
      <c r="AF29" s="526">
        <f t="shared" ca="1" si="26"/>
        <v>222107.87811307234</v>
      </c>
      <c r="AG29" s="526">
        <f t="shared" ca="1" si="26"/>
        <v>223169.94703863072</v>
      </c>
      <c r="AH29" s="526">
        <f t="shared" ca="1" si="26"/>
        <v>224220.39071645227</v>
      </c>
      <c r="AI29" s="526">
        <f t="shared" ca="1" si="26"/>
        <v>225258.95634840615</v>
      </c>
      <c r="AJ29" s="526">
        <f t="shared" ca="1" si="26"/>
        <v>226285.38777954452</v>
      </c>
      <c r="AK29" s="526">
        <f t="shared" ca="1" si="26"/>
        <v>227299.42545959647</v>
      </c>
      <c r="AL29" s="526">
        <f t="shared" ca="1" si="26"/>
        <v>228333.3066079327</v>
      </c>
      <c r="AM29" s="526">
        <f t="shared" ca="1" si="26"/>
        <v>229365.26056241753</v>
      </c>
      <c r="AN29" s="526">
        <f t="shared" ca="1" si="26"/>
        <v>230395.22789747312</v>
      </c>
      <c r="AO29" s="526">
        <f t="shared" ca="1" si="26"/>
        <v>231423.14846665069</v>
      </c>
      <c r="AP29" s="526">
        <f t="shared" ca="1" si="26"/>
        <v>232448.9613950713</v>
      </c>
      <c r="AQ29" s="526">
        <f t="shared" ca="1" si="26"/>
        <v>233472.60507179025</v>
      </c>
      <c r="AR29" s="526">
        <f t="shared" ca="1" si="26"/>
        <v>234494.01714208486</v>
      </c>
      <c r="AS29" s="526">
        <f t="shared" ca="1" si="26"/>
        <v>235513.13449966433</v>
      </c>
      <c r="AT29" s="526">
        <f t="shared" ca="1" si="26"/>
        <v>236529.8932788019</v>
      </c>
      <c r="AU29" s="526">
        <f t="shared" ca="1" si="26"/>
        <v>237544.22884638706</v>
      </c>
      <c r="AV29" s="526">
        <f t="shared" ca="1" si="26"/>
        <v>238556.07579389858</v>
      </c>
      <c r="AW29" s="526">
        <f t="shared" ca="1" si="26"/>
        <v>239565.36792929636</v>
      </c>
      <c r="AX29" s="526">
        <f t="shared" ca="1" si="26"/>
        <v>240594.37890828535</v>
      </c>
      <c r="AY29" s="526">
        <f t="shared" ca="1" si="26"/>
        <v>241620.92066638058</v>
      </c>
      <c r="AZ29" s="526">
        <f t="shared" ca="1" si="26"/>
        <v>242644.92678504437</v>
      </c>
      <c r="BA29" s="526">
        <f t="shared" ca="1" si="26"/>
        <v>243666.33005040372</v>
      </c>
      <c r="BB29" s="526">
        <f t="shared" ca="1" si="26"/>
        <v>244685.06244493823</v>
      </c>
      <c r="BC29" s="526">
        <f t="shared" ca="1" si="26"/>
        <v>245701.05513908432</v>
      </c>
      <c r="BD29" s="526">
        <f t="shared" ca="1" si="26"/>
        <v>246714.23848275514</v>
      </c>
      <c r="BE29" s="526">
        <f t="shared" ca="1" si="26"/>
        <v>247724.54199677514</v>
      </c>
      <c r="BF29" s="526">
        <f t="shared" ca="1" si="26"/>
        <v>248731.89436422859</v>
      </c>
      <c r="BG29" s="526">
        <f t="shared" ca="1" si="26"/>
        <v>249736.22342172149</v>
      </c>
      <c r="BH29" s="526">
        <f t="shared" ca="1" si="26"/>
        <v>250737.4561505552</v>
      </c>
      <c r="BI29" s="526">
        <f t="shared" ca="1" si="26"/>
        <v>0</v>
      </c>
      <c r="BJ29" s="526">
        <f t="shared" ca="1" si="26"/>
        <v>0</v>
      </c>
      <c r="BK29" s="526">
        <f t="shared" ca="1" si="26"/>
        <v>0</v>
      </c>
      <c r="BL29" s="526">
        <f t="shared" ca="1" si="26"/>
        <v>0</v>
      </c>
      <c r="BM29" s="526">
        <f t="shared" ca="1" si="26"/>
        <v>0</v>
      </c>
      <c r="BN29" s="526">
        <f t="shared" ca="1" si="26"/>
        <v>0</v>
      </c>
      <c r="BO29" s="526">
        <f t="shared" ca="1" si="26"/>
        <v>0</v>
      </c>
      <c r="BP29" s="526">
        <f t="shared" ca="1" si="26"/>
        <v>0</v>
      </c>
      <c r="BQ29" s="526">
        <f t="shared" ca="1" si="26"/>
        <v>0</v>
      </c>
      <c r="BR29" s="526">
        <f t="shared" ca="1" si="26"/>
        <v>0</v>
      </c>
      <c r="BS29" s="526">
        <f t="shared" ca="1" si="26"/>
        <v>0</v>
      </c>
      <c r="BT29" s="526">
        <f t="shared" ca="1" si="26"/>
        <v>0</v>
      </c>
      <c r="BU29" s="526">
        <f t="shared" ca="1" si="26"/>
        <v>0</v>
      </c>
      <c r="BV29" s="526">
        <f t="shared" ca="1" si="26"/>
        <v>0</v>
      </c>
      <c r="BW29" s="526">
        <f t="shared" ca="1" si="26"/>
        <v>0</v>
      </c>
      <c r="BX29" s="526">
        <f t="shared" ca="1" si="26"/>
        <v>0</v>
      </c>
      <c r="BY29" s="526">
        <f t="shared" ca="1" si="26"/>
        <v>0</v>
      </c>
      <c r="BZ29" s="526">
        <f t="shared" ref="BZ29:EB29" ca="1" si="27">BZ28*$J29</f>
        <v>0</v>
      </c>
      <c r="CA29" s="526">
        <f t="shared" ca="1" si="27"/>
        <v>0</v>
      </c>
      <c r="CB29" s="526">
        <f t="shared" ca="1" si="27"/>
        <v>0</v>
      </c>
      <c r="CC29" s="526">
        <f t="shared" ca="1" si="27"/>
        <v>0</v>
      </c>
      <c r="CD29" s="526">
        <f t="shared" ca="1" si="27"/>
        <v>0</v>
      </c>
      <c r="CE29" s="526">
        <f t="shared" ca="1" si="27"/>
        <v>0</v>
      </c>
      <c r="CF29" s="526">
        <f t="shared" ca="1" si="27"/>
        <v>0</v>
      </c>
      <c r="CG29" s="526">
        <f t="shared" ca="1" si="27"/>
        <v>0</v>
      </c>
      <c r="CH29" s="526">
        <f t="shared" ca="1" si="27"/>
        <v>0</v>
      </c>
      <c r="CI29" s="526">
        <f t="shared" ca="1" si="27"/>
        <v>0</v>
      </c>
      <c r="CJ29" s="526">
        <f t="shared" ca="1" si="27"/>
        <v>0</v>
      </c>
      <c r="CK29" s="526">
        <f t="shared" ca="1" si="27"/>
        <v>0</v>
      </c>
      <c r="CL29" s="526">
        <f t="shared" ca="1" si="27"/>
        <v>0</v>
      </c>
      <c r="CM29" s="526">
        <f t="shared" ca="1" si="27"/>
        <v>0</v>
      </c>
      <c r="CN29" s="526">
        <f t="shared" ca="1" si="27"/>
        <v>0</v>
      </c>
      <c r="CO29" s="526">
        <f t="shared" ca="1" si="27"/>
        <v>0</v>
      </c>
      <c r="CP29" s="526">
        <f t="shared" ca="1" si="27"/>
        <v>0</v>
      </c>
      <c r="CQ29" s="526">
        <f t="shared" ca="1" si="27"/>
        <v>0</v>
      </c>
      <c r="CR29" s="526">
        <f t="shared" ca="1" si="27"/>
        <v>0</v>
      </c>
      <c r="CS29" s="526">
        <f t="shared" ca="1" si="27"/>
        <v>0</v>
      </c>
      <c r="CT29" s="526">
        <f t="shared" ca="1" si="27"/>
        <v>0</v>
      </c>
      <c r="CU29" s="526">
        <f t="shared" ca="1" si="27"/>
        <v>0</v>
      </c>
      <c r="CV29" s="526">
        <f t="shared" ca="1" si="27"/>
        <v>0</v>
      </c>
      <c r="CW29" s="526">
        <f t="shared" ca="1" si="27"/>
        <v>0</v>
      </c>
      <c r="CX29" s="526">
        <f t="shared" ca="1" si="27"/>
        <v>0</v>
      </c>
      <c r="CY29" s="526">
        <f t="shared" ca="1" si="27"/>
        <v>0</v>
      </c>
      <c r="CZ29" s="526">
        <f t="shared" ca="1" si="27"/>
        <v>0</v>
      </c>
      <c r="DA29" s="526">
        <f t="shared" ca="1" si="27"/>
        <v>0</v>
      </c>
      <c r="DB29" s="526">
        <f t="shared" ca="1" si="27"/>
        <v>0</v>
      </c>
      <c r="DC29" s="526">
        <f t="shared" ca="1" si="27"/>
        <v>0</v>
      </c>
      <c r="DD29" s="526">
        <f t="shared" ca="1" si="27"/>
        <v>0</v>
      </c>
      <c r="DE29" s="526">
        <f t="shared" ca="1" si="27"/>
        <v>0</v>
      </c>
      <c r="DF29" s="526">
        <f t="shared" ca="1" si="27"/>
        <v>0</v>
      </c>
      <c r="DG29" s="526">
        <f t="shared" ca="1" si="27"/>
        <v>0</v>
      </c>
      <c r="DH29" s="526">
        <f t="shared" ca="1" si="27"/>
        <v>0</v>
      </c>
      <c r="DI29" s="526">
        <f t="shared" ca="1" si="27"/>
        <v>0</v>
      </c>
      <c r="DJ29" s="526">
        <f t="shared" ca="1" si="27"/>
        <v>0</v>
      </c>
      <c r="DK29" s="526">
        <f t="shared" ca="1" si="27"/>
        <v>0</v>
      </c>
      <c r="DL29" s="526">
        <f t="shared" ca="1" si="27"/>
        <v>0</v>
      </c>
      <c r="DM29" s="526">
        <f t="shared" ca="1" si="27"/>
        <v>0</v>
      </c>
      <c r="DN29" s="526">
        <f t="shared" ca="1" si="27"/>
        <v>0</v>
      </c>
      <c r="DO29" s="526">
        <f t="shared" ca="1" si="27"/>
        <v>0</v>
      </c>
      <c r="DP29" s="526">
        <f t="shared" ca="1" si="27"/>
        <v>0</v>
      </c>
      <c r="DQ29" s="526">
        <f t="shared" ca="1" si="27"/>
        <v>0</v>
      </c>
      <c r="DR29" s="526">
        <f t="shared" ca="1" si="27"/>
        <v>0</v>
      </c>
      <c r="DS29" s="526">
        <f t="shared" ca="1" si="27"/>
        <v>0</v>
      </c>
      <c r="DT29" s="526">
        <f t="shared" ca="1" si="27"/>
        <v>0</v>
      </c>
      <c r="DU29" s="526">
        <f t="shared" ca="1" si="27"/>
        <v>0</v>
      </c>
      <c r="DV29" s="526">
        <f t="shared" ca="1" si="27"/>
        <v>0</v>
      </c>
      <c r="DW29" s="526">
        <f t="shared" ca="1" si="27"/>
        <v>0</v>
      </c>
      <c r="DX29" s="526">
        <f t="shared" ca="1" si="27"/>
        <v>0</v>
      </c>
      <c r="DY29" s="526">
        <f t="shared" ca="1" si="27"/>
        <v>0</v>
      </c>
      <c r="DZ29" s="526">
        <f t="shared" ca="1" si="27"/>
        <v>0</v>
      </c>
      <c r="EA29" s="526">
        <f t="shared" ca="1" si="27"/>
        <v>0</v>
      </c>
      <c r="EB29" s="526">
        <f t="shared" ca="1" si="27"/>
        <v>0</v>
      </c>
      <c r="EC29" s="523" t="s">
        <v>557</v>
      </c>
    </row>
    <row r="30" spans="2:133">
      <c r="B30" s="101"/>
      <c r="C30" s="101"/>
      <c r="D30" s="101"/>
      <c r="E30" s="101"/>
      <c r="H30" s="518" t="s">
        <v>1145</v>
      </c>
      <c r="L30" s="526">
        <f ca="1">L11</f>
        <v>20296000</v>
      </c>
      <c r="M30" s="526">
        <f t="shared" ref="M30:BX31" si="28">M11</f>
        <v>0</v>
      </c>
      <c r="N30" s="526">
        <f t="shared" si="28"/>
        <v>0</v>
      </c>
      <c r="O30" s="526">
        <f t="shared" si="28"/>
        <v>0</v>
      </c>
      <c r="P30" s="526">
        <f t="shared" si="28"/>
        <v>0</v>
      </c>
      <c r="Q30" s="526">
        <f t="shared" si="28"/>
        <v>0</v>
      </c>
      <c r="R30" s="526">
        <f t="shared" si="28"/>
        <v>0</v>
      </c>
      <c r="S30" s="526">
        <f t="shared" si="28"/>
        <v>0</v>
      </c>
      <c r="T30" s="526">
        <f t="shared" si="28"/>
        <v>0</v>
      </c>
      <c r="U30" s="526">
        <f t="shared" si="28"/>
        <v>0</v>
      </c>
      <c r="V30" s="526">
        <f t="shared" si="28"/>
        <v>0</v>
      </c>
      <c r="W30" s="526">
        <f t="shared" si="28"/>
        <v>0</v>
      </c>
      <c r="X30" s="526">
        <f t="shared" si="28"/>
        <v>0</v>
      </c>
      <c r="Y30" s="526">
        <f t="shared" si="28"/>
        <v>0</v>
      </c>
      <c r="Z30" s="526">
        <f t="shared" si="28"/>
        <v>0</v>
      </c>
      <c r="AA30" s="526">
        <f t="shared" si="28"/>
        <v>0</v>
      </c>
      <c r="AB30" s="526">
        <f t="shared" si="28"/>
        <v>0</v>
      </c>
      <c r="AC30" s="526">
        <f t="shared" si="28"/>
        <v>0</v>
      </c>
      <c r="AD30" s="526">
        <f t="shared" si="28"/>
        <v>0</v>
      </c>
      <c r="AE30" s="526">
        <f t="shared" si="28"/>
        <v>0</v>
      </c>
      <c r="AF30" s="526">
        <f t="shared" si="28"/>
        <v>0</v>
      </c>
      <c r="AG30" s="526">
        <f t="shared" si="28"/>
        <v>0</v>
      </c>
      <c r="AH30" s="526">
        <f t="shared" si="28"/>
        <v>0</v>
      </c>
      <c r="AI30" s="526">
        <f t="shared" si="28"/>
        <v>0</v>
      </c>
      <c r="AJ30" s="526">
        <f t="shared" si="28"/>
        <v>0</v>
      </c>
      <c r="AK30" s="526">
        <f t="shared" si="28"/>
        <v>0</v>
      </c>
      <c r="AL30" s="526">
        <f t="shared" si="28"/>
        <v>0</v>
      </c>
      <c r="AM30" s="526">
        <f t="shared" si="28"/>
        <v>0</v>
      </c>
      <c r="AN30" s="526">
        <f t="shared" si="28"/>
        <v>0</v>
      </c>
      <c r="AO30" s="526">
        <f t="shared" si="28"/>
        <v>0</v>
      </c>
      <c r="AP30" s="526">
        <f t="shared" si="28"/>
        <v>0</v>
      </c>
      <c r="AQ30" s="526">
        <f t="shared" si="28"/>
        <v>0</v>
      </c>
      <c r="AR30" s="526">
        <f t="shared" si="28"/>
        <v>0</v>
      </c>
      <c r="AS30" s="526">
        <f t="shared" si="28"/>
        <v>0</v>
      </c>
      <c r="AT30" s="526">
        <f t="shared" si="28"/>
        <v>0</v>
      </c>
      <c r="AU30" s="526">
        <f t="shared" si="28"/>
        <v>0</v>
      </c>
      <c r="AV30" s="526">
        <f t="shared" si="28"/>
        <v>0</v>
      </c>
      <c r="AW30" s="526">
        <f t="shared" si="28"/>
        <v>0</v>
      </c>
      <c r="AX30" s="526">
        <f t="shared" si="28"/>
        <v>0</v>
      </c>
      <c r="AY30" s="526">
        <f t="shared" si="28"/>
        <v>0</v>
      </c>
      <c r="AZ30" s="526">
        <f t="shared" si="28"/>
        <v>0</v>
      </c>
      <c r="BA30" s="526">
        <f t="shared" si="28"/>
        <v>0</v>
      </c>
      <c r="BB30" s="526">
        <f t="shared" si="28"/>
        <v>0</v>
      </c>
      <c r="BC30" s="526">
        <f t="shared" si="28"/>
        <v>0</v>
      </c>
      <c r="BD30" s="526">
        <f t="shared" si="28"/>
        <v>0</v>
      </c>
      <c r="BE30" s="526">
        <f t="shared" si="28"/>
        <v>0</v>
      </c>
      <c r="BF30" s="526">
        <f t="shared" si="28"/>
        <v>0</v>
      </c>
      <c r="BG30" s="526">
        <f t="shared" si="28"/>
        <v>0</v>
      </c>
      <c r="BH30" s="526">
        <f t="shared" si="28"/>
        <v>0</v>
      </c>
      <c r="BI30" s="526">
        <f t="shared" si="28"/>
        <v>0</v>
      </c>
      <c r="BJ30" s="526">
        <f t="shared" si="28"/>
        <v>0</v>
      </c>
      <c r="BK30" s="526">
        <f t="shared" si="28"/>
        <v>0</v>
      </c>
      <c r="BL30" s="526">
        <f t="shared" si="28"/>
        <v>0</v>
      </c>
      <c r="BM30" s="526">
        <f t="shared" si="28"/>
        <v>0</v>
      </c>
      <c r="BN30" s="526">
        <f t="shared" si="28"/>
        <v>0</v>
      </c>
      <c r="BO30" s="526">
        <f t="shared" si="28"/>
        <v>0</v>
      </c>
      <c r="BP30" s="526">
        <f t="shared" si="28"/>
        <v>0</v>
      </c>
      <c r="BQ30" s="526">
        <f t="shared" si="28"/>
        <v>0</v>
      </c>
      <c r="BR30" s="526">
        <f t="shared" si="28"/>
        <v>0</v>
      </c>
      <c r="BS30" s="526">
        <f t="shared" si="28"/>
        <v>0</v>
      </c>
      <c r="BT30" s="526">
        <f t="shared" si="28"/>
        <v>0</v>
      </c>
      <c r="BU30" s="526">
        <f t="shared" si="28"/>
        <v>0</v>
      </c>
      <c r="BV30" s="526">
        <f t="shared" si="28"/>
        <v>0</v>
      </c>
      <c r="BW30" s="526">
        <f t="shared" si="28"/>
        <v>0</v>
      </c>
      <c r="BX30" s="526">
        <f t="shared" si="28"/>
        <v>0</v>
      </c>
      <c r="BY30" s="526">
        <f t="shared" ref="BY30:EB31" si="29">BY11</f>
        <v>0</v>
      </c>
      <c r="BZ30" s="526">
        <f t="shared" si="29"/>
        <v>0</v>
      </c>
      <c r="CA30" s="526">
        <f t="shared" si="29"/>
        <v>0</v>
      </c>
      <c r="CB30" s="526">
        <f t="shared" si="29"/>
        <v>0</v>
      </c>
      <c r="CC30" s="526">
        <f t="shared" si="29"/>
        <v>0</v>
      </c>
      <c r="CD30" s="526">
        <f t="shared" si="29"/>
        <v>0</v>
      </c>
      <c r="CE30" s="526">
        <f t="shared" si="29"/>
        <v>0</v>
      </c>
      <c r="CF30" s="526">
        <f t="shared" si="29"/>
        <v>0</v>
      </c>
      <c r="CG30" s="526">
        <f t="shared" si="29"/>
        <v>0</v>
      </c>
      <c r="CH30" s="526">
        <f t="shared" si="29"/>
        <v>0</v>
      </c>
      <c r="CI30" s="526">
        <f t="shared" si="29"/>
        <v>0</v>
      </c>
      <c r="CJ30" s="526">
        <f t="shared" si="29"/>
        <v>0</v>
      </c>
      <c r="CK30" s="526">
        <f t="shared" si="29"/>
        <v>0</v>
      </c>
      <c r="CL30" s="526">
        <f t="shared" si="29"/>
        <v>0</v>
      </c>
      <c r="CM30" s="526">
        <f t="shared" si="29"/>
        <v>0</v>
      </c>
      <c r="CN30" s="526">
        <f t="shared" si="29"/>
        <v>0</v>
      </c>
      <c r="CO30" s="526">
        <f t="shared" si="29"/>
        <v>0</v>
      </c>
      <c r="CP30" s="526">
        <f t="shared" si="29"/>
        <v>0</v>
      </c>
      <c r="CQ30" s="526">
        <f t="shared" si="29"/>
        <v>0</v>
      </c>
      <c r="CR30" s="526">
        <f t="shared" si="29"/>
        <v>0</v>
      </c>
      <c r="CS30" s="526">
        <f t="shared" si="29"/>
        <v>0</v>
      </c>
      <c r="CT30" s="526">
        <f t="shared" si="29"/>
        <v>0</v>
      </c>
      <c r="CU30" s="526">
        <f t="shared" si="29"/>
        <v>0</v>
      </c>
      <c r="CV30" s="526">
        <f t="shared" si="29"/>
        <v>0</v>
      </c>
      <c r="CW30" s="526">
        <f t="shared" si="29"/>
        <v>0</v>
      </c>
      <c r="CX30" s="526">
        <f t="shared" si="29"/>
        <v>0</v>
      </c>
      <c r="CY30" s="526">
        <f t="shared" si="29"/>
        <v>0</v>
      </c>
      <c r="CZ30" s="526">
        <f t="shared" si="29"/>
        <v>0</v>
      </c>
      <c r="DA30" s="526">
        <f t="shared" si="29"/>
        <v>0</v>
      </c>
      <c r="DB30" s="526">
        <f t="shared" si="29"/>
        <v>0</v>
      </c>
      <c r="DC30" s="526">
        <f t="shared" si="29"/>
        <v>0</v>
      </c>
      <c r="DD30" s="526">
        <f t="shared" si="29"/>
        <v>0</v>
      </c>
      <c r="DE30" s="526">
        <f t="shared" si="29"/>
        <v>0</v>
      </c>
      <c r="DF30" s="526">
        <f t="shared" si="29"/>
        <v>0</v>
      </c>
      <c r="DG30" s="526">
        <f t="shared" si="29"/>
        <v>0</v>
      </c>
      <c r="DH30" s="526">
        <f t="shared" si="29"/>
        <v>0</v>
      </c>
      <c r="DI30" s="526">
        <f t="shared" si="29"/>
        <v>0</v>
      </c>
      <c r="DJ30" s="526">
        <f t="shared" si="29"/>
        <v>0</v>
      </c>
      <c r="DK30" s="526">
        <f t="shared" si="29"/>
        <v>0</v>
      </c>
      <c r="DL30" s="526">
        <f t="shared" si="29"/>
        <v>0</v>
      </c>
      <c r="DM30" s="526">
        <f t="shared" si="29"/>
        <v>0</v>
      </c>
      <c r="DN30" s="526">
        <f t="shared" si="29"/>
        <v>0</v>
      </c>
      <c r="DO30" s="526">
        <f t="shared" si="29"/>
        <v>0</v>
      </c>
      <c r="DP30" s="526">
        <f t="shared" si="29"/>
        <v>0</v>
      </c>
      <c r="DQ30" s="526">
        <f t="shared" si="29"/>
        <v>0</v>
      </c>
      <c r="DR30" s="526">
        <f t="shared" si="29"/>
        <v>0</v>
      </c>
      <c r="DS30" s="526">
        <f t="shared" si="29"/>
        <v>0</v>
      </c>
      <c r="DT30" s="526">
        <f t="shared" si="29"/>
        <v>0</v>
      </c>
      <c r="DU30" s="526">
        <f t="shared" si="29"/>
        <v>0</v>
      </c>
      <c r="DV30" s="526">
        <f t="shared" si="29"/>
        <v>0</v>
      </c>
      <c r="DW30" s="526">
        <f t="shared" si="29"/>
        <v>0</v>
      </c>
      <c r="DX30" s="526">
        <f t="shared" si="29"/>
        <v>0</v>
      </c>
      <c r="DY30" s="526">
        <f t="shared" si="29"/>
        <v>0</v>
      </c>
      <c r="DZ30" s="526">
        <f t="shared" si="29"/>
        <v>0</v>
      </c>
      <c r="EA30" s="526">
        <f t="shared" si="29"/>
        <v>0</v>
      </c>
      <c r="EB30" s="526">
        <f t="shared" si="29"/>
        <v>0</v>
      </c>
      <c r="EC30" s="523" t="s">
        <v>557</v>
      </c>
    </row>
    <row r="31" spans="2:133">
      <c r="B31" s="101"/>
      <c r="C31" s="101"/>
      <c r="D31" s="101"/>
      <c r="E31" s="101"/>
      <c r="H31" s="518" t="s">
        <v>1169</v>
      </c>
      <c r="L31" s="526">
        <f ca="1">L12</f>
        <v>0</v>
      </c>
      <c r="M31" s="526">
        <f t="shared" ca="1" si="28"/>
        <v>75142.199419975848</v>
      </c>
      <c r="N31" s="526">
        <f t="shared" ca="1" si="28"/>
        <v>77255.772749442272</v>
      </c>
      <c r="O31" s="526">
        <f t="shared" ca="1" si="28"/>
        <v>79383.436567771874</v>
      </c>
      <c r="P31" s="526">
        <f t="shared" ca="1" si="28"/>
        <v>81525.284811557081</v>
      </c>
      <c r="Q31" s="526">
        <f t="shared" ca="1" si="28"/>
        <v>83681.412043634118</v>
      </c>
      <c r="R31" s="526">
        <f t="shared" ca="1" si="28"/>
        <v>85851.913457258299</v>
      </c>
      <c r="S31" s="526">
        <f t="shared" ca="1" si="28"/>
        <v>88036.884880306709</v>
      </c>
      <c r="T31" s="526">
        <f t="shared" ca="1" si="28"/>
        <v>90236.422779508677</v>
      </c>
      <c r="U31" s="526">
        <f t="shared" ca="1" si="28"/>
        <v>92450.624264705359</v>
      </c>
      <c r="V31" s="526">
        <f t="shared" ca="1" si="28"/>
        <v>94679.587093136754</v>
      </c>
      <c r="W31" s="526">
        <f t="shared" ca="1" si="28"/>
        <v>96923.409673757662</v>
      </c>
      <c r="X31" s="526">
        <f t="shared" ca="1" si="28"/>
        <v>99182.191071582594</v>
      </c>
      <c r="Y31" s="526">
        <f t="shared" ca="1" si="28"/>
        <v>99132.252015780003</v>
      </c>
      <c r="Z31" s="526">
        <f t="shared" ca="1" si="28"/>
        <v>101277.30024087873</v>
      </c>
      <c r="AA31" s="526">
        <f t="shared" ca="1" si="28"/>
        <v>103435.75501738423</v>
      </c>
      <c r="AB31" s="526">
        <f t="shared" ca="1" si="28"/>
        <v>105607.70013624289</v>
      </c>
      <c r="AC31" s="526">
        <f t="shared" ca="1" si="28"/>
        <v>107793.2199120944</v>
      </c>
      <c r="AD31" s="526">
        <f t="shared" ca="1" si="28"/>
        <v>109992.39918654515</v>
      </c>
      <c r="AE31" s="526">
        <f t="shared" ca="1" si="28"/>
        <v>112205.32333146107</v>
      </c>
      <c r="AF31" s="526">
        <f t="shared" ca="1" si="28"/>
        <v>114432.07825228265</v>
      </c>
      <c r="AG31" s="526">
        <f t="shared" ca="1" si="28"/>
        <v>116672.75039135954</v>
      </c>
      <c r="AH31" s="526">
        <f t="shared" ca="1" si="28"/>
        <v>118927.4267313055</v>
      </c>
      <c r="AI31" s="526">
        <f t="shared" ca="1" si="28"/>
        <v>121196.19479837616</v>
      </c>
      <c r="AJ31" s="526">
        <f t="shared" ca="1" si="28"/>
        <v>123479.14266586611</v>
      </c>
      <c r="AK31" s="526">
        <f t="shared" ca="1" si="28"/>
        <v>122481.38876808564</v>
      </c>
      <c r="AL31" s="526">
        <f t="shared" ca="1" si="28"/>
        <v>123710.65473037933</v>
      </c>
      <c r="AM31" s="526">
        <f t="shared" ca="1" si="28"/>
        <v>124944.01824588062</v>
      </c>
      <c r="AN31" s="526">
        <f t="shared" ca="1" si="28"/>
        <v>126181.4929731002</v>
      </c>
      <c r="AO31" s="526">
        <f t="shared" ca="1" si="28"/>
        <v>127423.09261607715</v>
      </c>
      <c r="AP31" s="526">
        <f t="shared" ca="1" si="28"/>
        <v>128668.83092453091</v>
      </c>
      <c r="AQ31" s="526">
        <f t="shared" ca="1" si="28"/>
        <v>129918.72169401268</v>
      </c>
      <c r="AR31" s="526">
        <f t="shared" ca="1" si="28"/>
        <v>131172.77876605943</v>
      </c>
      <c r="AS31" s="526">
        <f t="shared" ca="1" si="28"/>
        <v>132431.01602834626</v>
      </c>
      <c r="AT31" s="526">
        <f t="shared" ca="1" si="28"/>
        <v>133693.44741484086</v>
      </c>
      <c r="AU31" s="526">
        <f t="shared" ca="1" si="28"/>
        <v>134960.08690595691</v>
      </c>
      <c r="AV31" s="526">
        <f t="shared" ca="1" si="28"/>
        <v>136230.94852871029</v>
      </c>
      <c r="AW31" s="526">
        <f t="shared" ca="1" si="28"/>
        <v>135241.08391927258</v>
      </c>
      <c r="AX31" s="526">
        <f t="shared" ca="1" si="28"/>
        <v>136520.43207352899</v>
      </c>
      <c r="AY31" s="526">
        <f t="shared" ca="1" si="28"/>
        <v>137804.04472163261</v>
      </c>
      <c r="AZ31" s="526">
        <f t="shared" ca="1" si="28"/>
        <v>139091.93607856351</v>
      </c>
      <c r="BA31" s="526">
        <f t="shared" ca="1" si="28"/>
        <v>140384.12040668412</v>
      </c>
      <c r="BB31" s="526">
        <f t="shared" ca="1" si="28"/>
        <v>141680.61201589828</v>
      </c>
      <c r="BC31" s="526">
        <f t="shared" ca="1" si="28"/>
        <v>142981.42526381009</v>
      </c>
      <c r="BD31" s="526">
        <f t="shared" ca="1" si="28"/>
        <v>144286.57455588144</v>
      </c>
      <c r="BE31" s="526">
        <f t="shared" ca="1" si="28"/>
        <v>145596.07434559317</v>
      </c>
      <c r="BF31" s="526">
        <f t="shared" ca="1" si="28"/>
        <v>146909.93913460377</v>
      </c>
      <c r="BG31" s="526">
        <f t="shared" ca="1" si="28"/>
        <v>148228.18347291125</v>
      </c>
      <c r="BH31" s="526">
        <f t="shared" ca="1" si="28"/>
        <v>23165933.310961749</v>
      </c>
      <c r="BI31" s="526">
        <f t="shared" ca="1" si="28"/>
        <v>0</v>
      </c>
      <c r="BJ31" s="526">
        <f t="shared" ca="1" si="28"/>
        <v>0</v>
      </c>
      <c r="BK31" s="526">
        <f t="shared" ca="1" si="28"/>
        <v>0</v>
      </c>
      <c r="BL31" s="526">
        <f t="shared" ca="1" si="28"/>
        <v>0</v>
      </c>
      <c r="BM31" s="526">
        <f t="shared" ca="1" si="28"/>
        <v>0</v>
      </c>
      <c r="BN31" s="526">
        <f t="shared" ca="1" si="28"/>
        <v>0</v>
      </c>
      <c r="BO31" s="526">
        <f t="shared" ca="1" si="28"/>
        <v>0</v>
      </c>
      <c r="BP31" s="526">
        <f t="shared" ca="1" si="28"/>
        <v>0</v>
      </c>
      <c r="BQ31" s="526">
        <f t="shared" ca="1" si="28"/>
        <v>0</v>
      </c>
      <c r="BR31" s="526">
        <f t="shared" ca="1" si="28"/>
        <v>0</v>
      </c>
      <c r="BS31" s="526">
        <f t="shared" ca="1" si="28"/>
        <v>0</v>
      </c>
      <c r="BT31" s="526">
        <f t="shared" ca="1" si="28"/>
        <v>0</v>
      </c>
      <c r="BU31" s="526">
        <f t="shared" ca="1" si="28"/>
        <v>0</v>
      </c>
      <c r="BV31" s="526">
        <f t="shared" ca="1" si="28"/>
        <v>0</v>
      </c>
      <c r="BW31" s="526">
        <f t="shared" ca="1" si="28"/>
        <v>0</v>
      </c>
      <c r="BX31" s="526">
        <f t="shared" ca="1" si="28"/>
        <v>0</v>
      </c>
      <c r="BY31" s="526">
        <f t="shared" ca="1" si="29"/>
        <v>0</v>
      </c>
      <c r="BZ31" s="526">
        <f t="shared" ca="1" si="29"/>
        <v>0</v>
      </c>
      <c r="CA31" s="526">
        <f t="shared" ca="1" si="29"/>
        <v>0</v>
      </c>
      <c r="CB31" s="526">
        <f t="shared" ca="1" si="29"/>
        <v>0</v>
      </c>
      <c r="CC31" s="526">
        <f t="shared" ca="1" si="29"/>
        <v>0</v>
      </c>
      <c r="CD31" s="526">
        <f t="shared" ca="1" si="29"/>
        <v>0</v>
      </c>
      <c r="CE31" s="526">
        <f t="shared" ca="1" si="29"/>
        <v>0</v>
      </c>
      <c r="CF31" s="526">
        <f t="shared" ca="1" si="29"/>
        <v>0</v>
      </c>
      <c r="CG31" s="526">
        <f t="shared" ca="1" si="29"/>
        <v>0</v>
      </c>
      <c r="CH31" s="526">
        <f t="shared" ca="1" si="29"/>
        <v>0</v>
      </c>
      <c r="CI31" s="526">
        <f t="shared" ca="1" si="29"/>
        <v>0</v>
      </c>
      <c r="CJ31" s="526">
        <f t="shared" ca="1" si="29"/>
        <v>0</v>
      </c>
      <c r="CK31" s="526">
        <f t="shared" ca="1" si="29"/>
        <v>0</v>
      </c>
      <c r="CL31" s="526">
        <f t="shared" ca="1" si="29"/>
        <v>0</v>
      </c>
      <c r="CM31" s="526">
        <f t="shared" ca="1" si="29"/>
        <v>0</v>
      </c>
      <c r="CN31" s="526">
        <f t="shared" ca="1" si="29"/>
        <v>0</v>
      </c>
      <c r="CO31" s="526">
        <f t="shared" ca="1" si="29"/>
        <v>0</v>
      </c>
      <c r="CP31" s="526">
        <f t="shared" ca="1" si="29"/>
        <v>0</v>
      </c>
      <c r="CQ31" s="526">
        <f t="shared" ca="1" si="29"/>
        <v>0</v>
      </c>
      <c r="CR31" s="526">
        <f t="shared" ca="1" si="29"/>
        <v>0</v>
      </c>
      <c r="CS31" s="526">
        <f t="shared" ca="1" si="29"/>
        <v>0</v>
      </c>
      <c r="CT31" s="526">
        <f t="shared" ca="1" si="29"/>
        <v>0</v>
      </c>
      <c r="CU31" s="526">
        <f t="shared" ca="1" si="29"/>
        <v>0</v>
      </c>
      <c r="CV31" s="526">
        <f t="shared" ca="1" si="29"/>
        <v>0</v>
      </c>
      <c r="CW31" s="526">
        <f t="shared" ca="1" si="29"/>
        <v>0</v>
      </c>
      <c r="CX31" s="526">
        <f t="shared" ca="1" si="29"/>
        <v>0</v>
      </c>
      <c r="CY31" s="526">
        <f t="shared" ca="1" si="29"/>
        <v>0</v>
      </c>
      <c r="CZ31" s="526">
        <f t="shared" ca="1" si="29"/>
        <v>0</v>
      </c>
      <c r="DA31" s="526">
        <f t="shared" ca="1" si="29"/>
        <v>0</v>
      </c>
      <c r="DB31" s="526">
        <f t="shared" ca="1" si="29"/>
        <v>0</v>
      </c>
      <c r="DC31" s="526">
        <f t="shared" ca="1" si="29"/>
        <v>0</v>
      </c>
      <c r="DD31" s="526">
        <f t="shared" ca="1" si="29"/>
        <v>0</v>
      </c>
      <c r="DE31" s="526">
        <f t="shared" ca="1" si="29"/>
        <v>0</v>
      </c>
      <c r="DF31" s="526">
        <f t="shared" ca="1" si="29"/>
        <v>0</v>
      </c>
      <c r="DG31" s="526">
        <f t="shared" ca="1" si="29"/>
        <v>0</v>
      </c>
      <c r="DH31" s="526">
        <f t="shared" ca="1" si="29"/>
        <v>0</v>
      </c>
      <c r="DI31" s="526">
        <f t="shared" ca="1" si="29"/>
        <v>0</v>
      </c>
      <c r="DJ31" s="526">
        <f t="shared" ca="1" si="29"/>
        <v>0</v>
      </c>
      <c r="DK31" s="526">
        <f t="shared" ca="1" si="29"/>
        <v>0</v>
      </c>
      <c r="DL31" s="526">
        <f t="shared" ca="1" si="29"/>
        <v>0</v>
      </c>
      <c r="DM31" s="526">
        <f t="shared" ca="1" si="29"/>
        <v>0</v>
      </c>
      <c r="DN31" s="526">
        <f t="shared" ca="1" si="29"/>
        <v>0</v>
      </c>
      <c r="DO31" s="526">
        <f t="shared" ca="1" si="29"/>
        <v>0</v>
      </c>
      <c r="DP31" s="526">
        <f t="shared" ca="1" si="29"/>
        <v>0</v>
      </c>
      <c r="DQ31" s="526">
        <f t="shared" ca="1" si="29"/>
        <v>0</v>
      </c>
      <c r="DR31" s="526">
        <f t="shared" ca="1" si="29"/>
        <v>0</v>
      </c>
      <c r="DS31" s="526">
        <f t="shared" ca="1" si="29"/>
        <v>0</v>
      </c>
      <c r="DT31" s="526">
        <f t="shared" ca="1" si="29"/>
        <v>0</v>
      </c>
      <c r="DU31" s="526">
        <f t="shared" ca="1" si="29"/>
        <v>0</v>
      </c>
      <c r="DV31" s="526">
        <f t="shared" ca="1" si="29"/>
        <v>0</v>
      </c>
      <c r="DW31" s="526">
        <f t="shared" ca="1" si="29"/>
        <v>0</v>
      </c>
      <c r="DX31" s="526">
        <f t="shared" ca="1" si="29"/>
        <v>0</v>
      </c>
      <c r="DY31" s="526">
        <f t="shared" ca="1" si="29"/>
        <v>0</v>
      </c>
      <c r="DZ31" s="526">
        <f t="shared" ca="1" si="29"/>
        <v>0</v>
      </c>
      <c r="EA31" s="526">
        <f t="shared" ca="1" si="29"/>
        <v>0</v>
      </c>
      <c r="EB31" s="526">
        <f t="shared" ca="1" si="29"/>
        <v>0</v>
      </c>
      <c r="EC31" s="523" t="s">
        <v>557</v>
      </c>
    </row>
    <row r="32" spans="2:133">
      <c r="H32" s="518" t="s">
        <v>1170</v>
      </c>
      <c r="I32" s="539">
        <f>E15</f>
        <v>0.9</v>
      </c>
      <c r="L32" s="526">
        <f ca="1">MIN(L24*$I32,L28+L29-L31)</f>
        <v>0</v>
      </c>
      <c r="M32" s="526">
        <f t="shared" ref="M32:BX32" ca="1" si="30">MIN(M24*$I32,M28+M29-M31)</f>
        <v>0</v>
      </c>
      <c r="N32" s="526">
        <f t="shared" ca="1" si="30"/>
        <v>0</v>
      </c>
      <c r="O32" s="526">
        <f t="shared" ca="1" si="30"/>
        <v>0</v>
      </c>
      <c r="P32" s="526">
        <f t="shared" ca="1" si="30"/>
        <v>0</v>
      </c>
      <c r="Q32" s="526">
        <f t="shared" ca="1" si="30"/>
        <v>0</v>
      </c>
      <c r="R32" s="526">
        <f t="shared" ca="1" si="30"/>
        <v>0</v>
      </c>
      <c r="S32" s="526">
        <f t="shared" ca="1" si="30"/>
        <v>0</v>
      </c>
      <c r="T32" s="526">
        <f t="shared" ca="1" si="30"/>
        <v>0</v>
      </c>
      <c r="U32" s="526">
        <f t="shared" ca="1" si="30"/>
        <v>0</v>
      </c>
      <c r="V32" s="526">
        <f t="shared" ca="1" si="30"/>
        <v>0</v>
      </c>
      <c r="W32" s="526">
        <f t="shared" ca="1" si="30"/>
        <v>0</v>
      </c>
      <c r="X32" s="526">
        <f t="shared" ca="1" si="30"/>
        <v>0</v>
      </c>
      <c r="Y32" s="526">
        <f t="shared" ca="1" si="30"/>
        <v>0</v>
      </c>
      <c r="Z32" s="526">
        <f t="shared" ca="1" si="30"/>
        <v>0</v>
      </c>
      <c r="AA32" s="526">
        <f t="shared" ca="1" si="30"/>
        <v>0</v>
      </c>
      <c r="AB32" s="526">
        <f t="shared" ca="1" si="30"/>
        <v>0</v>
      </c>
      <c r="AC32" s="526">
        <f t="shared" ca="1" si="30"/>
        <v>0</v>
      </c>
      <c r="AD32" s="526">
        <f t="shared" ca="1" si="30"/>
        <v>0</v>
      </c>
      <c r="AE32" s="526">
        <f t="shared" ca="1" si="30"/>
        <v>0</v>
      </c>
      <c r="AF32" s="526">
        <f t="shared" ca="1" si="30"/>
        <v>0</v>
      </c>
      <c r="AG32" s="526">
        <f t="shared" ca="1" si="30"/>
        <v>0</v>
      </c>
      <c r="AH32" s="526">
        <f t="shared" ca="1" si="30"/>
        <v>0</v>
      </c>
      <c r="AI32" s="526">
        <f t="shared" ca="1" si="30"/>
        <v>0</v>
      </c>
      <c r="AJ32" s="526">
        <f t="shared" ca="1" si="30"/>
        <v>0</v>
      </c>
      <c r="AK32" s="526">
        <f t="shared" ca="1" si="30"/>
        <v>0</v>
      </c>
      <c r="AL32" s="526">
        <f t="shared" ca="1" si="30"/>
        <v>0</v>
      </c>
      <c r="AM32" s="526">
        <f t="shared" ca="1" si="30"/>
        <v>0</v>
      </c>
      <c r="AN32" s="526">
        <f t="shared" ca="1" si="30"/>
        <v>0</v>
      </c>
      <c r="AO32" s="526">
        <f t="shared" ca="1" si="30"/>
        <v>0</v>
      </c>
      <c r="AP32" s="526">
        <f t="shared" ca="1" si="30"/>
        <v>0</v>
      </c>
      <c r="AQ32" s="526">
        <f t="shared" ca="1" si="30"/>
        <v>0</v>
      </c>
      <c r="AR32" s="526">
        <f t="shared" ca="1" si="30"/>
        <v>0</v>
      </c>
      <c r="AS32" s="526">
        <f t="shared" ca="1" si="30"/>
        <v>0</v>
      </c>
      <c r="AT32" s="526">
        <f t="shared" ca="1" si="30"/>
        <v>0</v>
      </c>
      <c r="AU32" s="526">
        <f t="shared" ca="1" si="30"/>
        <v>0</v>
      </c>
      <c r="AV32" s="526">
        <f t="shared" ca="1" si="30"/>
        <v>0</v>
      </c>
      <c r="AW32" s="526">
        <f t="shared" ca="1" si="30"/>
        <v>0</v>
      </c>
      <c r="AX32" s="526">
        <f t="shared" ca="1" si="30"/>
        <v>0</v>
      </c>
      <c r="AY32" s="526">
        <f t="shared" ca="1" si="30"/>
        <v>0</v>
      </c>
      <c r="AZ32" s="526">
        <f t="shared" ca="1" si="30"/>
        <v>0</v>
      </c>
      <c r="BA32" s="526">
        <f t="shared" ca="1" si="30"/>
        <v>0</v>
      </c>
      <c r="BB32" s="526">
        <f t="shared" ca="1" si="30"/>
        <v>0</v>
      </c>
      <c r="BC32" s="526">
        <f t="shared" ca="1" si="30"/>
        <v>0</v>
      </c>
      <c r="BD32" s="526">
        <f t="shared" ca="1" si="30"/>
        <v>0</v>
      </c>
      <c r="BE32" s="526">
        <f t="shared" ca="1" si="30"/>
        <v>0</v>
      </c>
      <c r="BF32" s="526">
        <f t="shared" ca="1" si="30"/>
        <v>0</v>
      </c>
      <c r="BG32" s="526">
        <f t="shared" ca="1" si="30"/>
        <v>0</v>
      </c>
      <c r="BH32" s="526">
        <f t="shared" ca="1" si="30"/>
        <v>2505335.2391350269</v>
      </c>
      <c r="BI32" s="526">
        <f t="shared" ca="1" si="30"/>
        <v>0</v>
      </c>
      <c r="BJ32" s="526">
        <f t="shared" ca="1" si="30"/>
        <v>0</v>
      </c>
      <c r="BK32" s="526">
        <f t="shared" ca="1" si="30"/>
        <v>0</v>
      </c>
      <c r="BL32" s="526">
        <f t="shared" ca="1" si="30"/>
        <v>0</v>
      </c>
      <c r="BM32" s="526">
        <f t="shared" ca="1" si="30"/>
        <v>0</v>
      </c>
      <c r="BN32" s="526">
        <f t="shared" ca="1" si="30"/>
        <v>0</v>
      </c>
      <c r="BO32" s="526">
        <f t="shared" ca="1" si="30"/>
        <v>0</v>
      </c>
      <c r="BP32" s="526">
        <f t="shared" ca="1" si="30"/>
        <v>0</v>
      </c>
      <c r="BQ32" s="526">
        <f t="shared" ca="1" si="30"/>
        <v>0</v>
      </c>
      <c r="BR32" s="526">
        <f t="shared" ca="1" si="30"/>
        <v>0</v>
      </c>
      <c r="BS32" s="526">
        <f t="shared" ca="1" si="30"/>
        <v>0</v>
      </c>
      <c r="BT32" s="526">
        <f t="shared" ca="1" si="30"/>
        <v>0</v>
      </c>
      <c r="BU32" s="526">
        <f t="shared" ca="1" si="30"/>
        <v>0</v>
      </c>
      <c r="BV32" s="526">
        <f t="shared" ca="1" si="30"/>
        <v>0</v>
      </c>
      <c r="BW32" s="526">
        <f t="shared" ca="1" si="30"/>
        <v>0</v>
      </c>
      <c r="BX32" s="526">
        <f t="shared" ca="1" si="30"/>
        <v>0</v>
      </c>
      <c r="BY32" s="526">
        <f t="shared" ref="BY32:EB32" ca="1" si="31">MIN(BY24*$I32,BY28+BY29-BY31)</f>
        <v>0</v>
      </c>
      <c r="BZ32" s="526">
        <f t="shared" ca="1" si="31"/>
        <v>0</v>
      </c>
      <c r="CA32" s="526">
        <f t="shared" ca="1" si="31"/>
        <v>0</v>
      </c>
      <c r="CB32" s="526">
        <f t="shared" ca="1" si="31"/>
        <v>0</v>
      </c>
      <c r="CC32" s="526">
        <f t="shared" ca="1" si="31"/>
        <v>0</v>
      </c>
      <c r="CD32" s="526">
        <f t="shared" ca="1" si="31"/>
        <v>0</v>
      </c>
      <c r="CE32" s="526">
        <f t="shared" ca="1" si="31"/>
        <v>0</v>
      </c>
      <c r="CF32" s="526">
        <f t="shared" ca="1" si="31"/>
        <v>0</v>
      </c>
      <c r="CG32" s="526">
        <f t="shared" ca="1" si="31"/>
        <v>0</v>
      </c>
      <c r="CH32" s="526">
        <f t="shared" ca="1" si="31"/>
        <v>0</v>
      </c>
      <c r="CI32" s="526">
        <f t="shared" ca="1" si="31"/>
        <v>0</v>
      </c>
      <c r="CJ32" s="526">
        <f t="shared" ca="1" si="31"/>
        <v>0</v>
      </c>
      <c r="CK32" s="526">
        <f t="shared" ca="1" si="31"/>
        <v>0</v>
      </c>
      <c r="CL32" s="526">
        <f t="shared" ca="1" si="31"/>
        <v>0</v>
      </c>
      <c r="CM32" s="526">
        <f t="shared" ca="1" si="31"/>
        <v>0</v>
      </c>
      <c r="CN32" s="526">
        <f t="shared" ca="1" si="31"/>
        <v>0</v>
      </c>
      <c r="CO32" s="526">
        <f t="shared" ca="1" si="31"/>
        <v>0</v>
      </c>
      <c r="CP32" s="526">
        <f t="shared" ca="1" si="31"/>
        <v>0</v>
      </c>
      <c r="CQ32" s="526">
        <f t="shared" ca="1" si="31"/>
        <v>0</v>
      </c>
      <c r="CR32" s="526">
        <f t="shared" ca="1" si="31"/>
        <v>0</v>
      </c>
      <c r="CS32" s="526">
        <f t="shared" ca="1" si="31"/>
        <v>0</v>
      </c>
      <c r="CT32" s="526">
        <f t="shared" ca="1" si="31"/>
        <v>0</v>
      </c>
      <c r="CU32" s="526">
        <f t="shared" ca="1" si="31"/>
        <v>0</v>
      </c>
      <c r="CV32" s="526">
        <f t="shared" ca="1" si="31"/>
        <v>0</v>
      </c>
      <c r="CW32" s="526">
        <f t="shared" ca="1" si="31"/>
        <v>0</v>
      </c>
      <c r="CX32" s="526">
        <f t="shared" ca="1" si="31"/>
        <v>0</v>
      </c>
      <c r="CY32" s="526">
        <f t="shared" ca="1" si="31"/>
        <v>0</v>
      </c>
      <c r="CZ32" s="526">
        <f t="shared" ca="1" si="31"/>
        <v>0</v>
      </c>
      <c r="DA32" s="526">
        <f t="shared" ca="1" si="31"/>
        <v>0</v>
      </c>
      <c r="DB32" s="526">
        <f t="shared" ca="1" si="31"/>
        <v>0</v>
      </c>
      <c r="DC32" s="526">
        <f t="shared" ca="1" si="31"/>
        <v>0</v>
      </c>
      <c r="DD32" s="526">
        <f t="shared" ca="1" si="31"/>
        <v>0</v>
      </c>
      <c r="DE32" s="526">
        <f t="shared" ca="1" si="31"/>
        <v>0</v>
      </c>
      <c r="DF32" s="526">
        <f t="shared" ca="1" si="31"/>
        <v>0</v>
      </c>
      <c r="DG32" s="526">
        <f t="shared" ca="1" si="31"/>
        <v>0</v>
      </c>
      <c r="DH32" s="526">
        <f t="shared" ca="1" si="31"/>
        <v>0</v>
      </c>
      <c r="DI32" s="526">
        <f t="shared" ca="1" si="31"/>
        <v>0</v>
      </c>
      <c r="DJ32" s="526">
        <f t="shared" ca="1" si="31"/>
        <v>0</v>
      </c>
      <c r="DK32" s="526">
        <f t="shared" ca="1" si="31"/>
        <v>0</v>
      </c>
      <c r="DL32" s="526">
        <f t="shared" ca="1" si="31"/>
        <v>0</v>
      </c>
      <c r="DM32" s="526">
        <f t="shared" ca="1" si="31"/>
        <v>0</v>
      </c>
      <c r="DN32" s="526">
        <f t="shared" ca="1" si="31"/>
        <v>0</v>
      </c>
      <c r="DO32" s="526">
        <f t="shared" ca="1" si="31"/>
        <v>0</v>
      </c>
      <c r="DP32" s="526">
        <f t="shared" ca="1" si="31"/>
        <v>0</v>
      </c>
      <c r="DQ32" s="526">
        <f t="shared" ca="1" si="31"/>
        <v>0</v>
      </c>
      <c r="DR32" s="526">
        <f t="shared" ca="1" si="31"/>
        <v>0</v>
      </c>
      <c r="DS32" s="526">
        <f t="shared" ca="1" si="31"/>
        <v>0</v>
      </c>
      <c r="DT32" s="526">
        <f t="shared" ca="1" si="31"/>
        <v>0</v>
      </c>
      <c r="DU32" s="526">
        <f t="shared" ca="1" si="31"/>
        <v>0</v>
      </c>
      <c r="DV32" s="526">
        <f t="shared" ca="1" si="31"/>
        <v>0</v>
      </c>
      <c r="DW32" s="526">
        <f t="shared" ca="1" si="31"/>
        <v>0</v>
      </c>
      <c r="DX32" s="526">
        <f t="shared" ca="1" si="31"/>
        <v>0</v>
      </c>
      <c r="DY32" s="526">
        <f t="shared" ca="1" si="31"/>
        <v>0</v>
      </c>
      <c r="DZ32" s="526">
        <f t="shared" ca="1" si="31"/>
        <v>0</v>
      </c>
      <c r="EA32" s="526">
        <f t="shared" ca="1" si="31"/>
        <v>0</v>
      </c>
      <c r="EB32" s="526">
        <f t="shared" ca="1" si="31"/>
        <v>0</v>
      </c>
      <c r="EC32" s="523"/>
    </row>
    <row r="33" spans="8:133">
      <c r="H33" s="518" t="s">
        <v>1148</v>
      </c>
      <c r="L33" s="526">
        <f ca="1">L28+L29+L30-L31-L32</f>
        <v>20296000</v>
      </c>
      <c r="M33" s="526">
        <f t="shared" ref="M33:BX33" ca="1" si="32">M28+M29+M30-M31-M32</f>
        <v>20421049.031488005</v>
      </c>
      <c r="N33" s="526">
        <f t="shared" ca="1" si="32"/>
        <v>20545217.920841724</v>
      </c>
      <c r="O33" s="526">
        <f t="shared" ca="1" si="32"/>
        <v>20668483.896219458</v>
      </c>
      <c r="P33" s="526">
        <f t="shared" ca="1" si="32"/>
        <v>20790823.867231015</v>
      </c>
      <c r="Q33" s="526">
        <f t="shared" ca="1" si="32"/>
        <v>20912214.421169445</v>
      </c>
      <c r="R33" s="526">
        <f t="shared" ca="1" si="32"/>
        <v>21032631.819201421</v>
      </c>
      <c r="S33" s="526">
        <f t="shared" ca="1" si="32"/>
        <v>21152051.992515843</v>
      </c>
      <c r="T33" s="526">
        <f t="shared" ca="1" si="32"/>
        <v>21270450.538430233</v>
      </c>
      <c r="U33" s="526">
        <f t="shared" ca="1" si="32"/>
        <v>21387802.716454435</v>
      </c>
      <c r="V33" s="526">
        <f t="shared" ca="1" si="32"/>
        <v>21504083.444311243</v>
      </c>
      <c r="W33" s="526">
        <f t="shared" ca="1" si="32"/>
        <v>21619267.293913428</v>
      </c>
      <c r="X33" s="526">
        <f t="shared" ca="1" si="32"/>
        <v>21733328.487296771</v>
      </c>
      <c r="Y33" s="526">
        <f t="shared" ca="1" si="32"/>
        <v>21848564.671504848</v>
      </c>
      <c r="Z33" s="526">
        <f t="shared" ca="1" si="32"/>
        <v>21962792.448873408</v>
      </c>
      <c r="AA33" s="526">
        <f t="shared" ca="1" si="32"/>
        <v>22075988.46634895</v>
      </c>
      <c r="AB33" s="526">
        <f t="shared" ca="1" si="32"/>
        <v>22188129.056742307</v>
      </c>
      <c r="AC33" s="526">
        <f t="shared" ca="1" si="32"/>
        <v>22299190.235106442</v>
      </c>
      <c r="AD33" s="526">
        <f t="shared" ca="1" si="32"/>
        <v>22409147.695075259</v>
      </c>
      <c r="AE33" s="526">
        <f t="shared" ca="1" si="32"/>
        <v>22517976.805162985</v>
      </c>
      <c r="AF33" s="526">
        <f t="shared" ca="1" si="32"/>
        <v>22625652.605023775</v>
      </c>
      <c r="AG33" s="526">
        <f t="shared" ca="1" si="32"/>
        <v>22732149.801671047</v>
      </c>
      <c r="AH33" s="526">
        <f t="shared" ca="1" si="32"/>
        <v>22837442.765656192</v>
      </c>
      <c r="AI33" s="526">
        <f t="shared" ca="1" si="32"/>
        <v>22941505.527206223</v>
      </c>
      <c r="AJ33" s="526">
        <f t="shared" ca="1" si="32"/>
        <v>23044311.772319902</v>
      </c>
      <c r="AK33" s="526">
        <f t="shared" ca="1" si="32"/>
        <v>23149129.809011415</v>
      </c>
      <c r="AL33" s="526">
        <f t="shared" ca="1" si="32"/>
        <v>23253752.460888967</v>
      </c>
      <c r="AM33" s="526">
        <f t="shared" ca="1" si="32"/>
        <v>23358173.703205504</v>
      </c>
      <c r="AN33" s="526">
        <f t="shared" ca="1" si="32"/>
        <v>23462387.438129876</v>
      </c>
      <c r="AO33" s="526">
        <f t="shared" ca="1" si="32"/>
        <v>23566387.493980449</v>
      </c>
      <c r="AP33" s="526">
        <f t="shared" ca="1" si="32"/>
        <v>23670167.624450989</v>
      </c>
      <c r="AQ33" s="526">
        <f t="shared" ca="1" si="32"/>
        <v>23773721.507828768</v>
      </c>
      <c r="AR33" s="526">
        <f t="shared" ca="1" si="32"/>
        <v>23877042.746204793</v>
      </c>
      <c r="AS33" s="526">
        <f t="shared" ca="1" si="32"/>
        <v>23980124.864676114</v>
      </c>
      <c r="AT33" s="526">
        <f t="shared" ca="1" si="32"/>
        <v>24082961.310540076</v>
      </c>
      <c r="AU33" s="526">
        <f t="shared" ca="1" si="32"/>
        <v>24185545.452480506</v>
      </c>
      <c r="AV33" s="526">
        <f t="shared" ca="1" si="32"/>
        <v>24287870.579745695</v>
      </c>
      <c r="AW33" s="526">
        <f t="shared" ca="1" si="32"/>
        <v>24392194.863755718</v>
      </c>
      <c r="AX33" s="526">
        <f t="shared" ca="1" si="32"/>
        <v>24496268.810590472</v>
      </c>
      <c r="AY33" s="526">
        <f t="shared" ca="1" si="32"/>
        <v>24600085.686535221</v>
      </c>
      <c r="AZ33" s="526">
        <f t="shared" ca="1" si="32"/>
        <v>24703638.677241702</v>
      </c>
      <c r="BA33" s="526">
        <f t="shared" ca="1" si="32"/>
        <v>24806920.886885423</v>
      </c>
      <c r="BB33" s="526">
        <f t="shared" ca="1" si="32"/>
        <v>24909925.33731446</v>
      </c>
      <c r="BC33" s="526">
        <f t="shared" ca="1" si="32"/>
        <v>25012644.967189733</v>
      </c>
      <c r="BD33" s="526">
        <f t="shared" ca="1" si="32"/>
        <v>25115072.631116606</v>
      </c>
      <c r="BE33" s="526">
        <f t="shared" ca="1" si="32"/>
        <v>25217201.098767787</v>
      </c>
      <c r="BF33" s="526">
        <f t="shared" ca="1" si="32"/>
        <v>25319023.053997412</v>
      </c>
      <c r="BG33" s="526">
        <f t="shared" ca="1" si="32"/>
        <v>25420531.093946222</v>
      </c>
      <c r="BH33" s="526">
        <f t="shared" ca="1" si="32"/>
        <v>0</v>
      </c>
      <c r="BI33" s="526">
        <f t="shared" ca="1" si="32"/>
        <v>0</v>
      </c>
      <c r="BJ33" s="526">
        <f t="shared" ca="1" si="32"/>
        <v>0</v>
      </c>
      <c r="BK33" s="526">
        <f t="shared" ca="1" si="32"/>
        <v>0</v>
      </c>
      <c r="BL33" s="526">
        <f t="shared" ca="1" si="32"/>
        <v>0</v>
      </c>
      <c r="BM33" s="526">
        <f t="shared" ca="1" si="32"/>
        <v>0</v>
      </c>
      <c r="BN33" s="526">
        <f t="shared" ca="1" si="32"/>
        <v>0</v>
      </c>
      <c r="BO33" s="526">
        <f t="shared" ca="1" si="32"/>
        <v>0</v>
      </c>
      <c r="BP33" s="526">
        <f t="shared" ca="1" si="32"/>
        <v>0</v>
      </c>
      <c r="BQ33" s="526">
        <f t="shared" ca="1" si="32"/>
        <v>0</v>
      </c>
      <c r="BR33" s="526">
        <f t="shared" ca="1" si="32"/>
        <v>0</v>
      </c>
      <c r="BS33" s="526">
        <f t="shared" ca="1" si="32"/>
        <v>0</v>
      </c>
      <c r="BT33" s="526">
        <f t="shared" ca="1" si="32"/>
        <v>0</v>
      </c>
      <c r="BU33" s="526">
        <f t="shared" ca="1" si="32"/>
        <v>0</v>
      </c>
      <c r="BV33" s="526">
        <f t="shared" ca="1" si="32"/>
        <v>0</v>
      </c>
      <c r="BW33" s="526">
        <f t="shared" ca="1" si="32"/>
        <v>0</v>
      </c>
      <c r="BX33" s="526">
        <f t="shared" ca="1" si="32"/>
        <v>0</v>
      </c>
      <c r="BY33" s="526">
        <f t="shared" ref="BY33:EB33" ca="1" si="33">BY28+BY29+BY30-BY31-BY32</f>
        <v>0</v>
      </c>
      <c r="BZ33" s="526">
        <f t="shared" ca="1" si="33"/>
        <v>0</v>
      </c>
      <c r="CA33" s="526">
        <f t="shared" ca="1" si="33"/>
        <v>0</v>
      </c>
      <c r="CB33" s="526">
        <f t="shared" ca="1" si="33"/>
        <v>0</v>
      </c>
      <c r="CC33" s="526">
        <f t="shared" ca="1" si="33"/>
        <v>0</v>
      </c>
      <c r="CD33" s="526">
        <f t="shared" ca="1" si="33"/>
        <v>0</v>
      </c>
      <c r="CE33" s="526">
        <f t="shared" ca="1" si="33"/>
        <v>0</v>
      </c>
      <c r="CF33" s="526">
        <f t="shared" ca="1" si="33"/>
        <v>0</v>
      </c>
      <c r="CG33" s="526">
        <f t="shared" ca="1" si="33"/>
        <v>0</v>
      </c>
      <c r="CH33" s="526">
        <f t="shared" ca="1" si="33"/>
        <v>0</v>
      </c>
      <c r="CI33" s="526">
        <f t="shared" ca="1" si="33"/>
        <v>0</v>
      </c>
      <c r="CJ33" s="526">
        <f t="shared" ca="1" si="33"/>
        <v>0</v>
      </c>
      <c r="CK33" s="526">
        <f t="shared" ca="1" si="33"/>
        <v>0</v>
      </c>
      <c r="CL33" s="526">
        <f t="shared" ca="1" si="33"/>
        <v>0</v>
      </c>
      <c r="CM33" s="526">
        <f t="shared" ca="1" si="33"/>
        <v>0</v>
      </c>
      <c r="CN33" s="526">
        <f t="shared" ca="1" si="33"/>
        <v>0</v>
      </c>
      <c r="CO33" s="526">
        <f t="shared" ca="1" si="33"/>
        <v>0</v>
      </c>
      <c r="CP33" s="526">
        <f t="shared" ca="1" si="33"/>
        <v>0</v>
      </c>
      <c r="CQ33" s="526">
        <f t="shared" ca="1" si="33"/>
        <v>0</v>
      </c>
      <c r="CR33" s="526">
        <f t="shared" ca="1" si="33"/>
        <v>0</v>
      </c>
      <c r="CS33" s="526">
        <f t="shared" ca="1" si="33"/>
        <v>0</v>
      </c>
      <c r="CT33" s="526">
        <f t="shared" ca="1" si="33"/>
        <v>0</v>
      </c>
      <c r="CU33" s="526">
        <f t="shared" ca="1" si="33"/>
        <v>0</v>
      </c>
      <c r="CV33" s="526">
        <f t="shared" ca="1" si="33"/>
        <v>0</v>
      </c>
      <c r="CW33" s="526">
        <f t="shared" ca="1" si="33"/>
        <v>0</v>
      </c>
      <c r="CX33" s="526">
        <f t="shared" ca="1" si="33"/>
        <v>0</v>
      </c>
      <c r="CY33" s="526">
        <f t="shared" ca="1" si="33"/>
        <v>0</v>
      </c>
      <c r="CZ33" s="526">
        <f t="shared" ca="1" si="33"/>
        <v>0</v>
      </c>
      <c r="DA33" s="526">
        <f t="shared" ca="1" si="33"/>
        <v>0</v>
      </c>
      <c r="DB33" s="526">
        <f t="shared" ca="1" si="33"/>
        <v>0</v>
      </c>
      <c r="DC33" s="526">
        <f t="shared" ca="1" si="33"/>
        <v>0</v>
      </c>
      <c r="DD33" s="526">
        <f t="shared" ca="1" si="33"/>
        <v>0</v>
      </c>
      <c r="DE33" s="526">
        <f t="shared" ca="1" si="33"/>
        <v>0</v>
      </c>
      <c r="DF33" s="526">
        <f t="shared" ca="1" si="33"/>
        <v>0</v>
      </c>
      <c r="DG33" s="526">
        <f t="shared" ca="1" si="33"/>
        <v>0</v>
      </c>
      <c r="DH33" s="526">
        <f t="shared" ca="1" si="33"/>
        <v>0</v>
      </c>
      <c r="DI33" s="526">
        <f t="shared" ca="1" si="33"/>
        <v>0</v>
      </c>
      <c r="DJ33" s="526">
        <f t="shared" ca="1" si="33"/>
        <v>0</v>
      </c>
      <c r="DK33" s="526">
        <f t="shared" ca="1" si="33"/>
        <v>0</v>
      </c>
      <c r="DL33" s="526">
        <f t="shared" ca="1" si="33"/>
        <v>0</v>
      </c>
      <c r="DM33" s="526">
        <f t="shared" ca="1" si="33"/>
        <v>0</v>
      </c>
      <c r="DN33" s="526">
        <f t="shared" ca="1" si="33"/>
        <v>0</v>
      </c>
      <c r="DO33" s="526">
        <f t="shared" ca="1" si="33"/>
        <v>0</v>
      </c>
      <c r="DP33" s="526">
        <f t="shared" ca="1" si="33"/>
        <v>0</v>
      </c>
      <c r="DQ33" s="526">
        <f t="shared" ca="1" si="33"/>
        <v>0</v>
      </c>
      <c r="DR33" s="526">
        <f t="shared" ca="1" si="33"/>
        <v>0</v>
      </c>
      <c r="DS33" s="526">
        <f t="shared" ca="1" si="33"/>
        <v>0</v>
      </c>
      <c r="DT33" s="526">
        <f t="shared" ca="1" si="33"/>
        <v>0</v>
      </c>
      <c r="DU33" s="526">
        <f t="shared" ca="1" si="33"/>
        <v>0</v>
      </c>
      <c r="DV33" s="526">
        <f t="shared" ca="1" si="33"/>
        <v>0</v>
      </c>
      <c r="DW33" s="526">
        <f t="shared" ca="1" si="33"/>
        <v>0</v>
      </c>
      <c r="DX33" s="526">
        <f t="shared" ca="1" si="33"/>
        <v>0</v>
      </c>
      <c r="DY33" s="526">
        <f t="shared" ca="1" si="33"/>
        <v>0</v>
      </c>
      <c r="DZ33" s="526">
        <f t="shared" ca="1" si="33"/>
        <v>0</v>
      </c>
      <c r="EA33" s="526">
        <f t="shared" ca="1" si="33"/>
        <v>0</v>
      </c>
      <c r="EB33" s="526">
        <f t="shared" ca="1" si="33"/>
        <v>0</v>
      </c>
      <c r="EC33" s="523" t="s">
        <v>557</v>
      </c>
    </row>
    <row r="34" spans="8:133">
      <c r="H34" s="518" t="s">
        <v>1150</v>
      </c>
      <c r="J34" s="543" t="s">
        <v>1105</v>
      </c>
      <c r="L34" s="526">
        <f ca="1">-L30+L31+L32</f>
        <v>-20296000</v>
      </c>
      <c r="M34" s="526">
        <f t="shared" ref="M34:BX34" ca="1" si="34">-M30+M31+M32</f>
        <v>75142.199419975848</v>
      </c>
      <c r="N34" s="526">
        <f t="shared" ca="1" si="34"/>
        <v>77255.772749442272</v>
      </c>
      <c r="O34" s="526">
        <f t="shared" ca="1" si="34"/>
        <v>79383.436567771874</v>
      </c>
      <c r="P34" s="526">
        <f t="shared" ca="1" si="34"/>
        <v>81525.284811557081</v>
      </c>
      <c r="Q34" s="526">
        <f t="shared" ca="1" si="34"/>
        <v>83681.412043634118</v>
      </c>
      <c r="R34" s="526">
        <f t="shared" ca="1" si="34"/>
        <v>85851.913457258299</v>
      </c>
      <c r="S34" s="526">
        <f t="shared" ca="1" si="34"/>
        <v>88036.884880306709</v>
      </c>
      <c r="T34" s="526">
        <f t="shared" ca="1" si="34"/>
        <v>90236.422779508677</v>
      </c>
      <c r="U34" s="526">
        <f t="shared" ca="1" si="34"/>
        <v>92450.624264705359</v>
      </c>
      <c r="V34" s="526">
        <f t="shared" ca="1" si="34"/>
        <v>94679.587093136754</v>
      </c>
      <c r="W34" s="526">
        <f t="shared" ca="1" si="34"/>
        <v>96923.409673757662</v>
      </c>
      <c r="X34" s="526">
        <f t="shared" ca="1" si="34"/>
        <v>99182.191071582594</v>
      </c>
      <c r="Y34" s="526">
        <f t="shared" ca="1" si="34"/>
        <v>99132.252015780003</v>
      </c>
      <c r="Z34" s="526">
        <f t="shared" ca="1" si="34"/>
        <v>101277.30024087873</v>
      </c>
      <c r="AA34" s="526">
        <f t="shared" ca="1" si="34"/>
        <v>103435.75501738423</v>
      </c>
      <c r="AB34" s="526">
        <f t="shared" ca="1" si="34"/>
        <v>105607.70013624289</v>
      </c>
      <c r="AC34" s="526">
        <f t="shared" ca="1" si="34"/>
        <v>107793.2199120944</v>
      </c>
      <c r="AD34" s="526">
        <f t="shared" ca="1" si="34"/>
        <v>109992.39918654515</v>
      </c>
      <c r="AE34" s="526">
        <f t="shared" ca="1" si="34"/>
        <v>112205.32333146107</v>
      </c>
      <c r="AF34" s="526">
        <f t="shared" ca="1" si="34"/>
        <v>114432.07825228265</v>
      </c>
      <c r="AG34" s="526">
        <f t="shared" ca="1" si="34"/>
        <v>116672.75039135954</v>
      </c>
      <c r="AH34" s="526">
        <f t="shared" ca="1" si="34"/>
        <v>118927.4267313055</v>
      </c>
      <c r="AI34" s="526">
        <f t="shared" ca="1" si="34"/>
        <v>121196.19479837616</v>
      </c>
      <c r="AJ34" s="526">
        <f t="shared" ca="1" si="34"/>
        <v>123479.14266586611</v>
      </c>
      <c r="AK34" s="526">
        <f t="shared" ca="1" si="34"/>
        <v>122481.38876808564</v>
      </c>
      <c r="AL34" s="526">
        <f t="shared" ca="1" si="34"/>
        <v>123710.65473037933</v>
      </c>
      <c r="AM34" s="526">
        <f t="shared" ca="1" si="34"/>
        <v>124944.01824588062</v>
      </c>
      <c r="AN34" s="526">
        <f t="shared" ca="1" si="34"/>
        <v>126181.4929731002</v>
      </c>
      <c r="AO34" s="526">
        <f t="shared" ca="1" si="34"/>
        <v>127423.09261607715</v>
      </c>
      <c r="AP34" s="526">
        <f t="shared" ca="1" si="34"/>
        <v>128668.83092453091</v>
      </c>
      <c r="AQ34" s="526">
        <f t="shared" ca="1" si="34"/>
        <v>129918.72169401268</v>
      </c>
      <c r="AR34" s="526">
        <f t="shared" ca="1" si="34"/>
        <v>131172.77876605943</v>
      </c>
      <c r="AS34" s="526">
        <f t="shared" ca="1" si="34"/>
        <v>132431.01602834626</v>
      </c>
      <c r="AT34" s="526">
        <f t="shared" ca="1" si="34"/>
        <v>133693.44741484086</v>
      </c>
      <c r="AU34" s="526">
        <f t="shared" ca="1" si="34"/>
        <v>134960.08690595691</v>
      </c>
      <c r="AV34" s="526">
        <f t="shared" ca="1" si="34"/>
        <v>136230.94852871029</v>
      </c>
      <c r="AW34" s="526">
        <f t="shared" ca="1" si="34"/>
        <v>135241.08391927258</v>
      </c>
      <c r="AX34" s="526">
        <f t="shared" ca="1" si="34"/>
        <v>136520.43207352899</v>
      </c>
      <c r="AY34" s="526">
        <f t="shared" ca="1" si="34"/>
        <v>137804.04472163261</v>
      </c>
      <c r="AZ34" s="526">
        <f t="shared" ca="1" si="34"/>
        <v>139091.93607856351</v>
      </c>
      <c r="BA34" s="526">
        <f t="shared" ca="1" si="34"/>
        <v>140384.12040668412</v>
      </c>
      <c r="BB34" s="526">
        <f t="shared" ca="1" si="34"/>
        <v>141680.61201589828</v>
      </c>
      <c r="BC34" s="526">
        <f t="shared" ca="1" si="34"/>
        <v>142981.42526381009</v>
      </c>
      <c r="BD34" s="526">
        <f t="shared" ca="1" si="34"/>
        <v>144286.57455588144</v>
      </c>
      <c r="BE34" s="526">
        <f t="shared" ca="1" si="34"/>
        <v>145596.07434559317</v>
      </c>
      <c r="BF34" s="526">
        <f t="shared" ca="1" si="34"/>
        <v>146909.93913460377</v>
      </c>
      <c r="BG34" s="526">
        <f t="shared" ca="1" si="34"/>
        <v>148228.18347291125</v>
      </c>
      <c r="BH34" s="526">
        <f t="shared" ca="1" si="34"/>
        <v>25671268.550096776</v>
      </c>
      <c r="BI34" s="526">
        <f t="shared" ca="1" si="34"/>
        <v>0</v>
      </c>
      <c r="BJ34" s="526">
        <f t="shared" ca="1" si="34"/>
        <v>0</v>
      </c>
      <c r="BK34" s="526">
        <f t="shared" ca="1" si="34"/>
        <v>0</v>
      </c>
      <c r="BL34" s="526">
        <f t="shared" ca="1" si="34"/>
        <v>0</v>
      </c>
      <c r="BM34" s="526">
        <f t="shared" ca="1" si="34"/>
        <v>0</v>
      </c>
      <c r="BN34" s="526">
        <f t="shared" ca="1" si="34"/>
        <v>0</v>
      </c>
      <c r="BO34" s="526">
        <f t="shared" ca="1" si="34"/>
        <v>0</v>
      </c>
      <c r="BP34" s="526">
        <f t="shared" ca="1" si="34"/>
        <v>0</v>
      </c>
      <c r="BQ34" s="526">
        <f t="shared" ca="1" si="34"/>
        <v>0</v>
      </c>
      <c r="BR34" s="526">
        <f t="shared" ca="1" si="34"/>
        <v>0</v>
      </c>
      <c r="BS34" s="526">
        <f t="shared" ca="1" si="34"/>
        <v>0</v>
      </c>
      <c r="BT34" s="526">
        <f t="shared" ca="1" si="34"/>
        <v>0</v>
      </c>
      <c r="BU34" s="526">
        <f t="shared" ca="1" si="34"/>
        <v>0</v>
      </c>
      <c r="BV34" s="526">
        <f t="shared" ca="1" si="34"/>
        <v>0</v>
      </c>
      <c r="BW34" s="526">
        <f t="shared" ca="1" si="34"/>
        <v>0</v>
      </c>
      <c r="BX34" s="526">
        <f t="shared" ca="1" si="34"/>
        <v>0</v>
      </c>
      <c r="BY34" s="526">
        <f t="shared" ref="BY34:EB34" ca="1" si="35">-BY30+BY31+BY32</f>
        <v>0</v>
      </c>
      <c r="BZ34" s="526">
        <f t="shared" ca="1" si="35"/>
        <v>0</v>
      </c>
      <c r="CA34" s="526">
        <f t="shared" ca="1" si="35"/>
        <v>0</v>
      </c>
      <c r="CB34" s="526">
        <f t="shared" ca="1" si="35"/>
        <v>0</v>
      </c>
      <c r="CC34" s="526">
        <f t="shared" ca="1" si="35"/>
        <v>0</v>
      </c>
      <c r="CD34" s="526">
        <f t="shared" ca="1" si="35"/>
        <v>0</v>
      </c>
      <c r="CE34" s="526">
        <f t="shared" ca="1" si="35"/>
        <v>0</v>
      </c>
      <c r="CF34" s="526">
        <f t="shared" ca="1" si="35"/>
        <v>0</v>
      </c>
      <c r="CG34" s="526">
        <f t="shared" ca="1" si="35"/>
        <v>0</v>
      </c>
      <c r="CH34" s="526">
        <f t="shared" ca="1" si="35"/>
        <v>0</v>
      </c>
      <c r="CI34" s="526">
        <f t="shared" ca="1" si="35"/>
        <v>0</v>
      </c>
      <c r="CJ34" s="526">
        <f t="shared" ca="1" si="35"/>
        <v>0</v>
      </c>
      <c r="CK34" s="526">
        <f t="shared" ca="1" si="35"/>
        <v>0</v>
      </c>
      <c r="CL34" s="526">
        <f t="shared" ca="1" si="35"/>
        <v>0</v>
      </c>
      <c r="CM34" s="526">
        <f t="shared" ca="1" si="35"/>
        <v>0</v>
      </c>
      <c r="CN34" s="526">
        <f t="shared" ca="1" si="35"/>
        <v>0</v>
      </c>
      <c r="CO34" s="526">
        <f t="shared" ca="1" si="35"/>
        <v>0</v>
      </c>
      <c r="CP34" s="526">
        <f t="shared" ca="1" si="35"/>
        <v>0</v>
      </c>
      <c r="CQ34" s="526">
        <f t="shared" ca="1" si="35"/>
        <v>0</v>
      </c>
      <c r="CR34" s="526">
        <f t="shared" ca="1" si="35"/>
        <v>0</v>
      </c>
      <c r="CS34" s="526">
        <f t="shared" ca="1" si="35"/>
        <v>0</v>
      </c>
      <c r="CT34" s="526">
        <f t="shared" ca="1" si="35"/>
        <v>0</v>
      </c>
      <c r="CU34" s="526">
        <f t="shared" ca="1" si="35"/>
        <v>0</v>
      </c>
      <c r="CV34" s="526">
        <f t="shared" ca="1" si="35"/>
        <v>0</v>
      </c>
      <c r="CW34" s="526">
        <f t="shared" ca="1" si="35"/>
        <v>0</v>
      </c>
      <c r="CX34" s="526">
        <f t="shared" ca="1" si="35"/>
        <v>0</v>
      </c>
      <c r="CY34" s="526">
        <f t="shared" ca="1" si="35"/>
        <v>0</v>
      </c>
      <c r="CZ34" s="526">
        <f t="shared" ca="1" si="35"/>
        <v>0</v>
      </c>
      <c r="DA34" s="526">
        <f t="shared" ca="1" si="35"/>
        <v>0</v>
      </c>
      <c r="DB34" s="526">
        <f t="shared" ca="1" si="35"/>
        <v>0</v>
      </c>
      <c r="DC34" s="526">
        <f t="shared" ca="1" si="35"/>
        <v>0</v>
      </c>
      <c r="DD34" s="526">
        <f t="shared" ca="1" si="35"/>
        <v>0</v>
      </c>
      <c r="DE34" s="526">
        <f t="shared" ca="1" si="35"/>
        <v>0</v>
      </c>
      <c r="DF34" s="526">
        <f t="shared" ca="1" si="35"/>
        <v>0</v>
      </c>
      <c r="DG34" s="526">
        <f t="shared" ca="1" si="35"/>
        <v>0</v>
      </c>
      <c r="DH34" s="526">
        <f t="shared" ca="1" si="35"/>
        <v>0</v>
      </c>
      <c r="DI34" s="526">
        <f t="shared" ca="1" si="35"/>
        <v>0</v>
      </c>
      <c r="DJ34" s="526">
        <f t="shared" ca="1" si="35"/>
        <v>0</v>
      </c>
      <c r="DK34" s="526">
        <f t="shared" ca="1" si="35"/>
        <v>0</v>
      </c>
      <c r="DL34" s="526">
        <f t="shared" ca="1" si="35"/>
        <v>0</v>
      </c>
      <c r="DM34" s="526">
        <f t="shared" ca="1" si="35"/>
        <v>0</v>
      </c>
      <c r="DN34" s="526">
        <f t="shared" ca="1" si="35"/>
        <v>0</v>
      </c>
      <c r="DO34" s="526">
        <f t="shared" ca="1" si="35"/>
        <v>0</v>
      </c>
      <c r="DP34" s="526">
        <f t="shared" ca="1" si="35"/>
        <v>0</v>
      </c>
      <c r="DQ34" s="526">
        <f t="shared" ca="1" si="35"/>
        <v>0</v>
      </c>
      <c r="DR34" s="526">
        <f t="shared" ca="1" si="35"/>
        <v>0</v>
      </c>
      <c r="DS34" s="526">
        <f t="shared" ca="1" si="35"/>
        <v>0</v>
      </c>
      <c r="DT34" s="526">
        <f t="shared" ca="1" si="35"/>
        <v>0</v>
      </c>
      <c r="DU34" s="526">
        <f t="shared" ca="1" si="35"/>
        <v>0</v>
      </c>
      <c r="DV34" s="526">
        <f t="shared" ca="1" si="35"/>
        <v>0</v>
      </c>
      <c r="DW34" s="526">
        <f t="shared" ca="1" si="35"/>
        <v>0</v>
      </c>
      <c r="DX34" s="526">
        <f t="shared" ca="1" si="35"/>
        <v>0</v>
      </c>
      <c r="DY34" s="526">
        <f t="shared" ca="1" si="35"/>
        <v>0</v>
      </c>
      <c r="DZ34" s="526">
        <f t="shared" ca="1" si="35"/>
        <v>0</v>
      </c>
      <c r="EA34" s="526">
        <f t="shared" ca="1" si="35"/>
        <v>0</v>
      </c>
      <c r="EB34" s="526">
        <f t="shared" ca="1" si="35"/>
        <v>0</v>
      </c>
      <c r="EC34" s="523" t="s">
        <v>557</v>
      </c>
    </row>
    <row r="35" spans="8:133">
      <c r="H35" s="545" t="s">
        <v>1152</v>
      </c>
      <c r="I35" s="547" t="s">
        <v>1153</v>
      </c>
      <c r="J35" s="547">
        <f ca="1">XIRR(L34:EB34,$L$2:$EB$2,)</f>
        <v>0.12655200362205501</v>
      </c>
      <c r="EC35" s="523" t="s">
        <v>557</v>
      </c>
    </row>
    <row r="36" spans="8:133">
      <c r="I36" s="547" t="s">
        <v>1155</v>
      </c>
      <c r="J36" s="1012">
        <f ca="1">ABS((SUMIF(L34:EB34,"&gt;0")/SUMIF(L34:EB34,"&lt;0")))</f>
        <v>1.5352931678741304</v>
      </c>
      <c r="EC36" s="523" t="s">
        <v>557</v>
      </c>
    </row>
    <row r="37" spans="8:133">
      <c r="H37" s="520" t="s">
        <v>1135</v>
      </c>
      <c r="I37" s="533"/>
      <c r="J37" s="533"/>
      <c r="K37" s="521"/>
      <c r="L37" s="521"/>
      <c r="M37" s="521"/>
      <c r="N37" s="521"/>
      <c r="O37" s="521"/>
      <c r="P37" s="521"/>
      <c r="Q37" s="521"/>
      <c r="R37" s="521"/>
      <c r="S37" s="521"/>
      <c r="T37" s="521"/>
      <c r="U37" s="521"/>
      <c r="V37" s="521"/>
      <c r="W37" s="521"/>
      <c r="X37" s="521"/>
      <c r="Y37" s="521"/>
      <c r="Z37" s="521"/>
      <c r="AA37" s="521"/>
      <c r="AB37" s="521"/>
      <c r="AC37" s="521"/>
      <c r="AD37" s="521"/>
      <c r="AE37" s="521"/>
      <c r="AF37" s="521"/>
      <c r="AG37" s="521"/>
      <c r="AH37" s="521"/>
      <c r="AI37" s="521"/>
      <c r="AJ37" s="521"/>
      <c r="AK37" s="521"/>
      <c r="AL37" s="521"/>
      <c r="AM37" s="521"/>
      <c r="AN37" s="521"/>
      <c r="AO37" s="521"/>
      <c r="AP37" s="521"/>
      <c r="AQ37" s="521"/>
      <c r="AR37" s="521"/>
      <c r="AS37" s="521"/>
      <c r="AT37" s="521"/>
      <c r="AU37" s="521"/>
      <c r="AV37" s="521"/>
      <c r="AW37" s="521"/>
      <c r="AX37" s="521"/>
      <c r="AY37" s="521"/>
      <c r="AZ37" s="521"/>
      <c r="BA37" s="521"/>
      <c r="BB37" s="521"/>
      <c r="BC37" s="521"/>
      <c r="BD37" s="521"/>
      <c r="BE37" s="521"/>
      <c r="BF37" s="521"/>
      <c r="BG37" s="521"/>
      <c r="BH37" s="521"/>
      <c r="BI37" s="521"/>
      <c r="BJ37" s="521"/>
      <c r="BK37" s="521"/>
      <c r="BL37" s="521"/>
      <c r="BM37" s="521"/>
      <c r="BN37" s="521"/>
      <c r="BO37" s="521"/>
      <c r="BP37" s="521"/>
      <c r="BQ37" s="521"/>
      <c r="BR37" s="521"/>
      <c r="BS37" s="521"/>
      <c r="BT37" s="521"/>
      <c r="BU37" s="521"/>
      <c r="BV37" s="521"/>
      <c r="BW37" s="521"/>
      <c r="BX37" s="521"/>
      <c r="BY37" s="521"/>
      <c r="BZ37" s="521"/>
      <c r="CA37" s="521"/>
      <c r="CB37" s="521"/>
      <c r="CC37" s="521"/>
      <c r="CD37" s="521"/>
      <c r="CE37" s="521"/>
      <c r="CF37" s="521"/>
      <c r="CG37" s="521"/>
      <c r="CH37" s="521"/>
      <c r="CI37" s="521"/>
      <c r="CJ37" s="521"/>
      <c r="CK37" s="521"/>
      <c r="CL37" s="521"/>
      <c r="CM37" s="521"/>
      <c r="CN37" s="521"/>
      <c r="CO37" s="521"/>
      <c r="CP37" s="521"/>
      <c r="CQ37" s="521"/>
      <c r="CR37" s="521"/>
      <c r="CS37" s="521"/>
      <c r="CT37" s="521"/>
      <c r="CU37" s="521"/>
      <c r="CV37" s="521"/>
      <c r="CW37" s="521"/>
      <c r="CX37" s="521"/>
      <c r="CY37" s="521"/>
      <c r="CZ37" s="521"/>
      <c r="DA37" s="521"/>
      <c r="DB37" s="521"/>
      <c r="DC37" s="521"/>
      <c r="DD37" s="521"/>
      <c r="DE37" s="521"/>
      <c r="DF37" s="521"/>
      <c r="DG37" s="521"/>
      <c r="DH37" s="521"/>
      <c r="DI37" s="521"/>
      <c r="DJ37" s="521"/>
      <c r="DK37" s="521"/>
      <c r="DL37" s="521"/>
      <c r="DM37" s="521"/>
      <c r="DN37" s="521"/>
      <c r="DO37" s="521"/>
      <c r="DP37" s="521"/>
      <c r="DQ37" s="521"/>
      <c r="DR37" s="521"/>
      <c r="DS37" s="521"/>
      <c r="DT37" s="521"/>
      <c r="DU37" s="521"/>
      <c r="DV37" s="521"/>
      <c r="DW37" s="521"/>
      <c r="DX37" s="521"/>
      <c r="DY37" s="521"/>
      <c r="DZ37" s="521"/>
      <c r="EA37" s="521"/>
      <c r="EB37" s="521"/>
      <c r="EC37" s="523" t="s">
        <v>557</v>
      </c>
    </row>
    <row r="38" spans="8:133">
      <c r="H38" s="518" t="s">
        <v>1158</v>
      </c>
      <c r="L38" s="526">
        <f ca="1">L18</f>
        <v>0</v>
      </c>
      <c r="M38" s="526">
        <f t="shared" ref="M38:BX38" si="36">M18</f>
        <v>0</v>
      </c>
      <c r="N38" s="526">
        <f t="shared" si="36"/>
        <v>0</v>
      </c>
      <c r="O38" s="526">
        <f t="shared" si="36"/>
        <v>0</v>
      </c>
      <c r="P38" s="526">
        <f t="shared" si="36"/>
        <v>0</v>
      </c>
      <c r="Q38" s="526">
        <f t="shared" si="36"/>
        <v>0</v>
      </c>
      <c r="R38" s="526">
        <f t="shared" si="36"/>
        <v>0</v>
      </c>
      <c r="S38" s="526">
        <f t="shared" si="36"/>
        <v>0</v>
      </c>
      <c r="T38" s="526">
        <f t="shared" si="36"/>
        <v>0</v>
      </c>
      <c r="U38" s="526">
        <f t="shared" si="36"/>
        <v>0</v>
      </c>
      <c r="V38" s="526">
        <f t="shared" si="36"/>
        <v>0</v>
      </c>
      <c r="W38" s="526">
        <f t="shared" si="36"/>
        <v>0</v>
      </c>
      <c r="X38" s="526">
        <f t="shared" si="36"/>
        <v>0</v>
      </c>
      <c r="Y38" s="526">
        <f t="shared" si="36"/>
        <v>0</v>
      </c>
      <c r="Z38" s="526">
        <f t="shared" si="36"/>
        <v>0</v>
      </c>
      <c r="AA38" s="526">
        <f t="shared" si="36"/>
        <v>0</v>
      </c>
      <c r="AB38" s="526">
        <f t="shared" si="36"/>
        <v>0</v>
      </c>
      <c r="AC38" s="526">
        <f t="shared" si="36"/>
        <v>0</v>
      </c>
      <c r="AD38" s="526">
        <f t="shared" si="36"/>
        <v>0</v>
      </c>
      <c r="AE38" s="526">
        <f t="shared" si="36"/>
        <v>0</v>
      </c>
      <c r="AF38" s="526">
        <f t="shared" si="36"/>
        <v>0</v>
      </c>
      <c r="AG38" s="526">
        <f t="shared" si="36"/>
        <v>0</v>
      </c>
      <c r="AH38" s="526">
        <f t="shared" si="36"/>
        <v>0</v>
      </c>
      <c r="AI38" s="526">
        <f t="shared" si="36"/>
        <v>0</v>
      </c>
      <c r="AJ38" s="526">
        <f t="shared" si="36"/>
        <v>0</v>
      </c>
      <c r="AK38" s="526">
        <f t="shared" si="36"/>
        <v>0</v>
      </c>
      <c r="AL38" s="526">
        <f t="shared" si="36"/>
        <v>0</v>
      </c>
      <c r="AM38" s="526">
        <f t="shared" si="36"/>
        <v>0</v>
      </c>
      <c r="AN38" s="526">
        <f t="shared" si="36"/>
        <v>0</v>
      </c>
      <c r="AO38" s="526">
        <f t="shared" si="36"/>
        <v>0</v>
      </c>
      <c r="AP38" s="526">
        <f t="shared" si="36"/>
        <v>0</v>
      </c>
      <c r="AQ38" s="526">
        <f t="shared" si="36"/>
        <v>0</v>
      </c>
      <c r="AR38" s="526">
        <f t="shared" si="36"/>
        <v>0</v>
      </c>
      <c r="AS38" s="526">
        <f t="shared" si="36"/>
        <v>0</v>
      </c>
      <c r="AT38" s="526">
        <f t="shared" si="36"/>
        <v>0</v>
      </c>
      <c r="AU38" s="526">
        <f t="shared" si="36"/>
        <v>0</v>
      </c>
      <c r="AV38" s="526">
        <f t="shared" si="36"/>
        <v>0</v>
      </c>
      <c r="AW38" s="526">
        <f t="shared" si="36"/>
        <v>0</v>
      </c>
      <c r="AX38" s="526">
        <f t="shared" si="36"/>
        <v>0</v>
      </c>
      <c r="AY38" s="526">
        <f t="shared" si="36"/>
        <v>0</v>
      </c>
      <c r="AZ38" s="526">
        <f t="shared" si="36"/>
        <v>0</v>
      </c>
      <c r="BA38" s="526">
        <f t="shared" si="36"/>
        <v>0</v>
      </c>
      <c r="BB38" s="526">
        <f t="shared" si="36"/>
        <v>0</v>
      </c>
      <c r="BC38" s="526">
        <f t="shared" si="36"/>
        <v>0</v>
      </c>
      <c r="BD38" s="526">
        <f t="shared" si="36"/>
        <v>0</v>
      </c>
      <c r="BE38" s="526">
        <f t="shared" si="36"/>
        <v>0</v>
      </c>
      <c r="BF38" s="526">
        <f t="shared" si="36"/>
        <v>0</v>
      </c>
      <c r="BG38" s="526">
        <f t="shared" si="36"/>
        <v>0</v>
      </c>
      <c r="BH38" s="526">
        <f t="shared" si="36"/>
        <v>0</v>
      </c>
      <c r="BI38" s="526">
        <f t="shared" si="36"/>
        <v>0</v>
      </c>
      <c r="BJ38" s="526">
        <f t="shared" si="36"/>
        <v>0</v>
      </c>
      <c r="BK38" s="526">
        <f t="shared" si="36"/>
        <v>0</v>
      </c>
      <c r="BL38" s="526">
        <f t="shared" si="36"/>
        <v>0</v>
      </c>
      <c r="BM38" s="526">
        <f t="shared" si="36"/>
        <v>0</v>
      </c>
      <c r="BN38" s="526">
        <f t="shared" si="36"/>
        <v>0</v>
      </c>
      <c r="BO38" s="526">
        <f t="shared" si="36"/>
        <v>0</v>
      </c>
      <c r="BP38" s="526">
        <f t="shared" si="36"/>
        <v>0</v>
      </c>
      <c r="BQ38" s="526">
        <f t="shared" si="36"/>
        <v>0</v>
      </c>
      <c r="BR38" s="526">
        <f t="shared" si="36"/>
        <v>0</v>
      </c>
      <c r="BS38" s="526">
        <f t="shared" si="36"/>
        <v>0</v>
      </c>
      <c r="BT38" s="526">
        <f t="shared" si="36"/>
        <v>0</v>
      </c>
      <c r="BU38" s="526">
        <f t="shared" si="36"/>
        <v>0</v>
      </c>
      <c r="BV38" s="526">
        <f t="shared" si="36"/>
        <v>0</v>
      </c>
      <c r="BW38" s="526">
        <f t="shared" si="36"/>
        <v>0</v>
      </c>
      <c r="BX38" s="526">
        <f t="shared" si="36"/>
        <v>0</v>
      </c>
      <c r="BY38" s="526">
        <f t="shared" ref="BY38:EB38" si="37">BY18</f>
        <v>0</v>
      </c>
      <c r="BZ38" s="526">
        <f t="shared" si="37"/>
        <v>0</v>
      </c>
      <c r="CA38" s="526">
        <f t="shared" si="37"/>
        <v>0</v>
      </c>
      <c r="CB38" s="526">
        <f t="shared" si="37"/>
        <v>0</v>
      </c>
      <c r="CC38" s="526">
        <f t="shared" si="37"/>
        <v>0</v>
      </c>
      <c r="CD38" s="526">
        <f t="shared" si="37"/>
        <v>0</v>
      </c>
      <c r="CE38" s="526">
        <f t="shared" si="37"/>
        <v>0</v>
      </c>
      <c r="CF38" s="526">
        <f t="shared" si="37"/>
        <v>0</v>
      </c>
      <c r="CG38" s="526">
        <f t="shared" si="37"/>
        <v>0</v>
      </c>
      <c r="CH38" s="526">
        <f t="shared" si="37"/>
        <v>0</v>
      </c>
      <c r="CI38" s="526">
        <f t="shared" si="37"/>
        <v>0</v>
      </c>
      <c r="CJ38" s="526">
        <f t="shared" si="37"/>
        <v>0</v>
      </c>
      <c r="CK38" s="526">
        <f t="shared" si="37"/>
        <v>0</v>
      </c>
      <c r="CL38" s="526">
        <f t="shared" si="37"/>
        <v>0</v>
      </c>
      <c r="CM38" s="526">
        <f t="shared" si="37"/>
        <v>0</v>
      </c>
      <c r="CN38" s="526">
        <f t="shared" si="37"/>
        <v>0</v>
      </c>
      <c r="CO38" s="526">
        <f t="shared" si="37"/>
        <v>0</v>
      </c>
      <c r="CP38" s="526">
        <f t="shared" si="37"/>
        <v>0</v>
      </c>
      <c r="CQ38" s="526">
        <f t="shared" si="37"/>
        <v>0</v>
      </c>
      <c r="CR38" s="526">
        <f t="shared" si="37"/>
        <v>0</v>
      </c>
      <c r="CS38" s="526">
        <f t="shared" si="37"/>
        <v>0</v>
      </c>
      <c r="CT38" s="526">
        <f t="shared" si="37"/>
        <v>0</v>
      </c>
      <c r="CU38" s="526">
        <f t="shared" si="37"/>
        <v>0</v>
      </c>
      <c r="CV38" s="526">
        <f t="shared" si="37"/>
        <v>0</v>
      </c>
      <c r="CW38" s="526">
        <f t="shared" si="37"/>
        <v>0</v>
      </c>
      <c r="CX38" s="526">
        <f t="shared" si="37"/>
        <v>0</v>
      </c>
      <c r="CY38" s="526">
        <f t="shared" si="37"/>
        <v>0</v>
      </c>
      <c r="CZ38" s="526">
        <f t="shared" si="37"/>
        <v>0</v>
      </c>
      <c r="DA38" s="526">
        <f t="shared" si="37"/>
        <v>0</v>
      </c>
      <c r="DB38" s="526">
        <f t="shared" si="37"/>
        <v>0</v>
      </c>
      <c r="DC38" s="526">
        <f t="shared" si="37"/>
        <v>0</v>
      </c>
      <c r="DD38" s="526">
        <f t="shared" si="37"/>
        <v>0</v>
      </c>
      <c r="DE38" s="526">
        <f t="shared" si="37"/>
        <v>0</v>
      </c>
      <c r="DF38" s="526">
        <f t="shared" si="37"/>
        <v>0</v>
      </c>
      <c r="DG38" s="526">
        <f t="shared" si="37"/>
        <v>0</v>
      </c>
      <c r="DH38" s="526">
        <f t="shared" si="37"/>
        <v>0</v>
      </c>
      <c r="DI38" s="526">
        <f t="shared" si="37"/>
        <v>0</v>
      </c>
      <c r="DJ38" s="526">
        <f t="shared" si="37"/>
        <v>0</v>
      </c>
      <c r="DK38" s="526">
        <f t="shared" si="37"/>
        <v>0</v>
      </c>
      <c r="DL38" s="526">
        <f t="shared" si="37"/>
        <v>0</v>
      </c>
      <c r="DM38" s="526">
        <f t="shared" si="37"/>
        <v>0</v>
      </c>
      <c r="DN38" s="526">
        <f t="shared" si="37"/>
        <v>0</v>
      </c>
      <c r="DO38" s="526">
        <f t="shared" si="37"/>
        <v>0</v>
      </c>
      <c r="DP38" s="526">
        <f t="shared" si="37"/>
        <v>0</v>
      </c>
      <c r="DQ38" s="526">
        <f t="shared" si="37"/>
        <v>0</v>
      </c>
      <c r="DR38" s="526">
        <f t="shared" si="37"/>
        <v>0</v>
      </c>
      <c r="DS38" s="526">
        <f t="shared" si="37"/>
        <v>0</v>
      </c>
      <c r="DT38" s="526">
        <f t="shared" si="37"/>
        <v>0</v>
      </c>
      <c r="DU38" s="526">
        <f t="shared" si="37"/>
        <v>0</v>
      </c>
      <c r="DV38" s="526">
        <f t="shared" si="37"/>
        <v>0</v>
      </c>
      <c r="DW38" s="526">
        <f t="shared" si="37"/>
        <v>0</v>
      </c>
      <c r="DX38" s="526">
        <f t="shared" si="37"/>
        <v>0</v>
      </c>
      <c r="DY38" s="526">
        <f t="shared" si="37"/>
        <v>0</v>
      </c>
      <c r="DZ38" s="526">
        <f t="shared" si="37"/>
        <v>0</v>
      </c>
      <c r="EA38" s="526">
        <f t="shared" si="37"/>
        <v>0</v>
      </c>
      <c r="EB38" s="526">
        <f t="shared" si="37"/>
        <v>0</v>
      </c>
      <c r="EC38" s="523" t="s">
        <v>557</v>
      </c>
    </row>
    <row r="39" spans="8:133">
      <c r="H39" s="518" t="s">
        <v>1160</v>
      </c>
      <c r="I39" s="539">
        <f>D15</f>
        <v>9.9999999999999978E-2</v>
      </c>
      <c r="L39" s="526">
        <f ca="1">L32/$I32*$I39</f>
        <v>0</v>
      </c>
      <c r="M39" s="526">
        <f t="shared" ref="M39:BX39" ca="1" si="38">M32/$I32*$I39</f>
        <v>0</v>
      </c>
      <c r="N39" s="526">
        <f t="shared" ca="1" si="38"/>
        <v>0</v>
      </c>
      <c r="O39" s="526">
        <f t="shared" ca="1" si="38"/>
        <v>0</v>
      </c>
      <c r="P39" s="526">
        <f t="shared" ca="1" si="38"/>
        <v>0</v>
      </c>
      <c r="Q39" s="526">
        <f t="shared" ca="1" si="38"/>
        <v>0</v>
      </c>
      <c r="R39" s="526">
        <f t="shared" ca="1" si="38"/>
        <v>0</v>
      </c>
      <c r="S39" s="526">
        <f t="shared" ca="1" si="38"/>
        <v>0</v>
      </c>
      <c r="T39" s="526">
        <f t="shared" ca="1" si="38"/>
        <v>0</v>
      </c>
      <c r="U39" s="526">
        <f t="shared" ca="1" si="38"/>
        <v>0</v>
      </c>
      <c r="V39" s="526">
        <f t="shared" ca="1" si="38"/>
        <v>0</v>
      </c>
      <c r="W39" s="526">
        <f t="shared" ca="1" si="38"/>
        <v>0</v>
      </c>
      <c r="X39" s="526">
        <f t="shared" ca="1" si="38"/>
        <v>0</v>
      </c>
      <c r="Y39" s="526">
        <f t="shared" ca="1" si="38"/>
        <v>0</v>
      </c>
      <c r="Z39" s="526">
        <f t="shared" ca="1" si="38"/>
        <v>0</v>
      </c>
      <c r="AA39" s="526">
        <f t="shared" ca="1" si="38"/>
        <v>0</v>
      </c>
      <c r="AB39" s="526">
        <f t="shared" ca="1" si="38"/>
        <v>0</v>
      </c>
      <c r="AC39" s="526">
        <f t="shared" ca="1" si="38"/>
        <v>0</v>
      </c>
      <c r="AD39" s="526">
        <f t="shared" ca="1" si="38"/>
        <v>0</v>
      </c>
      <c r="AE39" s="526">
        <f t="shared" ca="1" si="38"/>
        <v>0</v>
      </c>
      <c r="AF39" s="526">
        <f t="shared" ca="1" si="38"/>
        <v>0</v>
      </c>
      <c r="AG39" s="526">
        <f t="shared" ca="1" si="38"/>
        <v>0</v>
      </c>
      <c r="AH39" s="526">
        <f t="shared" ca="1" si="38"/>
        <v>0</v>
      </c>
      <c r="AI39" s="526">
        <f t="shared" ca="1" si="38"/>
        <v>0</v>
      </c>
      <c r="AJ39" s="526">
        <f t="shared" ca="1" si="38"/>
        <v>0</v>
      </c>
      <c r="AK39" s="526">
        <f t="shared" ca="1" si="38"/>
        <v>0</v>
      </c>
      <c r="AL39" s="526">
        <f t="shared" ca="1" si="38"/>
        <v>0</v>
      </c>
      <c r="AM39" s="526">
        <f t="shared" ca="1" si="38"/>
        <v>0</v>
      </c>
      <c r="AN39" s="526">
        <f t="shared" ca="1" si="38"/>
        <v>0</v>
      </c>
      <c r="AO39" s="526">
        <f t="shared" ca="1" si="38"/>
        <v>0</v>
      </c>
      <c r="AP39" s="526">
        <f t="shared" ca="1" si="38"/>
        <v>0</v>
      </c>
      <c r="AQ39" s="526">
        <f t="shared" ca="1" si="38"/>
        <v>0</v>
      </c>
      <c r="AR39" s="526">
        <f t="shared" ca="1" si="38"/>
        <v>0</v>
      </c>
      <c r="AS39" s="526">
        <f t="shared" ca="1" si="38"/>
        <v>0</v>
      </c>
      <c r="AT39" s="526">
        <f t="shared" ca="1" si="38"/>
        <v>0</v>
      </c>
      <c r="AU39" s="526">
        <f t="shared" ca="1" si="38"/>
        <v>0</v>
      </c>
      <c r="AV39" s="526">
        <f t="shared" ca="1" si="38"/>
        <v>0</v>
      </c>
      <c r="AW39" s="526">
        <f t="shared" ca="1" si="38"/>
        <v>0</v>
      </c>
      <c r="AX39" s="526">
        <f t="shared" ca="1" si="38"/>
        <v>0</v>
      </c>
      <c r="AY39" s="526">
        <f t="shared" ca="1" si="38"/>
        <v>0</v>
      </c>
      <c r="AZ39" s="526">
        <f t="shared" ca="1" si="38"/>
        <v>0</v>
      </c>
      <c r="BA39" s="526">
        <f t="shared" ca="1" si="38"/>
        <v>0</v>
      </c>
      <c r="BB39" s="526">
        <f t="shared" ca="1" si="38"/>
        <v>0</v>
      </c>
      <c r="BC39" s="526">
        <f t="shared" ca="1" si="38"/>
        <v>0</v>
      </c>
      <c r="BD39" s="526">
        <f t="shared" ca="1" si="38"/>
        <v>0</v>
      </c>
      <c r="BE39" s="526">
        <f t="shared" ca="1" si="38"/>
        <v>0</v>
      </c>
      <c r="BF39" s="526">
        <f t="shared" ca="1" si="38"/>
        <v>0</v>
      </c>
      <c r="BG39" s="526">
        <f t="shared" ca="1" si="38"/>
        <v>0</v>
      </c>
      <c r="BH39" s="526">
        <f t="shared" ca="1" si="38"/>
        <v>278370.58212611405</v>
      </c>
      <c r="BI39" s="526">
        <f t="shared" ca="1" si="38"/>
        <v>0</v>
      </c>
      <c r="BJ39" s="526">
        <f t="shared" ca="1" si="38"/>
        <v>0</v>
      </c>
      <c r="BK39" s="526">
        <f t="shared" ca="1" si="38"/>
        <v>0</v>
      </c>
      <c r="BL39" s="526">
        <f t="shared" ca="1" si="38"/>
        <v>0</v>
      </c>
      <c r="BM39" s="526">
        <f t="shared" ca="1" si="38"/>
        <v>0</v>
      </c>
      <c r="BN39" s="526">
        <f t="shared" ca="1" si="38"/>
        <v>0</v>
      </c>
      <c r="BO39" s="526">
        <f t="shared" ca="1" si="38"/>
        <v>0</v>
      </c>
      <c r="BP39" s="526">
        <f t="shared" ca="1" si="38"/>
        <v>0</v>
      </c>
      <c r="BQ39" s="526">
        <f t="shared" ca="1" si="38"/>
        <v>0</v>
      </c>
      <c r="BR39" s="526">
        <f t="shared" ca="1" si="38"/>
        <v>0</v>
      </c>
      <c r="BS39" s="526">
        <f t="shared" ca="1" si="38"/>
        <v>0</v>
      </c>
      <c r="BT39" s="526">
        <f t="shared" ca="1" si="38"/>
        <v>0</v>
      </c>
      <c r="BU39" s="526">
        <f t="shared" ca="1" si="38"/>
        <v>0</v>
      </c>
      <c r="BV39" s="526">
        <f t="shared" ca="1" si="38"/>
        <v>0</v>
      </c>
      <c r="BW39" s="526">
        <f t="shared" ca="1" si="38"/>
        <v>0</v>
      </c>
      <c r="BX39" s="526">
        <f t="shared" ca="1" si="38"/>
        <v>0</v>
      </c>
      <c r="BY39" s="526">
        <f t="shared" ref="BY39:EB39" ca="1" si="39">BY32/$I32*$I39</f>
        <v>0</v>
      </c>
      <c r="BZ39" s="526">
        <f t="shared" ca="1" si="39"/>
        <v>0</v>
      </c>
      <c r="CA39" s="526">
        <f t="shared" ca="1" si="39"/>
        <v>0</v>
      </c>
      <c r="CB39" s="526">
        <f t="shared" ca="1" si="39"/>
        <v>0</v>
      </c>
      <c r="CC39" s="526">
        <f t="shared" ca="1" si="39"/>
        <v>0</v>
      </c>
      <c r="CD39" s="526">
        <f t="shared" ca="1" si="39"/>
        <v>0</v>
      </c>
      <c r="CE39" s="526">
        <f t="shared" ca="1" si="39"/>
        <v>0</v>
      </c>
      <c r="CF39" s="526">
        <f t="shared" ca="1" si="39"/>
        <v>0</v>
      </c>
      <c r="CG39" s="526">
        <f t="shared" ca="1" si="39"/>
        <v>0</v>
      </c>
      <c r="CH39" s="526">
        <f t="shared" ca="1" si="39"/>
        <v>0</v>
      </c>
      <c r="CI39" s="526">
        <f t="shared" ca="1" si="39"/>
        <v>0</v>
      </c>
      <c r="CJ39" s="526">
        <f t="shared" ca="1" si="39"/>
        <v>0</v>
      </c>
      <c r="CK39" s="526">
        <f t="shared" ca="1" si="39"/>
        <v>0</v>
      </c>
      <c r="CL39" s="526">
        <f t="shared" ca="1" si="39"/>
        <v>0</v>
      </c>
      <c r="CM39" s="526">
        <f t="shared" ca="1" si="39"/>
        <v>0</v>
      </c>
      <c r="CN39" s="526">
        <f t="shared" ca="1" si="39"/>
        <v>0</v>
      </c>
      <c r="CO39" s="526">
        <f t="shared" ca="1" si="39"/>
        <v>0</v>
      </c>
      <c r="CP39" s="526">
        <f t="shared" ca="1" si="39"/>
        <v>0</v>
      </c>
      <c r="CQ39" s="526">
        <f t="shared" ca="1" si="39"/>
        <v>0</v>
      </c>
      <c r="CR39" s="526">
        <f t="shared" ca="1" si="39"/>
        <v>0</v>
      </c>
      <c r="CS39" s="526">
        <f t="shared" ca="1" si="39"/>
        <v>0</v>
      </c>
      <c r="CT39" s="526">
        <f t="shared" ca="1" si="39"/>
        <v>0</v>
      </c>
      <c r="CU39" s="526">
        <f t="shared" ca="1" si="39"/>
        <v>0</v>
      </c>
      <c r="CV39" s="526">
        <f t="shared" ca="1" si="39"/>
        <v>0</v>
      </c>
      <c r="CW39" s="526">
        <f t="shared" ca="1" si="39"/>
        <v>0</v>
      </c>
      <c r="CX39" s="526">
        <f t="shared" ca="1" si="39"/>
        <v>0</v>
      </c>
      <c r="CY39" s="526">
        <f t="shared" ca="1" si="39"/>
        <v>0</v>
      </c>
      <c r="CZ39" s="526">
        <f t="shared" ca="1" si="39"/>
        <v>0</v>
      </c>
      <c r="DA39" s="526">
        <f t="shared" ca="1" si="39"/>
        <v>0</v>
      </c>
      <c r="DB39" s="526">
        <f t="shared" ca="1" si="39"/>
        <v>0</v>
      </c>
      <c r="DC39" s="526">
        <f t="shared" ca="1" si="39"/>
        <v>0</v>
      </c>
      <c r="DD39" s="526">
        <f t="shared" ca="1" si="39"/>
        <v>0</v>
      </c>
      <c r="DE39" s="526">
        <f t="shared" ca="1" si="39"/>
        <v>0</v>
      </c>
      <c r="DF39" s="526">
        <f t="shared" ca="1" si="39"/>
        <v>0</v>
      </c>
      <c r="DG39" s="526">
        <f t="shared" ca="1" si="39"/>
        <v>0</v>
      </c>
      <c r="DH39" s="526">
        <f t="shared" ca="1" si="39"/>
        <v>0</v>
      </c>
      <c r="DI39" s="526">
        <f t="shared" ca="1" si="39"/>
        <v>0</v>
      </c>
      <c r="DJ39" s="526">
        <f t="shared" ca="1" si="39"/>
        <v>0</v>
      </c>
      <c r="DK39" s="526">
        <f t="shared" ca="1" si="39"/>
        <v>0</v>
      </c>
      <c r="DL39" s="526">
        <f t="shared" ca="1" si="39"/>
        <v>0</v>
      </c>
      <c r="DM39" s="526">
        <f t="shared" ca="1" si="39"/>
        <v>0</v>
      </c>
      <c r="DN39" s="526">
        <f t="shared" ca="1" si="39"/>
        <v>0</v>
      </c>
      <c r="DO39" s="526">
        <f t="shared" ca="1" si="39"/>
        <v>0</v>
      </c>
      <c r="DP39" s="526">
        <f t="shared" ca="1" si="39"/>
        <v>0</v>
      </c>
      <c r="DQ39" s="526">
        <f t="shared" ca="1" si="39"/>
        <v>0</v>
      </c>
      <c r="DR39" s="526">
        <f t="shared" ca="1" si="39"/>
        <v>0</v>
      </c>
      <c r="DS39" s="526">
        <f t="shared" ca="1" si="39"/>
        <v>0</v>
      </c>
      <c r="DT39" s="526">
        <f t="shared" ca="1" si="39"/>
        <v>0</v>
      </c>
      <c r="DU39" s="526">
        <f t="shared" ca="1" si="39"/>
        <v>0</v>
      </c>
      <c r="DV39" s="526">
        <f t="shared" ca="1" si="39"/>
        <v>0</v>
      </c>
      <c r="DW39" s="526">
        <f t="shared" ca="1" si="39"/>
        <v>0</v>
      </c>
      <c r="DX39" s="526">
        <f t="shared" ca="1" si="39"/>
        <v>0</v>
      </c>
      <c r="DY39" s="526">
        <f t="shared" ca="1" si="39"/>
        <v>0</v>
      </c>
      <c r="DZ39" s="526">
        <f t="shared" ca="1" si="39"/>
        <v>0</v>
      </c>
      <c r="EA39" s="526">
        <f t="shared" ca="1" si="39"/>
        <v>0</v>
      </c>
      <c r="EB39" s="526">
        <f t="shared" ca="1" si="39"/>
        <v>0</v>
      </c>
      <c r="EC39" s="523" t="s">
        <v>557</v>
      </c>
    </row>
    <row r="40" spans="8:133">
      <c r="EC40" s="523" t="s">
        <v>557</v>
      </c>
    </row>
    <row r="41" spans="8:133">
      <c r="H41" s="518" t="s">
        <v>1190</v>
      </c>
      <c r="L41" s="526">
        <f ca="1">L32+L39</f>
        <v>0</v>
      </c>
      <c r="M41" s="526">
        <f t="shared" ref="M41:BX41" ca="1" si="40">M32+M39</f>
        <v>0</v>
      </c>
      <c r="N41" s="526">
        <f t="shared" ca="1" si="40"/>
        <v>0</v>
      </c>
      <c r="O41" s="526">
        <f t="shared" ca="1" si="40"/>
        <v>0</v>
      </c>
      <c r="P41" s="526">
        <f t="shared" ca="1" si="40"/>
        <v>0</v>
      </c>
      <c r="Q41" s="526">
        <f t="shared" ca="1" si="40"/>
        <v>0</v>
      </c>
      <c r="R41" s="526">
        <f t="shared" ca="1" si="40"/>
        <v>0</v>
      </c>
      <c r="S41" s="526">
        <f t="shared" ca="1" si="40"/>
        <v>0</v>
      </c>
      <c r="T41" s="526">
        <f t="shared" ca="1" si="40"/>
        <v>0</v>
      </c>
      <c r="U41" s="526">
        <f t="shared" ca="1" si="40"/>
        <v>0</v>
      </c>
      <c r="V41" s="526">
        <f t="shared" ca="1" si="40"/>
        <v>0</v>
      </c>
      <c r="W41" s="526">
        <f t="shared" ca="1" si="40"/>
        <v>0</v>
      </c>
      <c r="X41" s="526">
        <f t="shared" ca="1" si="40"/>
        <v>0</v>
      </c>
      <c r="Y41" s="526">
        <f t="shared" ca="1" si="40"/>
        <v>0</v>
      </c>
      <c r="Z41" s="526">
        <f t="shared" ca="1" si="40"/>
        <v>0</v>
      </c>
      <c r="AA41" s="526">
        <f t="shared" ca="1" si="40"/>
        <v>0</v>
      </c>
      <c r="AB41" s="526">
        <f t="shared" ca="1" si="40"/>
        <v>0</v>
      </c>
      <c r="AC41" s="526">
        <f t="shared" ca="1" si="40"/>
        <v>0</v>
      </c>
      <c r="AD41" s="526">
        <f t="shared" ca="1" si="40"/>
        <v>0</v>
      </c>
      <c r="AE41" s="526">
        <f t="shared" ca="1" si="40"/>
        <v>0</v>
      </c>
      <c r="AF41" s="526">
        <f t="shared" ca="1" si="40"/>
        <v>0</v>
      </c>
      <c r="AG41" s="526">
        <f t="shared" ca="1" si="40"/>
        <v>0</v>
      </c>
      <c r="AH41" s="526">
        <f t="shared" ca="1" si="40"/>
        <v>0</v>
      </c>
      <c r="AI41" s="526">
        <f t="shared" ca="1" si="40"/>
        <v>0</v>
      </c>
      <c r="AJ41" s="526">
        <f t="shared" ca="1" si="40"/>
        <v>0</v>
      </c>
      <c r="AK41" s="526">
        <f t="shared" ca="1" si="40"/>
        <v>0</v>
      </c>
      <c r="AL41" s="526">
        <f t="shared" ca="1" si="40"/>
        <v>0</v>
      </c>
      <c r="AM41" s="526">
        <f t="shared" ca="1" si="40"/>
        <v>0</v>
      </c>
      <c r="AN41" s="526">
        <f t="shared" ca="1" si="40"/>
        <v>0</v>
      </c>
      <c r="AO41" s="526">
        <f t="shared" ca="1" si="40"/>
        <v>0</v>
      </c>
      <c r="AP41" s="526">
        <f t="shared" ca="1" si="40"/>
        <v>0</v>
      </c>
      <c r="AQ41" s="526">
        <f t="shared" ca="1" si="40"/>
        <v>0</v>
      </c>
      <c r="AR41" s="526">
        <f t="shared" ca="1" si="40"/>
        <v>0</v>
      </c>
      <c r="AS41" s="526">
        <f t="shared" ca="1" si="40"/>
        <v>0</v>
      </c>
      <c r="AT41" s="526">
        <f t="shared" ca="1" si="40"/>
        <v>0</v>
      </c>
      <c r="AU41" s="526">
        <f t="shared" ca="1" si="40"/>
        <v>0</v>
      </c>
      <c r="AV41" s="526">
        <f t="shared" ca="1" si="40"/>
        <v>0</v>
      </c>
      <c r="AW41" s="526">
        <f t="shared" ca="1" si="40"/>
        <v>0</v>
      </c>
      <c r="AX41" s="526">
        <f t="shared" ca="1" si="40"/>
        <v>0</v>
      </c>
      <c r="AY41" s="526">
        <f t="shared" ca="1" si="40"/>
        <v>0</v>
      </c>
      <c r="AZ41" s="526">
        <f t="shared" ca="1" si="40"/>
        <v>0</v>
      </c>
      <c r="BA41" s="526">
        <f t="shared" ca="1" si="40"/>
        <v>0</v>
      </c>
      <c r="BB41" s="526">
        <f t="shared" ca="1" si="40"/>
        <v>0</v>
      </c>
      <c r="BC41" s="526">
        <f t="shared" ca="1" si="40"/>
        <v>0</v>
      </c>
      <c r="BD41" s="526">
        <f t="shared" ca="1" si="40"/>
        <v>0</v>
      </c>
      <c r="BE41" s="526">
        <f t="shared" ca="1" si="40"/>
        <v>0</v>
      </c>
      <c r="BF41" s="526">
        <f t="shared" ca="1" si="40"/>
        <v>0</v>
      </c>
      <c r="BG41" s="526">
        <f t="shared" ca="1" si="40"/>
        <v>0</v>
      </c>
      <c r="BH41" s="526">
        <f t="shared" ca="1" si="40"/>
        <v>2783705.821261141</v>
      </c>
      <c r="BI41" s="526">
        <f t="shared" ca="1" si="40"/>
        <v>0</v>
      </c>
      <c r="BJ41" s="526">
        <f t="shared" ca="1" si="40"/>
        <v>0</v>
      </c>
      <c r="BK41" s="526">
        <f t="shared" ca="1" si="40"/>
        <v>0</v>
      </c>
      <c r="BL41" s="526">
        <f t="shared" ca="1" si="40"/>
        <v>0</v>
      </c>
      <c r="BM41" s="526">
        <f t="shared" ca="1" si="40"/>
        <v>0</v>
      </c>
      <c r="BN41" s="526">
        <f t="shared" ca="1" si="40"/>
        <v>0</v>
      </c>
      <c r="BO41" s="526">
        <f t="shared" ca="1" si="40"/>
        <v>0</v>
      </c>
      <c r="BP41" s="526">
        <f t="shared" ca="1" si="40"/>
        <v>0</v>
      </c>
      <c r="BQ41" s="526">
        <f t="shared" ca="1" si="40"/>
        <v>0</v>
      </c>
      <c r="BR41" s="526">
        <f t="shared" ca="1" si="40"/>
        <v>0</v>
      </c>
      <c r="BS41" s="526">
        <f t="shared" ca="1" si="40"/>
        <v>0</v>
      </c>
      <c r="BT41" s="526">
        <f t="shared" ca="1" si="40"/>
        <v>0</v>
      </c>
      <c r="BU41" s="526">
        <f t="shared" ca="1" si="40"/>
        <v>0</v>
      </c>
      <c r="BV41" s="526">
        <f t="shared" ca="1" si="40"/>
        <v>0</v>
      </c>
      <c r="BW41" s="526">
        <f t="shared" ca="1" si="40"/>
        <v>0</v>
      </c>
      <c r="BX41" s="526">
        <f t="shared" ca="1" si="40"/>
        <v>0</v>
      </c>
      <c r="BY41" s="526">
        <f t="shared" ref="BY41:EB41" ca="1" si="41">BY32+BY39</f>
        <v>0</v>
      </c>
      <c r="BZ41" s="526">
        <f t="shared" ca="1" si="41"/>
        <v>0</v>
      </c>
      <c r="CA41" s="526">
        <f t="shared" ca="1" si="41"/>
        <v>0</v>
      </c>
      <c r="CB41" s="526">
        <f t="shared" ca="1" si="41"/>
        <v>0</v>
      </c>
      <c r="CC41" s="526">
        <f t="shared" ca="1" si="41"/>
        <v>0</v>
      </c>
      <c r="CD41" s="526">
        <f t="shared" ca="1" si="41"/>
        <v>0</v>
      </c>
      <c r="CE41" s="526">
        <f t="shared" ca="1" si="41"/>
        <v>0</v>
      </c>
      <c r="CF41" s="526">
        <f t="shared" ca="1" si="41"/>
        <v>0</v>
      </c>
      <c r="CG41" s="526">
        <f t="shared" ca="1" si="41"/>
        <v>0</v>
      </c>
      <c r="CH41" s="526">
        <f t="shared" ca="1" si="41"/>
        <v>0</v>
      </c>
      <c r="CI41" s="526">
        <f t="shared" ca="1" si="41"/>
        <v>0</v>
      </c>
      <c r="CJ41" s="526">
        <f t="shared" ca="1" si="41"/>
        <v>0</v>
      </c>
      <c r="CK41" s="526">
        <f t="shared" ca="1" si="41"/>
        <v>0</v>
      </c>
      <c r="CL41" s="526">
        <f t="shared" ca="1" si="41"/>
        <v>0</v>
      </c>
      <c r="CM41" s="526">
        <f t="shared" ca="1" si="41"/>
        <v>0</v>
      </c>
      <c r="CN41" s="526">
        <f t="shared" ca="1" si="41"/>
        <v>0</v>
      </c>
      <c r="CO41" s="526">
        <f t="shared" ca="1" si="41"/>
        <v>0</v>
      </c>
      <c r="CP41" s="526">
        <f t="shared" ca="1" si="41"/>
        <v>0</v>
      </c>
      <c r="CQ41" s="526">
        <f t="shared" ca="1" si="41"/>
        <v>0</v>
      </c>
      <c r="CR41" s="526">
        <f t="shared" ca="1" si="41"/>
        <v>0</v>
      </c>
      <c r="CS41" s="526">
        <f t="shared" ca="1" si="41"/>
        <v>0</v>
      </c>
      <c r="CT41" s="526">
        <f t="shared" ca="1" si="41"/>
        <v>0</v>
      </c>
      <c r="CU41" s="526">
        <f t="shared" ca="1" si="41"/>
        <v>0</v>
      </c>
      <c r="CV41" s="526">
        <f t="shared" ca="1" si="41"/>
        <v>0</v>
      </c>
      <c r="CW41" s="526">
        <f t="shared" ca="1" si="41"/>
        <v>0</v>
      </c>
      <c r="CX41" s="526">
        <f t="shared" ca="1" si="41"/>
        <v>0</v>
      </c>
      <c r="CY41" s="526">
        <f t="shared" ca="1" si="41"/>
        <v>0</v>
      </c>
      <c r="CZ41" s="526">
        <f t="shared" ca="1" si="41"/>
        <v>0</v>
      </c>
      <c r="DA41" s="526">
        <f t="shared" ca="1" si="41"/>
        <v>0</v>
      </c>
      <c r="DB41" s="526">
        <f t="shared" ca="1" si="41"/>
        <v>0</v>
      </c>
      <c r="DC41" s="526">
        <f t="shared" ca="1" si="41"/>
        <v>0</v>
      </c>
      <c r="DD41" s="526">
        <f t="shared" ca="1" si="41"/>
        <v>0</v>
      </c>
      <c r="DE41" s="526">
        <f t="shared" ca="1" si="41"/>
        <v>0</v>
      </c>
      <c r="DF41" s="526">
        <f t="shared" ca="1" si="41"/>
        <v>0</v>
      </c>
      <c r="DG41" s="526">
        <f t="shared" ca="1" si="41"/>
        <v>0</v>
      </c>
      <c r="DH41" s="526">
        <f t="shared" ca="1" si="41"/>
        <v>0</v>
      </c>
      <c r="DI41" s="526">
        <f t="shared" ca="1" si="41"/>
        <v>0</v>
      </c>
      <c r="DJ41" s="526">
        <f t="shared" ca="1" si="41"/>
        <v>0</v>
      </c>
      <c r="DK41" s="526">
        <f t="shared" ca="1" si="41"/>
        <v>0</v>
      </c>
      <c r="DL41" s="526">
        <f t="shared" ca="1" si="41"/>
        <v>0</v>
      </c>
      <c r="DM41" s="526">
        <f t="shared" ca="1" si="41"/>
        <v>0</v>
      </c>
      <c r="DN41" s="526">
        <f t="shared" ca="1" si="41"/>
        <v>0</v>
      </c>
      <c r="DO41" s="526">
        <f t="shared" ca="1" si="41"/>
        <v>0</v>
      </c>
      <c r="DP41" s="526">
        <f t="shared" ca="1" si="41"/>
        <v>0</v>
      </c>
      <c r="DQ41" s="526">
        <f t="shared" ca="1" si="41"/>
        <v>0</v>
      </c>
      <c r="DR41" s="526">
        <f t="shared" ca="1" si="41"/>
        <v>0</v>
      </c>
      <c r="DS41" s="526">
        <f t="shared" ca="1" si="41"/>
        <v>0</v>
      </c>
      <c r="DT41" s="526">
        <f t="shared" ca="1" si="41"/>
        <v>0</v>
      </c>
      <c r="DU41" s="526">
        <f t="shared" ca="1" si="41"/>
        <v>0</v>
      </c>
      <c r="DV41" s="526">
        <f t="shared" ca="1" si="41"/>
        <v>0</v>
      </c>
      <c r="DW41" s="526">
        <f t="shared" ca="1" si="41"/>
        <v>0</v>
      </c>
      <c r="DX41" s="526">
        <f t="shared" ca="1" si="41"/>
        <v>0</v>
      </c>
      <c r="DY41" s="526">
        <f t="shared" ca="1" si="41"/>
        <v>0</v>
      </c>
      <c r="DZ41" s="526">
        <f t="shared" ca="1" si="41"/>
        <v>0</v>
      </c>
      <c r="EA41" s="526">
        <f t="shared" ca="1" si="41"/>
        <v>0</v>
      </c>
      <c r="EB41" s="526">
        <f t="shared" ca="1" si="41"/>
        <v>0</v>
      </c>
      <c r="EC41" s="523" t="s">
        <v>557</v>
      </c>
    </row>
    <row r="42" spans="8:133" ht="18" thickBot="1">
      <c r="H42" s="554" t="s">
        <v>1167</v>
      </c>
      <c r="I42" s="555"/>
      <c r="J42" s="555"/>
      <c r="K42" s="555"/>
      <c r="L42" s="556">
        <f ca="1">L24-L41</f>
        <v>0</v>
      </c>
      <c r="M42" s="556">
        <f t="shared" ref="M42:BX42" ca="1" si="42">M24-M41</f>
        <v>0</v>
      </c>
      <c r="N42" s="556">
        <f t="shared" ca="1" si="42"/>
        <v>0</v>
      </c>
      <c r="O42" s="556">
        <f t="shared" ca="1" si="42"/>
        <v>0</v>
      </c>
      <c r="P42" s="556">
        <f t="shared" ca="1" si="42"/>
        <v>0</v>
      </c>
      <c r="Q42" s="556">
        <f t="shared" ca="1" si="42"/>
        <v>0</v>
      </c>
      <c r="R42" s="556">
        <f t="shared" ca="1" si="42"/>
        <v>0</v>
      </c>
      <c r="S42" s="556">
        <f t="shared" ca="1" si="42"/>
        <v>0</v>
      </c>
      <c r="T42" s="556">
        <f t="shared" ca="1" si="42"/>
        <v>0</v>
      </c>
      <c r="U42" s="556">
        <f t="shared" ca="1" si="42"/>
        <v>0</v>
      </c>
      <c r="V42" s="556">
        <f t="shared" ca="1" si="42"/>
        <v>0</v>
      </c>
      <c r="W42" s="556">
        <f t="shared" ca="1" si="42"/>
        <v>0</v>
      </c>
      <c r="X42" s="556">
        <f t="shared" ca="1" si="42"/>
        <v>0</v>
      </c>
      <c r="Y42" s="556">
        <f t="shared" ca="1" si="42"/>
        <v>0</v>
      </c>
      <c r="Z42" s="556">
        <f t="shared" ca="1" si="42"/>
        <v>0</v>
      </c>
      <c r="AA42" s="556">
        <f t="shared" ca="1" si="42"/>
        <v>0</v>
      </c>
      <c r="AB42" s="556">
        <f t="shared" ca="1" si="42"/>
        <v>0</v>
      </c>
      <c r="AC42" s="556">
        <f t="shared" ca="1" si="42"/>
        <v>0</v>
      </c>
      <c r="AD42" s="556">
        <f t="shared" ca="1" si="42"/>
        <v>0</v>
      </c>
      <c r="AE42" s="556">
        <f t="shared" ca="1" si="42"/>
        <v>0</v>
      </c>
      <c r="AF42" s="556">
        <f t="shared" ca="1" si="42"/>
        <v>0</v>
      </c>
      <c r="AG42" s="556">
        <f t="shared" ca="1" si="42"/>
        <v>0</v>
      </c>
      <c r="AH42" s="556">
        <f t="shared" ca="1" si="42"/>
        <v>0</v>
      </c>
      <c r="AI42" s="556">
        <f t="shared" ca="1" si="42"/>
        <v>0</v>
      </c>
      <c r="AJ42" s="556">
        <f t="shared" ca="1" si="42"/>
        <v>0</v>
      </c>
      <c r="AK42" s="556">
        <f t="shared" ca="1" si="42"/>
        <v>0</v>
      </c>
      <c r="AL42" s="556">
        <f t="shared" ca="1" si="42"/>
        <v>0</v>
      </c>
      <c r="AM42" s="556">
        <f t="shared" ca="1" si="42"/>
        <v>0</v>
      </c>
      <c r="AN42" s="556">
        <f t="shared" ca="1" si="42"/>
        <v>0</v>
      </c>
      <c r="AO42" s="556">
        <f t="shared" ca="1" si="42"/>
        <v>0</v>
      </c>
      <c r="AP42" s="556">
        <f t="shared" ca="1" si="42"/>
        <v>0</v>
      </c>
      <c r="AQ42" s="556">
        <f t="shared" ca="1" si="42"/>
        <v>0</v>
      </c>
      <c r="AR42" s="556">
        <f t="shared" ca="1" si="42"/>
        <v>0</v>
      </c>
      <c r="AS42" s="556">
        <f t="shared" ca="1" si="42"/>
        <v>0</v>
      </c>
      <c r="AT42" s="556">
        <f t="shared" ca="1" si="42"/>
        <v>0</v>
      </c>
      <c r="AU42" s="556">
        <f t="shared" ca="1" si="42"/>
        <v>0</v>
      </c>
      <c r="AV42" s="556">
        <f t="shared" ca="1" si="42"/>
        <v>0</v>
      </c>
      <c r="AW42" s="556">
        <f t="shared" ca="1" si="42"/>
        <v>0</v>
      </c>
      <c r="AX42" s="556">
        <f t="shared" ca="1" si="42"/>
        <v>0</v>
      </c>
      <c r="AY42" s="556">
        <f t="shared" ca="1" si="42"/>
        <v>0</v>
      </c>
      <c r="AZ42" s="556">
        <f t="shared" ca="1" si="42"/>
        <v>0</v>
      </c>
      <c r="BA42" s="556">
        <f t="shared" ca="1" si="42"/>
        <v>0</v>
      </c>
      <c r="BB42" s="556">
        <f t="shared" ca="1" si="42"/>
        <v>0</v>
      </c>
      <c r="BC42" s="556">
        <f t="shared" ca="1" si="42"/>
        <v>0</v>
      </c>
      <c r="BD42" s="556">
        <f t="shared" ca="1" si="42"/>
        <v>0</v>
      </c>
      <c r="BE42" s="556">
        <f t="shared" ca="1" si="42"/>
        <v>0</v>
      </c>
      <c r="BF42" s="556">
        <f t="shared" ca="1" si="42"/>
        <v>0</v>
      </c>
      <c r="BG42" s="556">
        <f t="shared" ca="1" si="42"/>
        <v>0</v>
      </c>
      <c r="BH42" s="556">
        <f t="shared" ca="1" si="42"/>
        <v>3420589.3206033711</v>
      </c>
      <c r="BI42" s="556">
        <f t="shared" ca="1" si="42"/>
        <v>0</v>
      </c>
      <c r="BJ42" s="556">
        <f t="shared" ca="1" si="42"/>
        <v>0</v>
      </c>
      <c r="BK42" s="556">
        <f t="shared" ca="1" si="42"/>
        <v>0</v>
      </c>
      <c r="BL42" s="556">
        <f t="shared" ca="1" si="42"/>
        <v>0</v>
      </c>
      <c r="BM42" s="556">
        <f t="shared" ca="1" si="42"/>
        <v>0</v>
      </c>
      <c r="BN42" s="556">
        <f t="shared" ca="1" si="42"/>
        <v>0</v>
      </c>
      <c r="BO42" s="556">
        <f t="shared" ca="1" si="42"/>
        <v>0</v>
      </c>
      <c r="BP42" s="556">
        <f t="shared" ca="1" si="42"/>
        <v>0</v>
      </c>
      <c r="BQ42" s="556">
        <f t="shared" ca="1" si="42"/>
        <v>0</v>
      </c>
      <c r="BR42" s="556">
        <f t="shared" ca="1" si="42"/>
        <v>0</v>
      </c>
      <c r="BS42" s="556">
        <f t="shared" ca="1" si="42"/>
        <v>0</v>
      </c>
      <c r="BT42" s="556">
        <f t="shared" ca="1" si="42"/>
        <v>0</v>
      </c>
      <c r="BU42" s="556">
        <f t="shared" ca="1" si="42"/>
        <v>0</v>
      </c>
      <c r="BV42" s="556">
        <f t="shared" ca="1" si="42"/>
        <v>0</v>
      </c>
      <c r="BW42" s="556">
        <f t="shared" ca="1" si="42"/>
        <v>0</v>
      </c>
      <c r="BX42" s="556">
        <f t="shared" ca="1" si="42"/>
        <v>0</v>
      </c>
      <c r="BY42" s="556">
        <f t="shared" ref="BY42:EB42" ca="1" si="43">BY24-BY41</f>
        <v>0</v>
      </c>
      <c r="BZ42" s="556">
        <f t="shared" ca="1" si="43"/>
        <v>0</v>
      </c>
      <c r="CA42" s="556">
        <f t="shared" ca="1" si="43"/>
        <v>0</v>
      </c>
      <c r="CB42" s="556">
        <f t="shared" ca="1" si="43"/>
        <v>0</v>
      </c>
      <c r="CC42" s="556">
        <f t="shared" ca="1" si="43"/>
        <v>0</v>
      </c>
      <c r="CD42" s="556">
        <f t="shared" ca="1" si="43"/>
        <v>0</v>
      </c>
      <c r="CE42" s="556">
        <f t="shared" ca="1" si="43"/>
        <v>0</v>
      </c>
      <c r="CF42" s="556">
        <f t="shared" ca="1" si="43"/>
        <v>0</v>
      </c>
      <c r="CG42" s="556">
        <f t="shared" ca="1" si="43"/>
        <v>0</v>
      </c>
      <c r="CH42" s="556">
        <f t="shared" ca="1" si="43"/>
        <v>0</v>
      </c>
      <c r="CI42" s="556">
        <f t="shared" ca="1" si="43"/>
        <v>0</v>
      </c>
      <c r="CJ42" s="556">
        <f t="shared" ca="1" si="43"/>
        <v>0</v>
      </c>
      <c r="CK42" s="556">
        <f t="shared" ca="1" si="43"/>
        <v>0</v>
      </c>
      <c r="CL42" s="556">
        <f t="shared" ca="1" si="43"/>
        <v>0</v>
      </c>
      <c r="CM42" s="556">
        <f t="shared" ca="1" si="43"/>
        <v>0</v>
      </c>
      <c r="CN42" s="556">
        <f t="shared" ca="1" si="43"/>
        <v>0</v>
      </c>
      <c r="CO42" s="556">
        <f t="shared" ca="1" si="43"/>
        <v>0</v>
      </c>
      <c r="CP42" s="556">
        <f t="shared" ca="1" si="43"/>
        <v>0</v>
      </c>
      <c r="CQ42" s="556">
        <f t="shared" ca="1" si="43"/>
        <v>0</v>
      </c>
      <c r="CR42" s="556">
        <f t="shared" ca="1" si="43"/>
        <v>0</v>
      </c>
      <c r="CS42" s="556">
        <f t="shared" ca="1" si="43"/>
        <v>0</v>
      </c>
      <c r="CT42" s="556">
        <f t="shared" ca="1" si="43"/>
        <v>0</v>
      </c>
      <c r="CU42" s="556">
        <f t="shared" ca="1" si="43"/>
        <v>0</v>
      </c>
      <c r="CV42" s="556">
        <f t="shared" ca="1" si="43"/>
        <v>0</v>
      </c>
      <c r="CW42" s="556">
        <f t="shared" ca="1" si="43"/>
        <v>0</v>
      </c>
      <c r="CX42" s="556">
        <f t="shared" ca="1" si="43"/>
        <v>0</v>
      </c>
      <c r="CY42" s="556">
        <f t="shared" ca="1" si="43"/>
        <v>0</v>
      </c>
      <c r="CZ42" s="556">
        <f t="shared" ca="1" si="43"/>
        <v>0</v>
      </c>
      <c r="DA42" s="556">
        <f t="shared" ca="1" si="43"/>
        <v>0</v>
      </c>
      <c r="DB42" s="556">
        <f t="shared" ca="1" si="43"/>
        <v>0</v>
      </c>
      <c r="DC42" s="556">
        <f t="shared" ca="1" si="43"/>
        <v>0</v>
      </c>
      <c r="DD42" s="556">
        <f t="shared" ca="1" si="43"/>
        <v>0</v>
      </c>
      <c r="DE42" s="556">
        <f t="shared" ca="1" si="43"/>
        <v>0</v>
      </c>
      <c r="DF42" s="556">
        <f t="shared" ca="1" si="43"/>
        <v>0</v>
      </c>
      <c r="DG42" s="556">
        <f t="shared" ca="1" si="43"/>
        <v>0</v>
      </c>
      <c r="DH42" s="556">
        <f t="shared" ca="1" si="43"/>
        <v>0</v>
      </c>
      <c r="DI42" s="556">
        <f t="shared" ca="1" si="43"/>
        <v>0</v>
      </c>
      <c r="DJ42" s="556">
        <f t="shared" ca="1" si="43"/>
        <v>0</v>
      </c>
      <c r="DK42" s="556">
        <f t="shared" ca="1" si="43"/>
        <v>0</v>
      </c>
      <c r="DL42" s="556">
        <f t="shared" ca="1" si="43"/>
        <v>0</v>
      </c>
      <c r="DM42" s="556">
        <f t="shared" ca="1" si="43"/>
        <v>0</v>
      </c>
      <c r="DN42" s="556">
        <f t="shared" ca="1" si="43"/>
        <v>0</v>
      </c>
      <c r="DO42" s="556">
        <f t="shared" ca="1" si="43"/>
        <v>0</v>
      </c>
      <c r="DP42" s="556">
        <f t="shared" ca="1" si="43"/>
        <v>0</v>
      </c>
      <c r="DQ42" s="556">
        <f t="shared" ca="1" si="43"/>
        <v>0</v>
      </c>
      <c r="DR42" s="556">
        <f t="shared" ca="1" si="43"/>
        <v>0</v>
      </c>
      <c r="DS42" s="556">
        <f t="shared" ca="1" si="43"/>
        <v>0</v>
      </c>
      <c r="DT42" s="556">
        <f t="shared" ca="1" si="43"/>
        <v>0</v>
      </c>
      <c r="DU42" s="556">
        <f t="shared" ca="1" si="43"/>
        <v>0</v>
      </c>
      <c r="DV42" s="556">
        <f t="shared" ca="1" si="43"/>
        <v>0</v>
      </c>
      <c r="DW42" s="556">
        <f t="shared" ca="1" si="43"/>
        <v>0</v>
      </c>
      <c r="DX42" s="556">
        <f t="shared" ca="1" si="43"/>
        <v>0</v>
      </c>
      <c r="DY42" s="556">
        <f t="shared" ca="1" si="43"/>
        <v>0</v>
      </c>
      <c r="DZ42" s="556">
        <f t="shared" ca="1" si="43"/>
        <v>0</v>
      </c>
      <c r="EA42" s="556">
        <f t="shared" ca="1" si="43"/>
        <v>0</v>
      </c>
      <c r="EB42" s="556">
        <f t="shared" ca="1" si="43"/>
        <v>0</v>
      </c>
      <c r="EC42" s="523" t="s">
        <v>557</v>
      </c>
    </row>
    <row r="43" spans="8:133">
      <c r="EC43" s="523" t="s">
        <v>557</v>
      </c>
    </row>
    <row r="44" spans="8:133" ht="19">
      <c r="H44" s="173" t="s">
        <v>1154</v>
      </c>
      <c r="I44" s="529"/>
      <c r="J44" s="529"/>
      <c r="K44" s="530"/>
      <c r="L44" s="530"/>
      <c r="M44" s="530"/>
      <c r="N44" s="530"/>
      <c r="O44" s="530"/>
      <c r="P44" s="530"/>
      <c r="Q44" s="530"/>
      <c r="R44" s="530"/>
      <c r="S44" s="530"/>
      <c r="T44" s="530"/>
      <c r="U44" s="530"/>
      <c r="V44" s="530"/>
      <c r="W44" s="530"/>
      <c r="X44" s="530"/>
      <c r="Y44" s="530"/>
      <c r="Z44" s="530"/>
      <c r="AA44" s="530"/>
      <c r="AB44" s="530"/>
      <c r="AC44" s="530"/>
      <c r="AD44" s="530"/>
      <c r="AE44" s="530"/>
      <c r="AF44" s="530"/>
      <c r="AG44" s="530"/>
      <c r="AH44" s="530"/>
      <c r="AI44" s="530"/>
      <c r="AJ44" s="530"/>
      <c r="AK44" s="530"/>
      <c r="AL44" s="530"/>
      <c r="AM44" s="530"/>
      <c r="AN44" s="530"/>
      <c r="AO44" s="530"/>
      <c r="AP44" s="530"/>
      <c r="AQ44" s="530"/>
      <c r="AR44" s="530"/>
      <c r="AS44" s="530"/>
      <c r="AT44" s="530"/>
      <c r="AU44" s="530"/>
      <c r="AV44" s="530"/>
      <c r="AW44" s="530"/>
      <c r="AX44" s="530"/>
      <c r="AY44" s="530"/>
      <c r="AZ44" s="530"/>
      <c r="BA44" s="530"/>
      <c r="BB44" s="530"/>
      <c r="BC44" s="530"/>
      <c r="BD44" s="530"/>
      <c r="BE44" s="530"/>
      <c r="BF44" s="530"/>
      <c r="BG44" s="530"/>
      <c r="BH44" s="530"/>
      <c r="BI44" s="530"/>
      <c r="BJ44" s="530"/>
      <c r="BK44" s="530"/>
      <c r="BL44" s="530"/>
      <c r="BM44" s="530"/>
      <c r="BN44" s="530"/>
      <c r="BO44" s="530"/>
      <c r="BP44" s="530"/>
      <c r="BQ44" s="530"/>
      <c r="BR44" s="530"/>
      <c r="BS44" s="530"/>
      <c r="BT44" s="530"/>
      <c r="BU44" s="530"/>
      <c r="BV44" s="530"/>
      <c r="BW44" s="530"/>
      <c r="BX44" s="530"/>
      <c r="BY44" s="530"/>
      <c r="BZ44" s="530"/>
      <c r="CA44" s="530"/>
      <c r="CB44" s="530"/>
      <c r="CC44" s="530"/>
      <c r="CD44" s="530"/>
      <c r="CE44" s="530"/>
      <c r="CF44" s="530"/>
      <c r="CG44" s="530"/>
      <c r="CH44" s="530"/>
      <c r="CI44" s="530"/>
      <c r="CJ44" s="530"/>
      <c r="CK44" s="530"/>
      <c r="CL44" s="530"/>
      <c r="CM44" s="530"/>
      <c r="CN44" s="530"/>
      <c r="CO44" s="530"/>
      <c r="CP44" s="530"/>
      <c r="CQ44" s="530"/>
      <c r="CR44" s="530"/>
      <c r="CS44" s="530"/>
      <c r="CT44" s="530"/>
      <c r="CU44" s="530"/>
      <c r="CV44" s="530"/>
      <c r="CW44" s="530"/>
      <c r="CX44" s="530"/>
      <c r="CY44" s="530"/>
      <c r="CZ44" s="530"/>
      <c r="DA44" s="530"/>
      <c r="DB44" s="530"/>
      <c r="DC44" s="530"/>
      <c r="DD44" s="530"/>
      <c r="DE44" s="530"/>
      <c r="DF44" s="530"/>
      <c r="DG44" s="530"/>
      <c r="DH44" s="530"/>
      <c r="DI44" s="530"/>
      <c r="DJ44" s="530"/>
      <c r="DK44" s="530"/>
      <c r="DL44" s="530"/>
      <c r="DM44" s="530"/>
      <c r="DN44" s="530"/>
      <c r="DO44" s="530"/>
      <c r="DP44" s="530"/>
      <c r="DQ44" s="530"/>
      <c r="DR44" s="530"/>
      <c r="DS44" s="530"/>
      <c r="DT44" s="530"/>
      <c r="DU44" s="530"/>
      <c r="DV44" s="530"/>
      <c r="DW44" s="530"/>
      <c r="DX44" s="530"/>
      <c r="DY44" s="530"/>
      <c r="DZ44" s="530"/>
      <c r="EA44" s="530"/>
      <c r="EB44" s="530"/>
      <c r="EC44" s="523" t="s">
        <v>557</v>
      </c>
    </row>
    <row r="45" spans="8:133">
      <c r="H45" s="520" t="s">
        <v>1136</v>
      </c>
      <c r="I45" s="533"/>
      <c r="J45" s="533"/>
      <c r="K45" s="521"/>
      <c r="L45" s="521"/>
      <c r="M45" s="521"/>
      <c r="N45" s="521"/>
      <c r="O45" s="521"/>
      <c r="P45" s="521"/>
      <c r="Q45" s="521"/>
      <c r="R45" s="521"/>
      <c r="S45" s="521"/>
      <c r="T45" s="521"/>
      <c r="U45" s="521"/>
      <c r="V45" s="521"/>
      <c r="W45" s="521"/>
      <c r="X45" s="521"/>
      <c r="Y45" s="521"/>
      <c r="Z45" s="521"/>
      <c r="AA45" s="521"/>
      <c r="AB45" s="521"/>
      <c r="AC45" s="521"/>
      <c r="AD45" s="521"/>
      <c r="AE45" s="521"/>
      <c r="AF45" s="521"/>
      <c r="AG45" s="521"/>
      <c r="AH45" s="521"/>
      <c r="AI45" s="521"/>
      <c r="AJ45" s="521"/>
      <c r="AK45" s="521"/>
      <c r="AL45" s="521"/>
      <c r="AM45" s="521"/>
      <c r="AN45" s="521"/>
      <c r="AO45" s="521"/>
      <c r="AP45" s="521"/>
      <c r="AQ45" s="521"/>
      <c r="AR45" s="521"/>
      <c r="AS45" s="521"/>
      <c r="AT45" s="521"/>
      <c r="AU45" s="521"/>
      <c r="AV45" s="521"/>
      <c r="AW45" s="521"/>
      <c r="AX45" s="521"/>
      <c r="AY45" s="521"/>
      <c r="AZ45" s="521"/>
      <c r="BA45" s="521"/>
      <c r="BB45" s="521"/>
      <c r="BC45" s="521"/>
      <c r="BD45" s="521"/>
      <c r="BE45" s="521"/>
      <c r="BF45" s="521"/>
      <c r="BG45" s="521"/>
      <c r="BH45" s="521"/>
      <c r="BI45" s="521"/>
      <c r="BJ45" s="521"/>
      <c r="BK45" s="521"/>
      <c r="BL45" s="521"/>
      <c r="BM45" s="521"/>
      <c r="BN45" s="521"/>
      <c r="BO45" s="521"/>
      <c r="BP45" s="521"/>
      <c r="BQ45" s="521"/>
      <c r="BR45" s="521"/>
      <c r="BS45" s="521"/>
      <c r="BT45" s="521"/>
      <c r="BU45" s="521"/>
      <c r="BV45" s="521"/>
      <c r="BW45" s="521"/>
      <c r="BX45" s="521"/>
      <c r="BY45" s="521"/>
      <c r="BZ45" s="521"/>
      <c r="CA45" s="521"/>
      <c r="CB45" s="521"/>
      <c r="CC45" s="521"/>
      <c r="CD45" s="521"/>
      <c r="CE45" s="521"/>
      <c r="CF45" s="521"/>
      <c r="CG45" s="521"/>
      <c r="CH45" s="521"/>
      <c r="CI45" s="521"/>
      <c r="CJ45" s="521"/>
      <c r="CK45" s="521"/>
      <c r="CL45" s="521"/>
      <c r="CM45" s="521"/>
      <c r="CN45" s="521"/>
      <c r="CO45" s="521"/>
      <c r="CP45" s="521"/>
      <c r="CQ45" s="521"/>
      <c r="CR45" s="521"/>
      <c r="CS45" s="521"/>
      <c r="CT45" s="521"/>
      <c r="CU45" s="521"/>
      <c r="CV45" s="521"/>
      <c r="CW45" s="521"/>
      <c r="CX45" s="521"/>
      <c r="CY45" s="521"/>
      <c r="CZ45" s="521"/>
      <c r="DA45" s="521"/>
      <c r="DB45" s="521"/>
      <c r="DC45" s="521"/>
      <c r="DD45" s="521"/>
      <c r="DE45" s="521"/>
      <c r="DF45" s="521"/>
      <c r="DG45" s="521"/>
      <c r="DH45" s="521"/>
      <c r="DI45" s="521"/>
      <c r="DJ45" s="521"/>
      <c r="DK45" s="521"/>
      <c r="DL45" s="521"/>
      <c r="DM45" s="521"/>
      <c r="DN45" s="521"/>
      <c r="DO45" s="521"/>
      <c r="DP45" s="521"/>
      <c r="DQ45" s="521"/>
      <c r="DR45" s="521"/>
      <c r="DS45" s="521"/>
      <c r="DT45" s="521"/>
      <c r="DU45" s="521"/>
      <c r="DV45" s="521"/>
      <c r="DW45" s="521"/>
      <c r="DX45" s="521"/>
      <c r="DY45" s="521"/>
      <c r="DZ45" s="521"/>
      <c r="EA45" s="521"/>
      <c r="EB45" s="521"/>
      <c r="EC45" s="523" t="s">
        <v>557</v>
      </c>
    </row>
    <row r="46" spans="8:133">
      <c r="H46" s="518" t="s">
        <v>1141</v>
      </c>
      <c r="J46" s="1002" t="s">
        <v>1142</v>
      </c>
      <c r="L46" s="526">
        <f>K51</f>
        <v>0</v>
      </c>
      <c r="M46" s="526">
        <f t="shared" ref="M46:BX46" ca="1" si="44">L51</f>
        <v>20296000</v>
      </c>
      <c r="N46" s="526">
        <f t="shared" ca="1" si="44"/>
        <v>20458623.754385371</v>
      </c>
      <c r="O46" s="526">
        <f t="shared" ca="1" si="44"/>
        <v>20621039.059213091</v>
      </c>
      <c r="P46" s="526">
        <f t="shared" ca="1" si="44"/>
        <v>20783229.382025052</v>
      </c>
      <c r="Q46" s="526">
        <f t="shared" ca="1" si="44"/>
        <v>20945177.902750175</v>
      </c>
      <c r="R46" s="526">
        <f t="shared" ca="1" si="44"/>
        <v>21106867.509708807</v>
      </c>
      <c r="S46" s="526">
        <f t="shared" ca="1" si="44"/>
        <v>21268280.795566138</v>
      </c>
      <c r="T46" s="526">
        <f t="shared" ca="1" si="44"/>
        <v>21429400.053234</v>
      </c>
      <c r="U46" s="526">
        <f t="shared" ca="1" si="44"/>
        <v>21590207.271720428</v>
      </c>
      <c r="V46" s="526">
        <f t="shared" ca="1" si="44"/>
        <v>21750684.131926343</v>
      </c>
      <c r="W46" s="526">
        <f t="shared" ca="1" si="44"/>
        <v>21910812.002388697</v>
      </c>
      <c r="X46" s="526">
        <f t="shared" ca="1" si="44"/>
        <v>22070571.934969448</v>
      </c>
      <c r="Y46" s="526">
        <f t="shared" ca="1" si="44"/>
        <v>22229944.660489682</v>
      </c>
      <c r="Z46" s="526">
        <f t="shared" ca="1" si="44"/>
        <v>22391234.363304477</v>
      </c>
      <c r="AA46" s="526">
        <f t="shared" ca="1" si="44"/>
        <v>22552268.513362676</v>
      </c>
      <c r="AB46" s="526">
        <f t="shared" ca="1" si="44"/>
        <v>22713030.71033356</v>
      </c>
      <c r="AC46" s="526">
        <f t="shared" ca="1" si="44"/>
        <v>22873504.27796695</v>
      </c>
      <c r="AD46" s="526">
        <f t="shared" ca="1" si="44"/>
        <v>23033672.260337152</v>
      </c>
      <c r="AE46" s="526">
        <f t="shared" ca="1" si="44"/>
        <v>23193517.41803959</v>
      </c>
      <c r="AF46" s="526">
        <f t="shared" ca="1" si="44"/>
        <v>23353022.224339634</v>
      </c>
      <c r="AG46" s="526">
        <f t="shared" ca="1" si="44"/>
        <v>23512168.86127298</v>
      </c>
      <c r="AH46" s="526">
        <f t="shared" ca="1" si="44"/>
        <v>23670939.215696994</v>
      </c>
      <c r="AI46" s="526">
        <f t="shared" ca="1" si="44"/>
        <v>23829314.875292476</v>
      </c>
      <c r="AJ46" s="526">
        <f t="shared" ca="1" si="44"/>
        <v>23987277.124515176</v>
      </c>
      <c r="AK46" s="526">
        <f t="shared" ca="1" si="44"/>
        <v>24144806.940496504</v>
      </c>
      <c r="AL46" s="526">
        <f t="shared" ca="1" si="44"/>
        <v>24305179.959082235</v>
      </c>
      <c r="AM46" s="526">
        <f t="shared" ca="1" si="44"/>
        <v>24466202.468294587</v>
      </c>
      <c r="AN46" s="526">
        <f t="shared" ca="1" si="44"/>
        <v>24627877.979309089</v>
      </c>
      <c r="AO46" s="526">
        <f t="shared" ca="1" si="44"/>
        <v>24790210.030775882</v>
      </c>
      <c r="AP46" s="526">
        <f t="shared" ca="1" si="44"/>
        <v>24953202.18909606</v>
      </c>
      <c r="AQ46" s="526">
        <f t="shared" ca="1" si="44"/>
        <v>25116858.048701093</v>
      </c>
      <c r="AR46" s="526">
        <f t="shared" ca="1" si="44"/>
        <v>25281181.232335366</v>
      </c>
      <c r="AS46" s="526">
        <f t="shared" ca="1" si="44"/>
        <v>25446175.391341873</v>
      </c>
      <c r="AT46" s="526">
        <f t="shared" ca="1" si="44"/>
        <v>25611844.205951117</v>
      </c>
      <c r="AU46" s="526">
        <f t="shared" ca="1" si="44"/>
        <v>25778191.38557322</v>
      </c>
      <c r="AV46" s="526">
        <f t="shared" ca="1" si="44"/>
        <v>25945220.669093333</v>
      </c>
      <c r="AW46" s="526">
        <f t="shared" ca="1" si="44"/>
        <v>26112935.825170312</v>
      </c>
      <c r="AX46" s="526">
        <f t="shared" ca="1" si="44"/>
        <v>26283605.614976373</v>
      </c>
      <c r="AY46" s="526">
        <f t="shared" ca="1" si="44"/>
        <v>26454995.439036481</v>
      </c>
      <c r="AZ46" s="526">
        <f t="shared" ca="1" si="44"/>
        <v>26627109.467998259</v>
      </c>
      <c r="BA46" s="526">
        <f t="shared" ca="1" si="44"/>
        <v>26799951.907153137</v>
      </c>
      <c r="BB46" s="526">
        <f t="shared" ca="1" si="44"/>
        <v>26973526.99679482</v>
      </c>
      <c r="BC46" s="526">
        <f t="shared" ca="1" si="44"/>
        <v>27147839.012581795</v>
      </c>
      <c r="BD46" s="526">
        <f t="shared" ca="1" si="44"/>
        <v>27322892.265903935</v>
      </c>
      <c r="BE46" s="526">
        <f t="shared" ca="1" si="44"/>
        <v>27498691.104253221</v>
      </c>
      <c r="BF46" s="526">
        <f t="shared" ca="1" si="44"/>
        <v>27675239.911598668</v>
      </c>
      <c r="BG46" s="526">
        <f t="shared" ca="1" si="44"/>
        <v>27852543.108765449</v>
      </c>
      <c r="BH46" s="526">
        <f t="shared" ca="1" si="44"/>
        <v>28030605.153818358</v>
      </c>
      <c r="BI46" s="526">
        <f t="shared" ca="1" si="44"/>
        <v>0</v>
      </c>
      <c r="BJ46" s="526">
        <f t="shared" ca="1" si="44"/>
        <v>0</v>
      </c>
      <c r="BK46" s="526">
        <f t="shared" ca="1" si="44"/>
        <v>0</v>
      </c>
      <c r="BL46" s="526">
        <f t="shared" ca="1" si="44"/>
        <v>0</v>
      </c>
      <c r="BM46" s="526">
        <f t="shared" ca="1" si="44"/>
        <v>0</v>
      </c>
      <c r="BN46" s="526">
        <f t="shared" ca="1" si="44"/>
        <v>0</v>
      </c>
      <c r="BO46" s="526">
        <f t="shared" ca="1" si="44"/>
        <v>0</v>
      </c>
      <c r="BP46" s="526">
        <f t="shared" ca="1" si="44"/>
        <v>0</v>
      </c>
      <c r="BQ46" s="526">
        <f t="shared" ca="1" si="44"/>
        <v>0</v>
      </c>
      <c r="BR46" s="526">
        <f t="shared" ca="1" si="44"/>
        <v>0</v>
      </c>
      <c r="BS46" s="526">
        <f t="shared" ca="1" si="44"/>
        <v>0</v>
      </c>
      <c r="BT46" s="526">
        <f t="shared" ca="1" si="44"/>
        <v>0</v>
      </c>
      <c r="BU46" s="526">
        <f t="shared" ca="1" si="44"/>
        <v>0</v>
      </c>
      <c r="BV46" s="526">
        <f t="shared" ca="1" si="44"/>
        <v>0</v>
      </c>
      <c r="BW46" s="526">
        <f t="shared" ca="1" si="44"/>
        <v>0</v>
      </c>
      <c r="BX46" s="526">
        <f t="shared" ca="1" si="44"/>
        <v>0</v>
      </c>
      <c r="BY46" s="526">
        <f t="shared" ref="BY46:EB46" ca="1" si="45">BX51</f>
        <v>0</v>
      </c>
      <c r="BZ46" s="526">
        <f t="shared" ca="1" si="45"/>
        <v>0</v>
      </c>
      <c r="CA46" s="526">
        <f t="shared" ca="1" si="45"/>
        <v>0</v>
      </c>
      <c r="CB46" s="526">
        <f t="shared" ca="1" si="45"/>
        <v>0</v>
      </c>
      <c r="CC46" s="526">
        <f t="shared" ca="1" si="45"/>
        <v>0</v>
      </c>
      <c r="CD46" s="526">
        <f t="shared" ca="1" si="45"/>
        <v>0</v>
      </c>
      <c r="CE46" s="526">
        <f t="shared" ca="1" si="45"/>
        <v>0</v>
      </c>
      <c r="CF46" s="526">
        <f t="shared" ca="1" si="45"/>
        <v>0</v>
      </c>
      <c r="CG46" s="526">
        <f t="shared" ca="1" si="45"/>
        <v>0</v>
      </c>
      <c r="CH46" s="526">
        <f t="shared" ca="1" si="45"/>
        <v>0</v>
      </c>
      <c r="CI46" s="526">
        <f t="shared" ca="1" si="45"/>
        <v>0</v>
      </c>
      <c r="CJ46" s="526">
        <f t="shared" ca="1" si="45"/>
        <v>0</v>
      </c>
      <c r="CK46" s="526">
        <f t="shared" ca="1" si="45"/>
        <v>0</v>
      </c>
      <c r="CL46" s="526">
        <f t="shared" ca="1" si="45"/>
        <v>0</v>
      </c>
      <c r="CM46" s="526">
        <f t="shared" ca="1" si="45"/>
        <v>0</v>
      </c>
      <c r="CN46" s="526">
        <f t="shared" ca="1" si="45"/>
        <v>0</v>
      </c>
      <c r="CO46" s="526">
        <f t="shared" ca="1" si="45"/>
        <v>0</v>
      </c>
      <c r="CP46" s="526">
        <f t="shared" ca="1" si="45"/>
        <v>0</v>
      </c>
      <c r="CQ46" s="526">
        <f t="shared" ca="1" si="45"/>
        <v>0</v>
      </c>
      <c r="CR46" s="526">
        <f t="shared" ca="1" si="45"/>
        <v>0</v>
      </c>
      <c r="CS46" s="526">
        <f t="shared" ca="1" si="45"/>
        <v>0</v>
      </c>
      <c r="CT46" s="526">
        <f t="shared" ca="1" si="45"/>
        <v>0</v>
      </c>
      <c r="CU46" s="526">
        <f t="shared" ca="1" si="45"/>
        <v>0</v>
      </c>
      <c r="CV46" s="526">
        <f t="shared" ca="1" si="45"/>
        <v>0</v>
      </c>
      <c r="CW46" s="526">
        <f t="shared" ca="1" si="45"/>
        <v>0</v>
      </c>
      <c r="CX46" s="526">
        <f t="shared" ca="1" si="45"/>
        <v>0</v>
      </c>
      <c r="CY46" s="526">
        <f t="shared" ca="1" si="45"/>
        <v>0</v>
      </c>
      <c r="CZ46" s="526">
        <f t="shared" ca="1" si="45"/>
        <v>0</v>
      </c>
      <c r="DA46" s="526">
        <f t="shared" ca="1" si="45"/>
        <v>0</v>
      </c>
      <c r="DB46" s="526">
        <f t="shared" ca="1" si="45"/>
        <v>0</v>
      </c>
      <c r="DC46" s="526">
        <f t="shared" ca="1" si="45"/>
        <v>0</v>
      </c>
      <c r="DD46" s="526">
        <f t="shared" ca="1" si="45"/>
        <v>0</v>
      </c>
      <c r="DE46" s="526">
        <f t="shared" ca="1" si="45"/>
        <v>0</v>
      </c>
      <c r="DF46" s="526">
        <f t="shared" ca="1" si="45"/>
        <v>0</v>
      </c>
      <c r="DG46" s="526">
        <f t="shared" ca="1" si="45"/>
        <v>0</v>
      </c>
      <c r="DH46" s="526">
        <f t="shared" ca="1" si="45"/>
        <v>0</v>
      </c>
      <c r="DI46" s="526">
        <f t="shared" ca="1" si="45"/>
        <v>0</v>
      </c>
      <c r="DJ46" s="526">
        <f t="shared" ca="1" si="45"/>
        <v>0</v>
      </c>
      <c r="DK46" s="526">
        <f t="shared" ca="1" si="45"/>
        <v>0</v>
      </c>
      <c r="DL46" s="526">
        <f t="shared" ca="1" si="45"/>
        <v>0</v>
      </c>
      <c r="DM46" s="526">
        <f t="shared" ca="1" si="45"/>
        <v>0</v>
      </c>
      <c r="DN46" s="526">
        <f t="shared" ca="1" si="45"/>
        <v>0</v>
      </c>
      <c r="DO46" s="526">
        <f t="shared" ca="1" si="45"/>
        <v>0</v>
      </c>
      <c r="DP46" s="526">
        <f t="shared" ca="1" si="45"/>
        <v>0</v>
      </c>
      <c r="DQ46" s="526">
        <f t="shared" ca="1" si="45"/>
        <v>0</v>
      </c>
      <c r="DR46" s="526">
        <f t="shared" ca="1" si="45"/>
        <v>0</v>
      </c>
      <c r="DS46" s="526">
        <f t="shared" ca="1" si="45"/>
        <v>0</v>
      </c>
      <c r="DT46" s="526">
        <f t="shared" ca="1" si="45"/>
        <v>0</v>
      </c>
      <c r="DU46" s="526">
        <f t="shared" ca="1" si="45"/>
        <v>0</v>
      </c>
      <c r="DV46" s="526">
        <f t="shared" ca="1" si="45"/>
        <v>0</v>
      </c>
      <c r="DW46" s="526">
        <f t="shared" ca="1" si="45"/>
        <v>0</v>
      </c>
      <c r="DX46" s="526">
        <f t="shared" ca="1" si="45"/>
        <v>0</v>
      </c>
      <c r="DY46" s="526">
        <f t="shared" ca="1" si="45"/>
        <v>0</v>
      </c>
      <c r="DZ46" s="526">
        <f t="shared" ca="1" si="45"/>
        <v>0</v>
      </c>
      <c r="EA46" s="526">
        <f t="shared" ca="1" si="45"/>
        <v>0</v>
      </c>
      <c r="EB46" s="526">
        <f t="shared" ca="1" si="45"/>
        <v>0</v>
      </c>
      <c r="EC46" s="523" t="s">
        <v>557</v>
      </c>
    </row>
    <row r="47" spans="8:133">
      <c r="H47" s="518" t="s">
        <v>1172</v>
      </c>
      <c r="I47" s="537">
        <f>F16</f>
        <v>0.15</v>
      </c>
      <c r="J47" s="538">
        <f>((I47+1)^(1/12)-1)</f>
        <v>1.171491691985338E-2</v>
      </c>
      <c r="L47" s="526">
        <f>L46*$J47</f>
        <v>0</v>
      </c>
      <c r="M47" s="526">
        <f t="shared" ref="M47:BX47" ca="1" si="46">M46*$J47</f>
        <v>237765.95380534421</v>
      </c>
      <c r="N47" s="526">
        <f t="shared" ca="1" si="46"/>
        <v>239671.07757716347</v>
      </c>
      <c r="O47" s="526">
        <f t="shared" ca="1" si="46"/>
        <v>241573.75937973286</v>
      </c>
      <c r="P47" s="526">
        <f t="shared" ca="1" si="46"/>
        <v>243473.8055366792</v>
      </c>
      <c r="Q47" s="526">
        <f t="shared" ca="1" si="46"/>
        <v>245371.01900226716</v>
      </c>
      <c r="R47" s="526">
        <f t="shared" ca="1" si="46"/>
        <v>247265.19931459127</v>
      </c>
      <c r="S47" s="526">
        <f t="shared" ca="1" si="46"/>
        <v>249156.14254817044</v>
      </c>
      <c r="T47" s="526">
        <f t="shared" ca="1" si="46"/>
        <v>251043.64126593791</v>
      </c>
      <c r="U47" s="526">
        <f t="shared" ca="1" si="46"/>
        <v>252927.48447061912</v>
      </c>
      <c r="V47" s="526">
        <f t="shared" ca="1" si="46"/>
        <v>254807.45755549034</v>
      </c>
      <c r="W47" s="526">
        <f t="shared" ca="1" si="46"/>
        <v>256683.34225450986</v>
      </c>
      <c r="X47" s="526">
        <f t="shared" ca="1" si="46"/>
        <v>258554.91659181472</v>
      </c>
      <c r="Y47" s="526">
        <f t="shared" ca="1" si="46"/>
        <v>260421.95483057486</v>
      </c>
      <c r="Z47" s="526">
        <f t="shared" ca="1" si="46"/>
        <v>262311.45029907802</v>
      </c>
      <c r="AA47" s="526">
        <f t="shared" ca="1" si="46"/>
        <v>264197.95198826905</v>
      </c>
      <c r="AB47" s="526">
        <f t="shared" ca="1" si="46"/>
        <v>266081.26776963606</v>
      </c>
      <c r="AC47" s="526">
        <f t="shared" ca="1" si="46"/>
        <v>267961.2022822937</v>
      </c>
      <c r="AD47" s="526">
        <f t="shared" ca="1" si="46"/>
        <v>269837.55688898114</v>
      </c>
      <c r="AE47" s="526">
        <f t="shared" ca="1" si="46"/>
        <v>271710.12963150605</v>
      </c>
      <c r="AF47" s="526">
        <f t="shared" ca="1" si="46"/>
        <v>273578.71518562839</v>
      </c>
      <c r="AG47" s="526">
        <f t="shared" ca="1" si="46"/>
        <v>275443.10481537657</v>
      </c>
      <c r="AH47" s="526">
        <f t="shared" ca="1" si="46"/>
        <v>277303.08632678963</v>
      </c>
      <c r="AI47" s="526">
        <f t="shared" ca="1" si="46"/>
        <v>279158.44402107765</v>
      </c>
      <c r="AJ47" s="526">
        <f t="shared" ca="1" si="46"/>
        <v>281008.95864719478</v>
      </c>
      <c r="AK47" s="526">
        <f t="shared" ca="1" si="46"/>
        <v>282854.4073538158</v>
      </c>
      <c r="AL47" s="526">
        <f t="shared" ca="1" si="46"/>
        <v>284733.16394273372</v>
      </c>
      <c r="AM47" s="526">
        <f t="shared" ca="1" si="46"/>
        <v>286619.52926038275</v>
      </c>
      <c r="AN47" s="526">
        <f t="shared" ca="1" si="46"/>
        <v>288513.54443989252</v>
      </c>
      <c r="AO47" s="526">
        <f t="shared" ca="1" si="46"/>
        <v>290415.25093625538</v>
      </c>
      <c r="AP47" s="526">
        <f t="shared" ca="1" si="46"/>
        <v>292324.69052956381</v>
      </c>
      <c r="AQ47" s="526">
        <f t="shared" ca="1" si="46"/>
        <v>294241.90532828396</v>
      </c>
      <c r="AR47" s="526">
        <f t="shared" ca="1" si="46"/>
        <v>296166.93777256529</v>
      </c>
      <c r="AS47" s="526">
        <f t="shared" ca="1" si="46"/>
        <v>298099.83063758758</v>
      </c>
      <c r="AT47" s="526">
        <f t="shared" ca="1" si="46"/>
        <v>300040.62703694549</v>
      </c>
      <c r="AU47" s="526">
        <f t="shared" ca="1" si="46"/>
        <v>301989.37042607035</v>
      </c>
      <c r="AV47" s="526">
        <f t="shared" ca="1" si="46"/>
        <v>303946.1046056911</v>
      </c>
      <c r="AW47" s="526">
        <f t="shared" ca="1" si="46"/>
        <v>305910.87372533319</v>
      </c>
      <c r="AX47" s="526">
        <f t="shared" ca="1" si="46"/>
        <v>307910.25613364001</v>
      </c>
      <c r="AY47" s="526">
        <f t="shared" ca="1" si="46"/>
        <v>309918.07368341245</v>
      </c>
      <c r="AZ47" s="526">
        <f t="shared" ca="1" si="46"/>
        <v>311934.37523344095</v>
      </c>
      <c r="BA47" s="526">
        <f t="shared" ca="1" si="46"/>
        <v>313959.21004836512</v>
      </c>
      <c r="BB47" s="526">
        <f t="shared" ca="1" si="46"/>
        <v>315992.62780287355</v>
      </c>
      <c r="BC47" s="526">
        <f t="shared" ca="1" si="46"/>
        <v>318034.67858595017</v>
      </c>
      <c r="BD47" s="526">
        <f t="shared" ca="1" si="46"/>
        <v>320085.41290516907</v>
      </c>
      <c r="BE47" s="526">
        <f t="shared" ca="1" si="46"/>
        <v>322144.88169103768</v>
      </c>
      <c r="BF47" s="526">
        <f t="shared" ca="1" si="46"/>
        <v>324213.13630138879</v>
      </c>
      <c r="BG47" s="526">
        <f t="shared" ca="1" si="46"/>
        <v>326290.22852582199</v>
      </c>
      <c r="BH47" s="526">
        <f t="shared" ca="1" si="46"/>
        <v>328376.21059019602</v>
      </c>
      <c r="BI47" s="526">
        <f t="shared" ca="1" si="46"/>
        <v>0</v>
      </c>
      <c r="BJ47" s="526">
        <f t="shared" ca="1" si="46"/>
        <v>0</v>
      </c>
      <c r="BK47" s="526">
        <f t="shared" ca="1" si="46"/>
        <v>0</v>
      </c>
      <c r="BL47" s="526">
        <f t="shared" ca="1" si="46"/>
        <v>0</v>
      </c>
      <c r="BM47" s="526">
        <f t="shared" ca="1" si="46"/>
        <v>0</v>
      </c>
      <c r="BN47" s="526">
        <f t="shared" ca="1" si="46"/>
        <v>0</v>
      </c>
      <c r="BO47" s="526">
        <f t="shared" ca="1" si="46"/>
        <v>0</v>
      </c>
      <c r="BP47" s="526">
        <f t="shared" ca="1" si="46"/>
        <v>0</v>
      </c>
      <c r="BQ47" s="526">
        <f t="shared" ca="1" si="46"/>
        <v>0</v>
      </c>
      <c r="BR47" s="526">
        <f t="shared" ca="1" si="46"/>
        <v>0</v>
      </c>
      <c r="BS47" s="526">
        <f t="shared" ca="1" si="46"/>
        <v>0</v>
      </c>
      <c r="BT47" s="526">
        <f t="shared" ca="1" si="46"/>
        <v>0</v>
      </c>
      <c r="BU47" s="526">
        <f t="shared" ca="1" si="46"/>
        <v>0</v>
      </c>
      <c r="BV47" s="526">
        <f t="shared" ca="1" si="46"/>
        <v>0</v>
      </c>
      <c r="BW47" s="526">
        <f t="shared" ca="1" si="46"/>
        <v>0</v>
      </c>
      <c r="BX47" s="526">
        <f t="shared" ca="1" si="46"/>
        <v>0</v>
      </c>
      <c r="BY47" s="526">
        <f t="shared" ref="BY47:EB47" ca="1" si="47">BY46*$J47</f>
        <v>0</v>
      </c>
      <c r="BZ47" s="526">
        <f t="shared" ca="1" si="47"/>
        <v>0</v>
      </c>
      <c r="CA47" s="526">
        <f t="shared" ca="1" si="47"/>
        <v>0</v>
      </c>
      <c r="CB47" s="526">
        <f t="shared" ca="1" si="47"/>
        <v>0</v>
      </c>
      <c r="CC47" s="526">
        <f t="shared" ca="1" si="47"/>
        <v>0</v>
      </c>
      <c r="CD47" s="526">
        <f t="shared" ca="1" si="47"/>
        <v>0</v>
      </c>
      <c r="CE47" s="526">
        <f t="shared" ca="1" si="47"/>
        <v>0</v>
      </c>
      <c r="CF47" s="526">
        <f t="shared" ca="1" si="47"/>
        <v>0</v>
      </c>
      <c r="CG47" s="526">
        <f t="shared" ca="1" si="47"/>
        <v>0</v>
      </c>
      <c r="CH47" s="526">
        <f t="shared" ca="1" si="47"/>
        <v>0</v>
      </c>
      <c r="CI47" s="526">
        <f t="shared" ca="1" si="47"/>
        <v>0</v>
      </c>
      <c r="CJ47" s="526">
        <f t="shared" ca="1" si="47"/>
        <v>0</v>
      </c>
      <c r="CK47" s="526">
        <f t="shared" ca="1" si="47"/>
        <v>0</v>
      </c>
      <c r="CL47" s="526">
        <f t="shared" ca="1" si="47"/>
        <v>0</v>
      </c>
      <c r="CM47" s="526">
        <f t="shared" ca="1" si="47"/>
        <v>0</v>
      </c>
      <c r="CN47" s="526">
        <f t="shared" ca="1" si="47"/>
        <v>0</v>
      </c>
      <c r="CO47" s="526">
        <f t="shared" ca="1" si="47"/>
        <v>0</v>
      </c>
      <c r="CP47" s="526">
        <f t="shared" ca="1" si="47"/>
        <v>0</v>
      </c>
      <c r="CQ47" s="526">
        <f t="shared" ca="1" si="47"/>
        <v>0</v>
      </c>
      <c r="CR47" s="526">
        <f t="shared" ca="1" si="47"/>
        <v>0</v>
      </c>
      <c r="CS47" s="526">
        <f t="shared" ca="1" si="47"/>
        <v>0</v>
      </c>
      <c r="CT47" s="526">
        <f t="shared" ca="1" si="47"/>
        <v>0</v>
      </c>
      <c r="CU47" s="526">
        <f t="shared" ca="1" si="47"/>
        <v>0</v>
      </c>
      <c r="CV47" s="526">
        <f t="shared" ca="1" si="47"/>
        <v>0</v>
      </c>
      <c r="CW47" s="526">
        <f t="shared" ca="1" si="47"/>
        <v>0</v>
      </c>
      <c r="CX47" s="526">
        <f t="shared" ca="1" si="47"/>
        <v>0</v>
      </c>
      <c r="CY47" s="526">
        <f t="shared" ca="1" si="47"/>
        <v>0</v>
      </c>
      <c r="CZ47" s="526">
        <f t="shared" ca="1" si="47"/>
        <v>0</v>
      </c>
      <c r="DA47" s="526">
        <f t="shared" ca="1" si="47"/>
        <v>0</v>
      </c>
      <c r="DB47" s="526">
        <f t="shared" ca="1" si="47"/>
        <v>0</v>
      </c>
      <c r="DC47" s="526">
        <f t="shared" ca="1" si="47"/>
        <v>0</v>
      </c>
      <c r="DD47" s="526">
        <f t="shared" ca="1" si="47"/>
        <v>0</v>
      </c>
      <c r="DE47" s="526">
        <f t="shared" ca="1" si="47"/>
        <v>0</v>
      </c>
      <c r="DF47" s="526">
        <f t="shared" ca="1" si="47"/>
        <v>0</v>
      </c>
      <c r="DG47" s="526">
        <f t="shared" ca="1" si="47"/>
        <v>0</v>
      </c>
      <c r="DH47" s="526">
        <f t="shared" ca="1" si="47"/>
        <v>0</v>
      </c>
      <c r="DI47" s="526">
        <f t="shared" ca="1" si="47"/>
        <v>0</v>
      </c>
      <c r="DJ47" s="526">
        <f t="shared" ca="1" si="47"/>
        <v>0</v>
      </c>
      <c r="DK47" s="526">
        <f t="shared" ca="1" si="47"/>
        <v>0</v>
      </c>
      <c r="DL47" s="526">
        <f t="shared" ca="1" si="47"/>
        <v>0</v>
      </c>
      <c r="DM47" s="526">
        <f t="shared" ca="1" si="47"/>
        <v>0</v>
      </c>
      <c r="DN47" s="526">
        <f t="shared" ca="1" si="47"/>
        <v>0</v>
      </c>
      <c r="DO47" s="526">
        <f t="shared" ca="1" si="47"/>
        <v>0</v>
      </c>
      <c r="DP47" s="526">
        <f t="shared" ca="1" si="47"/>
        <v>0</v>
      </c>
      <c r="DQ47" s="526">
        <f t="shared" ca="1" si="47"/>
        <v>0</v>
      </c>
      <c r="DR47" s="526">
        <f t="shared" ca="1" si="47"/>
        <v>0</v>
      </c>
      <c r="DS47" s="526">
        <f t="shared" ca="1" si="47"/>
        <v>0</v>
      </c>
      <c r="DT47" s="526">
        <f t="shared" ca="1" si="47"/>
        <v>0</v>
      </c>
      <c r="DU47" s="526">
        <f t="shared" ca="1" si="47"/>
        <v>0</v>
      </c>
      <c r="DV47" s="526">
        <f t="shared" ca="1" si="47"/>
        <v>0</v>
      </c>
      <c r="DW47" s="526">
        <f t="shared" ca="1" si="47"/>
        <v>0</v>
      </c>
      <c r="DX47" s="526">
        <f t="shared" ca="1" si="47"/>
        <v>0</v>
      </c>
      <c r="DY47" s="526">
        <f t="shared" ca="1" si="47"/>
        <v>0</v>
      </c>
      <c r="DZ47" s="526">
        <f t="shared" ca="1" si="47"/>
        <v>0</v>
      </c>
      <c r="EA47" s="526">
        <f t="shared" ca="1" si="47"/>
        <v>0</v>
      </c>
      <c r="EB47" s="526">
        <f t="shared" ca="1" si="47"/>
        <v>0</v>
      </c>
      <c r="EC47" s="523" t="s">
        <v>557</v>
      </c>
    </row>
    <row r="48" spans="8:133">
      <c r="H48" s="518" t="s">
        <v>1145</v>
      </c>
      <c r="L48" s="526">
        <f ca="1">L30</f>
        <v>20296000</v>
      </c>
      <c r="M48" s="526">
        <f t="shared" ref="M48:BX48" si="48">M30</f>
        <v>0</v>
      </c>
      <c r="N48" s="526">
        <f t="shared" si="48"/>
        <v>0</v>
      </c>
      <c r="O48" s="526">
        <f t="shared" si="48"/>
        <v>0</v>
      </c>
      <c r="P48" s="526">
        <f t="shared" si="48"/>
        <v>0</v>
      </c>
      <c r="Q48" s="526">
        <f t="shared" si="48"/>
        <v>0</v>
      </c>
      <c r="R48" s="526">
        <f t="shared" si="48"/>
        <v>0</v>
      </c>
      <c r="S48" s="526">
        <f t="shared" si="48"/>
        <v>0</v>
      </c>
      <c r="T48" s="526">
        <f t="shared" si="48"/>
        <v>0</v>
      </c>
      <c r="U48" s="526">
        <f t="shared" si="48"/>
        <v>0</v>
      </c>
      <c r="V48" s="526">
        <f t="shared" si="48"/>
        <v>0</v>
      </c>
      <c r="W48" s="526">
        <f t="shared" si="48"/>
        <v>0</v>
      </c>
      <c r="X48" s="526">
        <f t="shared" si="48"/>
        <v>0</v>
      </c>
      <c r="Y48" s="526">
        <f t="shared" si="48"/>
        <v>0</v>
      </c>
      <c r="Z48" s="526">
        <f t="shared" si="48"/>
        <v>0</v>
      </c>
      <c r="AA48" s="526">
        <f t="shared" si="48"/>
        <v>0</v>
      </c>
      <c r="AB48" s="526">
        <f t="shared" si="48"/>
        <v>0</v>
      </c>
      <c r="AC48" s="526">
        <f t="shared" si="48"/>
        <v>0</v>
      </c>
      <c r="AD48" s="526">
        <f t="shared" si="48"/>
        <v>0</v>
      </c>
      <c r="AE48" s="526">
        <f t="shared" si="48"/>
        <v>0</v>
      </c>
      <c r="AF48" s="526">
        <f t="shared" si="48"/>
        <v>0</v>
      </c>
      <c r="AG48" s="526">
        <f t="shared" si="48"/>
        <v>0</v>
      </c>
      <c r="AH48" s="526">
        <f t="shared" si="48"/>
        <v>0</v>
      </c>
      <c r="AI48" s="526">
        <f t="shared" si="48"/>
        <v>0</v>
      </c>
      <c r="AJ48" s="526">
        <f t="shared" si="48"/>
        <v>0</v>
      </c>
      <c r="AK48" s="526">
        <f t="shared" si="48"/>
        <v>0</v>
      </c>
      <c r="AL48" s="526">
        <f t="shared" si="48"/>
        <v>0</v>
      </c>
      <c r="AM48" s="526">
        <f t="shared" si="48"/>
        <v>0</v>
      </c>
      <c r="AN48" s="526">
        <f t="shared" si="48"/>
        <v>0</v>
      </c>
      <c r="AO48" s="526">
        <f t="shared" si="48"/>
        <v>0</v>
      </c>
      <c r="AP48" s="526">
        <f t="shared" si="48"/>
        <v>0</v>
      </c>
      <c r="AQ48" s="526">
        <f t="shared" si="48"/>
        <v>0</v>
      </c>
      <c r="AR48" s="526">
        <f t="shared" si="48"/>
        <v>0</v>
      </c>
      <c r="AS48" s="526">
        <f t="shared" si="48"/>
        <v>0</v>
      </c>
      <c r="AT48" s="526">
        <f t="shared" si="48"/>
        <v>0</v>
      </c>
      <c r="AU48" s="526">
        <f t="shared" si="48"/>
        <v>0</v>
      </c>
      <c r="AV48" s="526">
        <f t="shared" si="48"/>
        <v>0</v>
      </c>
      <c r="AW48" s="526">
        <f t="shared" si="48"/>
        <v>0</v>
      </c>
      <c r="AX48" s="526">
        <f t="shared" si="48"/>
        <v>0</v>
      </c>
      <c r="AY48" s="526">
        <f t="shared" si="48"/>
        <v>0</v>
      </c>
      <c r="AZ48" s="526">
        <f t="shared" si="48"/>
        <v>0</v>
      </c>
      <c r="BA48" s="526">
        <f t="shared" si="48"/>
        <v>0</v>
      </c>
      <c r="BB48" s="526">
        <f t="shared" si="48"/>
        <v>0</v>
      </c>
      <c r="BC48" s="526">
        <f t="shared" si="48"/>
        <v>0</v>
      </c>
      <c r="BD48" s="526">
        <f t="shared" si="48"/>
        <v>0</v>
      </c>
      <c r="BE48" s="526">
        <f t="shared" si="48"/>
        <v>0</v>
      </c>
      <c r="BF48" s="526">
        <f t="shared" si="48"/>
        <v>0</v>
      </c>
      <c r="BG48" s="526">
        <f t="shared" si="48"/>
        <v>0</v>
      </c>
      <c r="BH48" s="526">
        <f t="shared" si="48"/>
        <v>0</v>
      </c>
      <c r="BI48" s="526">
        <f t="shared" si="48"/>
        <v>0</v>
      </c>
      <c r="BJ48" s="526">
        <f t="shared" si="48"/>
        <v>0</v>
      </c>
      <c r="BK48" s="526">
        <f t="shared" si="48"/>
        <v>0</v>
      </c>
      <c r="BL48" s="526">
        <f t="shared" si="48"/>
        <v>0</v>
      </c>
      <c r="BM48" s="526">
        <f t="shared" si="48"/>
        <v>0</v>
      </c>
      <c r="BN48" s="526">
        <f t="shared" si="48"/>
        <v>0</v>
      </c>
      <c r="BO48" s="526">
        <f t="shared" si="48"/>
        <v>0</v>
      </c>
      <c r="BP48" s="526">
        <f t="shared" si="48"/>
        <v>0</v>
      </c>
      <c r="BQ48" s="526">
        <f t="shared" si="48"/>
        <v>0</v>
      </c>
      <c r="BR48" s="526">
        <f t="shared" si="48"/>
        <v>0</v>
      </c>
      <c r="BS48" s="526">
        <f t="shared" si="48"/>
        <v>0</v>
      </c>
      <c r="BT48" s="526">
        <f t="shared" si="48"/>
        <v>0</v>
      </c>
      <c r="BU48" s="526">
        <f t="shared" si="48"/>
        <v>0</v>
      </c>
      <c r="BV48" s="526">
        <f t="shared" si="48"/>
        <v>0</v>
      </c>
      <c r="BW48" s="526">
        <f t="shared" si="48"/>
        <v>0</v>
      </c>
      <c r="BX48" s="526">
        <f t="shared" si="48"/>
        <v>0</v>
      </c>
      <c r="BY48" s="526">
        <f t="shared" ref="BY48:EB48" si="49">BY30</f>
        <v>0</v>
      </c>
      <c r="BZ48" s="526">
        <f t="shared" si="49"/>
        <v>0</v>
      </c>
      <c r="CA48" s="526">
        <f t="shared" si="49"/>
        <v>0</v>
      </c>
      <c r="CB48" s="526">
        <f t="shared" si="49"/>
        <v>0</v>
      </c>
      <c r="CC48" s="526">
        <f t="shared" si="49"/>
        <v>0</v>
      </c>
      <c r="CD48" s="526">
        <f t="shared" si="49"/>
        <v>0</v>
      </c>
      <c r="CE48" s="526">
        <f t="shared" si="49"/>
        <v>0</v>
      </c>
      <c r="CF48" s="526">
        <f t="shared" si="49"/>
        <v>0</v>
      </c>
      <c r="CG48" s="526">
        <f t="shared" si="49"/>
        <v>0</v>
      </c>
      <c r="CH48" s="526">
        <f t="shared" si="49"/>
        <v>0</v>
      </c>
      <c r="CI48" s="526">
        <f t="shared" si="49"/>
        <v>0</v>
      </c>
      <c r="CJ48" s="526">
        <f t="shared" si="49"/>
        <v>0</v>
      </c>
      <c r="CK48" s="526">
        <f t="shared" si="49"/>
        <v>0</v>
      </c>
      <c r="CL48" s="526">
        <f t="shared" si="49"/>
        <v>0</v>
      </c>
      <c r="CM48" s="526">
        <f t="shared" si="49"/>
        <v>0</v>
      </c>
      <c r="CN48" s="526">
        <f t="shared" si="49"/>
        <v>0</v>
      </c>
      <c r="CO48" s="526">
        <f t="shared" si="49"/>
        <v>0</v>
      </c>
      <c r="CP48" s="526">
        <f t="shared" si="49"/>
        <v>0</v>
      </c>
      <c r="CQ48" s="526">
        <f t="shared" si="49"/>
        <v>0</v>
      </c>
      <c r="CR48" s="526">
        <f t="shared" si="49"/>
        <v>0</v>
      </c>
      <c r="CS48" s="526">
        <f t="shared" si="49"/>
        <v>0</v>
      </c>
      <c r="CT48" s="526">
        <f t="shared" si="49"/>
        <v>0</v>
      </c>
      <c r="CU48" s="526">
        <f t="shared" si="49"/>
        <v>0</v>
      </c>
      <c r="CV48" s="526">
        <f t="shared" si="49"/>
        <v>0</v>
      </c>
      <c r="CW48" s="526">
        <f t="shared" si="49"/>
        <v>0</v>
      </c>
      <c r="CX48" s="526">
        <f t="shared" si="49"/>
        <v>0</v>
      </c>
      <c r="CY48" s="526">
        <f t="shared" si="49"/>
        <v>0</v>
      </c>
      <c r="CZ48" s="526">
        <f t="shared" si="49"/>
        <v>0</v>
      </c>
      <c r="DA48" s="526">
        <f t="shared" si="49"/>
        <v>0</v>
      </c>
      <c r="DB48" s="526">
        <f t="shared" si="49"/>
        <v>0</v>
      </c>
      <c r="DC48" s="526">
        <f t="shared" si="49"/>
        <v>0</v>
      </c>
      <c r="DD48" s="526">
        <f t="shared" si="49"/>
        <v>0</v>
      </c>
      <c r="DE48" s="526">
        <f t="shared" si="49"/>
        <v>0</v>
      </c>
      <c r="DF48" s="526">
        <f t="shared" si="49"/>
        <v>0</v>
      </c>
      <c r="DG48" s="526">
        <f t="shared" si="49"/>
        <v>0</v>
      </c>
      <c r="DH48" s="526">
        <f t="shared" si="49"/>
        <v>0</v>
      </c>
      <c r="DI48" s="526">
        <f t="shared" si="49"/>
        <v>0</v>
      </c>
      <c r="DJ48" s="526">
        <f t="shared" si="49"/>
        <v>0</v>
      </c>
      <c r="DK48" s="526">
        <f t="shared" si="49"/>
        <v>0</v>
      </c>
      <c r="DL48" s="526">
        <f t="shared" si="49"/>
        <v>0</v>
      </c>
      <c r="DM48" s="526">
        <f t="shared" si="49"/>
        <v>0</v>
      </c>
      <c r="DN48" s="526">
        <f t="shared" si="49"/>
        <v>0</v>
      </c>
      <c r="DO48" s="526">
        <f t="shared" si="49"/>
        <v>0</v>
      </c>
      <c r="DP48" s="526">
        <f t="shared" si="49"/>
        <v>0</v>
      </c>
      <c r="DQ48" s="526">
        <f t="shared" si="49"/>
        <v>0</v>
      </c>
      <c r="DR48" s="526">
        <f t="shared" si="49"/>
        <v>0</v>
      </c>
      <c r="DS48" s="526">
        <f t="shared" si="49"/>
        <v>0</v>
      </c>
      <c r="DT48" s="526">
        <f t="shared" si="49"/>
        <v>0</v>
      </c>
      <c r="DU48" s="526">
        <f t="shared" si="49"/>
        <v>0</v>
      </c>
      <c r="DV48" s="526">
        <f t="shared" si="49"/>
        <v>0</v>
      </c>
      <c r="DW48" s="526">
        <f t="shared" si="49"/>
        <v>0</v>
      </c>
      <c r="DX48" s="526">
        <f t="shared" si="49"/>
        <v>0</v>
      </c>
      <c r="DY48" s="526">
        <f t="shared" si="49"/>
        <v>0</v>
      </c>
      <c r="DZ48" s="526">
        <f t="shared" si="49"/>
        <v>0</v>
      </c>
      <c r="EA48" s="526">
        <f t="shared" si="49"/>
        <v>0</v>
      </c>
      <c r="EB48" s="526">
        <f t="shared" si="49"/>
        <v>0</v>
      </c>
      <c r="EC48" s="523" t="s">
        <v>557</v>
      </c>
    </row>
    <row r="49" spans="8:133">
      <c r="H49" s="518" t="s">
        <v>1173</v>
      </c>
      <c r="L49" s="526">
        <f t="shared" ref="L49:BX49" ca="1" si="50">L31+L32</f>
        <v>0</v>
      </c>
      <c r="M49" s="526">
        <f t="shared" ca="1" si="50"/>
        <v>75142.199419975848</v>
      </c>
      <c r="N49" s="526">
        <f t="shared" ca="1" si="50"/>
        <v>77255.772749442272</v>
      </c>
      <c r="O49" s="526">
        <f t="shared" ca="1" si="50"/>
        <v>79383.436567771874</v>
      </c>
      <c r="P49" s="526">
        <f t="shared" ca="1" si="50"/>
        <v>81525.284811557081</v>
      </c>
      <c r="Q49" s="526">
        <f t="shared" ca="1" si="50"/>
        <v>83681.412043634118</v>
      </c>
      <c r="R49" s="526">
        <f t="shared" ca="1" si="50"/>
        <v>85851.913457258299</v>
      </c>
      <c r="S49" s="526">
        <f t="shared" ca="1" si="50"/>
        <v>88036.884880306709</v>
      </c>
      <c r="T49" s="526">
        <f t="shared" ca="1" si="50"/>
        <v>90236.422779508677</v>
      </c>
      <c r="U49" s="526">
        <f t="shared" ca="1" si="50"/>
        <v>92450.624264705359</v>
      </c>
      <c r="V49" s="526">
        <f t="shared" ca="1" si="50"/>
        <v>94679.587093136754</v>
      </c>
      <c r="W49" s="526">
        <f t="shared" ca="1" si="50"/>
        <v>96923.409673757662</v>
      </c>
      <c r="X49" s="526">
        <f t="shared" ca="1" si="50"/>
        <v>99182.191071582594</v>
      </c>
      <c r="Y49" s="526">
        <f t="shared" ca="1" si="50"/>
        <v>99132.252015780003</v>
      </c>
      <c r="Z49" s="526">
        <f t="shared" ca="1" si="50"/>
        <v>101277.30024087873</v>
      </c>
      <c r="AA49" s="526">
        <f t="shared" ca="1" si="50"/>
        <v>103435.75501738423</v>
      </c>
      <c r="AB49" s="526">
        <f t="shared" ca="1" si="50"/>
        <v>105607.70013624289</v>
      </c>
      <c r="AC49" s="526">
        <f t="shared" ca="1" si="50"/>
        <v>107793.2199120944</v>
      </c>
      <c r="AD49" s="526">
        <f t="shared" ca="1" si="50"/>
        <v>109992.39918654515</v>
      </c>
      <c r="AE49" s="526">
        <f t="shared" ca="1" si="50"/>
        <v>112205.32333146107</v>
      </c>
      <c r="AF49" s="526">
        <f t="shared" ca="1" si="50"/>
        <v>114432.07825228265</v>
      </c>
      <c r="AG49" s="526">
        <f t="shared" ca="1" si="50"/>
        <v>116672.75039135954</v>
      </c>
      <c r="AH49" s="526">
        <f t="shared" ca="1" si="50"/>
        <v>118927.4267313055</v>
      </c>
      <c r="AI49" s="526">
        <f t="shared" ca="1" si="50"/>
        <v>121196.19479837616</v>
      </c>
      <c r="AJ49" s="526">
        <f t="shared" ca="1" si="50"/>
        <v>123479.14266586611</v>
      </c>
      <c r="AK49" s="526">
        <f t="shared" ca="1" si="50"/>
        <v>122481.38876808564</v>
      </c>
      <c r="AL49" s="526">
        <f t="shared" ca="1" si="50"/>
        <v>123710.65473037933</v>
      </c>
      <c r="AM49" s="526">
        <f t="shared" ca="1" si="50"/>
        <v>124944.01824588062</v>
      </c>
      <c r="AN49" s="526">
        <f t="shared" ca="1" si="50"/>
        <v>126181.4929731002</v>
      </c>
      <c r="AO49" s="526">
        <f t="shared" ca="1" si="50"/>
        <v>127423.09261607715</v>
      </c>
      <c r="AP49" s="526">
        <f t="shared" ca="1" si="50"/>
        <v>128668.83092453091</v>
      </c>
      <c r="AQ49" s="526">
        <f t="shared" ca="1" si="50"/>
        <v>129918.72169401268</v>
      </c>
      <c r="AR49" s="526">
        <f t="shared" ca="1" si="50"/>
        <v>131172.77876605943</v>
      </c>
      <c r="AS49" s="526">
        <f t="shared" ca="1" si="50"/>
        <v>132431.01602834626</v>
      </c>
      <c r="AT49" s="526">
        <f t="shared" ca="1" si="50"/>
        <v>133693.44741484086</v>
      </c>
      <c r="AU49" s="526">
        <f t="shared" ca="1" si="50"/>
        <v>134960.08690595691</v>
      </c>
      <c r="AV49" s="526">
        <f t="shared" ca="1" si="50"/>
        <v>136230.94852871029</v>
      </c>
      <c r="AW49" s="526">
        <f t="shared" ca="1" si="50"/>
        <v>135241.08391927258</v>
      </c>
      <c r="AX49" s="526">
        <f t="shared" ca="1" si="50"/>
        <v>136520.43207352899</v>
      </c>
      <c r="AY49" s="526">
        <f t="shared" ca="1" si="50"/>
        <v>137804.04472163261</v>
      </c>
      <c r="AZ49" s="526">
        <f t="shared" ca="1" si="50"/>
        <v>139091.93607856351</v>
      </c>
      <c r="BA49" s="526">
        <f t="shared" ca="1" si="50"/>
        <v>140384.12040668412</v>
      </c>
      <c r="BB49" s="526">
        <f t="shared" ca="1" si="50"/>
        <v>141680.61201589828</v>
      </c>
      <c r="BC49" s="526">
        <f t="shared" ca="1" si="50"/>
        <v>142981.42526381009</v>
      </c>
      <c r="BD49" s="526">
        <f t="shared" ca="1" si="50"/>
        <v>144286.57455588144</v>
      </c>
      <c r="BE49" s="526">
        <f t="shared" ca="1" si="50"/>
        <v>145596.07434559317</v>
      </c>
      <c r="BF49" s="526">
        <f t="shared" ca="1" si="50"/>
        <v>146909.93913460377</v>
      </c>
      <c r="BG49" s="526">
        <f t="shared" ca="1" si="50"/>
        <v>148228.18347291125</v>
      </c>
      <c r="BH49" s="526">
        <f t="shared" ca="1" si="50"/>
        <v>25671268.550096776</v>
      </c>
      <c r="BI49" s="526">
        <f t="shared" ca="1" si="50"/>
        <v>0</v>
      </c>
      <c r="BJ49" s="526">
        <f t="shared" ca="1" si="50"/>
        <v>0</v>
      </c>
      <c r="BK49" s="526">
        <f t="shared" ca="1" si="50"/>
        <v>0</v>
      </c>
      <c r="BL49" s="526">
        <f t="shared" ca="1" si="50"/>
        <v>0</v>
      </c>
      <c r="BM49" s="526">
        <f t="shared" ca="1" si="50"/>
        <v>0</v>
      </c>
      <c r="BN49" s="526">
        <f t="shared" ca="1" si="50"/>
        <v>0</v>
      </c>
      <c r="BO49" s="526">
        <f t="shared" ca="1" si="50"/>
        <v>0</v>
      </c>
      <c r="BP49" s="526">
        <f t="shared" ca="1" si="50"/>
        <v>0</v>
      </c>
      <c r="BQ49" s="526">
        <f t="shared" ca="1" si="50"/>
        <v>0</v>
      </c>
      <c r="BR49" s="526">
        <f t="shared" ca="1" si="50"/>
        <v>0</v>
      </c>
      <c r="BS49" s="526">
        <f t="shared" ca="1" si="50"/>
        <v>0</v>
      </c>
      <c r="BT49" s="526">
        <f t="shared" ca="1" si="50"/>
        <v>0</v>
      </c>
      <c r="BU49" s="526">
        <f t="shared" ca="1" si="50"/>
        <v>0</v>
      </c>
      <c r="BV49" s="526">
        <f t="shared" ca="1" si="50"/>
        <v>0</v>
      </c>
      <c r="BW49" s="526">
        <f t="shared" ca="1" si="50"/>
        <v>0</v>
      </c>
      <c r="BX49" s="526">
        <f t="shared" ca="1" si="50"/>
        <v>0</v>
      </c>
      <c r="BY49" s="526">
        <f t="shared" ref="BY49:EB49" ca="1" si="51">BY31+BY32</f>
        <v>0</v>
      </c>
      <c r="BZ49" s="526">
        <f t="shared" ca="1" si="51"/>
        <v>0</v>
      </c>
      <c r="CA49" s="526">
        <f t="shared" ca="1" si="51"/>
        <v>0</v>
      </c>
      <c r="CB49" s="526">
        <f t="shared" ca="1" si="51"/>
        <v>0</v>
      </c>
      <c r="CC49" s="526">
        <f t="shared" ca="1" si="51"/>
        <v>0</v>
      </c>
      <c r="CD49" s="526">
        <f t="shared" ca="1" si="51"/>
        <v>0</v>
      </c>
      <c r="CE49" s="526">
        <f t="shared" ca="1" si="51"/>
        <v>0</v>
      </c>
      <c r="CF49" s="526">
        <f t="shared" ca="1" si="51"/>
        <v>0</v>
      </c>
      <c r="CG49" s="526">
        <f t="shared" ca="1" si="51"/>
        <v>0</v>
      </c>
      <c r="CH49" s="526">
        <f t="shared" ca="1" si="51"/>
        <v>0</v>
      </c>
      <c r="CI49" s="526">
        <f t="shared" ca="1" si="51"/>
        <v>0</v>
      </c>
      <c r="CJ49" s="526">
        <f t="shared" ca="1" si="51"/>
        <v>0</v>
      </c>
      <c r="CK49" s="526">
        <f t="shared" ca="1" si="51"/>
        <v>0</v>
      </c>
      <c r="CL49" s="526">
        <f t="shared" ca="1" si="51"/>
        <v>0</v>
      </c>
      <c r="CM49" s="526">
        <f t="shared" ca="1" si="51"/>
        <v>0</v>
      </c>
      <c r="CN49" s="526">
        <f t="shared" ca="1" si="51"/>
        <v>0</v>
      </c>
      <c r="CO49" s="526">
        <f t="shared" ca="1" si="51"/>
        <v>0</v>
      </c>
      <c r="CP49" s="526">
        <f t="shared" ca="1" si="51"/>
        <v>0</v>
      </c>
      <c r="CQ49" s="526">
        <f t="shared" ca="1" si="51"/>
        <v>0</v>
      </c>
      <c r="CR49" s="526">
        <f t="shared" ca="1" si="51"/>
        <v>0</v>
      </c>
      <c r="CS49" s="526">
        <f t="shared" ca="1" si="51"/>
        <v>0</v>
      </c>
      <c r="CT49" s="526">
        <f t="shared" ca="1" si="51"/>
        <v>0</v>
      </c>
      <c r="CU49" s="526">
        <f t="shared" ca="1" si="51"/>
        <v>0</v>
      </c>
      <c r="CV49" s="526">
        <f t="shared" ca="1" si="51"/>
        <v>0</v>
      </c>
      <c r="CW49" s="526">
        <f t="shared" ca="1" si="51"/>
        <v>0</v>
      </c>
      <c r="CX49" s="526">
        <f t="shared" ca="1" si="51"/>
        <v>0</v>
      </c>
      <c r="CY49" s="526">
        <f t="shared" ca="1" si="51"/>
        <v>0</v>
      </c>
      <c r="CZ49" s="526">
        <f t="shared" ca="1" si="51"/>
        <v>0</v>
      </c>
      <c r="DA49" s="526">
        <f t="shared" ca="1" si="51"/>
        <v>0</v>
      </c>
      <c r="DB49" s="526">
        <f t="shared" ca="1" si="51"/>
        <v>0</v>
      </c>
      <c r="DC49" s="526">
        <f t="shared" ca="1" si="51"/>
        <v>0</v>
      </c>
      <c r="DD49" s="526">
        <f t="shared" ca="1" si="51"/>
        <v>0</v>
      </c>
      <c r="DE49" s="526">
        <f t="shared" ca="1" si="51"/>
        <v>0</v>
      </c>
      <c r="DF49" s="526">
        <f t="shared" ca="1" si="51"/>
        <v>0</v>
      </c>
      <c r="DG49" s="526">
        <f t="shared" ca="1" si="51"/>
        <v>0</v>
      </c>
      <c r="DH49" s="526">
        <f t="shared" ca="1" si="51"/>
        <v>0</v>
      </c>
      <c r="DI49" s="526">
        <f t="shared" ca="1" si="51"/>
        <v>0</v>
      </c>
      <c r="DJ49" s="526">
        <f t="shared" ca="1" si="51"/>
        <v>0</v>
      </c>
      <c r="DK49" s="526">
        <f t="shared" ca="1" si="51"/>
        <v>0</v>
      </c>
      <c r="DL49" s="526">
        <f t="shared" ca="1" si="51"/>
        <v>0</v>
      </c>
      <c r="DM49" s="526">
        <f t="shared" ca="1" si="51"/>
        <v>0</v>
      </c>
      <c r="DN49" s="526">
        <f t="shared" ca="1" si="51"/>
        <v>0</v>
      </c>
      <c r="DO49" s="526">
        <f t="shared" ca="1" si="51"/>
        <v>0</v>
      </c>
      <c r="DP49" s="526">
        <f t="shared" ca="1" si="51"/>
        <v>0</v>
      </c>
      <c r="DQ49" s="526">
        <f t="shared" ca="1" si="51"/>
        <v>0</v>
      </c>
      <c r="DR49" s="526">
        <f t="shared" ca="1" si="51"/>
        <v>0</v>
      </c>
      <c r="DS49" s="526">
        <f t="shared" ca="1" si="51"/>
        <v>0</v>
      </c>
      <c r="DT49" s="526">
        <f t="shared" ca="1" si="51"/>
        <v>0</v>
      </c>
      <c r="DU49" s="526">
        <f t="shared" ca="1" si="51"/>
        <v>0</v>
      </c>
      <c r="DV49" s="526">
        <f t="shared" ca="1" si="51"/>
        <v>0</v>
      </c>
      <c r="DW49" s="526">
        <f t="shared" ca="1" si="51"/>
        <v>0</v>
      </c>
      <c r="DX49" s="526">
        <f t="shared" ca="1" si="51"/>
        <v>0</v>
      </c>
      <c r="DY49" s="526">
        <f t="shared" ca="1" si="51"/>
        <v>0</v>
      </c>
      <c r="DZ49" s="526">
        <f t="shared" ca="1" si="51"/>
        <v>0</v>
      </c>
      <c r="EA49" s="526">
        <f t="shared" ca="1" si="51"/>
        <v>0</v>
      </c>
      <c r="EB49" s="526">
        <f t="shared" ca="1" si="51"/>
        <v>0</v>
      </c>
      <c r="EC49" s="523" t="s">
        <v>557</v>
      </c>
    </row>
    <row r="50" spans="8:133">
      <c r="H50" s="518" t="s">
        <v>1174</v>
      </c>
      <c r="I50" s="539">
        <f>E16</f>
        <v>0.8</v>
      </c>
      <c r="L50" s="526">
        <f ca="1">MIN(L42*$I50,L46+L47-L49)</f>
        <v>0</v>
      </c>
      <c r="M50" s="526">
        <f t="shared" ref="M50:BX50" ca="1" si="52">MIN(M42*$I50,M46+M47-M49)</f>
        <v>0</v>
      </c>
      <c r="N50" s="526">
        <f t="shared" ca="1" si="52"/>
        <v>0</v>
      </c>
      <c r="O50" s="526">
        <f t="shared" ca="1" si="52"/>
        <v>0</v>
      </c>
      <c r="P50" s="526">
        <f t="shared" ca="1" si="52"/>
        <v>0</v>
      </c>
      <c r="Q50" s="526">
        <f t="shared" ca="1" si="52"/>
        <v>0</v>
      </c>
      <c r="R50" s="526">
        <f t="shared" ca="1" si="52"/>
        <v>0</v>
      </c>
      <c r="S50" s="526">
        <f t="shared" ca="1" si="52"/>
        <v>0</v>
      </c>
      <c r="T50" s="526">
        <f t="shared" ca="1" si="52"/>
        <v>0</v>
      </c>
      <c r="U50" s="526">
        <f t="shared" ca="1" si="52"/>
        <v>0</v>
      </c>
      <c r="V50" s="526">
        <f t="shared" ca="1" si="52"/>
        <v>0</v>
      </c>
      <c r="W50" s="526">
        <f t="shared" ca="1" si="52"/>
        <v>0</v>
      </c>
      <c r="X50" s="526">
        <f t="shared" ca="1" si="52"/>
        <v>0</v>
      </c>
      <c r="Y50" s="526">
        <f t="shared" ca="1" si="52"/>
        <v>0</v>
      </c>
      <c r="Z50" s="526">
        <f t="shared" ca="1" si="52"/>
        <v>0</v>
      </c>
      <c r="AA50" s="526">
        <f t="shared" ca="1" si="52"/>
        <v>0</v>
      </c>
      <c r="AB50" s="526">
        <f t="shared" ca="1" si="52"/>
        <v>0</v>
      </c>
      <c r="AC50" s="526">
        <f t="shared" ca="1" si="52"/>
        <v>0</v>
      </c>
      <c r="AD50" s="526">
        <f t="shared" ca="1" si="52"/>
        <v>0</v>
      </c>
      <c r="AE50" s="526">
        <f t="shared" ca="1" si="52"/>
        <v>0</v>
      </c>
      <c r="AF50" s="526">
        <f t="shared" ca="1" si="52"/>
        <v>0</v>
      </c>
      <c r="AG50" s="526">
        <f t="shared" ca="1" si="52"/>
        <v>0</v>
      </c>
      <c r="AH50" s="526">
        <f t="shared" ca="1" si="52"/>
        <v>0</v>
      </c>
      <c r="AI50" s="526">
        <f t="shared" ca="1" si="52"/>
        <v>0</v>
      </c>
      <c r="AJ50" s="526">
        <f t="shared" ca="1" si="52"/>
        <v>0</v>
      </c>
      <c r="AK50" s="526">
        <f t="shared" ca="1" si="52"/>
        <v>0</v>
      </c>
      <c r="AL50" s="526">
        <f t="shared" ca="1" si="52"/>
        <v>0</v>
      </c>
      <c r="AM50" s="526">
        <f t="shared" ca="1" si="52"/>
        <v>0</v>
      </c>
      <c r="AN50" s="526">
        <f t="shared" ca="1" si="52"/>
        <v>0</v>
      </c>
      <c r="AO50" s="526">
        <f t="shared" ca="1" si="52"/>
        <v>0</v>
      </c>
      <c r="AP50" s="526">
        <f t="shared" ca="1" si="52"/>
        <v>0</v>
      </c>
      <c r="AQ50" s="526">
        <f t="shared" ca="1" si="52"/>
        <v>0</v>
      </c>
      <c r="AR50" s="526">
        <f t="shared" ca="1" si="52"/>
        <v>0</v>
      </c>
      <c r="AS50" s="526">
        <f t="shared" ca="1" si="52"/>
        <v>0</v>
      </c>
      <c r="AT50" s="526">
        <f t="shared" ca="1" si="52"/>
        <v>0</v>
      </c>
      <c r="AU50" s="526">
        <f t="shared" ca="1" si="52"/>
        <v>0</v>
      </c>
      <c r="AV50" s="526">
        <f t="shared" ca="1" si="52"/>
        <v>0</v>
      </c>
      <c r="AW50" s="526">
        <f t="shared" ca="1" si="52"/>
        <v>0</v>
      </c>
      <c r="AX50" s="526">
        <f t="shared" ca="1" si="52"/>
        <v>0</v>
      </c>
      <c r="AY50" s="526">
        <f t="shared" ca="1" si="52"/>
        <v>0</v>
      </c>
      <c r="AZ50" s="526">
        <f t="shared" ca="1" si="52"/>
        <v>0</v>
      </c>
      <c r="BA50" s="526">
        <f t="shared" ca="1" si="52"/>
        <v>0</v>
      </c>
      <c r="BB50" s="526">
        <f t="shared" ca="1" si="52"/>
        <v>0</v>
      </c>
      <c r="BC50" s="526">
        <f t="shared" ca="1" si="52"/>
        <v>0</v>
      </c>
      <c r="BD50" s="526">
        <f t="shared" ca="1" si="52"/>
        <v>0</v>
      </c>
      <c r="BE50" s="526">
        <f t="shared" ca="1" si="52"/>
        <v>0</v>
      </c>
      <c r="BF50" s="526">
        <f t="shared" ca="1" si="52"/>
        <v>0</v>
      </c>
      <c r="BG50" s="526">
        <f t="shared" ca="1" si="52"/>
        <v>0</v>
      </c>
      <c r="BH50" s="526">
        <f t="shared" ca="1" si="52"/>
        <v>2687712.8143117763</v>
      </c>
      <c r="BI50" s="526">
        <f t="shared" ca="1" si="52"/>
        <v>0</v>
      </c>
      <c r="BJ50" s="526">
        <f t="shared" ca="1" si="52"/>
        <v>0</v>
      </c>
      <c r="BK50" s="526">
        <f t="shared" ca="1" si="52"/>
        <v>0</v>
      </c>
      <c r="BL50" s="526">
        <f t="shared" ca="1" si="52"/>
        <v>0</v>
      </c>
      <c r="BM50" s="526">
        <f t="shared" ca="1" si="52"/>
        <v>0</v>
      </c>
      <c r="BN50" s="526">
        <f t="shared" ca="1" si="52"/>
        <v>0</v>
      </c>
      <c r="BO50" s="526">
        <f t="shared" ca="1" si="52"/>
        <v>0</v>
      </c>
      <c r="BP50" s="526">
        <f t="shared" ca="1" si="52"/>
        <v>0</v>
      </c>
      <c r="BQ50" s="526">
        <f t="shared" ca="1" si="52"/>
        <v>0</v>
      </c>
      <c r="BR50" s="526">
        <f t="shared" ca="1" si="52"/>
        <v>0</v>
      </c>
      <c r="BS50" s="526">
        <f t="shared" ca="1" si="52"/>
        <v>0</v>
      </c>
      <c r="BT50" s="526">
        <f t="shared" ca="1" si="52"/>
        <v>0</v>
      </c>
      <c r="BU50" s="526">
        <f t="shared" ca="1" si="52"/>
        <v>0</v>
      </c>
      <c r="BV50" s="526">
        <f t="shared" ca="1" si="52"/>
        <v>0</v>
      </c>
      <c r="BW50" s="526">
        <f t="shared" ca="1" si="52"/>
        <v>0</v>
      </c>
      <c r="BX50" s="526">
        <f t="shared" ca="1" si="52"/>
        <v>0</v>
      </c>
      <c r="BY50" s="526">
        <f t="shared" ref="BY50:EB50" ca="1" si="53">MIN(BY42*$I50,BY46+BY47-BY49)</f>
        <v>0</v>
      </c>
      <c r="BZ50" s="526">
        <f t="shared" ca="1" si="53"/>
        <v>0</v>
      </c>
      <c r="CA50" s="526">
        <f t="shared" ca="1" si="53"/>
        <v>0</v>
      </c>
      <c r="CB50" s="526">
        <f t="shared" ca="1" si="53"/>
        <v>0</v>
      </c>
      <c r="CC50" s="526">
        <f t="shared" ca="1" si="53"/>
        <v>0</v>
      </c>
      <c r="CD50" s="526">
        <f t="shared" ca="1" si="53"/>
        <v>0</v>
      </c>
      <c r="CE50" s="526">
        <f t="shared" ca="1" si="53"/>
        <v>0</v>
      </c>
      <c r="CF50" s="526">
        <f t="shared" ca="1" si="53"/>
        <v>0</v>
      </c>
      <c r="CG50" s="526">
        <f t="shared" ca="1" si="53"/>
        <v>0</v>
      </c>
      <c r="CH50" s="526">
        <f t="shared" ca="1" si="53"/>
        <v>0</v>
      </c>
      <c r="CI50" s="526">
        <f t="shared" ca="1" si="53"/>
        <v>0</v>
      </c>
      <c r="CJ50" s="526">
        <f t="shared" ca="1" si="53"/>
        <v>0</v>
      </c>
      <c r="CK50" s="526">
        <f t="shared" ca="1" si="53"/>
        <v>0</v>
      </c>
      <c r="CL50" s="526">
        <f t="shared" ca="1" si="53"/>
        <v>0</v>
      </c>
      <c r="CM50" s="526">
        <f t="shared" ca="1" si="53"/>
        <v>0</v>
      </c>
      <c r="CN50" s="526">
        <f t="shared" ca="1" si="53"/>
        <v>0</v>
      </c>
      <c r="CO50" s="526">
        <f t="shared" ca="1" si="53"/>
        <v>0</v>
      </c>
      <c r="CP50" s="526">
        <f t="shared" ca="1" si="53"/>
        <v>0</v>
      </c>
      <c r="CQ50" s="526">
        <f t="shared" ca="1" si="53"/>
        <v>0</v>
      </c>
      <c r="CR50" s="526">
        <f t="shared" ca="1" si="53"/>
        <v>0</v>
      </c>
      <c r="CS50" s="526">
        <f t="shared" ca="1" si="53"/>
        <v>0</v>
      </c>
      <c r="CT50" s="526">
        <f t="shared" ca="1" si="53"/>
        <v>0</v>
      </c>
      <c r="CU50" s="526">
        <f t="shared" ca="1" si="53"/>
        <v>0</v>
      </c>
      <c r="CV50" s="526">
        <f t="shared" ca="1" si="53"/>
        <v>0</v>
      </c>
      <c r="CW50" s="526">
        <f t="shared" ca="1" si="53"/>
        <v>0</v>
      </c>
      <c r="CX50" s="526">
        <f t="shared" ca="1" si="53"/>
        <v>0</v>
      </c>
      <c r="CY50" s="526">
        <f t="shared" ca="1" si="53"/>
        <v>0</v>
      </c>
      <c r="CZ50" s="526">
        <f t="shared" ca="1" si="53"/>
        <v>0</v>
      </c>
      <c r="DA50" s="526">
        <f t="shared" ca="1" si="53"/>
        <v>0</v>
      </c>
      <c r="DB50" s="526">
        <f t="shared" ca="1" si="53"/>
        <v>0</v>
      </c>
      <c r="DC50" s="526">
        <f t="shared" ca="1" si="53"/>
        <v>0</v>
      </c>
      <c r="DD50" s="526">
        <f t="shared" ca="1" si="53"/>
        <v>0</v>
      </c>
      <c r="DE50" s="526">
        <f t="shared" ca="1" si="53"/>
        <v>0</v>
      </c>
      <c r="DF50" s="526">
        <f t="shared" ca="1" si="53"/>
        <v>0</v>
      </c>
      <c r="DG50" s="526">
        <f t="shared" ca="1" si="53"/>
        <v>0</v>
      </c>
      <c r="DH50" s="526">
        <f t="shared" ca="1" si="53"/>
        <v>0</v>
      </c>
      <c r="DI50" s="526">
        <f t="shared" ca="1" si="53"/>
        <v>0</v>
      </c>
      <c r="DJ50" s="526">
        <f t="shared" ca="1" si="53"/>
        <v>0</v>
      </c>
      <c r="DK50" s="526">
        <f t="shared" ca="1" si="53"/>
        <v>0</v>
      </c>
      <c r="DL50" s="526">
        <f t="shared" ca="1" si="53"/>
        <v>0</v>
      </c>
      <c r="DM50" s="526">
        <f t="shared" ca="1" si="53"/>
        <v>0</v>
      </c>
      <c r="DN50" s="526">
        <f t="shared" ca="1" si="53"/>
        <v>0</v>
      </c>
      <c r="DO50" s="526">
        <f t="shared" ca="1" si="53"/>
        <v>0</v>
      </c>
      <c r="DP50" s="526">
        <f t="shared" ca="1" si="53"/>
        <v>0</v>
      </c>
      <c r="DQ50" s="526">
        <f t="shared" ca="1" si="53"/>
        <v>0</v>
      </c>
      <c r="DR50" s="526">
        <f t="shared" ca="1" si="53"/>
        <v>0</v>
      </c>
      <c r="DS50" s="526">
        <f t="shared" ca="1" si="53"/>
        <v>0</v>
      </c>
      <c r="DT50" s="526">
        <f t="shared" ca="1" si="53"/>
        <v>0</v>
      </c>
      <c r="DU50" s="526">
        <f t="shared" ca="1" si="53"/>
        <v>0</v>
      </c>
      <c r="DV50" s="526">
        <f t="shared" ca="1" si="53"/>
        <v>0</v>
      </c>
      <c r="DW50" s="526">
        <f t="shared" ca="1" si="53"/>
        <v>0</v>
      </c>
      <c r="DX50" s="526">
        <f t="shared" ca="1" si="53"/>
        <v>0</v>
      </c>
      <c r="DY50" s="526">
        <f t="shared" ca="1" si="53"/>
        <v>0</v>
      </c>
      <c r="DZ50" s="526">
        <f t="shared" ca="1" si="53"/>
        <v>0</v>
      </c>
      <c r="EA50" s="526">
        <f t="shared" ca="1" si="53"/>
        <v>0</v>
      </c>
      <c r="EB50" s="526">
        <f t="shared" ca="1" si="53"/>
        <v>0</v>
      </c>
      <c r="EC50" s="523"/>
    </row>
    <row r="51" spans="8:133">
      <c r="H51" s="518" t="s">
        <v>1148</v>
      </c>
      <c r="L51" s="526">
        <f ca="1">L46+L47+L48-L49-L50</f>
        <v>20296000</v>
      </c>
      <c r="M51" s="526">
        <f t="shared" ref="M51:BX51" ca="1" si="54">M46+M47+M48-M49-M50</f>
        <v>20458623.754385371</v>
      </c>
      <c r="N51" s="526">
        <f t="shared" ca="1" si="54"/>
        <v>20621039.059213091</v>
      </c>
      <c r="O51" s="526">
        <f t="shared" ca="1" si="54"/>
        <v>20783229.382025052</v>
      </c>
      <c r="P51" s="526">
        <f t="shared" ca="1" si="54"/>
        <v>20945177.902750175</v>
      </c>
      <c r="Q51" s="526">
        <f t="shared" ca="1" si="54"/>
        <v>21106867.509708807</v>
      </c>
      <c r="R51" s="526">
        <f t="shared" ca="1" si="54"/>
        <v>21268280.795566138</v>
      </c>
      <c r="S51" s="526">
        <f t="shared" ca="1" si="54"/>
        <v>21429400.053234</v>
      </c>
      <c r="T51" s="526">
        <f t="shared" ca="1" si="54"/>
        <v>21590207.271720428</v>
      </c>
      <c r="U51" s="526">
        <f t="shared" ca="1" si="54"/>
        <v>21750684.131926343</v>
      </c>
      <c r="V51" s="526">
        <f t="shared" ca="1" si="54"/>
        <v>21910812.002388697</v>
      </c>
      <c r="W51" s="526">
        <f t="shared" ca="1" si="54"/>
        <v>22070571.934969448</v>
      </c>
      <c r="X51" s="526">
        <f t="shared" ca="1" si="54"/>
        <v>22229944.660489682</v>
      </c>
      <c r="Y51" s="526">
        <f t="shared" ca="1" si="54"/>
        <v>22391234.363304477</v>
      </c>
      <c r="Z51" s="526">
        <f t="shared" ca="1" si="54"/>
        <v>22552268.513362676</v>
      </c>
      <c r="AA51" s="526">
        <f t="shared" ca="1" si="54"/>
        <v>22713030.71033356</v>
      </c>
      <c r="AB51" s="526">
        <f t="shared" ca="1" si="54"/>
        <v>22873504.27796695</v>
      </c>
      <c r="AC51" s="526">
        <f t="shared" ca="1" si="54"/>
        <v>23033672.260337152</v>
      </c>
      <c r="AD51" s="526">
        <f t="shared" ca="1" si="54"/>
        <v>23193517.41803959</v>
      </c>
      <c r="AE51" s="526">
        <f t="shared" ca="1" si="54"/>
        <v>23353022.224339634</v>
      </c>
      <c r="AF51" s="526">
        <f t="shared" ca="1" si="54"/>
        <v>23512168.86127298</v>
      </c>
      <c r="AG51" s="526">
        <f t="shared" ca="1" si="54"/>
        <v>23670939.215696994</v>
      </c>
      <c r="AH51" s="526">
        <f t="shared" ca="1" si="54"/>
        <v>23829314.875292476</v>
      </c>
      <c r="AI51" s="526">
        <f t="shared" ca="1" si="54"/>
        <v>23987277.124515176</v>
      </c>
      <c r="AJ51" s="526">
        <f t="shared" ca="1" si="54"/>
        <v>24144806.940496504</v>
      </c>
      <c r="AK51" s="526">
        <f t="shared" ca="1" si="54"/>
        <v>24305179.959082235</v>
      </c>
      <c r="AL51" s="526">
        <f t="shared" ca="1" si="54"/>
        <v>24466202.468294587</v>
      </c>
      <c r="AM51" s="526">
        <f t="shared" ca="1" si="54"/>
        <v>24627877.979309089</v>
      </c>
      <c r="AN51" s="526">
        <f t="shared" ca="1" si="54"/>
        <v>24790210.030775882</v>
      </c>
      <c r="AO51" s="526">
        <f t="shared" ca="1" si="54"/>
        <v>24953202.18909606</v>
      </c>
      <c r="AP51" s="526">
        <f t="shared" ca="1" si="54"/>
        <v>25116858.048701093</v>
      </c>
      <c r="AQ51" s="526">
        <f t="shared" ca="1" si="54"/>
        <v>25281181.232335366</v>
      </c>
      <c r="AR51" s="526">
        <f t="shared" ca="1" si="54"/>
        <v>25446175.391341873</v>
      </c>
      <c r="AS51" s="526">
        <f t="shared" ca="1" si="54"/>
        <v>25611844.205951117</v>
      </c>
      <c r="AT51" s="526">
        <f t="shared" ca="1" si="54"/>
        <v>25778191.38557322</v>
      </c>
      <c r="AU51" s="526">
        <f t="shared" ca="1" si="54"/>
        <v>25945220.669093333</v>
      </c>
      <c r="AV51" s="526">
        <f t="shared" ca="1" si="54"/>
        <v>26112935.825170312</v>
      </c>
      <c r="AW51" s="526">
        <f t="shared" ca="1" si="54"/>
        <v>26283605.614976373</v>
      </c>
      <c r="AX51" s="526">
        <f t="shared" ca="1" si="54"/>
        <v>26454995.439036481</v>
      </c>
      <c r="AY51" s="526">
        <f t="shared" ca="1" si="54"/>
        <v>26627109.467998259</v>
      </c>
      <c r="AZ51" s="526">
        <f t="shared" ca="1" si="54"/>
        <v>26799951.907153137</v>
      </c>
      <c r="BA51" s="526">
        <f t="shared" ca="1" si="54"/>
        <v>26973526.99679482</v>
      </c>
      <c r="BB51" s="526">
        <f t="shared" ca="1" si="54"/>
        <v>27147839.012581795</v>
      </c>
      <c r="BC51" s="526">
        <f t="shared" ca="1" si="54"/>
        <v>27322892.265903935</v>
      </c>
      <c r="BD51" s="526">
        <f t="shared" ca="1" si="54"/>
        <v>27498691.104253221</v>
      </c>
      <c r="BE51" s="526">
        <f t="shared" ca="1" si="54"/>
        <v>27675239.911598668</v>
      </c>
      <c r="BF51" s="526">
        <f t="shared" ca="1" si="54"/>
        <v>27852543.108765449</v>
      </c>
      <c r="BG51" s="526">
        <f t="shared" ca="1" si="54"/>
        <v>28030605.153818358</v>
      </c>
      <c r="BH51" s="526">
        <f t="shared" ca="1" si="54"/>
        <v>0</v>
      </c>
      <c r="BI51" s="526">
        <f t="shared" ca="1" si="54"/>
        <v>0</v>
      </c>
      <c r="BJ51" s="526">
        <f t="shared" ca="1" si="54"/>
        <v>0</v>
      </c>
      <c r="BK51" s="526">
        <f t="shared" ca="1" si="54"/>
        <v>0</v>
      </c>
      <c r="BL51" s="526">
        <f t="shared" ca="1" si="54"/>
        <v>0</v>
      </c>
      <c r="BM51" s="526">
        <f t="shared" ca="1" si="54"/>
        <v>0</v>
      </c>
      <c r="BN51" s="526">
        <f t="shared" ca="1" si="54"/>
        <v>0</v>
      </c>
      <c r="BO51" s="526">
        <f t="shared" ca="1" si="54"/>
        <v>0</v>
      </c>
      <c r="BP51" s="526">
        <f t="shared" ca="1" si="54"/>
        <v>0</v>
      </c>
      <c r="BQ51" s="526">
        <f t="shared" ca="1" si="54"/>
        <v>0</v>
      </c>
      <c r="BR51" s="526">
        <f t="shared" ca="1" si="54"/>
        <v>0</v>
      </c>
      <c r="BS51" s="526">
        <f t="shared" ca="1" si="54"/>
        <v>0</v>
      </c>
      <c r="BT51" s="526">
        <f t="shared" ca="1" si="54"/>
        <v>0</v>
      </c>
      <c r="BU51" s="526">
        <f t="shared" ca="1" si="54"/>
        <v>0</v>
      </c>
      <c r="BV51" s="526">
        <f t="shared" ca="1" si="54"/>
        <v>0</v>
      </c>
      <c r="BW51" s="526">
        <f t="shared" ca="1" si="54"/>
        <v>0</v>
      </c>
      <c r="BX51" s="526">
        <f t="shared" ca="1" si="54"/>
        <v>0</v>
      </c>
      <c r="BY51" s="526">
        <f t="shared" ref="BY51:EB51" ca="1" si="55">BY46+BY47+BY48-BY49-BY50</f>
        <v>0</v>
      </c>
      <c r="BZ51" s="526">
        <f t="shared" ca="1" si="55"/>
        <v>0</v>
      </c>
      <c r="CA51" s="526">
        <f t="shared" ca="1" si="55"/>
        <v>0</v>
      </c>
      <c r="CB51" s="526">
        <f t="shared" ca="1" si="55"/>
        <v>0</v>
      </c>
      <c r="CC51" s="526">
        <f t="shared" ca="1" si="55"/>
        <v>0</v>
      </c>
      <c r="CD51" s="526">
        <f t="shared" ca="1" si="55"/>
        <v>0</v>
      </c>
      <c r="CE51" s="526">
        <f t="shared" ca="1" si="55"/>
        <v>0</v>
      </c>
      <c r="CF51" s="526">
        <f t="shared" ca="1" si="55"/>
        <v>0</v>
      </c>
      <c r="CG51" s="526">
        <f t="shared" ca="1" si="55"/>
        <v>0</v>
      </c>
      <c r="CH51" s="526">
        <f t="shared" ca="1" si="55"/>
        <v>0</v>
      </c>
      <c r="CI51" s="526">
        <f t="shared" ca="1" si="55"/>
        <v>0</v>
      </c>
      <c r="CJ51" s="526">
        <f t="shared" ca="1" si="55"/>
        <v>0</v>
      </c>
      <c r="CK51" s="526">
        <f t="shared" ca="1" si="55"/>
        <v>0</v>
      </c>
      <c r="CL51" s="526">
        <f t="shared" ca="1" si="55"/>
        <v>0</v>
      </c>
      <c r="CM51" s="526">
        <f t="shared" ca="1" si="55"/>
        <v>0</v>
      </c>
      <c r="CN51" s="526">
        <f t="shared" ca="1" si="55"/>
        <v>0</v>
      </c>
      <c r="CO51" s="526">
        <f t="shared" ca="1" si="55"/>
        <v>0</v>
      </c>
      <c r="CP51" s="526">
        <f t="shared" ca="1" si="55"/>
        <v>0</v>
      </c>
      <c r="CQ51" s="526">
        <f t="shared" ca="1" si="55"/>
        <v>0</v>
      </c>
      <c r="CR51" s="526">
        <f t="shared" ca="1" si="55"/>
        <v>0</v>
      </c>
      <c r="CS51" s="526">
        <f t="shared" ca="1" si="55"/>
        <v>0</v>
      </c>
      <c r="CT51" s="526">
        <f t="shared" ca="1" si="55"/>
        <v>0</v>
      </c>
      <c r="CU51" s="526">
        <f t="shared" ca="1" si="55"/>
        <v>0</v>
      </c>
      <c r="CV51" s="526">
        <f t="shared" ca="1" si="55"/>
        <v>0</v>
      </c>
      <c r="CW51" s="526">
        <f t="shared" ca="1" si="55"/>
        <v>0</v>
      </c>
      <c r="CX51" s="526">
        <f t="shared" ca="1" si="55"/>
        <v>0</v>
      </c>
      <c r="CY51" s="526">
        <f t="shared" ca="1" si="55"/>
        <v>0</v>
      </c>
      <c r="CZ51" s="526">
        <f t="shared" ca="1" si="55"/>
        <v>0</v>
      </c>
      <c r="DA51" s="526">
        <f t="shared" ca="1" si="55"/>
        <v>0</v>
      </c>
      <c r="DB51" s="526">
        <f t="shared" ca="1" si="55"/>
        <v>0</v>
      </c>
      <c r="DC51" s="526">
        <f t="shared" ca="1" si="55"/>
        <v>0</v>
      </c>
      <c r="DD51" s="526">
        <f t="shared" ca="1" si="55"/>
        <v>0</v>
      </c>
      <c r="DE51" s="526">
        <f t="shared" ca="1" si="55"/>
        <v>0</v>
      </c>
      <c r="DF51" s="526">
        <f t="shared" ca="1" si="55"/>
        <v>0</v>
      </c>
      <c r="DG51" s="526">
        <f t="shared" ca="1" si="55"/>
        <v>0</v>
      </c>
      <c r="DH51" s="526">
        <f t="shared" ca="1" si="55"/>
        <v>0</v>
      </c>
      <c r="DI51" s="526">
        <f t="shared" ca="1" si="55"/>
        <v>0</v>
      </c>
      <c r="DJ51" s="526">
        <f t="shared" ca="1" si="55"/>
        <v>0</v>
      </c>
      <c r="DK51" s="526">
        <f t="shared" ca="1" si="55"/>
        <v>0</v>
      </c>
      <c r="DL51" s="526">
        <f t="shared" ca="1" si="55"/>
        <v>0</v>
      </c>
      <c r="DM51" s="526">
        <f t="shared" ca="1" si="55"/>
        <v>0</v>
      </c>
      <c r="DN51" s="526">
        <f t="shared" ca="1" si="55"/>
        <v>0</v>
      </c>
      <c r="DO51" s="526">
        <f t="shared" ca="1" si="55"/>
        <v>0</v>
      </c>
      <c r="DP51" s="526">
        <f t="shared" ca="1" si="55"/>
        <v>0</v>
      </c>
      <c r="DQ51" s="526">
        <f t="shared" ca="1" si="55"/>
        <v>0</v>
      </c>
      <c r="DR51" s="526">
        <f t="shared" ca="1" si="55"/>
        <v>0</v>
      </c>
      <c r="DS51" s="526">
        <f t="shared" ca="1" si="55"/>
        <v>0</v>
      </c>
      <c r="DT51" s="526">
        <f t="shared" ca="1" si="55"/>
        <v>0</v>
      </c>
      <c r="DU51" s="526">
        <f t="shared" ca="1" si="55"/>
        <v>0</v>
      </c>
      <c r="DV51" s="526">
        <f t="shared" ca="1" si="55"/>
        <v>0</v>
      </c>
      <c r="DW51" s="526">
        <f t="shared" ca="1" si="55"/>
        <v>0</v>
      </c>
      <c r="DX51" s="526">
        <f t="shared" ca="1" si="55"/>
        <v>0</v>
      </c>
      <c r="DY51" s="526">
        <f t="shared" ca="1" si="55"/>
        <v>0</v>
      </c>
      <c r="DZ51" s="526">
        <f t="shared" ca="1" si="55"/>
        <v>0</v>
      </c>
      <c r="EA51" s="526">
        <f t="shared" ca="1" si="55"/>
        <v>0</v>
      </c>
      <c r="EB51" s="526">
        <f t="shared" ca="1" si="55"/>
        <v>0</v>
      </c>
      <c r="EC51" s="523" t="s">
        <v>557</v>
      </c>
    </row>
    <row r="52" spans="8:133">
      <c r="H52" s="518" t="s">
        <v>1150</v>
      </c>
      <c r="J52" s="543" t="s">
        <v>1105</v>
      </c>
      <c r="L52" s="526">
        <f ca="1">-L48+L49+L50</f>
        <v>-20296000</v>
      </c>
      <c r="M52" s="526">
        <f t="shared" ref="M52:BX52" ca="1" si="56">-M48+M49+M50</f>
        <v>75142.199419975848</v>
      </c>
      <c r="N52" s="526">
        <f t="shared" ca="1" si="56"/>
        <v>77255.772749442272</v>
      </c>
      <c r="O52" s="526">
        <f t="shared" ca="1" si="56"/>
        <v>79383.436567771874</v>
      </c>
      <c r="P52" s="526">
        <f t="shared" ca="1" si="56"/>
        <v>81525.284811557081</v>
      </c>
      <c r="Q52" s="526">
        <f t="shared" ca="1" si="56"/>
        <v>83681.412043634118</v>
      </c>
      <c r="R52" s="526">
        <f t="shared" ca="1" si="56"/>
        <v>85851.913457258299</v>
      </c>
      <c r="S52" s="526">
        <f t="shared" ca="1" si="56"/>
        <v>88036.884880306709</v>
      </c>
      <c r="T52" s="526">
        <f t="shared" ca="1" si="56"/>
        <v>90236.422779508677</v>
      </c>
      <c r="U52" s="526">
        <f t="shared" ca="1" si="56"/>
        <v>92450.624264705359</v>
      </c>
      <c r="V52" s="526">
        <f t="shared" ca="1" si="56"/>
        <v>94679.587093136754</v>
      </c>
      <c r="W52" s="526">
        <f t="shared" ca="1" si="56"/>
        <v>96923.409673757662</v>
      </c>
      <c r="X52" s="526">
        <f t="shared" ca="1" si="56"/>
        <v>99182.191071582594</v>
      </c>
      <c r="Y52" s="526">
        <f t="shared" ca="1" si="56"/>
        <v>99132.252015780003</v>
      </c>
      <c r="Z52" s="526">
        <f t="shared" ca="1" si="56"/>
        <v>101277.30024087873</v>
      </c>
      <c r="AA52" s="526">
        <f t="shared" ca="1" si="56"/>
        <v>103435.75501738423</v>
      </c>
      <c r="AB52" s="526">
        <f t="shared" ca="1" si="56"/>
        <v>105607.70013624289</v>
      </c>
      <c r="AC52" s="526">
        <f t="shared" ca="1" si="56"/>
        <v>107793.2199120944</v>
      </c>
      <c r="AD52" s="526">
        <f t="shared" ca="1" si="56"/>
        <v>109992.39918654515</v>
      </c>
      <c r="AE52" s="526">
        <f t="shared" ca="1" si="56"/>
        <v>112205.32333146107</v>
      </c>
      <c r="AF52" s="526">
        <f t="shared" ca="1" si="56"/>
        <v>114432.07825228265</v>
      </c>
      <c r="AG52" s="526">
        <f t="shared" ca="1" si="56"/>
        <v>116672.75039135954</v>
      </c>
      <c r="AH52" s="526">
        <f t="shared" ca="1" si="56"/>
        <v>118927.4267313055</v>
      </c>
      <c r="AI52" s="526">
        <f t="shared" ca="1" si="56"/>
        <v>121196.19479837616</v>
      </c>
      <c r="AJ52" s="526">
        <f t="shared" ca="1" si="56"/>
        <v>123479.14266586611</v>
      </c>
      <c r="AK52" s="526">
        <f t="shared" ca="1" si="56"/>
        <v>122481.38876808564</v>
      </c>
      <c r="AL52" s="526">
        <f t="shared" ca="1" si="56"/>
        <v>123710.65473037933</v>
      </c>
      <c r="AM52" s="526">
        <f t="shared" ca="1" si="56"/>
        <v>124944.01824588062</v>
      </c>
      <c r="AN52" s="526">
        <f t="shared" ca="1" si="56"/>
        <v>126181.4929731002</v>
      </c>
      <c r="AO52" s="526">
        <f t="shared" ca="1" si="56"/>
        <v>127423.09261607715</v>
      </c>
      <c r="AP52" s="526">
        <f t="shared" ca="1" si="56"/>
        <v>128668.83092453091</v>
      </c>
      <c r="AQ52" s="526">
        <f t="shared" ca="1" si="56"/>
        <v>129918.72169401268</v>
      </c>
      <c r="AR52" s="526">
        <f t="shared" ca="1" si="56"/>
        <v>131172.77876605943</v>
      </c>
      <c r="AS52" s="526">
        <f t="shared" ca="1" si="56"/>
        <v>132431.01602834626</v>
      </c>
      <c r="AT52" s="526">
        <f t="shared" ca="1" si="56"/>
        <v>133693.44741484086</v>
      </c>
      <c r="AU52" s="526">
        <f t="shared" ca="1" si="56"/>
        <v>134960.08690595691</v>
      </c>
      <c r="AV52" s="526">
        <f t="shared" ca="1" si="56"/>
        <v>136230.94852871029</v>
      </c>
      <c r="AW52" s="526">
        <f t="shared" ca="1" si="56"/>
        <v>135241.08391927258</v>
      </c>
      <c r="AX52" s="526">
        <f t="shared" ca="1" si="56"/>
        <v>136520.43207352899</v>
      </c>
      <c r="AY52" s="526">
        <f t="shared" ca="1" si="56"/>
        <v>137804.04472163261</v>
      </c>
      <c r="AZ52" s="526">
        <f t="shared" ca="1" si="56"/>
        <v>139091.93607856351</v>
      </c>
      <c r="BA52" s="526">
        <f t="shared" ca="1" si="56"/>
        <v>140384.12040668412</v>
      </c>
      <c r="BB52" s="526">
        <f t="shared" ca="1" si="56"/>
        <v>141680.61201589828</v>
      </c>
      <c r="BC52" s="526">
        <f t="shared" ca="1" si="56"/>
        <v>142981.42526381009</v>
      </c>
      <c r="BD52" s="526">
        <f t="shared" ca="1" si="56"/>
        <v>144286.57455588144</v>
      </c>
      <c r="BE52" s="526">
        <f t="shared" ca="1" si="56"/>
        <v>145596.07434559317</v>
      </c>
      <c r="BF52" s="526">
        <f t="shared" ca="1" si="56"/>
        <v>146909.93913460377</v>
      </c>
      <c r="BG52" s="526">
        <f t="shared" ca="1" si="56"/>
        <v>148228.18347291125</v>
      </c>
      <c r="BH52" s="526">
        <f t="shared" ca="1" si="56"/>
        <v>28358981.364408553</v>
      </c>
      <c r="BI52" s="526">
        <f t="shared" ca="1" si="56"/>
        <v>0</v>
      </c>
      <c r="BJ52" s="526">
        <f t="shared" ca="1" si="56"/>
        <v>0</v>
      </c>
      <c r="BK52" s="526">
        <f t="shared" ca="1" si="56"/>
        <v>0</v>
      </c>
      <c r="BL52" s="526">
        <f t="shared" ca="1" si="56"/>
        <v>0</v>
      </c>
      <c r="BM52" s="526">
        <f t="shared" ca="1" si="56"/>
        <v>0</v>
      </c>
      <c r="BN52" s="526">
        <f t="shared" ca="1" si="56"/>
        <v>0</v>
      </c>
      <c r="BO52" s="526">
        <f t="shared" ca="1" si="56"/>
        <v>0</v>
      </c>
      <c r="BP52" s="526">
        <f t="shared" ca="1" si="56"/>
        <v>0</v>
      </c>
      <c r="BQ52" s="526">
        <f t="shared" ca="1" si="56"/>
        <v>0</v>
      </c>
      <c r="BR52" s="526">
        <f t="shared" ca="1" si="56"/>
        <v>0</v>
      </c>
      <c r="BS52" s="526">
        <f t="shared" ca="1" si="56"/>
        <v>0</v>
      </c>
      <c r="BT52" s="526">
        <f t="shared" ca="1" si="56"/>
        <v>0</v>
      </c>
      <c r="BU52" s="526">
        <f t="shared" ca="1" si="56"/>
        <v>0</v>
      </c>
      <c r="BV52" s="526">
        <f t="shared" ca="1" si="56"/>
        <v>0</v>
      </c>
      <c r="BW52" s="526">
        <f t="shared" ca="1" si="56"/>
        <v>0</v>
      </c>
      <c r="BX52" s="526">
        <f t="shared" ca="1" si="56"/>
        <v>0</v>
      </c>
      <c r="BY52" s="526">
        <f t="shared" ref="BY52:EB52" ca="1" si="57">-BY48+BY49+BY50</f>
        <v>0</v>
      </c>
      <c r="BZ52" s="526">
        <f t="shared" ca="1" si="57"/>
        <v>0</v>
      </c>
      <c r="CA52" s="526">
        <f t="shared" ca="1" si="57"/>
        <v>0</v>
      </c>
      <c r="CB52" s="526">
        <f t="shared" ca="1" si="57"/>
        <v>0</v>
      </c>
      <c r="CC52" s="526">
        <f t="shared" ca="1" si="57"/>
        <v>0</v>
      </c>
      <c r="CD52" s="526">
        <f t="shared" ca="1" si="57"/>
        <v>0</v>
      </c>
      <c r="CE52" s="526">
        <f t="shared" ca="1" si="57"/>
        <v>0</v>
      </c>
      <c r="CF52" s="526">
        <f t="shared" ca="1" si="57"/>
        <v>0</v>
      </c>
      <c r="CG52" s="526">
        <f t="shared" ca="1" si="57"/>
        <v>0</v>
      </c>
      <c r="CH52" s="526">
        <f t="shared" ca="1" si="57"/>
        <v>0</v>
      </c>
      <c r="CI52" s="526">
        <f t="shared" ca="1" si="57"/>
        <v>0</v>
      </c>
      <c r="CJ52" s="526">
        <f t="shared" ca="1" si="57"/>
        <v>0</v>
      </c>
      <c r="CK52" s="526">
        <f t="shared" ca="1" si="57"/>
        <v>0</v>
      </c>
      <c r="CL52" s="526">
        <f t="shared" ca="1" si="57"/>
        <v>0</v>
      </c>
      <c r="CM52" s="526">
        <f t="shared" ca="1" si="57"/>
        <v>0</v>
      </c>
      <c r="CN52" s="526">
        <f t="shared" ca="1" si="57"/>
        <v>0</v>
      </c>
      <c r="CO52" s="526">
        <f t="shared" ca="1" si="57"/>
        <v>0</v>
      </c>
      <c r="CP52" s="526">
        <f t="shared" ca="1" si="57"/>
        <v>0</v>
      </c>
      <c r="CQ52" s="526">
        <f t="shared" ca="1" si="57"/>
        <v>0</v>
      </c>
      <c r="CR52" s="526">
        <f t="shared" ca="1" si="57"/>
        <v>0</v>
      </c>
      <c r="CS52" s="526">
        <f t="shared" ca="1" si="57"/>
        <v>0</v>
      </c>
      <c r="CT52" s="526">
        <f t="shared" ca="1" si="57"/>
        <v>0</v>
      </c>
      <c r="CU52" s="526">
        <f t="shared" ca="1" si="57"/>
        <v>0</v>
      </c>
      <c r="CV52" s="526">
        <f t="shared" ca="1" si="57"/>
        <v>0</v>
      </c>
      <c r="CW52" s="526">
        <f t="shared" ca="1" si="57"/>
        <v>0</v>
      </c>
      <c r="CX52" s="526">
        <f t="shared" ca="1" si="57"/>
        <v>0</v>
      </c>
      <c r="CY52" s="526">
        <f t="shared" ca="1" si="57"/>
        <v>0</v>
      </c>
      <c r="CZ52" s="526">
        <f t="shared" ca="1" si="57"/>
        <v>0</v>
      </c>
      <c r="DA52" s="526">
        <f t="shared" ca="1" si="57"/>
        <v>0</v>
      </c>
      <c r="DB52" s="526">
        <f t="shared" ca="1" si="57"/>
        <v>0</v>
      </c>
      <c r="DC52" s="526">
        <f t="shared" ca="1" si="57"/>
        <v>0</v>
      </c>
      <c r="DD52" s="526">
        <f t="shared" ca="1" si="57"/>
        <v>0</v>
      </c>
      <c r="DE52" s="526">
        <f t="shared" ca="1" si="57"/>
        <v>0</v>
      </c>
      <c r="DF52" s="526">
        <f t="shared" ca="1" si="57"/>
        <v>0</v>
      </c>
      <c r="DG52" s="526">
        <f t="shared" ca="1" si="57"/>
        <v>0</v>
      </c>
      <c r="DH52" s="526">
        <f t="shared" ca="1" si="57"/>
        <v>0</v>
      </c>
      <c r="DI52" s="526">
        <f t="shared" ca="1" si="57"/>
        <v>0</v>
      </c>
      <c r="DJ52" s="526">
        <f t="shared" ca="1" si="57"/>
        <v>0</v>
      </c>
      <c r="DK52" s="526">
        <f t="shared" ca="1" si="57"/>
        <v>0</v>
      </c>
      <c r="DL52" s="526">
        <f t="shared" ca="1" si="57"/>
        <v>0</v>
      </c>
      <c r="DM52" s="526">
        <f t="shared" ca="1" si="57"/>
        <v>0</v>
      </c>
      <c r="DN52" s="526">
        <f t="shared" ca="1" si="57"/>
        <v>0</v>
      </c>
      <c r="DO52" s="526">
        <f t="shared" ca="1" si="57"/>
        <v>0</v>
      </c>
      <c r="DP52" s="526">
        <f t="shared" ca="1" si="57"/>
        <v>0</v>
      </c>
      <c r="DQ52" s="526">
        <f t="shared" ca="1" si="57"/>
        <v>0</v>
      </c>
      <c r="DR52" s="526">
        <f t="shared" ca="1" si="57"/>
        <v>0</v>
      </c>
      <c r="DS52" s="526">
        <f t="shared" ca="1" si="57"/>
        <v>0</v>
      </c>
      <c r="DT52" s="526">
        <f t="shared" ca="1" si="57"/>
        <v>0</v>
      </c>
      <c r="DU52" s="526">
        <f t="shared" ca="1" si="57"/>
        <v>0</v>
      </c>
      <c r="DV52" s="526">
        <f t="shared" ca="1" si="57"/>
        <v>0</v>
      </c>
      <c r="DW52" s="526">
        <f t="shared" ca="1" si="57"/>
        <v>0</v>
      </c>
      <c r="DX52" s="526">
        <f t="shared" ca="1" si="57"/>
        <v>0</v>
      </c>
      <c r="DY52" s="526">
        <f t="shared" ca="1" si="57"/>
        <v>0</v>
      </c>
      <c r="DZ52" s="526">
        <f t="shared" ca="1" si="57"/>
        <v>0</v>
      </c>
      <c r="EA52" s="526">
        <f t="shared" ca="1" si="57"/>
        <v>0</v>
      </c>
      <c r="EB52" s="526">
        <f t="shared" ca="1" si="57"/>
        <v>0</v>
      </c>
      <c r="EC52" s="523" t="s">
        <v>557</v>
      </c>
    </row>
    <row r="53" spans="8:133">
      <c r="H53" s="545" t="s">
        <v>1152</v>
      </c>
      <c r="I53" s="1017">
        <f>F16</f>
        <v>0.15</v>
      </c>
      <c r="J53" s="1017">
        <f ca="1">XIRR(L52:EB52,$L$2:$EB$2,)</f>
        <v>0.15187537074089055</v>
      </c>
      <c r="EC53" s="523" t="s">
        <v>557</v>
      </c>
    </row>
    <row r="54" spans="8:133">
      <c r="EC54" s="523" t="s">
        <v>557</v>
      </c>
    </row>
    <row r="55" spans="8:133">
      <c r="H55" s="520" t="s">
        <v>1135</v>
      </c>
      <c r="I55" s="533"/>
      <c r="J55" s="533"/>
      <c r="K55" s="521"/>
      <c r="L55" s="521"/>
      <c r="M55" s="521"/>
      <c r="N55" s="521"/>
      <c r="O55" s="521"/>
      <c r="P55" s="521"/>
      <c r="Q55" s="521"/>
      <c r="R55" s="521"/>
      <c r="S55" s="521"/>
      <c r="T55" s="521"/>
      <c r="U55" s="521"/>
      <c r="V55" s="521"/>
      <c r="W55" s="521"/>
      <c r="X55" s="521"/>
      <c r="Y55" s="521"/>
      <c r="Z55" s="521"/>
      <c r="AA55" s="521"/>
      <c r="AB55" s="521"/>
      <c r="AC55" s="521"/>
      <c r="AD55" s="521"/>
      <c r="AE55" s="521"/>
      <c r="AF55" s="521"/>
      <c r="AG55" s="521"/>
      <c r="AH55" s="521"/>
      <c r="AI55" s="521"/>
      <c r="AJ55" s="521"/>
      <c r="AK55" s="521"/>
      <c r="AL55" s="521"/>
      <c r="AM55" s="521"/>
      <c r="AN55" s="521"/>
      <c r="AO55" s="521"/>
      <c r="AP55" s="521"/>
      <c r="AQ55" s="521"/>
      <c r="AR55" s="521"/>
      <c r="AS55" s="521"/>
      <c r="AT55" s="521"/>
      <c r="AU55" s="521"/>
      <c r="AV55" s="521"/>
      <c r="AW55" s="521"/>
      <c r="AX55" s="521"/>
      <c r="AY55" s="521"/>
      <c r="AZ55" s="521"/>
      <c r="BA55" s="521"/>
      <c r="BB55" s="521"/>
      <c r="BC55" s="521"/>
      <c r="BD55" s="521"/>
      <c r="BE55" s="521"/>
      <c r="BF55" s="521"/>
      <c r="BG55" s="521"/>
      <c r="BH55" s="521"/>
      <c r="BI55" s="521"/>
      <c r="BJ55" s="521"/>
      <c r="BK55" s="521"/>
      <c r="BL55" s="521"/>
      <c r="BM55" s="521"/>
      <c r="BN55" s="521"/>
      <c r="BO55" s="521"/>
      <c r="BP55" s="521"/>
      <c r="BQ55" s="521"/>
      <c r="BR55" s="521"/>
      <c r="BS55" s="521"/>
      <c r="BT55" s="521"/>
      <c r="BU55" s="521"/>
      <c r="BV55" s="521"/>
      <c r="BW55" s="521"/>
      <c r="BX55" s="521"/>
      <c r="BY55" s="521"/>
      <c r="BZ55" s="521"/>
      <c r="CA55" s="521"/>
      <c r="CB55" s="521"/>
      <c r="CC55" s="521"/>
      <c r="CD55" s="521"/>
      <c r="CE55" s="521"/>
      <c r="CF55" s="521"/>
      <c r="CG55" s="521"/>
      <c r="CH55" s="521"/>
      <c r="CI55" s="521"/>
      <c r="CJ55" s="521"/>
      <c r="CK55" s="521"/>
      <c r="CL55" s="521"/>
      <c r="CM55" s="521"/>
      <c r="CN55" s="521"/>
      <c r="CO55" s="521"/>
      <c r="CP55" s="521"/>
      <c r="CQ55" s="521"/>
      <c r="CR55" s="521"/>
      <c r="CS55" s="521"/>
      <c r="CT55" s="521"/>
      <c r="CU55" s="521"/>
      <c r="CV55" s="521"/>
      <c r="CW55" s="521"/>
      <c r="CX55" s="521"/>
      <c r="CY55" s="521"/>
      <c r="CZ55" s="521"/>
      <c r="DA55" s="521"/>
      <c r="DB55" s="521"/>
      <c r="DC55" s="521"/>
      <c r="DD55" s="521"/>
      <c r="DE55" s="521"/>
      <c r="DF55" s="521"/>
      <c r="DG55" s="521"/>
      <c r="DH55" s="521"/>
      <c r="DI55" s="521"/>
      <c r="DJ55" s="521"/>
      <c r="DK55" s="521"/>
      <c r="DL55" s="521"/>
      <c r="DM55" s="521"/>
      <c r="DN55" s="521"/>
      <c r="DO55" s="521"/>
      <c r="DP55" s="521"/>
      <c r="DQ55" s="521"/>
      <c r="DR55" s="521"/>
      <c r="DS55" s="521"/>
      <c r="DT55" s="521"/>
      <c r="DU55" s="521"/>
      <c r="DV55" s="521"/>
      <c r="DW55" s="521"/>
      <c r="DX55" s="521"/>
      <c r="DY55" s="521"/>
      <c r="DZ55" s="521"/>
      <c r="EA55" s="521"/>
      <c r="EB55" s="521"/>
      <c r="EC55" s="523" t="s">
        <v>557</v>
      </c>
    </row>
    <row r="56" spans="8:133">
      <c r="H56" s="518" t="s">
        <v>1158</v>
      </c>
      <c r="L56" s="526">
        <f ca="1">L38</f>
        <v>0</v>
      </c>
      <c r="M56" s="526">
        <f t="shared" ref="M56:BX56" si="58">M36</f>
        <v>0</v>
      </c>
      <c r="N56" s="526">
        <f t="shared" si="58"/>
        <v>0</v>
      </c>
      <c r="O56" s="526">
        <f t="shared" si="58"/>
        <v>0</v>
      </c>
      <c r="P56" s="526">
        <f t="shared" si="58"/>
        <v>0</v>
      </c>
      <c r="Q56" s="526">
        <f t="shared" si="58"/>
        <v>0</v>
      </c>
      <c r="R56" s="526">
        <f t="shared" si="58"/>
        <v>0</v>
      </c>
      <c r="S56" s="526">
        <f t="shared" si="58"/>
        <v>0</v>
      </c>
      <c r="T56" s="526">
        <f t="shared" si="58"/>
        <v>0</v>
      </c>
      <c r="U56" s="526">
        <f t="shared" si="58"/>
        <v>0</v>
      </c>
      <c r="V56" s="526">
        <f t="shared" si="58"/>
        <v>0</v>
      </c>
      <c r="W56" s="526">
        <f t="shared" si="58"/>
        <v>0</v>
      </c>
      <c r="X56" s="526">
        <f t="shared" si="58"/>
        <v>0</v>
      </c>
      <c r="Y56" s="526">
        <f t="shared" si="58"/>
        <v>0</v>
      </c>
      <c r="Z56" s="526">
        <f t="shared" si="58"/>
        <v>0</v>
      </c>
      <c r="AA56" s="526">
        <f t="shared" si="58"/>
        <v>0</v>
      </c>
      <c r="AB56" s="526">
        <f t="shared" si="58"/>
        <v>0</v>
      </c>
      <c r="AC56" s="526">
        <f t="shared" si="58"/>
        <v>0</v>
      </c>
      <c r="AD56" s="526">
        <f t="shared" si="58"/>
        <v>0</v>
      </c>
      <c r="AE56" s="526">
        <f t="shared" si="58"/>
        <v>0</v>
      </c>
      <c r="AF56" s="526">
        <f t="shared" si="58"/>
        <v>0</v>
      </c>
      <c r="AG56" s="526">
        <f t="shared" si="58"/>
        <v>0</v>
      </c>
      <c r="AH56" s="526">
        <f t="shared" si="58"/>
        <v>0</v>
      </c>
      <c r="AI56" s="526">
        <f t="shared" si="58"/>
        <v>0</v>
      </c>
      <c r="AJ56" s="526">
        <f t="shared" si="58"/>
        <v>0</v>
      </c>
      <c r="AK56" s="526">
        <f t="shared" si="58"/>
        <v>0</v>
      </c>
      <c r="AL56" s="526">
        <f t="shared" si="58"/>
        <v>0</v>
      </c>
      <c r="AM56" s="526">
        <f t="shared" si="58"/>
        <v>0</v>
      </c>
      <c r="AN56" s="526">
        <f t="shared" si="58"/>
        <v>0</v>
      </c>
      <c r="AO56" s="526">
        <f t="shared" si="58"/>
        <v>0</v>
      </c>
      <c r="AP56" s="526">
        <f t="shared" si="58"/>
        <v>0</v>
      </c>
      <c r="AQ56" s="526">
        <f t="shared" si="58"/>
        <v>0</v>
      </c>
      <c r="AR56" s="526">
        <f t="shared" si="58"/>
        <v>0</v>
      </c>
      <c r="AS56" s="526">
        <f t="shared" si="58"/>
        <v>0</v>
      </c>
      <c r="AT56" s="526">
        <f t="shared" si="58"/>
        <v>0</v>
      </c>
      <c r="AU56" s="526">
        <f t="shared" si="58"/>
        <v>0</v>
      </c>
      <c r="AV56" s="526">
        <f t="shared" si="58"/>
        <v>0</v>
      </c>
      <c r="AW56" s="526">
        <f t="shared" si="58"/>
        <v>0</v>
      </c>
      <c r="AX56" s="526">
        <f t="shared" si="58"/>
        <v>0</v>
      </c>
      <c r="AY56" s="526">
        <f t="shared" si="58"/>
        <v>0</v>
      </c>
      <c r="AZ56" s="526">
        <f t="shared" si="58"/>
        <v>0</v>
      </c>
      <c r="BA56" s="526">
        <f t="shared" si="58"/>
        <v>0</v>
      </c>
      <c r="BB56" s="526">
        <f t="shared" si="58"/>
        <v>0</v>
      </c>
      <c r="BC56" s="526">
        <f t="shared" si="58"/>
        <v>0</v>
      </c>
      <c r="BD56" s="526">
        <f t="shared" si="58"/>
        <v>0</v>
      </c>
      <c r="BE56" s="526">
        <f t="shared" si="58"/>
        <v>0</v>
      </c>
      <c r="BF56" s="526">
        <f t="shared" si="58"/>
        <v>0</v>
      </c>
      <c r="BG56" s="526">
        <f t="shared" si="58"/>
        <v>0</v>
      </c>
      <c r="BH56" s="526">
        <f t="shared" si="58"/>
        <v>0</v>
      </c>
      <c r="BI56" s="526">
        <f t="shared" si="58"/>
        <v>0</v>
      </c>
      <c r="BJ56" s="526">
        <f t="shared" si="58"/>
        <v>0</v>
      </c>
      <c r="BK56" s="526">
        <f t="shared" si="58"/>
        <v>0</v>
      </c>
      <c r="BL56" s="526">
        <f t="shared" si="58"/>
        <v>0</v>
      </c>
      <c r="BM56" s="526">
        <f t="shared" si="58"/>
        <v>0</v>
      </c>
      <c r="BN56" s="526">
        <f t="shared" si="58"/>
        <v>0</v>
      </c>
      <c r="BO56" s="526">
        <f t="shared" si="58"/>
        <v>0</v>
      </c>
      <c r="BP56" s="526">
        <f t="shared" si="58"/>
        <v>0</v>
      </c>
      <c r="BQ56" s="526">
        <f t="shared" si="58"/>
        <v>0</v>
      </c>
      <c r="BR56" s="526">
        <f t="shared" si="58"/>
        <v>0</v>
      </c>
      <c r="BS56" s="526">
        <f t="shared" si="58"/>
        <v>0</v>
      </c>
      <c r="BT56" s="526">
        <f t="shared" si="58"/>
        <v>0</v>
      </c>
      <c r="BU56" s="526">
        <f t="shared" si="58"/>
        <v>0</v>
      </c>
      <c r="BV56" s="526">
        <f t="shared" si="58"/>
        <v>0</v>
      </c>
      <c r="BW56" s="526">
        <f t="shared" si="58"/>
        <v>0</v>
      </c>
      <c r="BX56" s="526">
        <f t="shared" si="58"/>
        <v>0</v>
      </c>
      <c r="BY56" s="526">
        <f t="shared" ref="BY56:EB56" si="59">BY36</f>
        <v>0</v>
      </c>
      <c r="BZ56" s="526">
        <f t="shared" si="59"/>
        <v>0</v>
      </c>
      <c r="CA56" s="526">
        <f t="shared" si="59"/>
        <v>0</v>
      </c>
      <c r="CB56" s="526">
        <f t="shared" si="59"/>
        <v>0</v>
      </c>
      <c r="CC56" s="526">
        <f t="shared" si="59"/>
        <v>0</v>
      </c>
      <c r="CD56" s="526">
        <f t="shared" si="59"/>
        <v>0</v>
      </c>
      <c r="CE56" s="526">
        <f t="shared" si="59"/>
        <v>0</v>
      </c>
      <c r="CF56" s="526">
        <f t="shared" si="59"/>
        <v>0</v>
      </c>
      <c r="CG56" s="526">
        <f t="shared" si="59"/>
        <v>0</v>
      </c>
      <c r="CH56" s="526">
        <f t="shared" si="59"/>
        <v>0</v>
      </c>
      <c r="CI56" s="526">
        <f t="shared" si="59"/>
        <v>0</v>
      </c>
      <c r="CJ56" s="526">
        <f t="shared" si="59"/>
        <v>0</v>
      </c>
      <c r="CK56" s="526">
        <f t="shared" si="59"/>
        <v>0</v>
      </c>
      <c r="CL56" s="526">
        <f t="shared" si="59"/>
        <v>0</v>
      </c>
      <c r="CM56" s="526">
        <f t="shared" si="59"/>
        <v>0</v>
      </c>
      <c r="CN56" s="526">
        <f t="shared" si="59"/>
        <v>0</v>
      </c>
      <c r="CO56" s="526">
        <f t="shared" si="59"/>
        <v>0</v>
      </c>
      <c r="CP56" s="526">
        <f t="shared" si="59"/>
        <v>0</v>
      </c>
      <c r="CQ56" s="526">
        <f t="shared" si="59"/>
        <v>0</v>
      </c>
      <c r="CR56" s="526">
        <f t="shared" si="59"/>
        <v>0</v>
      </c>
      <c r="CS56" s="526">
        <f t="shared" si="59"/>
        <v>0</v>
      </c>
      <c r="CT56" s="526">
        <f t="shared" si="59"/>
        <v>0</v>
      </c>
      <c r="CU56" s="526">
        <f t="shared" si="59"/>
        <v>0</v>
      </c>
      <c r="CV56" s="526">
        <f t="shared" si="59"/>
        <v>0</v>
      </c>
      <c r="CW56" s="526">
        <f t="shared" si="59"/>
        <v>0</v>
      </c>
      <c r="CX56" s="526">
        <f t="shared" si="59"/>
        <v>0</v>
      </c>
      <c r="CY56" s="526">
        <f t="shared" si="59"/>
        <v>0</v>
      </c>
      <c r="CZ56" s="526">
        <f t="shared" si="59"/>
        <v>0</v>
      </c>
      <c r="DA56" s="526">
        <f t="shared" si="59"/>
        <v>0</v>
      </c>
      <c r="DB56" s="526">
        <f t="shared" si="59"/>
        <v>0</v>
      </c>
      <c r="DC56" s="526">
        <f t="shared" si="59"/>
        <v>0</v>
      </c>
      <c r="DD56" s="526">
        <f t="shared" si="59"/>
        <v>0</v>
      </c>
      <c r="DE56" s="526">
        <f t="shared" si="59"/>
        <v>0</v>
      </c>
      <c r="DF56" s="526">
        <f t="shared" si="59"/>
        <v>0</v>
      </c>
      <c r="DG56" s="526">
        <f t="shared" si="59"/>
        <v>0</v>
      </c>
      <c r="DH56" s="526">
        <f t="shared" si="59"/>
        <v>0</v>
      </c>
      <c r="DI56" s="526">
        <f t="shared" si="59"/>
        <v>0</v>
      </c>
      <c r="DJ56" s="526">
        <f t="shared" si="59"/>
        <v>0</v>
      </c>
      <c r="DK56" s="526">
        <f t="shared" si="59"/>
        <v>0</v>
      </c>
      <c r="DL56" s="526">
        <f t="shared" si="59"/>
        <v>0</v>
      </c>
      <c r="DM56" s="526">
        <f t="shared" si="59"/>
        <v>0</v>
      </c>
      <c r="DN56" s="526">
        <f t="shared" si="59"/>
        <v>0</v>
      </c>
      <c r="DO56" s="526">
        <f t="shared" si="59"/>
        <v>0</v>
      </c>
      <c r="DP56" s="526">
        <f t="shared" si="59"/>
        <v>0</v>
      </c>
      <c r="DQ56" s="526">
        <f t="shared" si="59"/>
        <v>0</v>
      </c>
      <c r="DR56" s="526">
        <f t="shared" si="59"/>
        <v>0</v>
      </c>
      <c r="DS56" s="526">
        <f t="shared" si="59"/>
        <v>0</v>
      </c>
      <c r="DT56" s="526">
        <f t="shared" si="59"/>
        <v>0</v>
      </c>
      <c r="DU56" s="526">
        <f t="shared" si="59"/>
        <v>0</v>
      </c>
      <c r="DV56" s="526">
        <f t="shared" si="59"/>
        <v>0</v>
      </c>
      <c r="DW56" s="526">
        <f t="shared" si="59"/>
        <v>0</v>
      </c>
      <c r="DX56" s="526">
        <f t="shared" si="59"/>
        <v>0</v>
      </c>
      <c r="DY56" s="526">
        <f t="shared" si="59"/>
        <v>0</v>
      </c>
      <c r="DZ56" s="526">
        <f t="shared" si="59"/>
        <v>0</v>
      </c>
      <c r="EA56" s="526">
        <f t="shared" si="59"/>
        <v>0</v>
      </c>
      <c r="EB56" s="526">
        <f t="shared" si="59"/>
        <v>0</v>
      </c>
      <c r="EC56" s="523" t="s">
        <v>557</v>
      </c>
    </row>
    <row r="57" spans="8:133">
      <c r="H57" s="518" t="s">
        <v>1160</v>
      </c>
      <c r="I57" s="539">
        <f>D16</f>
        <v>0.19999999999999996</v>
      </c>
      <c r="L57" s="526">
        <f ca="1">L50/$I50*$I57</f>
        <v>0</v>
      </c>
      <c r="M57" s="526">
        <f t="shared" ref="M57:BX57" ca="1" si="60">M50/$I50*$I57</f>
        <v>0</v>
      </c>
      <c r="N57" s="526">
        <f t="shared" ca="1" si="60"/>
        <v>0</v>
      </c>
      <c r="O57" s="526">
        <f t="shared" ca="1" si="60"/>
        <v>0</v>
      </c>
      <c r="P57" s="526">
        <f t="shared" ca="1" si="60"/>
        <v>0</v>
      </c>
      <c r="Q57" s="526">
        <f t="shared" ca="1" si="60"/>
        <v>0</v>
      </c>
      <c r="R57" s="526">
        <f t="shared" ca="1" si="60"/>
        <v>0</v>
      </c>
      <c r="S57" s="526">
        <f t="shared" ca="1" si="60"/>
        <v>0</v>
      </c>
      <c r="T57" s="526">
        <f t="shared" ca="1" si="60"/>
        <v>0</v>
      </c>
      <c r="U57" s="526">
        <f t="shared" ca="1" si="60"/>
        <v>0</v>
      </c>
      <c r="V57" s="526">
        <f t="shared" ca="1" si="60"/>
        <v>0</v>
      </c>
      <c r="W57" s="526">
        <f t="shared" ca="1" si="60"/>
        <v>0</v>
      </c>
      <c r="X57" s="526">
        <f t="shared" ca="1" si="60"/>
        <v>0</v>
      </c>
      <c r="Y57" s="526">
        <f t="shared" ca="1" si="60"/>
        <v>0</v>
      </c>
      <c r="Z57" s="526">
        <f t="shared" ca="1" si="60"/>
        <v>0</v>
      </c>
      <c r="AA57" s="526">
        <f t="shared" ca="1" si="60"/>
        <v>0</v>
      </c>
      <c r="AB57" s="526">
        <f t="shared" ca="1" si="60"/>
        <v>0</v>
      </c>
      <c r="AC57" s="526">
        <f t="shared" ca="1" si="60"/>
        <v>0</v>
      </c>
      <c r="AD57" s="526">
        <f t="shared" ca="1" si="60"/>
        <v>0</v>
      </c>
      <c r="AE57" s="526">
        <f t="shared" ca="1" si="60"/>
        <v>0</v>
      </c>
      <c r="AF57" s="526">
        <f t="shared" ca="1" si="60"/>
        <v>0</v>
      </c>
      <c r="AG57" s="526">
        <f t="shared" ca="1" si="60"/>
        <v>0</v>
      </c>
      <c r="AH57" s="526">
        <f t="shared" ca="1" si="60"/>
        <v>0</v>
      </c>
      <c r="AI57" s="526">
        <f t="shared" ca="1" si="60"/>
        <v>0</v>
      </c>
      <c r="AJ57" s="526">
        <f t="shared" ca="1" si="60"/>
        <v>0</v>
      </c>
      <c r="AK57" s="526">
        <f t="shared" ca="1" si="60"/>
        <v>0</v>
      </c>
      <c r="AL57" s="526">
        <f t="shared" ca="1" si="60"/>
        <v>0</v>
      </c>
      <c r="AM57" s="526">
        <f t="shared" ca="1" si="60"/>
        <v>0</v>
      </c>
      <c r="AN57" s="526">
        <f t="shared" ca="1" si="60"/>
        <v>0</v>
      </c>
      <c r="AO57" s="526">
        <f t="shared" ca="1" si="60"/>
        <v>0</v>
      </c>
      <c r="AP57" s="526">
        <f t="shared" ca="1" si="60"/>
        <v>0</v>
      </c>
      <c r="AQ57" s="526">
        <f t="shared" ca="1" si="60"/>
        <v>0</v>
      </c>
      <c r="AR57" s="526">
        <f t="shared" ca="1" si="60"/>
        <v>0</v>
      </c>
      <c r="AS57" s="526">
        <f t="shared" ca="1" si="60"/>
        <v>0</v>
      </c>
      <c r="AT57" s="526">
        <f t="shared" ca="1" si="60"/>
        <v>0</v>
      </c>
      <c r="AU57" s="526">
        <f t="shared" ca="1" si="60"/>
        <v>0</v>
      </c>
      <c r="AV57" s="526">
        <f t="shared" ca="1" si="60"/>
        <v>0</v>
      </c>
      <c r="AW57" s="526">
        <f t="shared" ca="1" si="60"/>
        <v>0</v>
      </c>
      <c r="AX57" s="526">
        <f t="shared" ca="1" si="60"/>
        <v>0</v>
      </c>
      <c r="AY57" s="526">
        <f t="shared" ca="1" si="60"/>
        <v>0</v>
      </c>
      <c r="AZ57" s="526">
        <f t="shared" ca="1" si="60"/>
        <v>0</v>
      </c>
      <c r="BA57" s="526">
        <f t="shared" ca="1" si="60"/>
        <v>0</v>
      </c>
      <c r="BB57" s="526">
        <f t="shared" ca="1" si="60"/>
        <v>0</v>
      </c>
      <c r="BC57" s="526">
        <f t="shared" ca="1" si="60"/>
        <v>0</v>
      </c>
      <c r="BD57" s="526">
        <f t="shared" ca="1" si="60"/>
        <v>0</v>
      </c>
      <c r="BE57" s="526">
        <f t="shared" ca="1" si="60"/>
        <v>0</v>
      </c>
      <c r="BF57" s="526">
        <f t="shared" ca="1" si="60"/>
        <v>0</v>
      </c>
      <c r="BG57" s="526">
        <f t="shared" ca="1" si="60"/>
        <v>0</v>
      </c>
      <c r="BH57" s="526">
        <f t="shared" ca="1" si="60"/>
        <v>671928.20357794396</v>
      </c>
      <c r="BI57" s="526">
        <f t="shared" ca="1" si="60"/>
        <v>0</v>
      </c>
      <c r="BJ57" s="526">
        <f t="shared" ca="1" si="60"/>
        <v>0</v>
      </c>
      <c r="BK57" s="526">
        <f t="shared" ca="1" si="60"/>
        <v>0</v>
      </c>
      <c r="BL57" s="526">
        <f t="shared" ca="1" si="60"/>
        <v>0</v>
      </c>
      <c r="BM57" s="526">
        <f t="shared" ca="1" si="60"/>
        <v>0</v>
      </c>
      <c r="BN57" s="526">
        <f t="shared" ca="1" si="60"/>
        <v>0</v>
      </c>
      <c r="BO57" s="526">
        <f t="shared" ca="1" si="60"/>
        <v>0</v>
      </c>
      <c r="BP57" s="526">
        <f t="shared" ca="1" si="60"/>
        <v>0</v>
      </c>
      <c r="BQ57" s="526">
        <f t="shared" ca="1" si="60"/>
        <v>0</v>
      </c>
      <c r="BR57" s="526">
        <f t="shared" ca="1" si="60"/>
        <v>0</v>
      </c>
      <c r="BS57" s="526">
        <f t="shared" ca="1" si="60"/>
        <v>0</v>
      </c>
      <c r="BT57" s="526">
        <f t="shared" ca="1" si="60"/>
        <v>0</v>
      </c>
      <c r="BU57" s="526">
        <f t="shared" ca="1" si="60"/>
        <v>0</v>
      </c>
      <c r="BV57" s="526">
        <f t="shared" ca="1" si="60"/>
        <v>0</v>
      </c>
      <c r="BW57" s="526">
        <f t="shared" ca="1" si="60"/>
        <v>0</v>
      </c>
      <c r="BX57" s="526">
        <f t="shared" ca="1" si="60"/>
        <v>0</v>
      </c>
      <c r="BY57" s="526">
        <f t="shared" ref="BY57:EB57" ca="1" si="61">BY50/$I50*$I57</f>
        <v>0</v>
      </c>
      <c r="BZ57" s="526">
        <f t="shared" ca="1" si="61"/>
        <v>0</v>
      </c>
      <c r="CA57" s="526">
        <f t="shared" ca="1" si="61"/>
        <v>0</v>
      </c>
      <c r="CB57" s="526">
        <f t="shared" ca="1" si="61"/>
        <v>0</v>
      </c>
      <c r="CC57" s="526">
        <f t="shared" ca="1" si="61"/>
        <v>0</v>
      </c>
      <c r="CD57" s="526">
        <f t="shared" ca="1" si="61"/>
        <v>0</v>
      </c>
      <c r="CE57" s="526">
        <f t="shared" ca="1" si="61"/>
        <v>0</v>
      </c>
      <c r="CF57" s="526">
        <f t="shared" ca="1" si="61"/>
        <v>0</v>
      </c>
      <c r="CG57" s="526">
        <f t="shared" ca="1" si="61"/>
        <v>0</v>
      </c>
      <c r="CH57" s="526">
        <f t="shared" ca="1" si="61"/>
        <v>0</v>
      </c>
      <c r="CI57" s="526">
        <f t="shared" ca="1" si="61"/>
        <v>0</v>
      </c>
      <c r="CJ57" s="526">
        <f t="shared" ca="1" si="61"/>
        <v>0</v>
      </c>
      <c r="CK57" s="526">
        <f t="shared" ca="1" si="61"/>
        <v>0</v>
      </c>
      <c r="CL57" s="526">
        <f t="shared" ca="1" si="61"/>
        <v>0</v>
      </c>
      <c r="CM57" s="526">
        <f t="shared" ca="1" si="61"/>
        <v>0</v>
      </c>
      <c r="CN57" s="526">
        <f t="shared" ca="1" si="61"/>
        <v>0</v>
      </c>
      <c r="CO57" s="526">
        <f t="shared" ca="1" si="61"/>
        <v>0</v>
      </c>
      <c r="CP57" s="526">
        <f t="shared" ca="1" si="61"/>
        <v>0</v>
      </c>
      <c r="CQ57" s="526">
        <f t="shared" ca="1" si="61"/>
        <v>0</v>
      </c>
      <c r="CR57" s="526">
        <f t="shared" ca="1" si="61"/>
        <v>0</v>
      </c>
      <c r="CS57" s="526">
        <f t="shared" ca="1" si="61"/>
        <v>0</v>
      </c>
      <c r="CT57" s="526">
        <f t="shared" ca="1" si="61"/>
        <v>0</v>
      </c>
      <c r="CU57" s="526">
        <f t="shared" ca="1" si="61"/>
        <v>0</v>
      </c>
      <c r="CV57" s="526">
        <f t="shared" ca="1" si="61"/>
        <v>0</v>
      </c>
      <c r="CW57" s="526">
        <f t="shared" ca="1" si="61"/>
        <v>0</v>
      </c>
      <c r="CX57" s="526">
        <f t="shared" ca="1" si="61"/>
        <v>0</v>
      </c>
      <c r="CY57" s="526">
        <f t="shared" ca="1" si="61"/>
        <v>0</v>
      </c>
      <c r="CZ57" s="526">
        <f t="shared" ca="1" si="61"/>
        <v>0</v>
      </c>
      <c r="DA57" s="526">
        <f t="shared" ca="1" si="61"/>
        <v>0</v>
      </c>
      <c r="DB57" s="526">
        <f t="shared" ca="1" si="61"/>
        <v>0</v>
      </c>
      <c r="DC57" s="526">
        <f t="shared" ca="1" si="61"/>
        <v>0</v>
      </c>
      <c r="DD57" s="526">
        <f t="shared" ca="1" si="61"/>
        <v>0</v>
      </c>
      <c r="DE57" s="526">
        <f t="shared" ca="1" si="61"/>
        <v>0</v>
      </c>
      <c r="DF57" s="526">
        <f t="shared" ca="1" si="61"/>
        <v>0</v>
      </c>
      <c r="DG57" s="526">
        <f t="shared" ca="1" si="61"/>
        <v>0</v>
      </c>
      <c r="DH57" s="526">
        <f t="shared" ca="1" si="61"/>
        <v>0</v>
      </c>
      <c r="DI57" s="526">
        <f t="shared" ca="1" si="61"/>
        <v>0</v>
      </c>
      <c r="DJ57" s="526">
        <f t="shared" ca="1" si="61"/>
        <v>0</v>
      </c>
      <c r="DK57" s="526">
        <f t="shared" ca="1" si="61"/>
        <v>0</v>
      </c>
      <c r="DL57" s="526">
        <f t="shared" ca="1" si="61"/>
        <v>0</v>
      </c>
      <c r="DM57" s="526">
        <f t="shared" ca="1" si="61"/>
        <v>0</v>
      </c>
      <c r="DN57" s="526">
        <f t="shared" ca="1" si="61"/>
        <v>0</v>
      </c>
      <c r="DO57" s="526">
        <f t="shared" ca="1" si="61"/>
        <v>0</v>
      </c>
      <c r="DP57" s="526">
        <f t="shared" ca="1" si="61"/>
        <v>0</v>
      </c>
      <c r="DQ57" s="526">
        <f t="shared" ca="1" si="61"/>
        <v>0</v>
      </c>
      <c r="DR57" s="526">
        <f t="shared" ca="1" si="61"/>
        <v>0</v>
      </c>
      <c r="DS57" s="526">
        <f t="shared" ca="1" si="61"/>
        <v>0</v>
      </c>
      <c r="DT57" s="526">
        <f t="shared" ca="1" si="61"/>
        <v>0</v>
      </c>
      <c r="DU57" s="526">
        <f t="shared" ca="1" si="61"/>
        <v>0</v>
      </c>
      <c r="DV57" s="526">
        <f t="shared" ca="1" si="61"/>
        <v>0</v>
      </c>
      <c r="DW57" s="526">
        <f t="shared" ca="1" si="61"/>
        <v>0</v>
      </c>
      <c r="DX57" s="526">
        <f t="shared" ca="1" si="61"/>
        <v>0</v>
      </c>
      <c r="DY57" s="526">
        <f t="shared" ca="1" si="61"/>
        <v>0</v>
      </c>
      <c r="DZ57" s="526">
        <f t="shared" ca="1" si="61"/>
        <v>0</v>
      </c>
      <c r="EA57" s="526">
        <f t="shared" ca="1" si="61"/>
        <v>0</v>
      </c>
      <c r="EB57" s="526">
        <f t="shared" ca="1" si="61"/>
        <v>0</v>
      </c>
      <c r="EC57" s="523" t="s">
        <v>557</v>
      </c>
    </row>
    <row r="58" spans="8:133">
      <c r="EC58" s="523" t="s">
        <v>557</v>
      </c>
    </row>
    <row r="59" spans="8:133">
      <c r="H59" s="518" t="s">
        <v>1190</v>
      </c>
      <c r="L59" s="526">
        <f ca="1">L50+L57</f>
        <v>0</v>
      </c>
      <c r="M59" s="526">
        <f t="shared" ref="M59:BX59" ca="1" si="62">M50+M57</f>
        <v>0</v>
      </c>
      <c r="N59" s="526">
        <f t="shared" ca="1" si="62"/>
        <v>0</v>
      </c>
      <c r="O59" s="526">
        <f t="shared" ca="1" si="62"/>
        <v>0</v>
      </c>
      <c r="P59" s="526">
        <f t="shared" ca="1" si="62"/>
        <v>0</v>
      </c>
      <c r="Q59" s="526">
        <f t="shared" ca="1" si="62"/>
        <v>0</v>
      </c>
      <c r="R59" s="526">
        <f t="shared" ca="1" si="62"/>
        <v>0</v>
      </c>
      <c r="S59" s="526">
        <f t="shared" ca="1" si="62"/>
        <v>0</v>
      </c>
      <c r="T59" s="526">
        <f t="shared" ca="1" si="62"/>
        <v>0</v>
      </c>
      <c r="U59" s="526">
        <f t="shared" ca="1" si="62"/>
        <v>0</v>
      </c>
      <c r="V59" s="526">
        <f t="shared" ca="1" si="62"/>
        <v>0</v>
      </c>
      <c r="W59" s="526">
        <f t="shared" ca="1" si="62"/>
        <v>0</v>
      </c>
      <c r="X59" s="526">
        <f t="shared" ca="1" si="62"/>
        <v>0</v>
      </c>
      <c r="Y59" s="526">
        <f t="shared" ca="1" si="62"/>
        <v>0</v>
      </c>
      <c r="Z59" s="526">
        <f t="shared" ca="1" si="62"/>
        <v>0</v>
      </c>
      <c r="AA59" s="526">
        <f t="shared" ca="1" si="62"/>
        <v>0</v>
      </c>
      <c r="AB59" s="526">
        <f t="shared" ca="1" si="62"/>
        <v>0</v>
      </c>
      <c r="AC59" s="526">
        <f t="shared" ca="1" si="62"/>
        <v>0</v>
      </c>
      <c r="AD59" s="526">
        <f t="shared" ca="1" si="62"/>
        <v>0</v>
      </c>
      <c r="AE59" s="526">
        <f t="shared" ca="1" si="62"/>
        <v>0</v>
      </c>
      <c r="AF59" s="526">
        <f t="shared" ca="1" si="62"/>
        <v>0</v>
      </c>
      <c r="AG59" s="526">
        <f t="shared" ca="1" si="62"/>
        <v>0</v>
      </c>
      <c r="AH59" s="526">
        <f t="shared" ca="1" si="62"/>
        <v>0</v>
      </c>
      <c r="AI59" s="526">
        <f t="shared" ca="1" si="62"/>
        <v>0</v>
      </c>
      <c r="AJ59" s="526">
        <f t="shared" ca="1" si="62"/>
        <v>0</v>
      </c>
      <c r="AK59" s="526">
        <f t="shared" ca="1" si="62"/>
        <v>0</v>
      </c>
      <c r="AL59" s="526">
        <f t="shared" ca="1" si="62"/>
        <v>0</v>
      </c>
      <c r="AM59" s="526">
        <f t="shared" ca="1" si="62"/>
        <v>0</v>
      </c>
      <c r="AN59" s="526">
        <f t="shared" ca="1" si="62"/>
        <v>0</v>
      </c>
      <c r="AO59" s="526">
        <f t="shared" ca="1" si="62"/>
        <v>0</v>
      </c>
      <c r="AP59" s="526">
        <f t="shared" ca="1" si="62"/>
        <v>0</v>
      </c>
      <c r="AQ59" s="526">
        <f t="shared" ca="1" si="62"/>
        <v>0</v>
      </c>
      <c r="AR59" s="526">
        <f t="shared" ca="1" si="62"/>
        <v>0</v>
      </c>
      <c r="AS59" s="526">
        <f t="shared" ca="1" si="62"/>
        <v>0</v>
      </c>
      <c r="AT59" s="526">
        <f t="shared" ca="1" si="62"/>
        <v>0</v>
      </c>
      <c r="AU59" s="526">
        <f t="shared" ca="1" si="62"/>
        <v>0</v>
      </c>
      <c r="AV59" s="526">
        <f t="shared" ca="1" si="62"/>
        <v>0</v>
      </c>
      <c r="AW59" s="526">
        <f t="shared" ca="1" si="62"/>
        <v>0</v>
      </c>
      <c r="AX59" s="526">
        <f t="shared" ca="1" si="62"/>
        <v>0</v>
      </c>
      <c r="AY59" s="526">
        <f t="shared" ca="1" si="62"/>
        <v>0</v>
      </c>
      <c r="AZ59" s="526">
        <f t="shared" ca="1" si="62"/>
        <v>0</v>
      </c>
      <c r="BA59" s="526">
        <f t="shared" ca="1" si="62"/>
        <v>0</v>
      </c>
      <c r="BB59" s="526">
        <f t="shared" ca="1" si="62"/>
        <v>0</v>
      </c>
      <c r="BC59" s="526">
        <f t="shared" ca="1" si="62"/>
        <v>0</v>
      </c>
      <c r="BD59" s="526">
        <f t="shared" ca="1" si="62"/>
        <v>0</v>
      </c>
      <c r="BE59" s="526">
        <f t="shared" ca="1" si="62"/>
        <v>0</v>
      </c>
      <c r="BF59" s="526">
        <f t="shared" ca="1" si="62"/>
        <v>0</v>
      </c>
      <c r="BG59" s="526">
        <f t="shared" ca="1" si="62"/>
        <v>0</v>
      </c>
      <c r="BH59" s="526">
        <f t="shared" ca="1" si="62"/>
        <v>3359641.0178897204</v>
      </c>
      <c r="BI59" s="526">
        <f t="shared" ca="1" si="62"/>
        <v>0</v>
      </c>
      <c r="BJ59" s="526">
        <f t="shared" ca="1" si="62"/>
        <v>0</v>
      </c>
      <c r="BK59" s="526">
        <f t="shared" ca="1" si="62"/>
        <v>0</v>
      </c>
      <c r="BL59" s="526">
        <f t="shared" ca="1" si="62"/>
        <v>0</v>
      </c>
      <c r="BM59" s="526">
        <f t="shared" ca="1" si="62"/>
        <v>0</v>
      </c>
      <c r="BN59" s="526">
        <f t="shared" ca="1" si="62"/>
        <v>0</v>
      </c>
      <c r="BO59" s="526">
        <f t="shared" ca="1" si="62"/>
        <v>0</v>
      </c>
      <c r="BP59" s="526">
        <f t="shared" ca="1" si="62"/>
        <v>0</v>
      </c>
      <c r="BQ59" s="526">
        <f t="shared" ca="1" si="62"/>
        <v>0</v>
      </c>
      <c r="BR59" s="526">
        <f t="shared" ca="1" si="62"/>
        <v>0</v>
      </c>
      <c r="BS59" s="526">
        <f t="shared" ca="1" si="62"/>
        <v>0</v>
      </c>
      <c r="BT59" s="526">
        <f t="shared" ca="1" si="62"/>
        <v>0</v>
      </c>
      <c r="BU59" s="526">
        <f t="shared" ca="1" si="62"/>
        <v>0</v>
      </c>
      <c r="BV59" s="526">
        <f t="shared" ca="1" si="62"/>
        <v>0</v>
      </c>
      <c r="BW59" s="526">
        <f t="shared" ca="1" si="62"/>
        <v>0</v>
      </c>
      <c r="BX59" s="526">
        <f t="shared" ca="1" si="62"/>
        <v>0</v>
      </c>
      <c r="BY59" s="526">
        <f t="shared" ref="BY59:EB59" ca="1" si="63">BY50+BY57</f>
        <v>0</v>
      </c>
      <c r="BZ59" s="526">
        <f t="shared" ca="1" si="63"/>
        <v>0</v>
      </c>
      <c r="CA59" s="526">
        <f t="shared" ca="1" si="63"/>
        <v>0</v>
      </c>
      <c r="CB59" s="526">
        <f t="shared" ca="1" si="63"/>
        <v>0</v>
      </c>
      <c r="CC59" s="526">
        <f t="shared" ca="1" si="63"/>
        <v>0</v>
      </c>
      <c r="CD59" s="526">
        <f t="shared" ca="1" si="63"/>
        <v>0</v>
      </c>
      <c r="CE59" s="526">
        <f t="shared" ca="1" si="63"/>
        <v>0</v>
      </c>
      <c r="CF59" s="526">
        <f t="shared" ca="1" si="63"/>
        <v>0</v>
      </c>
      <c r="CG59" s="526">
        <f t="shared" ca="1" si="63"/>
        <v>0</v>
      </c>
      <c r="CH59" s="526">
        <f t="shared" ca="1" si="63"/>
        <v>0</v>
      </c>
      <c r="CI59" s="526">
        <f t="shared" ca="1" si="63"/>
        <v>0</v>
      </c>
      <c r="CJ59" s="526">
        <f t="shared" ca="1" si="63"/>
        <v>0</v>
      </c>
      <c r="CK59" s="526">
        <f t="shared" ca="1" si="63"/>
        <v>0</v>
      </c>
      <c r="CL59" s="526">
        <f t="shared" ca="1" si="63"/>
        <v>0</v>
      </c>
      <c r="CM59" s="526">
        <f t="shared" ca="1" si="63"/>
        <v>0</v>
      </c>
      <c r="CN59" s="526">
        <f t="shared" ca="1" si="63"/>
        <v>0</v>
      </c>
      <c r="CO59" s="526">
        <f t="shared" ca="1" si="63"/>
        <v>0</v>
      </c>
      <c r="CP59" s="526">
        <f t="shared" ca="1" si="63"/>
        <v>0</v>
      </c>
      <c r="CQ59" s="526">
        <f t="shared" ca="1" si="63"/>
        <v>0</v>
      </c>
      <c r="CR59" s="526">
        <f t="shared" ca="1" si="63"/>
        <v>0</v>
      </c>
      <c r="CS59" s="526">
        <f t="shared" ca="1" si="63"/>
        <v>0</v>
      </c>
      <c r="CT59" s="526">
        <f t="shared" ca="1" si="63"/>
        <v>0</v>
      </c>
      <c r="CU59" s="526">
        <f t="shared" ca="1" si="63"/>
        <v>0</v>
      </c>
      <c r="CV59" s="526">
        <f t="shared" ca="1" si="63"/>
        <v>0</v>
      </c>
      <c r="CW59" s="526">
        <f t="shared" ca="1" si="63"/>
        <v>0</v>
      </c>
      <c r="CX59" s="526">
        <f t="shared" ca="1" si="63"/>
        <v>0</v>
      </c>
      <c r="CY59" s="526">
        <f t="shared" ca="1" si="63"/>
        <v>0</v>
      </c>
      <c r="CZ59" s="526">
        <f t="shared" ca="1" si="63"/>
        <v>0</v>
      </c>
      <c r="DA59" s="526">
        <f t="shared" ca="1" si="63"/>
        <v>0</v>
      </c>
      <c r="DB59" s="526">
        <f t="shared" ca="1" si="63"/>
        <v>0</v>
      </c>
      <c r="DC59" s="526">
        <f t="shared" ca="1" si="63"/>
        <v>0</v>
      </c>
      <c r="DD59" s="526">
        <f t="shared" ca="1" si="63"/>
        <v>0</v>
      </c>
      <c r="DE59" s="526">
        <f t="shared" ca="1" si="63"/>
        <v>0</v>
      </c>
      <c r="DF59" s="526">
        <f t="shared" ca="1" si="63"/>
        <v>0</v>
      </c>
      <c r="DG59" s="526">
        <f t="shared" ca="1" si="63"/>
        <v>0</v>
      </c>
      <c r="DH59" s="526">
        <f t="shared" ca="1" si="63"/>
        <v>0</v>
      </c>
      <c r="DI59" s="526">
        <f t="shared" ca="1" si="63"/>
        <v>0</v>
      </c>
      <c r="DJ59" s="526">
        <f t="shared" ca="1" si="63"/>
        <v>0</v>
      </c>
      <c r="DK59" s="526">
        <f t="shared" ca="1" si="63"/>
        <v>0</v>
      </c>
      <c r="DL59" s="526">
        <f t="shared" ca="1" si="63"/>
        <v>0</v>
      </c>
      <c r="DM59" s="526">
        <f t="shared" ca="1" si="63"/>
        <v>0</v>
      </c>
      <c r="DN59" s="526">
        <f t="shared" ca="1" si="63"/>
        <v>0</v>
      </c>
      <c r="DO59" s="526">
        <f t="shared" ca="1" si="63"/>
        <v>0</v>
      </c>
      <c r="DP59" s="526">
        <f t="shared" ca="1" si="63"/>
        <v>0</v>
      </c>
      <c r="DQ59" s="526">
        <f t="shared" ca="1" si="63"/>
        <v>0</v>
      </c>
      <c r="DR59" s="526">
        <f t="shared" ca="1" si="63"/>
        <v>0</v>
      </c>
      <c r="DS59" s="526">
        <f t="shared" ca="1" si="63"/>
        <v>0</v>
      </c>
      <c r="DT59" s="526">
        <f t="shared" ca="1" si="63"/>
        <v>0</v>
      </c>
      <c r="DU59" s="526">
        <f t="shared" ca="1" si="63"/>
        <v>0</v>
      </c>
      <c r="DV59" s="526">
        <f t="shared" ca="1" si="63"/>
        <v>0</v>
      </c>
      <c r="DW59" s="526">
        <f t="shared" ca="1" si="63"/>
        <v>0</v>
      </c>
      <c r="DX59" s="526">
        <f t="shared" ca="1" si="63"/>
        <v>0</v>
      </c>
      <c r="DY59" s="526">
        <f t="shared" ca="1" si="63"/>
        <v>0</v>
      </c>
      <c r="DZ59" s="526">
        <f t="shared" ca="1" si="63"/>
        <v>0</v>
      </c>
      <c r="EA59" s="526">
        <f t="shared" ca="1" si="63"/>
        <v>0</v>
      </c>
      <c r="EB59" s="526">
        <f t="shared" ca="1" si="63"/>
        <v>0</v>
      </c>
      <c r="EC59" s="523" t="s">
        <v>557</v>
      </c>
    </row>
    <row r="60" spans="8:133" ht="18" thickBot="1">
      <c r="H60" s="554" t="s">
        <v>1167</v>
      </c>
      <c r="I60" s="555"/>
      <c r="J60" s="555"/>
      <c r="K60" s="555"/>
      <c r="L60" s="556">
        <f ca="1">L42-L59</f>
        <v>0</v>
      </c>
      <c r="M60" s="556">
        <f t="shared" ref="M60:BX60" ca="1" si="64">M42-M59</f>
        <v>0</v>
      </c>
      <c r="N60" s="556">
        <f t="shared" ca="1" si="64"/>
        <v>0</v>
      </c>
      <c r="O60" s="556">
        <f t="shared" ca="1" si="64"/>
        <v>0</v>
      </c>
      <c r="P60" s="556">
        <f t="shared" ca="1" si="64"/>
        <v>0</v>
      </c>
      <c r="Q60" s="556">
        <f t="shared" ca="1" si="64"/>
        <v>0</v>
      </c>
      <c r="R60" s="556">
        <f t="shared" ca="1" si="64"/>
        <v>0</v>
      </c>
      <c r="S60" s="556">
        <f t="shared" ca="1" si="64"/>
        <v>0</v>
      </c>
      <c r="T60" s="556">
        <f t="shared" ca="1" si="64"/>
        <v>0</v>
      </c>
      <c r="U60" s="556">
        <f t="shared" ca="1" si="64"/>
        <v>0</v>
      </c>
      <c r="V60" s="556">
        <f t="shared" ca="1" si="64"/>
        <v>0</v>
      </c>
      <c r="W60" s="556">
        <f t="shared" ca="1" si="64"/>
        <v>0</v>
      </c>
      <c r="X60" s="556">
        <f t="shared" ca="1" si="64"/>
        <v>0</v>
      </c>
      <c r="Y60" s="556">
        <f t="shared" ca="1" si="64"/>
        <v>0</v>
      </c>
      <c r="Z60" s="556">
        <f t="shared" ca="1" si="64"/>
        <v>0</v>
      </c>
      <c r="AA60" s="556">
        <f t="shared" ca="1" si="64"/>
        <v>0</v>
      </c>
      <c r="AB60" s="556">
        <f t="shared" ca="1" si="64"/>
        <v>0</v>
      </c>
      <c r="AC60" s="556">
        <f t="shared" ca="1" si="64"/>
        <v>0</v>
      </c>
      <c r="AD60" s="556">
        <f t="shared" ca="1" si="64"/>
        <v>0</v>
      </c>
      <c r="AE60" s="556">
        <f t="shared" ca="1" si="64"/>
        <v>0</v>
      </c>
      <c r="AF60" s="556">
        <f t="shared" ca="1" si="64"/>
        <v>0</v>
      </c>
      <c r="AG60" s="556">
        <f t="shared" ca="1" si="64"/>
        <v>0</v>
      </c>
      <c r="AH60" s="556">
        <f t="shared" ca="1" si="64"/>
        <v>0</v>
      </c>
      <c r="AI60" s="556">
        <f t="shared" ca="1" si="64"/>
        <v>0</v>
      </c>
      <c r="AJ60" s="556">
        <f t="shared" ca="1" si="64"/>
        <v>0</v>
      </c>
      <c r="AK60" s="556">
        <f t="shared" ca="1" si="64"/>
        <v>0</v>
      </c>
      <c r="AL60" s="556">
        <f t="shared" ca="1" si="64"/>
        <v>0</v>
      </c>
      <c r="AM60" s="556">
        <f t="shared" ca="1" si="64"/>
        <v>0</v>
      </c>
      <c r="AN60" s="556">
        <f t="shared" ca="1" si="64"/>
        <v>0</v>
      </c>
      <c r="AO60" s="556">
        <f t="shared" ca="1" si="64"/>
        <v>0</v>
      </c>
      <c r="AP60" s="556">
        <f t="shared" ca="1" si="64"/>
        <v>0</v>
      </c>
      <c r="AQ60" s="556">
        <f t="shared" ca="1" si="64"/>
        <v>0</v>
      </c>
      <c r="AR60" s="556">
        <f t="shared" ca="1" si="64"/>
        <v>0</v>
      </c>
      <c r="AS60" s="556">
        <f t="shared" ca="1" si="64"/>
        <v>0</v>
      </c>
      <c r="AT60" s="556">
        <f t="shared" ca="1" si="64"/>
        <v>0</v>
      </c>
      <c r="AU60" s="556">
        <f t="shared" ca="1" si="64"/>
        <v>0</v>
      </c>
      <c r="AV60" s="556">
        <f t="shared" ca="1" si="64"/>
        <v>0</v>
      </c>
      <c r="AW60" s="556">
        <f t="shared" ca="1" si="64"/>
        <v>0</v>
      </c>
      <c r="AX60" s="556">
        <f t="shared" ca="1" si="64"/>
        <v>0</v>
      </c>
      <c r="AY60" s="556">
        <f t="shared" ca="1" si="64"/>
        <v>0</v>
      </c>
      <c r="AZ60" s="556">
        <f t="shared" ca="1" si="64"/>
        <v>0</v>
      </c>
      <c r="BA60" s="556">
        <f t="shared" ca="1" si="64"/>
        <v>0</v>
      </c>
      <c r="BB60" s="556">
        <f t="shared" ca="1" si="64"/>
        <v>0</v>
      </c>
      <c r="BC60" s="556">
        <f t="shared" ca="1" si="64"/>
        <v>0</v>
      </c>
      <c r="BD60" s="556">
        <f t="shared" ca="1" si="64"/>
        <v>0</v>
      </c>
      <c r="BE60" s="556">
        <f t="shared" ca="1" si="64"/>
        <v>0</v>
      </c>
      <c r="BF60" s="556">
        <f t="shared" ca="1" si="64"/>
        <v>0</v>
      </c>
      <c r="BG60" s="556">
        <f t="shared" ca="1" si="64"/>
        <v>0</v>
      </c>
      <c r="BH60" s="556">
        <f t="shared" ca="1" si="64"/>
        <v>60948.302713650744</v>
      </c>
      <c r="BI60" s="556">
        <f t="shared" ca="1" si="64"/>
        <v>0</v>
      </c>
      <c r="BJ60" s="556">
        <f t="shared" ca="1" si="64"/>
        <v>0</v>
      </c>
      <c r="BK60" s="556">
        <f t="shared" ca="1" si="64"/>
        <v>0</v>
      </c>
      <c r="BL60" s="556">
        <f t="shared" ca="1" si="64"/>
        <v>0</v>
      </c>
      <c r="BM60" s="556">
        <f t="shared" ca="1" si="64"/>
        <v>0</v>
      </c>
      <c r="BN60" s="556">
        <f t="shared" ca="1" si="64"/>
        <v>0</v>
      </c>
      <c r="BO60" s="556">
        <f t="shared" ca="1" si="64"/>
        <v>0</v>
      </c>
      <c r="BP60" s="556">
        <f t="shared" ca="1" si="64"/>
        <v>0</v>
      </c>
      <c r="BQ60" s="556">
        <f t="shared" ca="1" si="64"/>
        <v>0</v>
      </c>
      <c r="BR60" s="556">
        <f t="shared" ca="1" si="64"/>
        <v>0</v>
      </c>
      <c r="BS60" s="556">
        <f t="shared" ca="1" si="64"/>
        <v>0</v>
      </c>
      <c r="BT60" s="556">
        <f t="shared" ca="1" si="64"/>
        <v>0</v>
      </c>
      <c r="BU60" s="556">
        <f t="shared" ca="1" si="64"/>
        <v>0</v>
      </c>
      <c r="BV60" s="556">
        <f t="shared" ca="1" si="64"/>
        <v>0</v>
      </c>
      <c r="BW60" s="556">
        <f t="shared" ca="1" si="64"/>
        <v>0</v>
      </c>
      <c r="BX60" s="556">
        <f t="shared" ca="1" si="64"/>
        <v>0</v>
      </c>
      <c r="BY60" s="556">
        <f t="shared" ref="BY60:EB60" ca="1" si="65">BY42-BY59</f>
        <v>0</v>
      </c>
      <c r="BZ60" s="556">
        <f t="shared" ca="1" si="65"/>
        <v>0</v>
      </c>
      <c r="CA60" s="556">
        <f t="shared" ca="1" si="65"/>
        <v>0</v>
      </c>
      <c r="CB60" s="556">
        <f t="shared" ca="1" si="65"/>
        <v>0</v>
      </c>
      <c r="CC60" s="556">
        <f t="shared" ca="1" si="65"/>
        <v>0</v>
      </c>
      <c r="CD60" s="556">
        <f t="shared" ca="1" si="65"/>
        <v>0</v>
      </c>
      <c r="CE60" s="556">
        <f t="shared" ca="1" si="65"/>
        <v>0</v>
      </c>
      <c r="CF60" s="556">
        <f t="shared" ca="1" si="65"/>
        <v>0</v>
      </c>
      <c r="CG60" s="556">
        <f t="shared" ca="1" si="65"/>
        <v>0</v>
      </c>
      <c r="CH60" s="556">
        <f t="shared" ca="1" si="65"/>
        <v>0</v>
      </c>
      <c r="CI60" s="556">
        <f t="shared" ca="1" si="65"/>
        <v>0</v>
      </c>
      <c r="CJ60" s="556">
        <f t="shared" ca="1" si="65"/>
        <v>0</v>
      </c>
      <c r="CK60" s="556">
        <f t="shared" ca="1" si="65"/>
        <v>0</v>
      </c>
      <c r="CL60" s="556">
        <f t="shared" ca="1" si="65"/>
        <v>0</v>
      </c>
      <c r="CM60" s="556">
        <f t="shared" ca="1" si="65"/>
        <v>0</v>
      </c>
      <c r="CN60" s="556">
        <f t="shared" ca="1" si="65"/>
        <v>0</v>
      </c>
      <c r="CO60" s="556">
        <f t="shared" ca="1" si="65"/>
        <v>0</v>
      </c>
      <c r="CP60" s="556">
        <f t="shared" ca="1" si="65"/>
        <v>0</v>
      </c>
      <c r="CQ60" s="556">
        <f t="shared" ca="1" si="65"/>
        <v>0</v>
      </c>
      <c r="CR60" s="556">
        <f t="shared" ca="1" si="65"/>
        <v>0</v>
      </c>
      <c r="CS60" s="556">
        <f t="shared" ca="1" si="65"/>
        <v>0</v>
      </c>
      <c r="CT60" s="556">
        <f t="shared" ca="1" si="65"/>
        <v>0</v>
      </c>
      <c r="CU60" s="556">
        <f t="shared" ca="1" si="65"/>
        <v>0</v>
      </c>
      <c r="CV60" s="556">
        <f t="shared" ca="1" si="65"/>
        <v>0</v>
      </c>
      <c r="CW60" s="556">
        <f t="shared" ca="1" si="65"/>
        <v>0</v>
      </c>
      <c r="CX60" s="556">
        <f t="shared" ca="1" si="65"/>
        <v>0</v>
      </c>
      <c r="CY60" s="556">
        <f t="shared" ca="1" si="65"/>
        <v>0</v>
      </c>
      <c r="CZ60" s="556">
        <f t="shared" ca="1" si="65"/>
        <v>0</v>
      </c>
      <c r="DA60" s="556">
        <f t="shared" ca="1" si="65"/>
        <v>0</v>
      </c>
      <c r="DB60" s="556">
        <f t="shared" ca="1" si="65"/>
        <v>0</v>
      </c>
      <c r="DC60" s="556">
        <f t="shared" ca="1" si="65"/>
        <v>0</v>
      </c>
      <c r="DD60" s="556">
        <f t="shared" ca="1" si="65"/>
        <v>0</v>
      </c>
      <c r="DE60" s="556">
        <f t="shared" ca="1" si="65"/>
        <v>0</v>
      </c>
      <c r="DF60" s="556">
        <f t="shared" ca="1" si="65"/>
        <v>0</v>
      </c>
      <c r="DG60" s="556">
        <f t="shared" ca="1" si="65"/>
        <v>0</v>
      </c>
      <c r="DH60" s="556">
        <f t="shared" ca="1" si="65"/>
        <v>0</v>
      </c>
      <c r="DI60" s="556">
        <f t="shared" ca="1" si="65"/>
        <v>0</v>
      </c>
      <c r="DJ60" s="556">
        <f t="shared" ca="1" si="65"/>
        <v>0</v>
      </c>
      <c r="DK60" s="556">
        <f t="shared" ca="1" si="65"/>
        <v>0</v>
      </c>
      <c r="DL60" s="556">
        <f t="shared" ca="1" si="65"/>
        <v>0</v>
      </c>
      <c r="DM60" s="556">
        <f t="shared" ca="1" si="65"/>
        <v>0</v>
      </c>
      <c r="DN60" s="556">
        <f t="shared" ca="1" si="65"/>
        <v>0</v>
      </c>
      <c r="DO60" s="556">
        <f t="shared" ca="1" si="65"/>
        <v>0</v>
      </c>
      <c r="DP60" s="556">
        <f t="shared" ca="1" si="65"/>
        <v>0</v>
      </c>
      <c r="DQ60" s="556">
        <f t="shared" ca="1" si="65"/>
        <v>0</v>
      </c>
      <c r="DR60" s="556">
        <f t="shared" ca="1" si="65"/>
        <v>0</v>
      </c>
      <c r="DS60" s="556">
        <f t="shared" ca="1" si="65"/>
        <v>0</v>
      </c>
      <c r="DT60" s="556">
        <f t="shared" ca="1" si="65"/>
        <v>0</v>
      </c>
      <c r="DU60" s="556">
        <f t="shared" ca="1" si="65"/>
        <v>0</v>
      </c>
      <c r="DV60" s="556">
        <f t="shared" ca="1" si="65"/>
        <v>0</v>
      </c>
      <c r="DW60" s="556">
        <f t="shared" ca="1" si="65"/>
        <v>0</v>
      </c>
      <c r="DX60" s="556">
        <f t="shared" ca="1" si="65"/>
        <v>0</v>
      </c>
      <c r="DY60" s="556">
        <f t="shared" ca="1" si="65"/>
        <v>0</v>
      </c>
      <c r="DZ60" s="556">
        <f t="shared" ca="1" si="65"/>
        <v>0</v>
      </c>
      <c r="EA60" s="556">
        <f t="shared" ca="1" si="65"/>
        <v>0</v>
      </c>
      <c r="EB60" s="556">
        <f t="shared" ca="1" si="65"/>
        <v>0</v>
      </c>
      <c r="EC60" s="523" t="s">
        <v>557</v>
      </c>
    </row>
    <row r="61" spans="8:133">
      <c r="EC61" s="523" t="s">
        <v>557</v>
      </c>
    </row>
    <row r="62" spans="8:133" ht="19">
      <c r="H62" s="173" t="s">
        <v>1156</v>
      </c>
      <c r="I62" s="529"/>
      <c r="J62" s="529"/>
      <c r="K62" s="530"/>
      <c r="L62" s="530"/>
      <c r="M62" s="530"/>
      <c r="N62" s="530"/>
      <c r="O62" s="530"/>
      <c r="P62" s="530"/>
      <c r="Q62" s="530"/>
      <c r="R62" s="530"/>
      <c r="S62" s="530"/>
      <c r="T62" s="530"/>
      <c r="U62" s="530"/>
      <c r="V62" s="530"/>
      <c r="W62" s="530"/>
      <c r="X62" s="530"/>
      <c r="Y62" s="530"/>
      <c r="Z62" s="530"/>
      <c r="AA62" s="530"/>
      <c r="AB62" s="530"/>
      <c r="AC62" s="530"/>
      <c r="AD62" s="530"/>
      <c r="AE62" s="530"/>
      <c r="AF62" s="530"/>
      <c r="AG62" s="530"/>
      <c r="AH62" s="530"/>
      <c r="AI62" s="530"/>
      <c r="AJ62" s="530"/>
      <c r="AK62" s="530"/>
      <c r="AL62" s="530"/>
      <c r="AM62" s="530"/>
      <c r="AN62" s="530"/>
      <c r="AO62" s="530"/>
      <c r="AP62" s="530"/>
      <c r="AQ62" s="530"/>
      <c r="AR62" s="530"/>
      <c r="AS62" s="530"/>
      <c r="AT62" s="530"/>
      <c r="AU62" s="530"/>
      <c r="AV62" s="530"/>
      <c r="AW62" s="530"/>
      <c r="AX62" s="530"/>
      <c r="AY62" s="530"/>
      <c r="AZ62" s="530"/>
      <c r="BA62" s="530"/>
      <c r="BB62" s="530"/>
      <c r="BC62" s="530"/>
      <c r="BD62" s="530"/>
      <c r="BE62" s="530"/>
      <c r="BF62" s="530"/>
      <c r="BG62" s="530"/>
      <c r="BH62" s="530"/>
      <c r="BI62" s="530"/>
      <c r="BJ62" s="530"/>
      <c r="BK62" s="530"/>
      <c r="BL62" s="530"/>
      <c r="BM62" s="530"/>
      <c r="BN62" s="530"/>
      <c r="BO62" s="530"/>
      <c r="BP62" s="530"/>
      <c r="BQ62" s="530"/>
      <c r="BR62" s="530"/>
      <c r="BS62" s="530"/>
      <c r="BT62" s="530"/>
      <c r="BU62" s="530"/>
      <c r="BV62" s="530"/>
      <c r="BW62" s="530"/>
      <c r="BX62" s="530"/>
      <c r="BY62" s="530"/>
      <c r="BZ62" s="530"/>
      <c r="CA62" s="530"/>
      <c r="CB62" s="530"/>
      <c r="CC62" s="530"/>
      <c r="CD62" s="530"/>
      <c r="CE62" s="530"/>
      <c r="CF62" s="530"/>
      <c r="CG62" s="530"/>
      <c r="CH62" s="530"/>
      <c r="CI62" s="530"/>
      <c r="CJ62" s="530"/>
      <c r="CK62" s="530"/>
      <c r="CL62" s="530"/>
      <c r="CM62" s="530"/>
      <c r="CN62" s="530"/>
      <c r="CO62" s="530"/>
      <c r="CP62" s="530"/>
      <c r="CQ62" s="530"/>
      <c r="CR62" s="530"/>
      <c r="CS62" s="530"/>
      <c r="CT62" s="530"/>
      <c r="CU62" s="530"/>
      <c r="CV62" s="530"/>
      <c r="CW62" s="530"/>
      <c r="CX62" s="530"/>
      <c r="CY62" s="530"/>
      <c r="CZ62" s="530"/>
      <c r="DA62" s="530"/>
      <c r="DB62" s="530"/>
      <c r="DC62" s="530"/>
      <c r="DD62" s="530"/>
      <c r="DE62" s="530"/>
      <c r="DF62" s="530"/>
      <c r="DG62" s="530"/>
      <c r="DH62" s="530"/>
      <c r="DI62" s="530"/>
      <c r="DJ62" s="530"/>
      <c r="DK62" s="530"/>
      <c r="DL62" s="530"/>
      <c r="DM62" s="530"/>
      <c r="DN62" s="530"/>
      <c r="DO62" s="530"/>
      <c r="DP62" s="530"/>
      <c r="DQ62" s="530"/>
      <c r="DR62" s="530"/>
      <c r="DS62" s="530"/>
      <c r="DT62" s="530"/>
      <c r="DU62" s="530"/>
      <c r="DV62" s="530"/>
      <c r="DW62" s="530"/>
      <c r="DX62" s="530"/>
      <c r="DY62" s="530"/>
      <c r="DZ62" s="530"/>
      <c r="EA62" s="530"/>
      <c r="EB62" s="530"/>
      <c r="EC62" s="523" t="s">
        <v>557</v>
      </c>
    </row>
    <row r="63" spans="8:133">
      <c r="H63" s="520" t="s">
        <v>1136</v>
      </c>
      <c r="I63" s="533"/>
      <c r="J63" s="533"/>
      <c r="K63" s="521"/>
      <c r="L63" s="521"/>
      <c r="M63" s="521"/>
      <c r="N63" s="521"/>
      <c r="O63" s="521"/>
      <c r="P63" s="521"/>
      <c r="Q63" s="521"/>
      <c r="R63" s="521"/>
      <c r="S63" s="521"/>
      <c r="T63" s="521"/>
      <c r="U63" s="521"/>
      <c r="V63" s="521"/>
      <c r="W63" s="521"/>
      <c r="X63" s="521"/>
      <c r="Y63" s="521"/>
      <c r="Z63" s="521"/>
      <c r="AA63" s="521"/>
      <c r="AB63" s="521"/>
      <c r="AC63" s="521"/>
      <c r="AD63" s="521"/>
      <c r="AE63" s="521"/>
      <c r="AF63" s="521"/>
      <c r="AG63" s="521"/>
      <c r="AH63" s="521"/>
      <c r="AI63" s="521"/>
      <c r="AJ63" s="521"/>
      <c r="AK63" s="521"/>
      <c r="AL63" s="521"/>
      <c r="AM63" s="521"/>
      <c r="AN63" s="521"/>
      <c r="AO63" s="521"/>
      <c r="AP63" s="521"/>
      <c r="AQ63" s="521"/>
      <c r="AR63" s="521"/>
      <c r="AS63" s="521"/>
      <c r="AT63" s="521"/>
      <c r="AU63" s="521"/>
      <c r="AV63" s="521"/>
      <c r="AW63" s="521"/>
      <c r="AX63" s="521"/>
      <c r="AY63" s="521"/>
      <c r="AZ63" s="521"/>
      <c r="BA63" s="521"/>
      <c r="BB63" s="521"/>
      <c r="BC63" s="521"/>
      <c r="BD63" s="521"/>
      <c r="BE63" s="521"/>
      <c r="BF63" s="521"/>
      <c r="BG63" s="521"/>
      <c r="BH63" s="521"/>
      <c r="BI63" s="521"/>
      <c r="BJ63" s="521"/>
      <c r="BK63" s="521"/>
      <c r="BL63" s="521"/>
      <c r="BM63" s="521"/>
      <c r="BN63" s="521"/>
      <c r="BO63" s="521"/>
      <c r="BP63" s="521"/>
      <c r="BQ63" s="521"/>
      <c r="BR63" s="521"/>
      <c r="BS63" s="521"/>
      <c r="BT63" s="521"/>
      <c r="BU63" s="521"/>
      <c r="BV63" s="521"/>
      <c r="BW63" s="521"/>
      <c r="BX63" s="521"/>
      <c r="BY63" s="521"/>
      <c r="BZ63" s="521"/>
      <c r="CA63" s="521"/>
      <c r="CB63" s="521"/>
      <c r="CC63" s="521"/>
      <c r="CD63" s="521"/>
      <c r="CE63" s="521"/>
      <c r="CF63" s="521"/>
      <c r="CG63" s="521"/>
      <c r="CH63" s="521"/>
      <c r="CI63" s="521"/>
      <c r="CJ63" s="521"/>
      <c r="CK63" s="521"/>
      <c r="CL63" s="521"/>
      <c r="CM63" s="521"/>
      <c r="CN63" s="521"/>
      <c r="CO63" s="521"/>
      <c r="CP63" s="521"/>
      <c r="CQ63" s="521"/>
      <c r="CR63" s="521"/>
      <c r="CS63" s="521"/>
      <c r="CT63" s="521"/>
      <c r="CU63" s="521"/>
      <c r="CV63" s="521"/>
      <c r="CW63" s="521"/>
      <c r="CX63" s="521"/>
      <c r="CY63" s="521"/>
      <c r="CZ63" s="521"/>
      <c r="DA63" s="521"/>
      <c r="DB63" s="521"/>
      <c r="DC63" s="521"/>
      <c r="DD63" s="521"/>
      <c r="DE63" s="521"/>
      <c r="DF63" s="521"/>
      <c r="DG63" s="521"/>
      <c r="DH63" s="521"/>
      <c r="DI63" s="521"/>
      <c r="DJ63" s="521"/>
      <c r="DK63" s="521"/>
      <c r="DL63" s="521"/>
      <c r="DM63" s="521"/>
      <c r="DN63" s="521"/>
      <c r="DO63" s="521"/>
      <c r="DP63" s="521"/>
      <c r="DQ63" s="521"/>
      <c r="DR63" s="521"/>
      <c r="DS63" s="521"/>
      <c r="DT63" s="521"/>
      <c r="DU63" s="521"/>
      <c r="DV63" s="521"/>
      <c r="DW63" s="521"/>
      <c r="DX63" s="521"/>
      <c r="DY63" s="521"/>
      <c r="DZ63" s="521"/>
      <c r="EA63" s="521"/>
      <c r="EB63" s="521"/>
      <c r="EC63" s="523" t="s">
        <v>557</v>
      </c>
    </row>
    <row r="64" spans="8:133">
      <c r="H64" s="518" t="s">
        <v>1141</v>
      </c>
      <c r="J64" s="1002" t="s">
        <v>1142</v>
      </c>
      <c r="L64" s="526">
        <f>K69</f>
        <v>0</v>
      </c>
      <c r="M64" s="526">
        <f ca="1">L69</f>
        <v>20296000</v>
      </c>
      <c r="N64" s="526">
        <f t="shared" ref="N64:BY64" ca="1" si="66">M69</f>
        <v>20495457.032575034</v>
      </c>
      <c r="O64" s="526">
        <f t="shared" ca="1" si="66"/>
        <v>20695499.0899661</v>
      </c>
      <c r="P64" s="526">
        <f t="shared" ca="1" si="66"/>
        <v>20896119.996907298</v>
      </c>
      <c r="Q64" s="526">
        <f t="shared" ca="1" si="66"/>
        <v>21097313.400646504</v>
      </c>
      <c r="R64" s="526">
        <f t="shared" ca="1" si="66"/>
        <v>21299072.767917782</v>
      </c>
      <c r="S64" s="526">
        <f t="shared" ca="1" si="66"/>
        <v>21501391.381868683</v>
      </c>
      <c r="T64" s="526">
        <f t="shared" ca="1" si="66"/>
        <v>21704262.338941727</v>
      </c>
      <c r="U64" s="526">
        <f t="shared" ca="1" si="66"/>
        <v>21907678.545709498</v>
      </c>
      <c r="V64" s="526">
        <f t="shared" ca="1" si="66"/>
        <v>22111632.715662636</v>
      </c>
      <c r="W64" s="526">
        <f t="shared" ca="1" si="66"/>
        <v>22316117.365950096</v>
      </c>
      <c r="X64" s="526">
        <f t="shared" ca="1" si="66"/>
        <v>22521124.814070996</v>
      </c>
      <c r="Y64" s="526">
        <f t="shared" ca="1" si="66"/>
        <v>22726647.17451733</v>
      </c>
      <c r="Z64" s="526">
        <f t="shared" ca="1" si="66"/>
        <v>22935000.134363193</v>
      </c>
      <c r="AA64" s="526">
        <f t="shared" ca="1" si="66"/>
        <v>23144027.003549863</v>
      </c>
      <c r="AB64" s="526">
        <f t="shared" ca="1" si="66"/>
        <v>23353723.493331771</v>
      </c>
      <c r="AC64" s="526">
        <f t="shared" ca="1" si="66"/>
        <v>23564085.173146881</v>
      </c>
      <c r="AD64" s="526">
        <f t="shared" ca="1" si="66"/>
        <v>23775107.468174238</v>
      </c>
      <c r="AE64" s="526">
        <f t="shared" ca="1" si="66"/>
        <v>23986785.656855226</v>
      </c>
      <c r="AF64" s="526">
        <f t="shared" ca="1" si="66"/>
        <v>24199114.868377987</v>
      </c>
      <c r="AG64" s="526">
        <f t="shared" ca="1" si="66"/>
        <v>24412090.080124501</v>
      </c>
      <c r="AH64" s="526">
        <f t="shared" ca="1" si="66"/>
        <v>24625706.115079768</v>
      </c>
      <c r="AI64" s="526">
        <f t="shared" ca="1" si="66"/>
        <v>24839957.639202602</v>
      </c>
      <c r="AJ64" s="526">
        <f t="shared" ca="1" si="66"/>
        <v>25054839.158757474</v>
      </c>
      <c r="AK64" s="526">
        <f t="shared" ca="1" si="66"/>
        <v>25270345.017606843</v>
      </c>
      <c r="AL64" s="526">
        <f t="shared" ca="1" si="66"/>
        <v>25489764.364652894</v>
      </c>
      <c r="AM64" s="526">
        <f t="shared" ca="1" si="66"/>
        <v>25710923.128441799</v>
      </c>
      <c r="AN64" s="526">
        <f t="shared" ca="1" si="66"/>
        <v>25933840.745244835</v>
      </c>
      <c r="AO64" s="526">
        <f t="shared" ca="1" si="66"/>
        <v>26158536.900642104</v>
      </c>
      <c r="AP64" s="526">
        <f t="shared" ca="1" si="66"/>
        <v>26385031.532850098</v>
      </c>
      <c r="AQ64" s="526">
        <f t="shared" ca="1" si="66"/>
        <v>26613344.836094107</v>
      </c>
      <c r="AR64" s="526">
        <f t="shared" ca="1" si="66"/>
        <v>26843497.264026117</v>
      </c>
      <c r="AS64" s="526">
        <f t="shared" ca="1" si="66"/>
        <v>27075509.533188794</v>
      </c>
      <c r="AT64" s="526">
        <f t="shared" ca="1" si="66"/>
        <v>27309402.626526192</v>
      </c>
      <c r="AU64" s="526">
        <f t="shared" ca="1" si="66"/>
        <v>27545197.796941787</v>
      </c>
      <c r="AV64" s="526">
        <f t="shared" ca="1" si="66"/>
        <v>27782916.570904512</v>
      </c>
      <c r="AW64" s="526">
        <f t="shared" ca="1" si="66"/>
        <v>28022580.752103418</v>
      </c>
      <c r="AX64" s="526">
        <f t="shared" ca="1" si="66"/>
        <v>28266477.387589235</v>
      </c>
      <c r="AY64" s="526">
        <f t="shared" ca="1" si="66"/>
        <v>28512394.528526951</v>
      </c>
      <c r="AZ64" s="526">
        <f t="shared" ca="1" si="66"/>
        <v>28760355.247299217</v>
      </c>
      <c r="BA64" s="526">
        <f t="shared" ca="1" si="66"/>
        <v>29010382.914236613</v>
      </c>
      <c r="BB64" s="526">
        <f t="shared" ca="1" si="66"/>
        <v>29262501.201601434</v>
      </c>
      <c r="BC64" s="526">
        <f t="shared" ca="1" si="66"/>
        <v>29516734.087625183</v>
      </c>
      <c r="BD64" s="526">
        <f t="shared" ca="1" si="66"/>
        <v>29773105.860600568</v>
      </c>
      <c r="BE64" s="526">
        <f t="shared" ca="1" si="66"/>
        <v>30031641.123028673</v>
      </c>
      <c r="BF64" s="526">
        <f t="shared" ca="1" si="66"/>
        <v>30292364.795822091</v>
      </c>
      <c r="BG64" s="526">
        <f t="shared" ca="1" si="66"/>
        <v>30555302.12256477</v>
      </c>
      <c r="BH64" s="526">
        <f t="shared" ca="1" si="66"/>
        <v>30820478.673829328</v>
      </c>
      <c r="BI64" s="526">
        <f t="shared" ca="1" si="66"/>
        <v>2832778.5820678412</v>
      </c>
      <c r="BJ64" s="526">
        <f t="shared" ca="1" si="66"/>
        <v>2871105.287972834</v>
      </c>
      <c r="BK64" s="526">
        <f t="shared" ca="1" si="66"/>
        <v>2909950.5435431013</v>
      </c>
      <c r="BL64" s="526">
        <f t="shared" ca="1" si="66"/>
        <v>2949321.3646113114</v>
      </c>
      <c r="BM64" s="526">
        <f t="shared" ca="1" si="66"/>
        <v>2989224.861932396</v>
      </c>
      <c r="BN64" s="526">
        <f t="shared" ca="1" si="66"/>
        <v>3029668.2424678225</v>
      </c>
      <c r="BO64" s="526">
        <f t="shared" ca="1" si="66"/>
        <v>3070658.8106872416</v>
      </c>
      <c r="BP64" s="526">
        <f t="shared" ca="1" si="66"/>
        <v>3112203.9698877451</v>
      </c>
      <c r="BQ64" s="526">
        <f t="shared" ca="1" si="66"/>
        <v>3154311.2235309747</v>
      </c>
      <c r="BR64" s="526">
        <f t="shared" ca="1" si="66"/>
        <v>3196988.1765983198</v>
      </c>
      <c r="BS64" s="526">
        <f t="shared" ca="1" si="66"/>
        <v>3240242.5369644519</v>
      </c>
      <c r="BT64" s="526">
        <f t="shared" ca="1" si="66"/>
        <v>3284082.1167894416</v>
      </c>
      <c r="BU64" s="526">
        <f t="shared" ca="1" si="66"/>
        <v>3328514.8339297115</v>
      </c>
      <c r="BV64" s="526">
        <f t="shared" ca="1" si="66"/>
        <v>3373548.7133680782</v>
      </c>
      <c r="BW64" s="526">
        <f t="shared" ca="1" si="66"/>
        <v>3419191.888663142</v>
      </c>
      <c r="BX64" s="526">
        <f t="shared" ca="1" si="66"/>
        <v>3465452.6034182888</v>
      </c>
      <c r="BY64" s="526">
        <f t="shared" ca="1" si="66"/>
        <v>3512339.2127705631</v>
      </c>
      <c r="BZ64" s="526">
        <f t="shared" ref="BZ64:EB64" ca="1" si="67">BY69</f>
        <v>3559860.1848996892</v>
      </c>
      <c r="CA64" s="526">
        <f t="shared" ca="1" si="67"/>
        <v>3608024.1025575064</v>
      </c>
      <c r="CB64" s="526">
        <f t="shared" ca="1" si="67"/>
        <v>3656839.6646180982</v>
      </c>
      <c r="CC64" s="526">
        <f t="shared" ca="1" si="67"/>
        <v>3706315.6876488929</v>
      </c>
      <c r="CD64" s="526">
        <f t="shared" ca="1" si="67"/>
        <v>3756461.1075030235</v>
      </c>
      <c r="CE64" s="526">
        <f t="shared" ca="1" si="67"/>
        <v>3807284.9809332285</v>
      </c>
      <c r="CF64" s="526">
        <f t="shared" ca="1" si="67"/>
        <v>3858796.4872275912</v>
      </c>
      <c r="CG64" s="526">
        <f t="shared" ca="1" si="67"/>
        <v>3911004.9298674082</v>
      </c>
      <c r="CH64" s="526">
        <f t="shared" ca="1" si="67"/>
        <v>3963919.7382074888</v>
      </c>
      <c r="CI64" s="526">
        <f t="shared" ca="1" si="67"/>
        <v>4017550.4691791888</v>
      </c>
      <c r="CJ64" s="526">
        <f t="shared" ca="1" si="67"/>
        <v>4071906.8090164862</v>
      </c>
      <c r="CK64" s="526">
        <f t="shared" ca="1" si="67"/>
        <v>4126998.5750054084</v>
      </c>
      <c r="CL64" s="526">
        <f t="shared" ca="1" si="67"/>
        <v>4182835.7172571314</v>
      </c>
      <c r="CM64" s="526">
        <f t="shared" ca="1" si="67"/>
        <v>4239428.3205050668</v>
      </c>
      <c r="CN64" s="526">
        <f t="shared" ca="1" si="67"/>
        <v>4296786.6059262622</v>
      </c>
      <c r="CO64" s="526">
        <f t="shared" ca="1" si="67"/>
        <v>4354920.932987446</v>
      </c>
      <c r="CP64" s="526">
        <f t="shared" ca="1" si="67"/>
        <v>4413841.8013160489</v>
      </c>
      <c r="CQ64" s="526">
        <f t="shared" ca="1" si="67"/>
        <v>4473559.85259654</v>
      </c>
      <c r="CR64" s="526">
        <f t="shared" ca="1" si="67"/>
        <v>4534085.8724924168</v>
      </c>
      <c r="CS64" s="526">
        <f t="shared" ca="1" si="67"/>
        <v>4595430.7925942019</v>
      </c>
      <c r="CT64" s="526">
        <f t="shared" ca="1" si="67"/>
        <v>4657605.6923937965</v>
      </c>
      <c r="CU64" s="526">
        <f t="shared" ca="1" si="67"/>
        <v>4720621.8012855444</v>
      </c>
      <c r="CV64" s="526">
        <f t="shared" ca="1" si="67"/>
        <v>4784490.5005943691</v>
      </c>
      <c r="CW64" s="526">
        <f t="shared" ca="1" si="67"/>
        <v>4849223.3256313531</v>
      </c>
      <c r="CX64" s="526">
        <f t="shared" ca="1" si="67"/>
        <v>4914831.9677771274</v>
      </c>
      <c r="CY64" s="526">
        <f t="shared" ca="1" si="67"/>
        <v>4981328.2765934514</v>
      </c>
      <c r="CZ64" s="526">
        <f t="shared" ca="1" si="67"/>
        <v>5048724.2619633554</v>
      </c>
      <c r="DA64" s="526">
        <f t="shared" ca="1" si="67"/>
        <v>5117032.0962602459</v>
      </c>
      <c r="DB64" s="526">
        <f t="shared" ca="1" si="67"/>
        <v>5186264.1165463552</v>
      </c>
      <c r="DC64" s="526">
        <f t="shared" ca="1" si="67"/>
        <v>5256432.8268009322</v>
      </c>
      <c r="DD64" s="526">
        <f t="shared" ca="1" si="67"/>
        <v>5327550.9001785871</v>
      </c>
      <c r="DE64" s="526">
        <f t="shared" ca="1" si="67"/>
        <v>5399631.1812981842</v>
      </c>
      <c r="DF64" s="526">
        <f t="shared" ca="1" si="67"/>
        <v>5472686.688562708</v>
      </c>
      <c r="DG64" s="526">
        <f t="shared" ca="1" si="67"/>
        <v>5546730.6165105114</v>
      </c>
      <c r="DH64" s="526">
        <f t="shared" ca="1" si="67"/>
        <v>5621776.3381983796</v>
      </c>
      <c r="DI64" s="526">
        <f t="shared" ca="1" si="67"/>
        <v>5697837.4076168351</v>
      </c>
      <c r="DJ64" s="526">
        <f t="shared" ca="1" si="67"/>
        <v>5774927.5621381206</v>
      </c>
      <c r="DK64" s="526">
        <f t="shared" ca="1" si="67"/>
        <v>5853060.7249973007</v>
      </c>
      <c r="DL64" s="526">
        <f t="shared" ca="1" si="67"/>
        <v>5932251.0078069381</v>
      </c>
      <c r="DM64" s="526">
        <f t="shared" ca="1" si="67"/>
        <v>6012512.7131057847</v>
      </c>
      <c r="DN64" s="526">
        <f t="shared" ca="1" si="67"/>
        <v>6093860.3369419621</v>
      </c>
      <c r="DO64" s="526">
        <f t="shared" ca="1" si="67"/>
        <v>6176308.5714910896</v>
      </c>
      <c r="DP64" s="526">
        <f t="shared" ca="1" si="67"/>
        <v>6259872.3077098336</v>
      </c>
      <c r="DQ64" s="526">
        <f t="shared" ca="1" si="67"/>
        <v>6344566.6380253602</v>
      </c>
      <c r="DR64" s="526">
        <f t="shared" ca="1" si="67"/>
        <v>6430406.859061176</v>
      </c>
      <c r="DS64" s="526">
        <f t="shared" ca="1" si="67"/>
        <v>6517408.4743998451</v>
      </c>
      <c r="DT64" s="526">
        <f t="shared" ca="1" si="67"/>
        <v>6605587.1973830909</v>
      </c>
      <c r="DU64" s="526">
        <f t="shared" ca="1" si="67"/>
        <v>6694958.9539497765</v>
      </c>
      <c r="DV64" s="526">
        <f t="shared" ca="1" si="67"/>
        <v>6785539.8855122868</v>
      </c>
      <c r="DW64" s="526">
        <f t="shared" ca="1" si="67"/>
        <v>6877346.3518718239</v>
      </c>
      <c r="DX64" s="526">
        <f t="shared" ca="1" si="67"/>
        <v>6970394.9341731472</v>
      </c>
      <c r="DY64" s="526">
        <f t="shared" ca="1" si="67"/>
        <v>7064702.4378992915</v>
      </c>
      <c r="DZ64" s="526">
        <f t="shared" ca="1" si="67"/>
        <v>7160285.8959068004</v>
      </c>
      <c r="EA64" s="526">
        <f t="shared" ca="1" si="67"/>
        <v>7257162.5715020252</v>
      </c>
      <c r="EB64" s="526">
        <f t="shared" ca="1" si="67"/>
        <v>7355349.9615590498</v>
      </c>
      <c r="EC64" s="523" t="s">
        <v>557</v>
      </c>
    </row>
    <row r="65" spans="8:133">
      <c r="H65" s="518" t="s">
        <v>1176</v>
      </c>
      <c r="I65" s="537">
        <f>F17</f>
        <v>0.17499999999999999</v>
      </c>
      <c r="J65" s="538">
        <f>((I65+1)^(1/12)-1)</f>
        <v>1.3529721718319232E-2</v>
      </c>
      <c r="L65" s="526">
        <f>L64*$J65</f>
        <v>0</v>
      </c>
      <c r="M65" s="526">
        <f t="shared" ref="M65:BX65" ca="1" si="68">M64*$J65</f>
        <v>274599.23199500714</v>
      </c>
      <c r="N65" s="526">
        <f t="shared" ca="1" si="68"/>
        <v>277297.83014050906</v>
      </c>
      <c r="O65" s="526">
        <f t="shared" ca="1" si="68"/>
        <v>280004.34350897023</v>
      </c>
      <c r="P65" s="526">
        <f t="shared" ca="1" si="68"/>
        <v>282718.68855076149</v>
      </c>
      <c r="Q65" s="526">
        <f t="shared" ca="1" si="68"/>
        <v>285440.77931491437</v>
      </c>
      <c r="R65" s="526">
        <f t="shared" ca="1" si="68"/>
        <v>288170.52740815893</v>
      </c>
      <c r="S65" s="526">
        <f t="shared" ca="1" si="68"/>
        <v>290907.8419533507</v>
      </c>
      <c r="T65" s="526">
        <f t="shared" ca="1" si="68"/>
        <v>293652.62954727805</v>
      </c>
      <c r="U65" s="526">
        <f t="shared" ca="1" si="68"/>
        <v>296404.79421784211</v>
      </c>
      <c r="V65" s="526">
        <f t="shared" ca="1" si="68"/>
        <v>299164.23738059885</v>
      </c>
      <c r="W65" s="526">
        <f t="shared" ca="1" si="68"/>
        <v>301930.85779465601</v>
      </c>
      <c r="X65" s="526">
        <f t="shared" ca="1" si="68"/>
        <v>304704.55151791451</v>
      </c>
      <c r="Y65" s="526">
        <f t="shared" ca="1" si="68"/>
        <v>307485.21186164551</v>
      </c>
      <c r="Z65" s="526">
        <f t="shared" ca="1" si="68"/>
        <v>310304.16942754819</v>
      </c>
      <c r="AA65" s="526">
        <f t="shared" ca="1" si="68"/>
        <v>313132.24479929538</v>
      </c>
      <c r="AB65" s="526">
        <f t="shared" ca="1" si="68"/>
        <v>315969.37995135295</v>
      </c>
      <c r="AC65" s="526">
        <f t="shared" ca="1" si="68"/>
        <v>318815.51493944955</v>
      </c>
      <c r="AD65" s="526">
        <f t="shared" ca="1" si="68"/>
        <v>321670.58786753076</v>
      </c>
      <c r="AE65" s="526">
        <f t="shared" ca="1" si="68"/>
        <v>324534.53485422238</v>
      </c>
      <c r="AF65" s="526">
        <f t="shared" ca="1" si="68"/>
        <v>327407.28999879549</v>
      </c>
      <c r="AG65" s="526">
        <f t="shared" ca="1" si="68"/>
        <v>330288.78534662595</v>
      </c>
      <c r="AH65" s="526">
        <f t="shared" ca="1" si="68"/>
        <v>333178.95085414144</v>
      </c>
      <c r="AI65" s="526">
        <f t="shared" ca="1" si="68"/>
        <v>336077.71435324918</v>
      </c>
      <c r="AJ65" s="526">
        <f t="shared" ca="1" si="68"/>
        <v>338985.00151523616</v>
      </c>
      <c r="AK65" s="526">
        <f t="shared" ca="1" si="68"/>
        <v>341900.73581413552</v>
      </c>
      <c r="AL65" s="526">
        <f t="shared" ca="1" si="68"/>
        <v>344869.41851928388</v>
      </c>
      <c r="AM65" s="526">
        <f t="shared" ca="1" si="68"/>
        <v>347861.63504891528</v>
      </c>
      <c r="AN65" s="526">
        <f t="shared" ca="1" si="68"/>
        <v>350877.64837037126</v>
      </c>
      <c r="AO65" s="526">
        <f t="shared" ca="1" si="68"/>
        <v>353917.7248240725</v>
      </c>
      <c r="AP65" s="526">
        <f t="shared" ca="1" si="68"/>
        <v>356982.13416853972</v>
      </c>
      <c r="AQ65" s="526">
        <f t="shared" ca="1" si="68"/>
        <v>360071.14962602145</v>
      </c>
      <c r="AR65" s="526">
        <f t="shared" ca="1" si="68"/>
        <v>363185.04792873701</v>
      </c>
      <c r="AS65" s="526">
        <f t="shared" ca="1" si="68"/>
        <v>366324.10936574382</v>
      </c>
      <c r="AT65" s="526">
        <f t="shared" ca="1" si="68"/>
        <v>369488.61783043569</v>
      </c>
      <c r="AU65" s="526">
        <f t="shared" ca="1" si="68"/>
        <v>372678.86086868239</v>
      </c>
      <c r="AV65" s="526">
        <f t="shared" ca="1" si="68"/>
        <v>375895.12972761807</v>
      </c>
      <c r="AW65" s="526">
        <f t="shared" ca="1" si="68"/>
        <v>379137.71940508811</v>
      </c>
      <c r="AX65" s="526">
        <f t="shared" ca="1" si="68"/>
        <v>382437.57301124552</v>
      </c>
      <c r="AY65" s="526">
        <f t="shared" ca="1" si="68"/>
        <v>385764.76349389751</v>
      </c>
      <c r="AZ65" s="526">
        <f t="shared" ca="1" si="68"/>
        <v>389119.60301596072</v>
      </c>
      <c r="BA65" s="526">
        <f t="shared" ca="1" si="68"/>
        <v>392502.40777150425</v>
      </c>
      <c r="BB65" s="526">
        <f t="shared" ca="1" si="68"/>
        <v>395913.49803964957</v>
      </c>
      <c r="BC65" s="526">
        <f t="shared" ca="1" si="68"/>
        <v>399353.19823919603</v>
      </c>
      <c r="BD65" s="526">
        <f t="shared" ca="1" si="68"/>
        <v>402821.83698398509</v>
      </c>
      <c r="BE65" s="526">
        <f t="shared" ca="1" si="68"/>
        <v>406319.74713901</v>
      </c>
      <c r="BF65" s="526">
        <f t="shared" ca="1" si="68"/>
        <v>409847.26587728306</v>
      </c>
      <c r="BG65" s="526">
        <f t="shared" ca="1" si="68"/>
        <v>413404.73473747028</v>
      </c>
      <c r="BH65" s="526">
        <f t="shared" ca="1" si="68"/>
        <v>416992.4996823034</v>
      </c>
      <c r="BI65" s="526">
        <f t="shared" ca="1" si="68"/>
        <v>38326.705904992828</v>
      </c>
      <c r="BJ65" s="526">
        <f t="shared" ca="1" si="68"/>
        <v>38845.255570267247</v>
      </c>
      <c r="BK65" s="526">
        <f t="shared" ca="1" si="68"/>
        <v>39370.821068209953</v>
      </c>
      <c r="BL65" s="526">
        <f t="shared" ca="1" si="68"/>
        <v>39903.497321084571</v>
      </c>
      <c r="BM65" s="526">
        <f t="shared" ca="1" si="68"/>
        <v>40443.380535426542</v>
      </c>
      <c r="BN65" s="526">
        <f t="shared" ca="1" si="68"/>
        <v>40990.568219418958</v>
      </c>
      <c r="BO65" s="526">
        <f t="shared" ca="1" si="68"/>
        <v>41545.159200503476</v>
      </c>
      <c r="BP65" s="526">
        <f t="shared" ca="1" si="68"/>
        <v>42107.25364322956</v>
      </c>
      <c r="BQ65" s="526">
        <f t="shared" ca="1" si="68"/>
        <v>42676.953067345137</v>
      </c>
      <c r="BR65" s="526">
        <f t="shared" ca="1" si="68"/>
        <v>43254.360366132089</v>
      </c>
      <c r="BS65" s="526">
        <f t="shared" ca="1" si="68"/>
        <v>43839.579824989749</v>
      </c>
      <c r="BT65" s="526">
        <f t="shared" ca="1" si="68"/>
        <v>44432.717140269902</v>
      </c>
      <c r="BU65" s="526">
        <f t="shared" ca="1" si="68"/>
        <v>45033.879438366552</v>
      </c>
      <c r="BV65" s="526">
        <f t="shared" ca="1" si="68"/>
        <v>45643.175295063993</v>
      </c>
      <c r="BW65" s="526">
        <f t="shared" ca="1" si="68"/>
        <v>46260.714755146662</v>
      </c>
      <c r="BX65" s="526">
        <f t="shared" ca="1" si="68"/>
        <v>46886.609352274347</v>
      </c>
      <c r="BY65" s="526">
        <f t="shared" ref="BY65:EB65" ca="1" si="69">BY64*$J65</f>
        <v>47520.972129126159</v>
      </c>
      <c r="BZ65" s="526">
        <f t="shared" ca="1" si="69"/>
        <v>48163.917657817241</v>
      </c>
      <c r="CA65" s="526">
        <f t="shared" ca="1" si="69"/>
        <v>48815.562060591554</v>
      </c>
      <c r="CB65" s="526">
        <f t="shared" ca="1" si="69"/>
        <v>49476.023030794699</v>
      </c>
      <c r="CC65" s="526">
        <f t="shared" ca="1" si="69"/>
        <v>50145.419854130501</v>
      </c>
      <c r="CD65" s="526">
        <f t="shared" ca="1" si="69"/>
        <v>50823.873430205174</v>
      </c>
      <c r="CE65" s="526">
        <f t="shared" ca="1" si="69"/>
        <v>51511.506294362924</v>
      </c>
      <c r="CF65" s="526">
        <f t="shared" ca="1" si="69"/>
        <v>52208.442639817105</v>
      </c>
      <c r="CG65" s="526">
        <f t="shared" ca="1" si="69"/>
        <v>52914.808340080657</v>
      </c>
      <c r="CH65" s="526">
        <f t="shared" ca="1" si="69"/>
        <v>53630.730971700148</v>
      </c>
      <c r="CI65" s="526">
        <f t="shared" ca="1" si="69"/>
        <v>54356.339837297288</v>
      </c>
      <c r="CJ65" s="526">
        <f t="shared" ca="1" si="69"/>
        <v>55091.765988922314</v>
      </c>
      <c r="CK65" s="526">
        <f t="shared" ca="1" si="69"/>
        <v>55837.142251723199</v>
      </c>
      <c r="CL65" s="526">
        <f t="shared" ca="1" si="69"/>
        <v>56592.603247935214</v>
      </c>
      <c r="CM65" s="526">
        <f t="shared" ca="1" si="69"/>
        <v>57358.285421195025</v>
      </c>
      <c r="CN65" s="526">
        <f t="shared" ca="1" si="69"/>
        <v>58134.327061183729</v>
      </c>
      <c r="CO65" s="526">
        <f t="shared" ca="1" si="69"/>
        <v>58920.868328603297</v>
      </c>
      <c r="CP65" s="526">
        <f t="shared" ca="1" si="69"/>
        <v>59718.051280491025</v>
      </c>
      <c r="CQ65" s="526">
        <f t="shared" ca="1" si="69"/>
        <v>60526.019895876387</v>
      </c>
      <c r="CR65" s="526">
        <f t="shared" ca="1" si="69"/>
        <v>61344.920101785057</v>
      </c>
      <c r="CS65" s="526">
        <f t="shared" ca="1" si="69"/>
        <v>62174.899799594736</v>
      </c>
      <c r="CT65" s="526">
        <f t="shared" ca="1" si="69"/>
        <v>63016.10889174763</v>
      </c>
      <c r="CU65" s="526">
        <f t="shared" ca="1" si="69"/>
        <v>63868.699308824282</v>
      </c>
      <c r="CV65" s="526">
        <f t="shared" ca="1" si="69"/>
        <v>64732.82503698369</v>
      </c>
      <c r="CW65" s="526">
        <f t="shared" ca="1" si="69"/>
        <v>65608.642145774735</v>
      </c>
      <c r="CX65" s="526">
        <f t="shared" ca="1" si="69"/>
        <v>66496.308816323843</v>
      </c>
      <c r="CY65" s="526">
        <f t="shared" ca="1" si="69"/>
        <v>67395.985369904127</v>
      </c>
      <c r="CZ65" s="526">
        <f t="shared" ca="1" si="69"/>
        <v>68307.83429689084</v>
      </c>
      <c r="DA65" s="526">
        <f t="shared" ca="1" si="69"/>
        <v>69232.020286108833</v>
      </c>
      <c r="DB65" s="526">
        <f t="shared" ca="1" si="69"/>
        <v>70168.71025457693</v>
      </c>
      <c r="DC65" s="526">
        <f t="shared" ca="1" si="69"/>
        <v>71118.073377654728</v>
      </c>
      <c r="DD65" s="526">
        <f t="shared" ca="1" si="69"/>
        <v>72080.281119597406</v>
      </c>
      <c r="DE65" s="526">
        <f t="shared" ca="1" si="69"/>
        <v>73055.507264523767</v>
      </c>
      <c r="DF65" s="526">
        <f t="shared" ca="1" si="69"/>
        <v>74043.92794780343</v>
      </c>
      <c r="DG65" s="526">
        <f t="shared" ca="1" si="69"/>
        <v>75045.721687868485</v>
      </c>
      <c r="DH65" s="526">
        <f t="shared" ca="1" si="69"/>
        <v>76061.06941845578</v>
      </c>
      <c r="DI65" s="526">
        <f t="shared" ca="1" si="69"/>
        <v>77090.154521285251</v>
      </c>
      <c r="DJ65" s="526">
        <f t="shared" ca="1" si="69"/>
        <v>78133.162859180462</v>
      </c>
      <c r="DK65" s="526">
        <f t="shared" ca="1" si="69"/>
        <v>79190.282809637283</v>
      </c>
      <c r="DL65" s="526">
        <f t="shared" ca="1" si="69"/>
        <v>80261.705298846689</v>
      </c>
      <c r="DM65" s="526">
        <f t="shared" ca="1" si="69"/>
        <v>81347.623836177823</v>
      </c>
      <c r="DN65" s="526">
        <f t="shared" ca="1" si="69"/>
        <v>82448.234549127825</v>
      </c>
      <c r="DO65" s="526">
        <f t="shared" ca="1" si="69"/>
        <v>83563.73621874422</v>
      </c>
      <c r="DP65" s="526">
        <f t="shared" ca="1" si="69"/>
        <v>84694.330315526866</v>
      </c>
      <c r="DQ65" s="526">
        <f t="shared" ca="1" si="69"/>
        <v>85840.221035815353</v>
      </c>
      <c r="DR65" s="526">
        <f t="shared" ca="1" si="69"/>
        <v>87001.615338668955</v>
      </c>
      <c r="DS65" s="526">
        <f t="shared" ca="1" si="69"/>
        <v>88178.722983245403</v>
      </c>
      <c r="DT65" s="526">
        <f t="shared" ca="1" si="69"/>
        <v>89371.756566685479</v>
      </c>
      <c r="DU65" s="526">
        <f t="shared" ca="1" si="69"/>
        <v>90580.931562510101</v>
      </c>
      <c r="DV65" s="526">
        <f t="shared" ca="1" si="69"/>
        <v>91806.466359536978</v>
      </c>
      <c r="DW65" s="526">
        <f t="shared" ca="1" si="69"/>
        <v>93048.582301323753</v>
      </c>
      <c r="DX65" s="526">
        <f t="shared" ca="1" si="69"/>
        <v>94307.503726144787</v>
      </c>
      <c r="DY65" s="526">
        <f t="shared" ca="1" si="69"/>
        <v>95583.458007508874</v>
      </c>
      <c r="DZ65" s="526">
        <f t="shared" ca="1" si="69"/>
        <v>96876.675595225111</v>
      </c>
      <c r="EA65" s="526">
        <f t="shared" ca="1" si="69"/>
        <v>98187.3900570244</v>
      </c>
      <c r="EB65" s="526">
        <f t="shared" ca="1" si="69"/>
        <v>99515.838120744011</v>
      </c>
      <c r="EC65" s="523" t="s">
        <v>557</v>
      </c>
    </row>
    <row r="66" spans="8:133">
      <c r="H66" s="518" t="s">
        <v>1145</v>
      </c>
      <c r="L66" s="526">
        <f ca="1">L48</f>
        <v>20296000</v>
      </c>
      <c r="M66" s="526">
        <f>M48</f>
        <v>0</v>
      </c>
      <c r="N66" s="526">
        <f t="shared" ref="N66:BY66" si="70">N48</f>
        <v>0</v>
      </c>
      <c r="O66" s="526">
        <f t="shared" si="70"/>
        <v>0</v>
      </c>
      <c r="P66" s="526">
        <f t="shared" si="70"/>
        <v>0</v>
      </c>
      <c r="Q66" s="526">
        <f t="shared" si="70"/>
        <v>0</v>
      </c>
      <c r="R66" s="526">
        <f t="shared" si="70"/>
        <v>0</v>
      </c>
      <c r="S66" s="526">
        <f t="shared" si="70"/>
        <v>0</v>
      </c>
      <c r="T66" s="526">
        <f t="shared" si="70"/>
        <v>0</v>
      </c>
      <c r="U66" s="526">
        <f t="shared" si="70"/>
        <v>0</v>
      </c>
      <c r="V66" s="526">
        <f t="shared" si="70"/>
        <v>0</v>
      </c>
      <c r="W66" s="526">
        <f t="shared" si="70"/>
        <v>0</v>
      </c>
      <c r="X66" s="526">
        <f t="shared" si="70"/>
        <v>0</v>
      </c>
      <c r="Y66" s="526">
        <f t="shared" si="70"/>
        <v>0</v>
      </c>
      <c r="Z66" s="526">
        <f t="shared" si="70"/>
        <v>0</v>
      </c>
      <c r="AA66" s="526">
        <f t="shared" si="70"/>
        <v>0</v>
      </c>
      <c r="AB66" s="526">
        <f t="shared" si="70"/>
        <v>0</v>
      </c>
      <c r="AC66" s="526">
        <f t="shared" si="70"/>
        <v>0</v>
      </c>
      <c r="AD66" s="526">
        <f t="shared" si="70"/>
        <v>0</v>
      </c>
      <c r="AE66" s="526">
        <f t="shared" si="70"/>
        <v>0</v>
      </c>
      <c r="AF66" s="526">
        <f t="shared" si="70"/>
        <v>0</v>
      </c>
      <c r="AG66" s="526">
        <f t="shared" si="70"/>
        <v>0</v>
      </c>
      <c r="AH66" s="526">
        <f t="shared" si="70"/>
        <v>0</v>
      </c>
      <c r="AI66" s="526">
        <f t="shared" si="70"/>
        <v>0</v>
      </c>
      <c r="AJ66" s="526">
        <f t="shared" si="70"/>
        <v>0</v>
      </c>
      <c r="AK66" s="526">
        <f t="shared" si="70"/>
        <v>0</v>
      </c>
      <c r="AL66" s="526">
        <f t="shared" si="70"/>
        <v>0</v>
      </c>
      <c r="AM66" s="526">
        <f t="shared" si="70"/>
        <v>0</v>
      </c>
      <c r="AN66" s="526">
        <f t="shared" si="70"/>
        <v>0</v>
      </c>
      <c r="AO66" s="526">
        <f t="shared" si="70"/>
        <v>0</v>
      </c>
      <c r="AP66" s="526">
        <f t="shared" si="70"/>
        <v>0</v>
      </c>
      <c r="AQ66" s="526">
        <f t="shared" si="70"/>
        <v>0</v>
      </c>
      <c r="AR66" s="526">
        <f t="shared" si="70"/>
        <v>0</v>
      </c>
      <c r="AS66" s="526">
        <f t="shared" si="70"/>
        <v>0</v>
      </c>
      <c r="AT66" s="526">
        <f t="shared" si="70"/>
        <v>0</v>
      </c>
      <c r="AU66" s="526">
        <f t="shared" si="70"/>
        <v>0</v>
      </c>
      <c r="AV66" s="526">
        <f t="shared" si="70"/>
        <v>0</v>
      </c>
      <c r="AW66" s="526">
        <f t="shared" si="70"/>
        <v>0</v>
      </c>
      <c r="AX66" s="526">
        <f t="shared" si="70"/>
        <v>0</v>
      </c>
      <c r="AY66" s="526">
        <f t="shared" si="70"/>
        <v>0</v>
      </c>
      <c r="AZ66" s="526">
        <f t="shared" si="70"/>
        <v>0</v>
      </c>
      <c r="BA66" s="526">
        <f t="shared" si="70"/>
        <v>0</v>
      </c>
      <c r="BB66" s="526">
        <f t="shared" si="70"/>
        <v>0</v>
      </c>
      <c r="BC66" s="526">
        <f t="shared" si="70"/>
        <v>0</v>
      </c>
      <c r="BD66" s="526">
        <f t="shared" si="70"/>
        <v>0</v>
      </c>
      <c r="BE66" s="526">
        <f t="shared" si="70"/>
        <v>0</v>
      </c>
      <c r="BF66" s="526">
        <f t="shared" si="70"/>
        <v>0</v>
      </c>
      <c r="BG66" s="526">
        <f t="shared" si="70"/>
        <v>0</v>
      </c>
      <c r="BH66" s="526">
        <f t="shared" si="70"/>
        <v>0</v>
      </c>
      <c r="BI66" s="526">
        <f t="shared" si="70"/>
        <v>0</v>
      </c>
      <c r="BJ66" s="526">
        <f t="shared" si="70"/>
        <v>0</v>
      </c>
      <c r="BK66" s="526">
        <f t="shared" si="70"/>
        <v>0</v>
      </c>
      <c r="BL66" s="526">
        <f t="shared" si="70"/>
        <v>0</v>
      </c>
      <c r="BM66" s="526">
        <f t="shared" si="70"/>
        <v>0</v>
      </c>
      <c r="BN66" s="526">
        <f t="shared" si="70"/>
        <v>0</v>
      </c>
      <c r="BO66" s="526">
        <f t="shared" si="70"/>
        <v>0</v>
      </c>
      <c r="BP66" s="526">
        <f t="shared" si="70"/>
        <v>0</v>
      </c>
      <c r="BQ66" s="526">
        <f t="shared" si="70"/>
        <v>0</v>
      </c>
      <c r="BR66" s="526">
        <f t="shared" si="70"/>
        <v>0</v>
      </c>
      <c r="BS66" s="526">
        <f t="shared" si="70"/>
        <v>0</v>
      </c>
      <c r="BT66" s="526">
        <f t="shared" si="70"/>
        <v>0</v>
      </c>
      <c r="BU66" s="526">
        <f t="shared" si="70"/>
        <v>0</v>
      </c>
      <c r="BV66" s="526">
        <f t="shared" si="70"/>
        <v>0</v>
      </c>
      <c r="BW66" s="526">
        <f t="shared" si="70"/>
        <v>0</v>
      </c>
      <c r="BX66" s="526">
        <f t="shared" si="70"/>
        <v>0</v>
      </c>
      <c r="BY66" s="526">
        <f t="shared" si="70"/>
        <v>0</v>
      </c>
      <c r="BZ66" s="526">
        <f t="shared" ref="BZ66:EB66" si="71">BZ48</f>
        <v>0</v>
      </c>
      <c r="CA66" s="526">
        <f t="shared" si="71"/>
        <v>0</v>
      </c>
      <c r="CB66" s="526">
        <f t="shared" si="71"/>
        <v>0</v>
      </c>
      <c r="CC66" s="526">
        <f t="shared" si="71"/>
        <v>0</v>
      </c>
      <c r="CD66" s="526">
        <f t="shared" si="71"/>
        <v>0</v>
      </c>
      <c r="CE66" s="526">
        <f t="shared" si="71"/>
        <v>0</v>
      </c>
      <c r="CF66" s="526">
        <f t="shared" si="71"/>
        <v>0</v>
      </c>
      <c r="CG66" s="526">
        <f t="shared" si="71"/>
        <v>0</v>
      </c>
      <c r="CH66" s="526">
        <f t="shared" si="71"/>
        <v>0</v>
      </c>
      <c r="CI66" s="526">
        <f t="shared" si="71"/>
        <v>0</v>
      </c>
      <c r="CJ66" s="526">
        <f t="shared" si="71"/>
        <v>0</v>
      </c>
      <c r="CK66" s="526">
        <f t="shared" si="71"/>
        <v>0</v>
      </c>
      <c r="CL66" s="526">
        <f t="shared" si="71"/>
        <v>0</v>
      </c>
      <c r="CM66" s="526">
        <f t="shared" si="71"/>
        <v>0</v>
      </c>
      <c r="CN66" s="526">
        <f t="shared" si="71"/>
        <v>0</v>
      </c>
      <c r="CO66" s="526">
        <f t="shared" si="71"/>
        <v>0</v>
      </c>
      <c r="CP66" s="526">
        <f t="shared" si="71"/>
        <v>0</v>
      </c>
      <c r="CQ66" s="526">
        <f t="shared" si="71"/>
        <v>0</v>
      </c>
      <c r="CR66" s="526">
        <f t="shared" si="71"/>
        <v>0</v>
      </c>
      <c r="CS66" s="526">
        <f t="shared" si="71"/>
        <v>0</v>
      </c>
      <c r="CT66" s="526">
        <f t="shared" si="71"/>
        <v>0</v>
      </c>
      <c r="CU66" s="526">
        <f t="shared" si="71"/>
        <v>0</v>
      </c>
      <c r="CV66" s="526">
        <f t="shared" si="71"/>
        <v>0</v>
      </c>
      <c r="CW66" s="526">
        <f t="shared" si="71"/>
        <v>0</v>
      </c>
      <c r="CX66" s="526">
        <f t="shared" si="71"/>
        <v>0</v>
      </c>
      <c r="CY66" s="526">
        <f t="shared" si="71"/>
        <v>0</v>
      </c>
      <c r="CZ66" s="526">
        <f t="shared" si="71"/>
        <v>0</v>
      </c>
      <c r="DA66" s="526">
        <f t="shared" si="71"/>
        <v>0</v>
      </c>
      <c r="DB66" s="526">
        <f t="shared" si="71"/>
        <v>0</v>
      </c>
      <c r="DC66" s="526">
        <f t="shared" si="71"/>
        <v>0</v>
      </c>
      <c r="DD66" s="526">
        <f t="shared" si="71"/>
        <v>0</v>
      </c>
      <c r="DE66" s="526">
        <f t="shared" si="71"/>
        <v>0</v>
      </c>
      <c r="DF66" s="526">
        <f t="shared" si="71"/>
        <v>0</v>
      </c>
      <c r="DG66" s="526">
        <f t="shared" si="71"/>
        <v>0</v>
      </c>
      <c r="DH66" s="526">
        <f t="shared" si="71"/>
        <v>0</v>
      </c>
      <c r="DI66" s="526">
        <f t="shared" si="71"/>
        <v>0</v>
      </c>
      <c r="DJ66" s="526">
        <f t="shared" si="71"/>
        <v>0</v>
      </c>
      <c r="DK66" s="526">
        <f t="shared" si="71"/>
        <v>0</v>
      </c>
      <c r="DL66" s="526">
        <f t="shared" si="71"/>
        <v>0</v>
      </c>
      <c r="DM66" s="526">
        <f t="shared" si="71"/>
        <v>0</v>
      </c>
      <c r="DN66" s="526">
        <f t="shared" si="71"/>
        <v>0</v>
      </c>
      <c r="DO66" s="526">
        <f t="shared" si="71"/>
        <v>0</v>
      </c>
      <c r="DP66" s="526">
        <f t="shared" si="71"/>
        <v>0</v>
      </c>
      <c r="DQ66" s="526">
        <f t="shared" si="71"/>
        <v>0</v>
      </c>
      <c r="DR66" s="526">
        <f t="shared" si="71"/>
        <v>0</v>
      </c>
      <c r="DS66" s="526">
        <f t="shared" si="71"/>
        <v>0</v>
      </c>
      <c r="DT66" s="526">
        <f t="shared" si="71"/>
        <v>0</v>
      </c>
      <c r="DU66" s="526">
        <f t="shared" si="71"/>
        <v>0</v>
      </c>
      <c r="DV66" s="526">
        <f t="shared" si="71"/>
        <v>0</v>
      </c>
      <c r="DW66" s="526">
        <f t="shared" si="71"/>
        <v>0</v>
      </c>
      <c r="DX66" s="526">
        <f t="shared" si="71"/>
        <v>0</v>
      </c>
      <c r="DY66" s="526">
        <f t="shared" si="71"/>
        <v>0</v>
      </c>
      <c r="DZ66" s="526">
        <f t="shared" si="71"/>
        <v>0</v>
      </c>
      <c r="EA66" s="526">
        <f t="shared" si="71"/>
        <v>0</v>
      </c>
      <c r="EB66" s="526">
        <f t="shared" si="71"/>
        <v>0</v>
      </c>
      <c r="EC66" s="523" t="s">
        <v>557</v>
      </c>
    </row>
    <row r="67" spans="8:133">
      <c r="H67" s="518" t="s">
        <v>1177</v>
      </c>
      <c r="L67" s="526">
        <f ca="1">L49+L50</f>
        <v>0</v>
      </c>
      <c r="M67" s="526">
        <f t="shared" ref="M67:BX67" ca="1" si="72">M49+M50</f>
        <v>75142.199419975848</v>
      </c>
      <c r="N67" s="526">
        <f t="shared" ca="1" si="72"/>
        <v>77255.772749442272</v>
      </c>
      <c r="O67" s="526">
        <f t="shared" ca="1" si="72"/>
        <v>79383.436567771874</v>
      </c>
      <c r="P67" s="526">
        <f t="shared" ca="1" si="72"/>
        <v>81525.284811557081</v>
      </c>
      <c r="Q67" s="526">
        <f t="shared" ca="1" si="72"/>
        <v>83681.412043634118</v>
      </c>
      <c r="R67" s="526">
        <f t="shared" ca="1" si="72"/>
        <v>85851.913457258299</v>
      </c>
      <c r="S67" s="526">
        <f t="shared" ca="1" si="72"/>
        <v>88036.884880306709</v>
      </c>
      <c r="T67" s="526">
        <f t="shared" ca="1" si="72"/>
        <v>90236.422779508677</v>
      </c>
      <c r="U67" s="526">
        <f t="shared" ca="1" si="72"/>
        <v>92450.624264705359</v>
      </c>
      <c r="V67" s="526">
        <f t="shared" ca="1" si="72"/>
        <v>94679.587093136754</v>
      </c>
      <c r="W67" s="526">
        <f t="shared" ca="1" si="72"/>
        <v>96923.409673757662</v>
      </c>
      <c r="X67" s="526">
        <f t="shared" ca="1" si="72"/>
        <v>99182.191071582594</v>
      </c>
      <c r="Y67" s="526">
        <f t="shared" ca="1" si="72"/>
        <v>99132.252015780003</v>
      </c>
      <c r="Z67" s="526">
        <f t="shared" ca="1" si="72"/>
        <v>101277.30024087873</v>
      </c>
      <c r="AA67" s="526">
        <f t="shared" ca="1" si="72"/>
        <v>103435.75501738423</v>
      </c>
      <c r="AB67" s="526">
        <f t="shared" ca="1" si="72"/>
        <v>105607.70013624289</v>
      </c>
      <c r="AC67" s="526">
        <f t="shared" ca="1" si="72"/>
        <v>107793.2199120944</v>
      </c>
      <c r="AD67" s="526">
        <f t="shared" ca="1" si="72"/>
        <v>109992.39918654515</v>
      </c>
      <c r="AE67" s="526">
        <f t="shared" ca="1" si="72"/>
        <v>112205.32333146107</v>
      </c>
      <c r="AF67" s="526">
        <f t="shared" ca="1" si="72"/>
        <v>114432.07825228265</v>
      </c>
      <c r="AG67" s="526">
        <f t="shared" ca="1" si="72"/>
        <v>116672.75039135954</v>
      </c>
      <c r="AH67" s="526">
        <f t="shared" ca="1" si="72"/>
        <v>118927.4267313055</v>
      </c>
      <c r="AI67" s="526">
        <f t="shared" ca="1" si="72"/>
        <v>121196.19479837616</v>
      </c>
      <c r="AJ67" s="526">
        <f t="shared" ca="1" si="72"/>
        <v>123479.14266586611</v>
      </c>
      <c r="AK67" s="526">
        <f t="shared" ca="1" si="72"/>
        <v>122481.38876808564</v>
      </c>
      <c r="AL67" s="526">
        <f t="shared" ca="1" si="72"/>
        <v>123710.65473037933</v>
      </c>
      <c r="AM67" s="526">
        <f t="shared" ca="1" si="72"/>
        <v>124944.01824588062</v>
      </c>
      <c r="AN67" s="526">
        <f t="shared" ca="1" si="72"/>
        <v>126181.4929731002</v>
      </c>
      <c r="AO67" s="526">
        <f t="shared" ca="1" si="72"/>
        <v>127423.09261607715</v>
      </c>
      <c r="AP67" s="526">
        <f t="shared" ca="1" si="72"/>
        <v>128668.83092453091</v>
      </c>
      <c r="AQ67" s="526">
        <f t="shared" ca="1" si="72"/>
        <v>129918.72169401268</v>
      </c>
      <c r="AR67" s="526">
        <f t="shared" ca="1" si="72"/>
        <v>131172.77876605943</v>
      </c>
      <c r="AS67" s="526">
        <f t="shared" ca="1" si="72"/>
        <v>132431.01602834626</v>
      </c>
      <c r="AT67" s="526">
        <f t="shared" ca="1" si="72"/>
        <v>133693.44741484086</v>
      </c>
      <c r="AU67" s="526">
        <f t="shared" ca="1" si="72"/>
        <v>134960.08690595691</v>
      </c>
      <c r="AV67" s="526">
        <f t="shared" ca="1" si="72"/>
        <v>136230.94852871029</v>
      </c>
      <c r="AW67" s="526">
        <f t="shared" ca="1" si="72"/>
        <v>135241.08391927258</v>
      </c>
      <c r="AX67" s="526">
        <f t="shared" ca="1" si="72"/>
        <v>136520.43207352899</v>
      </c>
      <c r="AY67" s="526">
        <f t="shared" ca="1" si="72"/>
        <v>137804.04472163261</v>
      </c>
      <c r="AZ67" s="526">
        <f t="shared" ca="1" si="72"/>
        <v>139091.93607856351</v>
      </c>
      <c r="BA67" s="526">
        <f t="shared" ca="1" si="72"/>
        <v>140384.12040668412</v>
      </c>
      <c r="BB67" s="526">
        <f t="shared" ca="1" si="72"/>
        <v>141680.61201589828</v>
      </c>
      <c r="BC67" s="526">
        <f t="shared" ca="1" si="72"/>
        <v>142981.42526381009</v>
      </c>
      <c r="BD67" s="526">
        <f t="shared" ca="1" si="72"/>
        <v>144286.57455588144</v>
      </c>
      <c r="BE67" s="526">
        <f t="shared" ca="1" si="72"/>
        <v>145596.07434559317</v>
      </c>
      <c r="BF67" s="526">
        <f t="shared" ca="1" si="72"/>
        <v>146909.93913460377</v>
      </c>
      <c r="BG67" s="526">
        <f t="shared" ca="1" si="72"/>
        <v>148228.18347291125</v>
      </c>
      <c r="BH67" s="526">
        <f t="shared" ca="1" si="72"/>
        <v>28358981.364408553</v>
      </c>
      <c r="BI67" s="526">
        <f t="shared" ca="1" si="72"/>
        <v>0</v>
      </c>
      <c r="BJ67" s="526">
        <f t="shared" ca="1" si="72"/>
        <v>0</v>
      </c>
      <c r="BK67" s="526">
        <f t="shared" ca="1" si="72"/>
        <v>0</v>
      </c>
      <c r="BL67" s="526">
        <f t="shared" ca="1" si="72"/>
        <v>0</v>
      </c>
      <c r="BM67" s="526">
        <f t="shared" ca="1" si="72"/>
        <v>0</v>
      </c>
      <c r="BN67" s="526">
        <f t="shared" ca="1" si="72"/>
        <v>0</v>
      </c>
      <c r="BO67" s="526">
        <f t="shared" ca="1" si="72"/>
        <v>0</v>
      </c>
      <c r="BP67" s="526">
        <f t="shared" ca="1" si="72"/>
        <v>0</v>
      </c>
      <c r="BQ67" s="526">
        <f t="shared" ca="1" si="72"/>
        <v>0</v>
      </c>
      <c r="BR67" s="526">
        <f t="shared" ca="1" si="72"/>
        <v>0</v>
      </c>
      <c r="BS67" s="526">
        <f t="shared" ca="1" si="72"/>
        <v>0</v>
      </c>
      <c r="BT67" s="526">
        <f t="shared" ca="1" si="72"/>
        <v>0</v>
      </c>
      <c r="BU67" s="526">
        <f t="shared" ca="1" si="72"/>
        <v>0</v>
      </c>
      <c r="BV67" s="526">
        <f t="shared" ca="1" si="72"/>
        <v>0</v>
      </c>
      <c r="BW67" s="526">
        <f t="shared" ca="1" si="72"/>
        <v>0</v>
      </c>
      <c r="BX67" s="526">
        <f t="shared" ca="1" si="72"/>
        <v>0</v>
      </c>
      <c r="BY67" s="526">
        <f t="shared" ref="BY67:EB67" ca="1" si="73">BY49+BY50</f>
        <v>0</v>
      </c>
      <c r="BZ67" s="526">
        <f t="shared" ca="1" si="73"/>
        <v>0</v>
      </c>
      <c r="CA67" s="526">
        <f t="shared" ca="1" si="73"/>
        <v>0</v>
      </c>
      <c r="CB67" s="526">
        <f t="shared" ca="1" si="73"/>
        <v>0</v>
      </c>
      <c r="CC67" s="526">
        <f t="shared" ca="1" si="73"/>
        <v>0</v>
      </c>
      <c r="CD67" s="526">
        <f t="shared" ca="1" si="73"/>
        <v>0</v>
      </c>
      <c r="CE67" s="526">
        <f t="shared" ca="1" si="73"/>
        <v>0</v>
      </c>
      <c r="CF67" s="526">
        <f t="shared" ca="1" si="73"/>
        <v>0</v>
      </c>
      <c r="CG67" s="526">
        <f t="shared" ca="1" si="73"/>
        <v>0</v>
      </c>
      <c r="CH67" s="526">
        <f t="shared" ca="1" si="73"/>
        <v>0</v>
      </c>
      <c r="CI67" s="526">
        <f t="shared" ca="1" si="73"/>
        <v>0</v>
      </c>
      <c r="CJ67" s="526">
        <f t="shared" ca="1" si="73"/>
        <v>0</v>
      </c>
      <c r="CK67" s="526">
        <f t="shared" ca="1" si="73"/>
        <v>0</v>
      </c>
      <c r="CL67" s="526">
        <f t="shared" ca="1" si="73"/>
        <v>0</v>
      </c>
      <c r="CM67" s="526">
        <f t="shared" ca="1" si="73"/>
        <v>0</v>
      </c>
      <c r="CN67" s="526">
        <f t="shared" ca="1" si="73"/>
        <v>0</v>
      </c>
      <c r="CO67" s="526">
        <f t="shared" ca="1" si="73"/>
        <v>0</v>
      </c>
      <c r="CP67" s="526">
        <f t="shared" ca="1" si="73"/>
        <v>0</v>
      </c>
      <c r="CQ67" s="526">
        <f t="shared" ca="1" si="73"/>
        <v>0</v>
      </c>
      <c r="CR67" s="526">
        <f t="shared" ca="1" si="73"/>
        <v>0</v>
      </c>
      <c r="CS67" s="526">
        <f t="shared" ca="1" si="73"/>
        <v>0</v>
      </c>
      <c r="CT67" s="526">
        <f t="shared" ca="1" si="73"/>
        <v>0</v>
      </c>
      <c r="CU67" s="526">
        <f t="shared" ca="1" si="73"/>
        <v>0</v>
      </c>
      <c r="CV67" s="526">
        <f t="shared" ca="1" si="73"/>
        <v>0</v>
      </c>
      <c r="CW67" s="526">
        <f t="shared" ca="1" si="73"/>
        <v>0</v>
      </c>
      <c r="CX67" s="526">
        <f t="shared" ca="1" si="73"/>
        <v>0</v>
      </c>
      <c r="CY67" s="526">
        <f t="shared" ca="1" si="73"/>
        <v>0</v>
      </c>
      <c r="CZ67" s="526">
        <f t="shared" ca="1" si="73"/>
        <v>0</v>
      </c>
      <c r="DA67" s="526">
        <f t="shared" ca="1" si="73"/>
        <v>0</v>
      </c>
      <c r="DB67" s="526">
        <f t="shared" ca="1" si="73"/>
        <v>0</v>
      </c>
      <c r="DC67" s="526">
        <f t="shared" ca="1" si="73"/>
        <v>0</v>
      </c>
      <c r="DD67" s="526">
        <f t="shared" ca="1" si="73"/>
        <v>0</v>
      </c>
      <c r="DE67" s="526">
        <f t="shared" ca="1" si="73"/>
        <v>0</v>
      </c>
      <c r="DF67" s="526">
        <f t="shared" ca="1" si="73"/>
        <v>0</v>
      </c>
      <c r="DG67" s="526">
        <f t="shared" ca="1" si="73"/>
        <v>0</v>
      </c>
      <c r="DH67" s="526">
        <f t="shared" ca="1" si="73"/>
        <v>0</v>
      </c>
      <c r="DI67" s="526">
        <f t="shared" ca="1" si="73"/>
        <v>0</v>
      </c>
      <c r="DJ67" s="526">
        <f t="shared" ca="1" si="73"/>
        <v>0</v>
      </c>
      <c r="DK67" s="526">
        <f t="shared" ca="1" si="73"/>
        <v>0</v>
      </c>
      <c r="DL67" s="526">
        <f t="shared" ca="1" si="73"/>
        <v>0</v>
      </c>
      <c r="DM67" s="526">
        <f t="shared" ca="1" si="73"/>
        <v>0</v>
      </c>
      <c r="DN67" s="526">
        <f t="shared" ca="1" si="73"/>
        <v>0</v>
      </c>
      <c r="DO67" s="526">
        <f t="shared" ca="1" si="73"/>
        <v>0</v>
      </c>
      <c r="DP67" s="526">
        <f t="shared" ca="1" si="73"/>
        <v>0</v>
      </c>
      <c r="DQ67" s="526">
        <f t="shared" ca="1" si="73"/>
        <v>0</v>
      </c>
      <c r="DR67" s="526">
        <f t="shared" ca="1" si="73"/>
        <v>0</v>
      </c>
      <c r="DS67" s="526">
        <f t="shared" ca="1" si="73"/>
        <v>0</v>
      </c>
      <c r="DT67" s="526">
        <f t="shared" ca="1" si="73"/>
        <v>0</v>
      </c>
      <c r="DU67" s="526">
        <f t="shared" ca="1" si="73"/>
        <v>0</v>
      </c>
      <c r="DV67" s="526">
        <f t="shared" ca="1" si="73"/>
        <v>0</v>
      </c>
      <c r="DW67" s="526">
        <f t="shared" ca="1" si="73"/>
        <v>0</v>
      </c>
      <c r="DX67" s="526">
        <f t="shared" ca="1" si="73"/>
        <v>0</v>
      </c>
      <c r="DY67" s="526">
        <f t="shared" ca="1" si="73"/>
        <v>0</v>
      </c>
      <c r="DZ67" s="526">
        <f t="shared" ca="1" si="73"/>
        <v>0</v>
      </c>
      <c r="EA67" s="526">
        <f t="shared" ca="1" si="73"/>
        <v>0</v>
      </c>
      <c r="EB67" s="526">
        <f t="shared" ca="1" si="73"/>
        <v>0</v>
      </c>
      <c r="EC67" s="523" t="s">
        <v>557</v>
      </c>
    </row>
    <row r="68" spans="8:133">
      <c r="H68" s="518" t="s">
        <v>1178</v>
      </c>
      <c r="I68" s="539">
        <f>E17</f>
        <v>0.75</v>
      </c>
      <c r="L68" s="526">
        <f ca="1">MIN(L60*$I68,L64+L65-L67)</f>
        <v>0</v>
      </c>
      <c r="M68" s="526">
        <f t="shared" ref="M68:BX68" ca="1" si="74">MIN(M60*$I68,M64+M65-M67)</f>
        <v>0</v>
      </c>
      <c r="N68" s="526">
        <f t="shared" ca="1" si="74"/>
        <v>0</v>
      </c>
      <c r="O68" s="526">
        <f t="shared" ca="1" si="74"/>
        <v>0</v>
      </c>
      <c r="P68" s="526">
        <f t="shared" ca="1" si="74"/>
        <v>0</v>
      </c>
      <c r="Q68" s="526">
        <f t="shared" ca="1" si="74"/>
        <v>0</v>
      </c>
      <c r="R68" s="526">
        <f t="shared" ca="1" si="74"/>
        <v>0</v>
      </c>
      <c r="S68" s="526">
        <f t="shared" ca="1" si="74"/>
        <v>0</v>
      </c>
      <c r="T68" s="526">
        <f t="shared" ca="1" si="74"/>
        <v>0</v>
      </c>
      <c r="U68" s="526">
        <f t="shared" ca="1" si="74"/>
        <v>0</v>
      </c>
      <c r="V68" s="526">
        <f t="shared" ca="1" si="74"/>
        <v>0</v>
      </c>
      <c r="W68" s="526">
        <f t="shared" ca="1" si="74"/>
        <v>0</v>
      </c>
      <c r="X68" s="526">
        <f t="shared" ca="1" si="74"/>
        <v>0</v>
      </c>
      <c r="Y68" s="526">
        <f t="shared" ca="1" si="74"/>
        <v>0</v>
      </c>
      <c r="Z68" s="526">
        <f t="shared" ca="1" si="74"/>
        <v>0</v>
      </c>
      <c r="AA68" s="526">
        <f t="shared" ca="1" si="74"/>
        <v>0</v>
      </c>
      <c r="AB68" s="526">
        <f t="shared" ca="1" si="74"/>
        <v>0</v>
      </c>
      <c r="AC68" s="526">
        <f t="shared" ca="1" si="74"/>
        <v>0</v>
      </c>
      <c r="AD68" s="526">
        <f t="shared" ca="1" si="74"/>
        <v>0</v>
      </c>
      <c r="AE68" s="526">
        <f t="shared" ca="1" si="74"/>
        <v>0</v>
      </c>
      <c r="AF68" s="526">
        <f t="shared" ca="1" si="74"/>
        <v>0</v>
      </c>
      <c r="AG68" s="526">
        <f t="shared" ca="1" si="74"/>
        <v>0</v>
      </c>
      <c r="AH68" s="526">
        <f t="shared" ca="1" si="74"/>
        <v>0</v>
      </c>
      <c r="AI68" s="526">
        <f t="shared" ca="1" si="74"/>
        <v>0</v>
      </c>
      <c r="AJ68" s="526">
        <f t="shared" ca="1" si="74"/>
        <v>0</v>
      </c>
      <c r="AK68" s="526">
        <f t="shared" ca="1" si="74"/>
        <v>0</v>
      </c>
      <c r="AL68" s="526">
        <f t="shared" ca="1" si="74"/>
        <v>0</v>
      </c>
      <c r="AM68" s="526">
        <f t="shared" ca="1" si="74"/>
        <v>0</v>
      </c>
      <c r="AN68" s="526">
        <f t="shared" ca="1" si="74"/>
        <v>0</v>
      </c>
      <c r="AO68" s="526">
        <f t="shared" ca="1" si="74"/>
        <v>0</v>
      </c>
      <c r="AP68" s="526">
        <f t="shared" ca="1" si="74"/>
        <v>0</v>
      </c>
      <c r="AQ68" s="526">
        <f t="shared" ca="1" si="74"/>
        <v>0</v>
      </c>
      <c r="AR68" s="526">
        <f t="shared" ca="1" si="74"/>
        <v>0</v>
      </c>
      <c r="AS68" s="526">
        <f t="shared" ca="1" si="74"/>
        <v>0</v>
      </c>
      <c r="AT68" s="526">
        <f t="shared" ca="1" si="74"/>
        <v>0</v>
      </c>
      <c r="AU68" s="526">
        <f t="shared" ca="1" si="74"/>
        <v>0</v>
      </c>
      <c r="AV68" s="526">
        <f t="shared" ca="1" si="74"/>
        <v>0</v>
      </c>
      <c r="AW68" s="526">
        <f t="shared" ca="1" si="74"/>
        <v>0</v>
      </c>
      <c r="AX68" s="526">
        <f t="shared" ca="1" si="74"/>
        <v>0</v>
      </c>
      <c r="AY68" s="526">
        <f t="shared" ca="1" si="74"/>
        <v>0</v>
      </c>
      <c r="AZ68" s="526">
        <f t="shared" ca="1" si="74"/>
        <v>0</v>
      </c>
      <c r="BA68" s="526">
        <f t="shared" ca="1" si="74"/>
        <v>0</v>
      </c>
      <c r="BB68" s="526">
        <f t="shared" ca="1" si="74"/>
        <v>0</v>
      </c>
      <c r="BC68" s="526">
        <f t="shared" ca="1" si="74"/>
        <v>0</v>
      </c>
      <c r="BD68" s="526">
        <f t="shared" ca="1" si="74"/>
        <v>0</v>
      </c>
      <c r="BE68" s="526">
        <f t="shared" ca="1" si="74"/>
        <v>0</v>
      </c>
      <c r="BF68" s="526">
        <f t="shared" ca="1" si="74"/>
        <v>0</v>
      </c>
      <c r="BG68" s="526">
        <f t="shared" ca="1" si="74"/>
        <v>0</v>
      </c>
      <c r="BH68" s="526">
        <f t="shared" ca="1" si="74"/>
        <v>45711.227035238058</v>
      </c>
      <c r="BI68" s="526">
        <f t="shared" ca="1" si="74"/>
        <v>0</v>
      </c>
      <c r="BJ68" s="526">
        <f t="shared" ca="1" si="74"/>
        <v>0</v>
      </c>
      <c r="BK68" s="526">
        <f t="shared" ca="1" si="74"/>
        <v>0</v>
      </c>
      <c r="BL68" s="526">
        <f t="shared" ca="1" si="74"/>
        <v>0</v>
      </c>
      <c r="BM68" s="526">
        <f t="shared" ca="1" si="74"/>
        <v>0</v>
      </c>
      <c r="BN68" s="526">
        <f t="shared" ca="1" si="74"/>
        <v>0</v>
      </c>
      <c r="BO68" s="526">
        <f t="shared" ca="1" si="74"/>
        <v>0</v>
      </c>
      <c r="BP68" s="526">
        <f t="shared" ca="1" si="74"/>
        <v>0</v>
      </c>
      <c r="BQ68" s="526">
        <f t="shared" ca="1" si="74"/>
        <v>0</v>
      </c>
      <c r="BR68" s="526">
        <f t="shared" ca="1" si="74"/>
        <v>0</v>
      </c>
      <c r="BS68" s="526">
        <f t="shared" ca="1" si="74"/>
        <v>0</v>
      </c>
      <c r="BT68" s="526">
        <f t="shared" ca="1" si="74"/>
        <v>0</v>
      </c>
      <c r="BU68" s="526">
        <f t="shared" ca="1" si="74"/>
        <v>0</v>
      </c>
      <c r="BV68" s="526">
        <f t="shared" ca="1" si="74"/>
        <v>0</v>
      </c>
      <c r="BW68" s="526">
        <f t="shared" ca="1" si="74"/>
        <v>0</v>
      </c>
      <c r="BX68" s="526">
        <f t="shared" ca="1" si="74"/>
        <v>0</v>
      </c>
      <c r="BY68" s="526">
        <f t="shared" ref="BY68:EB68" ca="1" si="75">MIN(BY60*$I68,BY64+BY65-BY67)</f>
        <v>0</v>
      </c>
      <c r="BZ68" s="526">
        <f t="shared" ca="1" si="75"/>
        <v>0</v>
      </c>
      <c r="CA68" s="526">
        <f t="shared" ca="1" si="75"/>
        <v>0</v>
      </c>
      <c r="CB68" s="526">
        <f t="shared" ca="1" si="75"/>
        <v>0</v>
      </c>
      <c r="CC68" s="526">
        <f t="shared" ca="1" si="75"/>
        <v>0</v>
      </c>
      <c r="CD68" s="526">
        <f t="shared" ca="1" si="75"/>
        <v>0</v>
      </c>
      <c r="CE68" s="526">
        <f t="shared" ca="1" si="75"/>
        <v>0</v>
      </c>
      <c r="CF68" s="526">
        <f t="shared" ca="1" si="75"/>
        <v>0</v>
      </c>
      <c r="CG68" s="526">
        <f t="shared" ca="1" si="75"/>
        <v>0</v>
      </c>
      <c r="CH68" s="526">
        <f t="shared" ca="1" si="75"/>
        <v>0</v>
      </c>
      <c r="CI68" s="526">
        <f t="shared" ca="1" si="75"/>
        <v>0</v>
      </c>
      <c r="CJ68" s="526">
        <f t="shared" ca="1" si="75"/>
        <v>0</v>
      </c>
      <c r="CK68" s="526">
        <f t="shared" ca="1" si="75"/>
        <v>0</v>
      </c>
      <c r="CL68" s="526">
        <f t="shared" ca="1" si="75"/>
        <v>0</v>
      </c>
      <c r="CM68" s="526">
        <f t="shared" ca="1" si="75"/>
        <v>0</v>
      </c>
      <c r="CN68" s="526">
        <f t="shared" ca="1" si="75"/>
        <v>0</v>
      </c>
      <c r="CO68" s="526">
        <f t="shared" ca="1" si="75"/>
        <v>0</v>
      </c>
      <c r="CP68" s="526">
        <f t="shared" ca="1" si="75"/>
        <v>0</v>
      </c>
      <c r="CQ68" s="526">
        <f t="shared" ca="1" si="75"/>
        <v>0</v>
      </c>
      <c r="CR68" s="526">
        <f t="shared" ca="1" si="75"/>
        <v>0</v>
      </c>
      <c r="CS68" s="526">
        <f t="shared" ca="1" si="75"/>
        <v>0</v>
      </c>
      <c r="CT68" s="526">
        <f t="shared" ca="1" si="75"/>
        <v>0</v>
      </c>
      <c r="CU68" s="526">
        <f t="shared" ca="1" si="75"/>
        <v>0</v>
      </c>
      <c r="CV68" s="526">
        <f t="shared" ca="1" si="75"/>
        <v>0</v>
      </c>
      <c r="CW68" s="526">
        <f t="shared" ca="1" si="75"/>
        <v>0</v>
      </c>
      <c r="CX68" s="526">
        <f t="shared" ca="1" si="75"/>
        <v>0</v>
      </c>
      <c r="CY68" s="526">
        <f t="shared" ca="1" si="75"/>
        <v>0</v>
      </c>
      <c r="CZ68" s="526">
        <f t="shared" ca="1" si="75"/>
        <v>0</v>
      </c>
      <c r="DA68" s="526">
        <f t="shared" ca="1" si="75"/>
        <v>0</v>
      </c>
      <c r="DB68" s="526">
        <f t="shared" ca="1" si="75"/>
        <v>0</v>
      </c>
      <c r="DC68" s="526">
        <f t="shared" ca="1" si="75"/>
        <v>0</v>
      </c>
      <c r="DD68" s="526">
        <f t="shared" ca="1" si="75"/>
        <v>0</v>
      </c>
      <c r="DE68" s="526">
        <f t="shared" ca="1" si="75"/>
        <v>0</v>
      </c>
      <c r="DF68" s="526">
        <f t="shared" ca="1" si="75"/>
        <v>0</v>
      </c>
      <c r="DG68" s="526">
        <f t="shared" ca="1" si="75"/>
        <v>0</v>
      </c>
      <c r="DH68" s="526">
        <f t="shared" ca="1" si="75"/>
        <v>0</v>
      </c>
      <c r="DI68" s="526">
        <f t="shared" ca="1" si="75"/>
        <v>0</v>
      </c>
      <c r="DJ68" s="526">
        <f t="shared" ca="1" si="75"/>
        <v>0</v>
      </c>
      <c r="DK68" s="526">
        <f t="shared" ca="1" si="75"/>
        <v>0</v>
      </c>
      <c r="DL68" s="526">
        <f t="shared" ca="1" si="75"/>
        <v>0</v>
      </c>
      <c r="DM68" s="526">
        <f t="shared" ca="1" si="75"/>
        <v>0</v>
      </c>
      <c r="DN68" s="526">
        <f t="shared" ca="1" si="75"/>
        <v>0</v>
      </c>
      <c r="DO68" s="526">
        <f t="shared" ca="1" si="75"/>
        <v>0</v>
      </c>
      <c r="DP68" s="526">
        <f t="shared" ca="1" si="75"/>
        <v>0</v>
      </c>
      <c r="DQ68" s="526">
        <f t="shared" ca="1" si="75"/>
        <v>0</v>
      </c>
      <c r="DR68" s="526">
        <f t="shared" ca="1" si="75"/>
        <v>0</v>
      </c>
      <c r="DS68" s="526">
        <f t="shared" ca="1" si="75"/>
        <v>0</v>
      </c>
      <c r="DT68" s="526">
        <f t="shared" ca="1" si="75"/>
        <v>0</v>
      </c>
      <c r="DU68" s="526">
        <f t="shared" ca="1" si="75"/>
        <v>0</v>
      </c>
      <c r="DV68" s="526">
        <f t="shared" ca="1" si="75"/>
        <v>0</v>
      </c>
      <c r="DW68" s="526">
        <f t="shared" ca="1" si="75"/>
        <v>0</v>
      </c>
      <c r="DX68" s="526">
        <f t="shared" ca="1" si="75"/>
        <v>0</v>
      </c>
      <c r="DY68" s="526">
        <f t="shared" ca="1" si="75"/>
        <v>0</v>
      </c>
      <c r="DZ68" s="526">
        <f t="shared" ca="1" si="75"/>
        <v>0</v>
      </c>
      <c r="EA68" s="526">
        <f t="shared" ca="1" si="75"/>
        <v>0</v>
      </c>
      <c r="EB68" s="526">
        <f t="shared" ca="1" si="75"/>
        <v>0</v>
      </c>
      <c r="EC68" s="523"/>
    </row>
    <row r="69" spans="8:133">
      <c r="H69" s="518" t="s">
        <v>1148</v>
      </c>
      <c r="L69" s="526">
        <f ca="1">L64+L65+L66-L67-L68</f>
        <v>20296000</v>
      </c>
      <c r="M69" s="526">
        <f t="shared" ref="M69:BX69" ca="1" si="76">M64+M65+M66-M67-M68</f>
        <v>20495457.032575034</v>
      </c>
      <c r="N69" s="526">
        <f t="shared" ca="1" si="76"/>
        <v>20695499.0899661</v>
      </c>
      <c r="O69" s="526">
        <f t="shared" ca="1" si="76"/>
        <v>20896119.996907298</v>
      </c>
      <c r="P69" s="526">
        <f t="shared" ca="1" si="76"/>
        <v>21097313.400646504</v>
      </c>
      <c r="Q69" s="526">
        <f t="shared" ca="1" si="76"/>
        <v>21299072.767917782</v>
      </c>
      <c r="R69" s="526">
        <f t="shared" ca="1" si="76"/>
        <v>21501391.381868683</v>
      </c>
      <c r="S69" s="526">
        <f t="shared" ca="1" si="76"/>
        <v>21704262.338941727</v>
      </c>
      <c r="T69" s="526">
        <f t="shared" ca="1" si="76"/>
        <v>21907678.545709498</v>
      </c>
      <c r="U69" s="526">
        <f t="shared" ca="1" si="76"/>
        <v>22111632.715662636</v>
      </c>
      <c r="V69" s="526">
        <f t="shared" ca="1" si="76"/>
        <v>22316117.365950096</v>
      </c>
      <c r="W69" s="526">
        <f t="shared" ca="1" si="76"/>
        <v>22521124.814070996</v>
      </c>
      <c r="X69" s="526">
        <f t="shared" ca="1" si="76"/>
        <v>22726647.17451733</v>
      </c>
      <c r="Y69" s="526">
        <f t="shared" ca="1" si="76"/>
        <v>22935000.134363193</v>
      </c>
      <c r="Z69" s="526">
        <f t="shared" ca="1" si="76"/>
        <v>23144027.003549863</v>
      </c>
      <c r="AA69" s="526">
        <f t="shared" ca="1" si="76"/>
        <v>23353723.493331771</v>
      </c>
      <c r="AB69" s="526">
        <f t="shared" ca="1" si="76"/>
        <v>23564085.173146881</v>
      </c>
      <c r="AC69" s="526">
        <f t="shared" ca="1" si="76"/>
        <v>23775107.468174238</v>
      </c>
      <c r="AD69" s="526">
        <f t="shared" ca="1" si="76"/>
        <v>23986785.656855226</v>
      </c>
      <c r="AE69" s="526">
        <f t="shared" ca="1" si="76"/>
        <v>24199114.868377987</v>
      </c>
      <c r="AF69" s="526">
        <f t="shared" ca="1" si="76"/>
        <v>24412090.080124501</v>
      </c>
      <c r="AG69" s="526">
        <f t="shared" ca="1" si="76"/>
        <v>24625706.115079768</v>
      </c>
      <c r="AH69" s="526">
        <f t="shared" ca="1" si="76"/>
        <v>24839957.639202602</v>
      </c>
      <c r="AI69" s="526">
        <f t="shared" ca="1" si="76"/>
        <v>25054839.158757474</v>
      </c>
      <c r="AJ69" s="526">
        <f t="shared" ca="1" si="76"/>
        <v>25270345.017606843</v>
      </c>
      <c r="AK69" s="526">
        <f t="shared" ca="1" si="76"/>
        <v>25489764.364652894</v>
      </c>
      <c r="AL69" s="526">
        <f t="shared" ca="1" si="76"/>
        <v>25710923.128441799</v>
      </c>
      <c r="AM69" s="526">
        <f t="shared" ca="1" si="76"/>
        <v>25933840.745244835</v>
      </c>
      <c r="AN69" s="526">
        <f t="shared" ca="1" si="76"/>
        <v>26158536.900642104</v>
      </c>
      <c r="AO69" s="526">
        <f t="shared" ca="1" si="76"/>
        <v>26385031.532850098</v>
      </c>
      <c r="AP69" s="526">
        <f t="shared" ca="1" si="76"/>
        <v>26613344.836094107</v>
      </c>
      <c r="AQ69" s="526">
        <f t="shared" ca="1" si="76"/>
        <v>26843497.264026117</v>
      </c>
      <c r="AR69" s="526">
        <f t="shared" ca="1" si="76"/>
        <v>27075509.533188794</v>
      </c>
      <c r="AS69" s="526">
        <f t="shared" ca="1" si="76"/>
        <v>27309402.626526192</v>
      </c>
      <c r="AT69" s="526">
        <f t="shared" ca="1" si="76"/>
        <v>27545197.796941787</v>
      </c>
      <c r="AU69" s="526">
        <f t="shared" ca="1" si="76"/>
        <v>27782916.570904512</v>
      </c>
      <c r="AV69" s="526">
        <f t="shared" ca="1" si="76"/>
        <v>28022580.752103418</v>
      </c>
      <c r="AW69" s="526">
        <f t="shared" ca="1" si="76"/>
        <v>28266477.387589235</v>
      </c>
      <c r="AX69" s="526">
        <f t="shared" ca="1" si="76"/>
        <v>28512394.528526951</v>
      </c>
      <c r="AY69" s="526">
        <f t="shared" ca="1" si="76"/>
        <v>28760355.247299217</v>
      </c>
      <c r="AZ69" s="526">
        <f t="shared" ca="1" si="76"/>
        <v>29010382.914236613</v>
      </c>
      <c r="BA69" s="526">
        <f t="shared" ca="1" si="76"/>
        <v>29262501.201601434</v>
      </c>
      <c r="BB69" s="526">
        <f t="shared" ca="1" si="76"/>
        <v>29516734.087625183</v>
      </c>
      <c r="BC69" s="526">
        <f t="shared" ca="1" si="76"/>
        <v>29773105.860600568</v>
      </c>
      <c r="BD69" s="526">
        <f t="shared" ca="1" si="76"/>
        <v>30031641.123028673</v>
      </c>
      <c r="BE69" s="526">
        <f t="shared" ca="1" si="76"/>
        <v>30292364.795822091</v>
      </c>
      <c r="BF69" s="526">
        <f t="shared" ca="1" si="76"/>
        <v>30555302.12256477</v>
      </c>
      <c r="BG69" s="526">
        <f t="shared" ca="1" si="76"/>
        <v>30820478.673829328</v>
      </c>
      <c r="BH69" s="526">
        <f t="shared" ca="1" si="76"/>
        <v>2832778.5820678412</v>
      </c>
      <c r="BI69" s="526">
        <f t="shared" ca="1" si="76"/>
        <v>2871105.287972834</v>
      </c>
      <c r="BJ69" s="526">
        <f t="shared" ca="1" si="76"/>
        <v>2909950.5435431013</v>
      </c>
      <c r="BK69" s="526">
        <f t="shared" ca="1" si="76"/>
        <v>2949321.3646113114</v>
      </c>
      <c r="BL69" s="526">
        <f t="shared" ca="1" si="76"/>
        <v>2989224.861932396</v>
      </c>
      <c r="BM69" s="526">
        <f t="shared" ca="1" si="76"/>
        <v>3029668.2424678225</v>
      </c>
      <c r="BN69" s="526">
        <f t="shared" ca="1" si="76"/>
        <v>3070658.8106872416</v>
      </c>
      <c r="BO69" s="526">
        <f t="shared" ca="1" si="76"/>
        <v>3112203.9698877451</v>
      </c>
      <c r="BP69" s="526">
        <f t="shared" ca="1" si="76"/>
        <v>3154311.2235309747</v>
      </c>
      <c r="BQ69" s="526">
        <f t="shared" ca="1" si="76"/>
        <v>3196988.1765983198</v>
      </c>
      <c r="BR69" s="526">
        <f t="shared" ca="1" si="76"/>
        <v>3240242.5369644519</v>
      </c>
      <c r="BS69" s="526">
        <f t="shared" ca="1" si="76"/>
        <v>3284082.1167894416</v>
      </c>
      <c r="BT69" s="526">
        <f t="shared" ca="1" si="76"/>
        <v>3328514.8339297115</v>
      </c>
      <c r="BU69" s="526">
        <f t="shared" ca="1" si="76"/>
        <v>3373548.7133680782</v>
      </c>
      <c r="BV69" s="526">
        <f t="shared" ca="1" si="76"/>
        <v>3419191.888663142</v>
      </c>
      <c r="BW69" s="526">
        <f t="shared" ca="1" si="76"/>
        <v>3465452.6034182888</v>
      </c>
      <c r="BX69" s="526">
        <f t="shared" ca="1" si="76"/>
        <v>3512339.2127705631</v>
      </c>
      <c r="BY69" s="526">
        <f t="shared" ref="BY69:EB69" ca="1" si="77">BY64+BY65+BY66-BY67-BY68</f>
        <v>3559860.1848996892</v>
      </c>
      <c r="BZ69" s="526">
        <f t="shared" ca="1" si="77"/>
        <v>3608024.1025575064</v>
      </c>
      <c r="CA69" s="526">
        <f t="shared" ca="1" si="77"/>
        <v>3656839.6646180982</v>
      </c>
      <c r="CB69" s="526">
        <f t="shared" ca="1" si="77"/>
        <v>3706315.6876488929</v>
      </c>
      <c r="CC69" s="526">
        <f t="shared" ca="1" si="77"/>
        <v>3756461.1075030235</v>
      </c>
      <c r="CD69" s="526">
        <f t="shared" ca="1" si="77"/>
        <v>3807284.9809332285</v>
      </c>
      <c r="CE69" s="526">
        <f t="shared" ca="1" si="77"/>
        <v>3858796.4872275912</v>
      </c>
      <c r="CF69" s="526">
        <f t="shared" ca="1" si="77"/>
        <v>3911004.9298674082</v>
      </c>
      <c r="CG69" s="526">
        <f t="shared" ca="1" si="77"/>
        <v>3963919.7382074888</v>
      </c>
      <c r="CH69" s="526">
        <f t="shared" ca="1" si="77"/>
        <v>4017550.4691791888</v>
      </c>
      <c r="CI69" s="526">
        <f t="shared" ca="1" si="77"/>
        <v>4071906.8090164862</v>
      </c>
      <c r="CJ69" s="526">
        <f t="shared" ca="1" si="77"/>
        <v>4126998.5750054084</v>
      </c>
      <c r="CK69" s="526">
        <f t="shared" ca="1" si="77"/>
        <v>4182835.7172571314</v>
      </c>
      <c r="CL69" s="526">
        <f t="shared" ca="1" si="77"/>
        <v>4239428.3205050668</v>
      </c>
      <c r="CM69" s="526">
        <f t="shared" ca="1" si="77"/>
        <v>4296786.6059262622</v>
      </c>
      <c r="CN69" s="526">
        <f t="shared" ca="1" si="77"/>
        <v>4354920.932987446</v>
      </c>
      <c r="CO69" s="526">
        <f t="shared" ca="1" si="77"/>
        <v>4413841.8013160489</v>
      </c>
      <c r="CP69" s="526">
        <f t="shared" ca="1" si="77"/>
        <v>4473559.85259654</v>
      </c>
      <c r="CQ69" s="526">
        <f t="shared" ca="1" si="77"/>
        <v>4534085.8724924168</v>
      </c>
      <c r="CR69" s="526">
        <f t="shared" ca="1" si="77"/>
        <v>4595430.7925942019</v>
      </c>
      <c r="CS69" s="526">
        <f t="shared" ca="1" si="77"/>
        <v>4657605.6923937965</v>
      </c>
      <c r="CT69" s="526">
        <f t="shared" ca="1" si="77"/>
        <v>4720621.8012855444</v>
      </c>
      <c r="CU69" s="526">
        <f t="shared" ca="1" si="77"/>
        <v>4784490.5005943691</v>
      </c>
      <c r="CV69" s="526">
        <f t="shared" ca="1" si="77"/>
        <v>4849223.3256313531</v>
      </c>
      <c r="CW69" s="526">
        <f t="shared" ca="1" si="77"/>
        <v>4914831.9677771274</v>
      </c>
      <c r="CX69" s="526">
        <f t="shared" ca="1" si="77"/>
        <v>4981328.2765934514</v>
      </c>
      <c r="CY69" s="526">
        <f t="shared" ca="1" si="77"/>
        <v>5048724.2619633554</v>
      </c>
      <c r="CZ69" s="526">
        <f t="shared" ca="1" si="77"/>
        <v>5117032.0962602459</v>
      </c>
      <c r="DA69" s="526">
        <f t="shared" ca="1" si="77"/>
        <v>5186264.1165463552</v>
      </c>
      <c r="DB69" s="526">
        <f t="shared" ca="1" si="77"/>
        <v>5256432.8268009322</v>
      </c>
      <c r="DC69" s="526">
        <f t="shared" ca="1" si="77"/>
        <v>5327550.9001785871</v>
      </c>
      <c r="DD69" s="526">
        <f t="shared" ca="1" si="77"/>
        <v>5399631.1812981842</v>
      </c>
      <c r="DE69" s="526">
        <f t="shared" ca="1" si="77"/>
        <v>5472686.688562708</v>
      </c>
      <c r="DF69" s="526">
        <f t="shared" ca="1" si="77"/>
        <v>5546730.6165105114</v>
      </c>
      <c r="DG69" s="526">
        <f t="shared" ca="1" si="77"/>
        <v>5621776.3381983796</v>
      </c>
      <c r="DH69" s="526">
        <f t="shared" ca="1" si="77"/>
        <v>5697837.4076168351</v>
      </c>
      <c r="DI69" s="526">
        <f t="shared" ca="1" si="77"/>
        <v>5774927.5621381206</v>
      </c>
      <c r="DJ69" s="526">
        <f t="shared" ca="1" si="77"/>
        <v>5853060.7249973007</v>
      </c>
      <c r="DK69" s="526">
        <f t="shared" ca="1" si="77"/>
        <v>5932251.0078069381</v>
      </c>
      <c r="DL69" s="526">
        <f t="shared" ca="1" si="77"/>
        <v>6012512.7131057847</v>
      </c>
      <c r="DM69" s="526">
        <f t="shared" ca="1" si="77"/>
        <v>6093860.3369419621</v>
      </c>
      <c r="DN69" s="526">
        <f t="shared" ca="1" si="77"/>
        <v>6176308.5714910896</v>
      </c>
      <c r="DO69" s="526">
        <f t="shared" ca="1" si="77"/>
        <v>6259872.3077098336</v>
      </c>
      <c r="DP69" s="526">
        <f t="shared" ca="1" si="77"/>
        <v>6344566.6380253602</v>
      </c>
      <c r="DQ69" s="526">
        <f t="shared" ca="1" si="77"/>
        <v>6430406.859061176</v>
      </c>
      <c r="DR69" s="526">
        <f t="shared" ca="1" si="77"/>
        <v>6517408.4743998451</v>
      </c>
      <c r="DS69" s="526">
        <f t="shared" ca="1" si="77"/>
        <v>6605587.1973830909</v>
      </c>
      <c r="DT69" s="526">
        <f t="shared" ca="1" si="77"/>
        <v>6694958.9539497765</v>
      </c>
      <c r="DU69" s="526">
        <f t="shared" ca="1" si="77"/>
        <v>6785539.8855122868</v>
      </c>
      <c r="DV69" s="526">
        <f t="shared" ca="1" si="77"/>
        <v>6877346.3518718239</v>
      </c>
      <c r="DW69" s="526">
        <f t="shared" ca="1" si="77"/>
        <v>6970394.9341731472</v>
      </c>
      <c r="DX69" s="526">
        <f t="shared" ca="1" si="77"/>
        <v>7064702.4378992915</v>
      </c>
      <c r="DY69" s="526">
        <f t="shared" ca="1" si="77"/>
        <v>7160285.8959068004</v>
      </c>
      <c r="DZ69" s="526">
        <f t="shared" ca="1" si="77"/>
        <v>7257162.5715020252</v>
      </c>
      <c r="EA69" s="526">
        <f t="shared" ca="1" si="77"/>
        <v>7355349.9615590498</v>
      </c>
      <c r="EB69" s="526">
        <f t="shared" ca="1" si="77"/>
        <v>7454865.7996797934</v>
      </c>
      <c r="EC69" s="523" t="s">
        <v>557</v>
      </c>
    </row>
    <row r="70" spans="8:133">
      <c r="H70" s="518" t="s">
        <v>1150</v>
      </c>
      <c r="J70" s="543" t="s">
        <v>1105</v>
      </c>
      <c r="L70" s="526">
        <f ca="1">-L66+L67+L68</f>
        <v>-20296000</v>
      </c>
      <c r="M70" s="526">
        <f t="shared" ref="M70:BX70" ca="1" si="78">-M66+M67+M68</f>
        <v>75142.199419975848</v>
      </c>
      <c r="N70" s="526">
        <f t="shared" ca="1" si="78"/>
        <v>77255.772749442272</v>
      </c>
      <c r="O70" s="526">
        <f t="shared" ca="1" si="78"/>
        <v>79383.436567771874</v>
      </c>
      <c r="P70" s="526">
        <f t="shared" ca="1" si="78"/>
        <v>81525.284811557081</v>
      </c>
      <c r="Q70" s="526">
        <f t="shared" ca="1" si="78"/>
        <v>83681.412043634118</v>
      </c>
      <c r="R70" s="526">
        <f t="shared" ca="1" si="78"/>
        <v>85851.913457258299</v>
      </c>
      <c r="S70" s="526">
        <f t="shared" ca="1" si="78"/>
        <v>88036.884880306709</v>
      </c>
      <c r="T70" s="526">
        <f t="shared" ca="1" si="78"/>
        <v>90236.422779508677</v>
      </c>
      <c r="U70" s="526">
        <f t="shared" ca="1" si="78"/>
        <v>92450.624264705359</v>
      </c>
      <c r="V70" s="526">
        <f t="shared" ca="1" si="78"/>
        <v>94679.587093136754</v>
      </c>
      <c r="W70" s="526">
        <f t="shared" ca="1" si="78"/>
        <v>96923.409673757662</v>
      </c>
      <c r="X70" s="526">
        <f t="shared" ca="1" si="78"/>
        <v>99182.191071582594</v>
      </c>
      <c r="Y70" s="526">
        <f t="shared" ca="1" si="78"/>
        <v>99132.252015780003</v>
      </c>
      <c r="Z70" s="526">
        <f t="shared" ca="1" si="78"/>
        <v>101277.30024087873</v>
      </c>
      <c r="AA70" s="526">
        <f t="shared" ca="1" si="78"/>
        <v>103435.75501738423</v>
      </c>
      <c r="AB70" s="526">
        <f t="shared" ca="1" si="78"/>
        <v>105607.70013624289</v>
      </c>
      <c r="AC70" s="526">
        <f t="shared" ca="1" si="78"/>
        <v>107793.2199120944</v>
      </c>
      <c r="AD70" s="526">
        <f t="shared" ca="1" si="78"/>
        <v>109992.39918654515</v>
      </c>
      <c r="AE70" s="526">
        <f t="shared" ca="1" si="78"/>
        <v>112205.32333146107</v>
      </c>
      <c r="AF70" s="526">
        <f t="shared" ca="1" si="78"/>
        <v>114432.07825228265</v>
      </c>
      <c r="AG70" s="526">
        <f t="shared" ca="1" si="78"/>
        <v>116672.75039135954</v>
      </c>
      <c r="AH70" s="526">
        <f t="shared" ca="1" si="78"/>
        <v>118927.4267313055</v>
      </c>
      <c r="AI70" s="526">
        <f t="shared" ca="1" si="78"/>
        <v>121196.19479837616</v>
      </c>
      <c r="AJ70" s="526">
        <f t="shared" ca="1" si="78"/>
        <v>123479.14266586611</v>
      </c>
      <c r="AK70" s="526">
        <f t="shared" ca="1" si="78"/>
        <v>122481.38876808564</v>
      </c>
      <c r="AL70" s="526">
        <f t="shared" ca="1" si="78"/>
        <v>123710.65473037933</v>
      </c>
      <c r="AM70" s="526">
        <f t="shared" ca="1" si="78"/>
        <v>124944.01824588062</v>
      </c>
      <c r="AN70" s="526">
        <f t="shared" ca="1" si="78"/>
        <v>126181.4929731002</v>
      </c>
      <c r="AO70" s="526">
        <f t="shared" ca="1" si="78"/>
        <v>127423.09261607715</v>
      </c>
      <c r="AP70" s="526">
        <f t="shared" ca="1" si="78"/>
        <v>128668.83092453091</v>
      </c>
      <c r="AQ70" s="526">
        <f t="shared" ca="1" si="78"/>
        <v>129918.72169401268</v>
      </c>
      <c r="AR70" s="526">
        <f t="shared" ca="1" si="78"/>
        <v>131172.77876605943</v>
      </c>
      <c r="AS70" s="526">
        <f t="shared" ca="1" si="78"/>
        <v>132431.01602834626</v>
      </c>
      <c r="AT70" s="526">
        <f t="shared" ca="1" si="78"/>
        <v>133693.44741484086</v>
      </c>
      <c r="AU70" s="526">
        <f t="shared" ca="1" si="78"/>
        <v>134960.08690595691</v>
      </c>
      <c r="AV70" s="526">
        <f t="shared" ca="1" si="78"/>
        <v>136230.94852871029</v>
      </c>
      <c r="AW70" s="526">
        <f t="shared" ca="1" si="78"/>
        <v>135241.08391927258</v>
      </c>
      <c r="AX70" s="526">
        <f t="shared" ca="1" si="78"/>
        <v>136520.43207352899</v>
      </c>
      <c r="AY70" s="526">
        <f t="shared" ca="1" si="78"/>
        <v>137804.04472163261</v>
      </c>
      <c r="AZ70" s="526">
        <f t="shared" ca="1" si="78"/>
        <v>139091.93607856351</v>
      </c>
      <c r="BA70" s="526">
        <f t="shared" ca="1" si="78"/>
        <v>140384.12040668412</v>
      </c>
      <c r="BB70" s="526">
        <f t="shared" ca="1" si="78"/>
        <v>141680.61201589828</v>
      </c>
      <c r="BC70" s="526">
        <f t="shared" ca="1" si="78"/>
        <v>142981.42526381009</v>
      </c>
      <c r="BD70" s="526">
        <f t="shared" ca="1" si="78"/>
        <v>144286.57455588144</v>
      </c>
      <c r="BE70" s="526">
        <f t="shared" ca="1" si="78"/>
        <v>145596.07434559317</v>
      </c>
      <c r="BF70" s="526">
        <f t="shared" ca="1" si="78"/>
        <v>146909.93913460377</v>
      </c>
      <c r="BG70" s="526">
        <f t="shared" ca="1" si="78"/>
        <v>148228.18347291125</v>
      </c>
      <c r="BH70" s="526">
        <f t="shared" ca="1" si="78"/>
        <v>28404692.591443792</v>
      </c>
      <c r="BI70" s="526">
        <f t="shared" ca="1" si="78"/>
        <v>0</v>
      </c>
      <c r="BJ70" s="526">
        <f t="shared" ca="1" si="78"/>
        <v>0</v>
      </c>
      <c r="BK70" s="526">
        <f t="shared" ca="1" si="78"/>
        <v>0</v>
      </c>
      <c r="BL70" s="526">
        <f t="shared" ca="1" si="78"/>
        <v>0</v>
      </c>
      <c r="BM70" s="526">
        <f t="shared" ca="1" si="78"/>
        <v>0</v>
      </c>
      <c r="BN70" s="526">
        <f t="shared" ca="1" si="78"/>
        <v>0</v>
      </c>
      <c r="BO70" s="526">
        <f t="shared" ca="1" si="78"/>
        <v>0</v>
      </c>
      <c r="BP70" s="526">
        <f t="shared" ca="1" si="78"/>
        <v>0</v>
      </c>
      <c r="BQ70" s="526">
        <f t="shared" ca="1" si="78"/>
        <v>0</v>
      </c>
      <c r="BR70" s="526">
        <f t="shared" ca="1" si="78"/>
        <v>0</v>
      </c>
      <c r="BS70" s="526">
        <f t="shared" ca="1" si="78"/>
        <v>0</v>
      </c>
      <c r="BT70" s="526">
        <f t="shared" ca="1" si="78"/>
        <v>0</v>
      </c>
      <c r="BU70" s="526">
        <f t="shared" ca="1" si="78"/>
        <v>0</v>
      </c>
      <c r="BV70" s="526">
        <f t="shared" ca="1" si="78"/>
        <v>0</v>
      </c>
      <c r="BW70" s="526">
        <f t="shared" ca="1" si="78"/>
        <v>0</v>
      </c>
      <c r="BX70" s="526">
        <f t="shared" ca="1" si="78"/>
        <v>0</v>
      </c>
      <c r="BY70" s="526">
        <f t="shared" ref="BY70:EB70" ca="1" si="79">-BY66+BY67+BY68</f>
        <v>0</v>
      </c>
      <c r="BZ70" s="526">
        <f t="shared" ca="1" si="79"/>
        <v>0</v>
      </c>
      <c r="CA70" s="526">
        <f t="shared" ca="1" si="79"/>
        <v>0</v>
      </c>
      <c r="CB70" s="526">
        <f t="shared" ca="1" si="79"/>
        <v>0</v>
      </c>
      <c r="CC70" s="526">
        <f t="shared" ca="1" si="79"/>
        <v>0</v>
      </c>
      <c r="CD70" s="526">
        <f t="shared" ca="1" si="79"/>
        <v>0</v>
      </c>
      <c r="CE70" s="526">
        <f t="shared" ca="1" si="79"/>
        <v>0</v>
      </c>
      <c r="CF70" s="526">
        <f t="shared" ca="1" si="79"/>
        <v>0</v>
      </c>
      <c r="CG70" s="526">
        <f t="shared" ca="1" si="79"/>
        <v>0</v>
      </c>
      <c r="CH70" s="526">
        <f t="shared" ca="1" si="79"/>
        <v>0</v>
      </c>
      <c r="CI70" s="526">
        <f t="shared" ca="1" si="79"/>
        <v>0</v>
      </c>
      <c r="CJ70" s="526">
        <f t="shared" ca="1" si="79"/>
        <v>0</v>
      </c>
      <c r="CK70" s="526">
        <f t="shared" ca="1" si="79"/>
        <v>0</v>
      </c>
      <c r="CL70" s="526">
        <f t="shared" ca="1" si="79"/>
        <v>0</v>
      </c>
      <c r="CM70" s="526">
        <f t="shared" ca="1" si="79"/>
        <v>0</v>
      </c>
      <c r="CN70" s="526">
        <f t="shared" ca="1" si="79"/>
        <v>0</v>
      </c>
      <c r="CO70" s="526">
        <f t="shared" ca="1" si="79"/>
        <v>0</v>
      </c>
      <c r="CP70" s="526">
        <f t="shared" ca="1" si="79"/>
        <v>0</v>
      </c>
      <c r="CQ70" s="526">
        <f t="shared" ca="1" si="79"/>
        <v>0</v>
      </c>
      <c r="CR70" s="526">
        <f t="shared" ca="1" si="79"/>
        <v>0</v>
      </c>
      <c r="CS70" s="526">
        <f t="shared" ca="1" si="79"/>
        <v>0</v>
      </c>
      <c r="CT70" s="526">
        <f t="shared" ca="1" si="79"/>
        <v>0</v>
      </c>
      <c r="CU70" s="526">
        <f t="shared" ca="1" si="79"/>
        <v>0</v>
      </c>
      <c r="CV70" s="526">
        <f t="shared" ca="1" si="79"/>
        <v>0</v>
      </c>
      <c r="CW70" s="526">
        <f t="shared" ca="1" si="79"/>
        <v>0</v>
      </c>
      <c r="CX70" s="526">
        <f t="shared" ca="1" si="79"/>
        <v>0</v>
      </c>
      <c r="CY70" s="526">
        <f t="shared" ca="1" si="79"/>
        <v>0</v>
      </c>
      <c r="CZ70" s="526">
        <f t="shared" ca="1" si="79"/>
        <v>0</v>
      </c>
      <c r="DA70" s="526">
        <f t="shared" ca="1" si="79"/>
        <v>0</v>
      </c>
      <c r="DB70" s="526">
        <f t="shared" ca="1" si="79"/>
        <v>0</v>
      </c>
      <c r="DC70" s="526">
        <f t="shared" ca="1" si="79"/>
        <v>0</v>
      </c>
      <c r="DD70" s="526">
        <f t="shared" ca="1" si="79"/>
        <v>0</v>
      </c>
      <c r="DE70" s="526">
        <f t="shared" ca="1" si="79"/>
        <v>0</v>
      </c>
      <c r="DF70" s="526">
        <f t="shared" ca="1" si="79"/>
        <v>0</v>
      </c>
      <c r="DG70" s="526">
        <f t="shared" ca="1" si="79"/>
        <v>0</v>
      </c>
      <c r="DH70" s="526">
        <f t="shared" ca="1" si="79"/>
        <v>0</v>
      </c>
      <c r="DI70" s="526">
        <f t="shared" ca="1" si="79"/>
        <v>0</v>
      </c>
      <c r="DJ70" s="526">
        <f t="shared" ca="1" si="79"/>
        <v>0</v>
      </c>
      <c r="DK70" s="526">
        <f t="shared" ca="1" si="79"/>
        <v>0</v>
      </c>
      <c r="DL70" s="526">
        <f t="shared" ca="1" si="79"/>
        <v>0</v>
      </c>
      <c r="DM70" s="526">
        <f t="shared" ca="1" si="79"/>
        <v>0</v>
      </c>
      <c r="DN70" s="526">
        <f t="shared" ca="1" si="79"/>
        <v>0</v>
      </c>
      <c r="DO70" s="526">
        <f t="shared" ca="1" si="79"/>
        <v>0</v>
      </c>
      <c r="DP70" s="526">
        <f t="shared" ca="1" si="79"/>
        <v>0</v>
      </c>
      <c r="DQ70" s="526">
        <f t="shared" ca="1" si="79"/>
        <v>0</v>
      </c>
      <c r="DR70" s="526">
        <f t="shared" ca="1" si="79"/>
        <v>0</v>
      </c>
      <c r="DS70" s="526">
        <f t="shared" ca="1" si="79"/>
        <v>0</v>
      </c>
      <c r="DT70" s="526">
        <f t="shared" ca="1" si="79"/>
        <v>0</v>
      </c>
      <c r="DU70" s="526">
        <f t="shared" ca="1" si="79"/>
        <v>0</v>
      </c>
      <c r="DV70" s="526">
        <f t="shared" ca="1" si="79"/>
        <v>0</v>
      </c>
      <c r="DW70" s="526">
        <f t="shared" ca="1" si="79"/>
        <v>0</v>
      </c>
      <c r="DX70" s="526">
        <f t="shared" ca="1" si="79"/>
        <v>0</v>
      </c>
      <c r="DY70" s="526">
        <f t="shared" ca="1" si="79"/>
        <v>0</v>
      </c>
      <c r="DZ70" s="526">
        <f t="shared" ca="1" si="79"/>
        <v>0</v>
      </c>
      <c r="EA70" s="526">
        <f t="shared" ca="1" si="79"/>
        <v>0</v>
      </c>
      <c r="EB70" s="526">
        <f t="shared" ca="1" si="79"/>
        <v>0</v>
      </c>
      <c r="EC70" s="523" t="s">
        <v>557</v>
      </c>
    </row>
    <row r="71" spans="8:133">
      <c r="H71" s="545" t="s">
        <v>1152</v>
      </c>
      <c r="I71" s="547" t="s">
        <v>1153</v>
      </c>
      <c r="J71" s="547">
        <f ca="1">XIRR(L70:EB70,$L$2:$EB$2,)</f>
        <v>0.15229130387306214</v>
      </c>
      <c r="EC71" s="523" t="s">
        <v>557</v>
      </c>
    </row>
    <row r="72" spans="8:133">
      <c r="I72" s="547" t="s">
        <v>1155</v>
      </c>
      <c r="J72" s="1012">
        <f ca="1">ABS((SUMIF(L70:EB70,"&gt;0")/SUMIF(L70:EB70,"&lt;0")))</f>
        <v>1.6699711360130254</v>
      </c>
      <c r="EC72" s="523" t="s">
        <v>557</v>
      </c>
    </row>
    <row r="73" spans="8:133">
      <c r="H73" s="520" t="s">
        <v>1135</v>
      </c>
      <c r="I73" s="533"/>
      <c r="J73" s="533"/>
      <c r="K73" s="521"/>
      <c r="L73" s="521"/>
      <c r="M73" s="521"/>
      <c r="N73" s="521"/>
      <c r="O73" s="521"/>
      <c r="P73" s="521"/>
      <c r="Q73" s="521"/>
      <c r="R73" s="521"/>
      <c r="S73" s="521"/>
      <c r="T73" s="521"/>
      <c r="U73" s="521"/>
      <c r="V73" s="521"/>
      <c r="W73" s="521"/>
      <c r="X73" s="521"/>
      <c r="Y73" s="521"/>
      <c r="Z73" s="521"/>
      <c r="AA73" s="521"/>
      <c r="AB73" s="521"/>
      <c r="AC73" s="521"/>
      <c r="AD73" s="521"/>
      <c r="AE73" s="521"/>
      <c r="AF73" s="521"/>
      <c r="AG73" s="521"/>
      <c r="AH73" s="521"/>
      <c r="AI73" s="521"/>
      <c r="AJ73" s="521"/>
      <c r="AK73" s="521"/>
      <c r="AL73" s="521"/>
      <c r="AM73" s="521"/>
      <c r="AN73" s="521"/>
      <c r="AO73" s="521"/>
      <c r="AP73" s="521"/>
      <c r="AQ73" s="521"/>
      <c r="AR73" s="521"/>
      <c r="AS73" s="521"/>
      <c r="AT73" s="521"/>
      <c r="AU73" s="521"/>
      <c r="AV73" s="521"/>
      <c r="AW73" s="521"/>
      <c r="AX73" s="521"/>
      <c r="AY73" s="521"/>
      <c r="AZ73" s="521"/>
      <c r="BA73" s="521"/>
      <c r="BB73" s="521"/>
      <c r="BC73" s="521"/>
      <c r="BD73" s="521"/>
      <c r="BE73" s="521"/>
      <c r="BF73" s="521"/>
      <c r="BG73" s="521"/>
      <c r="BH73" s="521"/>
      <c r="BI73" s="521"/>
      <c r="BJ73" s="521"/>
      <c r="BK73" s="521"/>
      <c r="BL73" s="521"/>
      <c r="BM73" s="521"/>
      <c r="BN73" s="521"/>
      <c r="BO73" s="521"/>
      <c r="BP73" s="521"/>
      <c r="BQ73" s="521"/>
      <c r="BR73" s="521"/>
      <c r="BS73" s="521"/>
      <c r="BT73" s="521"/>
      <c r="BU73" s="521"/>
      <c r="BV73" s="521"/>
      <c r="BW73" s="521"/>
      <c r="BX73" s="521"/>
      <c r="BY73" s="521"/>
      <c r="BZ73" s="521"/>
      <c r="CA73" s="521"/>
      <c r="CB73" s="521"/>
      <c r="CC73" s="521"/>
      <c r="CD73" s="521"/>
      <c r="CE73" s="521"/>
      <c r="CF73" s="521"/>
      <c r="CG73" s="521"/>
      <c r="CH73" s="521"/>
      <c r="CI73" s="521"/>
      <c r="CJ73" s="521"/>
      <c r="CK73" s="521"/>
      <c r="CL73" s="521"/>
      <c r="CM73" s="521"/>
      <c r="CN73" s="521"/>
      <c r="CO73" s="521"/>
      <c r="CP73" s="521"/>
      <c r="CQ73" s="521"/>
      <c r="CR73" s="521"/>
      <c r="CS73" s="521"/>
      <c r="CT73" s="521"/>
      <c r="CU73" s="521"/>
      <c r="CV73" s="521"/>
      <c r="CW73" s="521"/>
      <c r="CX73" s="521"/>
      <c r="CY73" s="521"/>
      <c r="CZ73" s="521"/>
      <c r="DA73" s="521"/>
      <c r="DB73" s="521"/>
      <c r="DC73" s="521"/>
      <c r="DD73" s="521"/>
      <c r="DE73" s="521"/>
      <c r="DF73" s="521"/>
      <c r="DG73" s="521"/>
      <c r="DH73" s="521"/>
      <c r="DI73" s="521"/>
      <c r="DJ73" s="521"/>
      <c r="DK73" s="521"/>
      <c r="DL73" s="521"/>
      <c r="DM73" s="521"/>
      <c r="DN73" s="521"/>
      <c r="DO73" s="521"/>
      <c r="DP73" s="521"/>
      <c r="DQ73" s="521"/>
      <c r="DR73" s="521"/>
      <c r="DS73" s="521"/>
      <c r="DT73" s="521"/>
      <c r="DU73" s="521"/>
      <c r="DV73" s="521"/>
      <c r="DW73" s="521"/>
      <c r="DX73" s="521"/>
      <c r="DY73" s="521"/>
      <c r="DZ73" s="521"/>
      <c r="EA73" s="521"/>
      <c r="EB73" s="521"/>
      <c r="EC73" s="523" t="s">
        <v>557</v>
      </c>
    </row>
    <row r="74" spans="8:133">
      <c r="H74" s="518" t="s">
        <v>1158</v>
      </c>
      <c r="L74" s="526">
        <f ca="1">L56</f>
        <v>0</v>
      </c>
      <c r="M74" s="526">
        <f t="shared" ref="M74:BX74" si="80">M54</f>
        <v>0</v>
      </c>
      <c r="N74" s="526">
        <f t="shared" si="80"/>
        <v>0</v>
      </c>
      <c r="O74" s="526">
        <f t="shared" si="80"/>
        <v>0</v>
      </c>
      <c r="P74" s="526">
        <f t="shared" si="80"/>
        <v>0</v>
      </c>
      <c r="Q74" s="526">
        <f t="shared" si="80"/>
        <v>0</v>
      </c>
      <c r="R74" s="526">
        <f t="shared" si="80"/>
        <v>0</v>
      </c>
      <c r="S74" s="526">
        <f t="shared" si="80"/>
        <v>0</v>
      </c>
      <c r="T74" s="526">
        <f t="shared" si="80"/>
        <v>0</v>
      </c>
      <c r="U74" s="526">
        <f t="shared" si="80"/>
        <v>0</v>
      </c>
      <c r="V74" s="526">
        <f t="shared" si="80"/>
        <v>0</v>
      </c>
      <c r="W74" s="526">
        <f t="shared" si="80"/>
        <v>0</v>
      </c>
      <c r="X74" s="526">
        <f t="shared" si="80"/>
        <v>0</v>
      </c>
      <c r="Y74" s="526">
        <f t="shared" si="80"/>
        <v>0</v>
      </c>
      <c r="Z74" s="526">
        <f t="shared" si="80"/>
        <v>0</v>
      </c>
      <c r="AA74" s="526">
        <f t="shared" si="80"/>
        <v>0</v>
      </c>
      <c r="AB74" s="526">
        <f t="shared" si="80"/>
        <v>0</v>
      </c>
      <c r="AC74" s="526">
        <f t="shared" si="80"/>
        <v>0</v>
      </c>
      <c r="AD74" s="526">
        <f t="shared" si="80"/>
        <v>0</v>
      </c>
      <c r="AE74" s="526">
        <f t="shared" si="80"/>
        <v>0</v>
      </c>
      <c r="AF74" s="526">
        <f t="shared" si="80"/>
        <v>0</v>
      </c>
      <c r="AG74" s="526">
        <f t="shared" si="80"/>
        <v>0</v>
      </c>
      <c r="AH74" s="526">
        <f t="shared" si="80"/>
        <v>0</v>
      </c>
      <c r="AI74" s="526">
        <f t="shared" si="80"/>
        <v>0</v>
      </c>
      <c r="AJ74" s="526">
        <f t="shared" si="80"/>
        <v>0</v>
      </c>
      <c r="AK74" s="526">
        <f t="shared" si="80"/>
        <v>0</v>
      </c>
      <c r="AL74" s="526">
        <f t="shared" si="80"/>
        <v>0</v>
      </c>
      <c r="AM74" s="526">
        <f t="shared" si="80"/>
        <v>0</v>
      </c>
      <c r="AN74" s="526">
        <f t="shared" si="80"/>
        <v>0</v>
      </c>
      <c r="AO74" s="526">
        <f t="shared" si="80"/>
        <v>0</v>
      </c>
      <c r="AP74" s="526">
        <f t="shared" si="80"/>
        <v>0</v>
      </c>
      <c r="AQ74" s="526">
        <f t="shared" si="80"/>
        <v>0</v>
      </c>
      <c r="AR74" s="526">
        <f t="shared" si="80"/>
        <v>0</v>
      </c>
      <c r="AS74" s="526">
        <f t="shared" si="80"/>
        <v>0</v>
      </c>
      <c r="AT74" s="526">
        <f t="shared" si="80"/>
        <v>0</v>
      </c>
      <c r="AU74" s="526">
        <f t="shared" si="80"/>
        <v>0</v>
      </c>
      <c r="AV74" s="526">
        <f t="shared" si="80"/>
        <v>0</v>
      </c>
      <c r="AW74" s="526">
        <f t="shared" si="80"/>
        <v>0</v>
      </c>
      <c r="AX74" s="526">
        <f t="shared" si="80"/>
        <v>0</v>
      </c>
      <c r="AY74" s="526">
        <f t="shared" si="80"/>
        <v>0</v>
      </c>
      <c r="AZ74" s="526">
        <f t="shared" si="80"/>
        <v>0</v>
      </c>
      <c r="BA74" s="526">
        <f t="shared" si="80"/>
        <v>0</v>
      </c>
      <c r="BB74" s="526">
        <f t="shared" si="80"/>
        <v>0</v>
      </c>
      <c r="BC74" s="526">
        <f t="shared" si="80"/>
        <v>0</v>
      </c>
      <c r="BD74" s="526">
        <f t="shared" si="80"/>
        <v>0</v>
      </c>
      <c r="BE74" s="526">
        <f t="shared" si="80"/>
        <v>0</v>
      </c>
      <c r="BF74" s="526">
        <f t="shared" si="80"/>
        <v>0</v>
      </c>
      <c r="BG74" s="526">
        <f t="shared" si="80"/>
        <v>0</v>
      </c>
      <c r="BH74" s="526">
        <f t="shared" si="80"/>
        <v>0</v>
      </c>
      <c r="BI74" s="526">
        <f t="shared" si="80"/>
        <v>0</v>
      </c>
      <c r="BJ74" s="526">
        <f t="shared" si="80"/>
        <v>0</v>
      </c>
      <c r="BK74" s="526">
        <f t="shared" si="80"/>
        <v>0</v>
      </c>
      <c r="BL74" s="526">
        <f t="shared" si="80"/>
        <v>0</v>
      </c>
      <c r="BM74" s="526">
        <f t="shared" si="80"/>
        <v>0</v>
      </c>
      <c r="BN74" s="526">
        <f t="shared" si="80"/>
        <v>0</v>
      </c>
      <c r="BO74" s="526">
        <f t="shared" si="80"/>
        <v>0</v>
      </c>
      <c r="BP74" s="526">
        <f t="shared" si="80"/>
        <v>0</v>
      </c>
      <c r="BQ74" s="526">
        <f t="shared" si="80"/>
        <v>0</v>
      </c>
      <c r="BR74" s="526">
        <f t="shared" si="80"/>
        <v>0</v>
      </c>
      <c r="BS74" s="526">
        <f t="shared" si="80"/>
        <v>0</v>
      </c>
      <c r="BT74" s="526">
        <f t="shared" si="80"/>
        <v>0</v>
      </c>
      <c r="BU74" s="526">
        <f t="shared" si="80"/>
        <v>0</v>
      </c>
      <c r="BV74" s="526">
        <f t="shared" si="80"/>
        <v>0</v>
      </c>
      <c r="BW74" s="526">
        <f t="shared" si="80"/>
        <v>0</v>
      </c>
      <c r="BX74" s="526">
        <f t="shared" si="80"/>
        <v>0</v>
      </c>
      <c r="BY74" s="526">
        <f t="shared" ref="BY74:EB74" si="81">BY54</f>
        <v>0</v>
      </c>
      <c r="BZ74" s="526">
        <f t="shared" si="81"/>
        <v>0</v>
      </c>
      <c r="CA74" s="526">
        <f t="shared" si="81"/>
        <v>0</v>
      </c>
      <c r="CB74" s="526">
        <f t="shared" si="81"/>
        <v>0</v>
      </c>
      <c r="CC74" s="526">
        <f t="shared" si="81"/>
        <v>0</v>
      </c>
      <c r="CD74" s="526">
        <f t="shared" si="81"/>
        <v>0</v>
      </c>
      <c r="CE74" s="526">
        <f t="shared" si="81"/>
        <v>0</v>
      </c>
      <c r="CF74" s="526">
        <f t="shared" si="81"/>
        <v>0</v>
      </c>
      <c r="CG74" s="526">
        <f t="shared" si="81"/>
        <v>0</v>
      </c>
      <c r="CH74" s="526">
        <f t="shared" si="81"/>
        <v>0</v>
      </c>
      <c r="CI74" s="526">
        <f t="shared" si="81"/>
        <v>0</v>
      </c>
      <c r="CJ74" s="526">
        <f t="shared" si="81"/>
        <v>0</v>
      </c>
      <c r="CK74" s="526">
        <f t="shared" si="81"/>
        <v>0</v>
      </c>
      <c r="CL74" s="526">
        <f t="shared" si="81"/>
        <v>0</v>
      </c>
      <c r="CM74" s="526">
        <f t="shared" si="81"/>
        <v>0</v>
      </c>
      <c r="CN74" s="526">
        <f t="shared" si="81"/>
        <v>0</v>
      </c>
      <c r="CO74" s="526">
        <f t="shared" si="81"/>
        <v>0</v>
      </c>
      <c r="CP74" s="526">
        <f t="shared" si="81"/>
        <v>0</v>
      </c>
      <c r="CQ74" s="526">
        <f t="shared" si="81"/>
        <v>0</v>
      </c>
      <c r="CR74" s="526">
        <f t="shared" si="81"/>
        <v>0</v>
      </c>
      <c r="CS74" s="526">
        <f t="shared" si="81"/>
        <v>0</v>
      </c>
      <c r="CT74" s="526">
        <f t="shared" si="81"/>
        <v>0</v>
      </c>
      <c r="CU74" s="526">
        <f t="shared" si="81"/>
        <v>0</v>
      </c>
      <c r="CV74" s="526">
        <f t="shared" si="81"/>
        <v>0</v>
      </c>
      <c r="CW74" s="526">
        <f t="shared" si="81"/>
        <v>0</v>
      </c>
      <c r="CX74" s="526">
        <f t="shared" si="81"/>
        <v>0</v>
      </c>
      <c r="CY74" s="526">
        <f t="shared" si="81"/>
        <v>0</v>
      </c>
      <c r="CZ74" s="526">
        <f t="shared" si="81"/>
        <v>0</v>
      </c>
      <c r="DA74" s="526">
        <f t="shared" si="81"/>
        <v>0</v>
      </c>
      <c r="DB74" s="526">
        <f t="shared" si="81"/>
        <v>0</v>
      </c>
      <c r="DC74" s="526">
        <f t="shared" si="81"/>
        <v>0</v>
      </c>
      <c r="DD74" s="526">
        <f t="shared" si="81"/>
        <v>0</v>
      </c>
      <c r="DE74" s="526">
        <f t="shared" si="81"/>
        <v>0</v>
      </c>
      <c r="DF74" s="526">
        <f t="shared" si="81"/>
        <v>0</v>
      </c>
      <c r="DG74" s="526">
        <f t="shared" si="81"/>
        <v>0</v>
      </c>
      <c r="DH74" s="526">
        <f t="shared" si="81"/>
        <v>0</v>
      </c>
      <c r="DI74" s="526">
        <f t="shared" si="81"/>
        <v>0</v>
      </c>
      <c r="DJ74" s="526">
        <f t="shared" si="81"/>
        <v>0</v>
      </c>
      <c r="DK74" s="526">
        <f t="shared" si="81"/>
        <v>0</v>
      </c>
      <c r="DL74" s="526">
        <f t="shared" si="81"/>
        <v>0</v>
      </c>
      <c r="DM74" s="526">
        <f t="shared" si="81"/>
        <v>0</v>
      </c>
      <c r="DN74" s="526">
        <f t="shared" si="81"/>
        <v>0</v>
      </c>
      <c r="DO74" s="526">
        <f t="shared" si="81"/>
        <v>0</v>
      </c>
      <c r="DP74" s="526">
        <f t="shared" si="81"/>
        <v>0</v>
      </c>
      <c r="DQ74" s="526">
        <f t="shared" si="81"/>
        <v>0</v>
      </c>
      <c r="DR74" s="526">
        <f t="shared" si="81"/>
        <v>0</v>
      </c>
      <c r="DS74" s="526">
        <f t="shared" si="81"/>
        <v>0</v>
      </c>
      <c r="DT74" s="526">
        <f t="shared" si="81"/>
        <v>0</v>
      </c>
      <c r="DU74" s="526">
        <f t="shared" si="81"/>
        <v>0</v>
      </c>
      <c r="DV74" s="526">
        <f t="shared" si="81"/>
        <v>0</v>
      </c>
      <c r="DW74" s="526">
        <f t="shared" si="81"/>
        <v>0</v>
      </c>
      <c r="DX74" s="526">
        <f t="shared" si="81"/>
        <v>0</v>
      </c>
      <c r="DY74" s="526">
        <f t="shared" si="81"/>
        <v>0</v>
      </c>
      <c r="DZ74" s="526">
        <f t="shared" si="81"/>
        <v>0</v>
      </c>
      <c r="EA74" s="526">
        <f t="shared" si="81"/>
        <v>0</v>
      </c>
      <c r="EB74" s="526">
        <f t="shared" si="81"/>
        <v>0</v>
      </c>
      <c r="EC74" s="523" t="s">
        <v>557</v>
      </c>
    </row>
    <row r="75" spans="8:133">
      <c r="H75" s="518" t="s">
        <v>1160</v>
      </c>
      <c r="I75" s="539">
        <f>D17</f>
        <v>0.25</v>
      </c>
      <c r="L75" s="526">
        <f ca="1">L68/$I68*$I75</f>
        <v>0</v>
      </c>
      <c r="M75" s="526">
        <f t="shared" ref="M75:BX75" ca="1" si="82">M68/$I68*$I75</f>
        <v>0</v>
      </c>
      <c r="N75" s="526">
        <f t="shared" ca="1" si="82"/>
        <v>0</v>
      </c>
      <c r="O75" s="526">
        <f t="shared" ca="1" si="82"/>
        <v>0</v>
      </c>
      <c r="P75" s="526">
        <f t="shared" ca="1" si="82"/>
        <v>0</v>
      </c>
      <c r="Q75" s="526">
        <f t="shared" ca="1" si="82"/>
        <v>0</v>
      </c>
      <c r="R75" s="526">
        <f t="shared" ca="1" si="82"/>
        <v>0</v>
      </c>
      <c r="S75" s="526">
        <f t="shared" ca="1" si="82"/>
        <v>0</v>
      </c>
      <c r="T75" s="526">
        <f t="shared" ca="1" si="82"/>
        <v>0</v>
      </c>
      <c r="U75" s="526">
        <f t="shared" ca="1" si="82"/>
        <v>0</v>
      </c>
      <c r="V75" s="526">
        <f t="shared" ca="1" si="82"/>
        <v>0</v>
      </c>
      <c r="W75" s="526">
        <f t="shared" ca="1" si="82"/>
        <v>0</v>
      </c>
      <c r="X75" s="526">
        <f t="shared" ca="1" si="82"/>
        <v>0</v>
      </c>
      <c r="Y75" s="526">
        <f t="shared" ca="1" si="82"/>
        <v>0</v>
      </c>
      <c r="Z75" s="526">
        <f t="shared" ca="1" si="82"/>
        <v>0</v>
      </c>
      <c r="AA75" s="526">
        <f t="shared" ca="1" si="82"/>
        <v>0</v>
      </c>
      <c r="AB75" s="526">
        <f t="shared" ca="1" si="82"/>
        <v>0</v>
      </c>
      <c r="AC75" s="526">
        <f t="shared" ca="1" si="82"/>
        <v>0</v>
      </c>
      <c r="AD75" s="526">
        <f t="shared" ca="1" si="82"/>
        <v>0</v>
      </c>
      <c r="AE75" s="526">
        <f t="shared" ca="1" si="82"/>
        <v>0</v>
      </c>
      <c r="AF75" s="526">
        <f t="shared" ca="1" si="82"/>
        <v>0</v>
      </c>
      <c r="AG75" s="526">
        <f t="shared" ca="1" si="82"/>
        <v>0</v>
      </c>
      <c r="AH75" s="526">
        <f t="shared" ca="1" si="82"/>
        <v>0</v>
      </c>
      <c r="AI75" s="526">
        <f t="shared" ca="1" si="82"/>
        <v>0</v>
      </c>
      <c r="AJ75" s="526">
        <f t="shared" ca="1" si="82"/>
        <v>0</v>
      </c>
      <c r="AK75" s="526">
        <f t="shared" ca="1" si="82"/>
        <v>0</v>
      </c>
      <c r="AL75" s="526">
        <f t="shared" ca="1" si="82"/>
        <v>0</v>
      </c>
      <c r="AM75" s="526">
        <f t="shared" ca="1" si="82"/>
        <v>0</v>
      </c>
      <c r="AN75" s="526">
        <f t="shared" ca="1" si="82"/>
        <v>0</v>
      </c>
      <c r="AO75" s="526">
        <f t="shared" ca="1" si="82"/>
        <v>0</v>
      </c>
      <c r="AP75" s="526">
        <f t="shared" ca="1" si="82"/>
        <v>0</v>
      </c>
      <c r="AQ75" s="526">
        <f t="shared" ca="1" si="82"/>
        <v>0</v>
      </c>
      <c r="AR75" s="526">
        <f t="shared" ca="1" si="82"/>
        <v>0</v>
      </c>
      <c r="AS75" s="526">
        <f t="shared" ca="1" si="82"/>
        <v>0</v>
      </c>
      <c r="AT75" s="526">
        <f t="shared" ca="1" si="82"/>
        <v>0</v>
      </c>
      <c r="AU75" s="526">
        <f t="shared" ca="1" si="82"/>
        <v>0</v>
      </c>
      <c r="AV75" s="526">
        <f t="shared" ca="1" si="82"/>
        <v>0</v>
      </c>
      <c r="AW75" s="526">
        <f t="shared" ca="1" si="82"/>
        <v>0</v>
      </c>
      <c r="AX75" s="526">
        <f t="shared" ca="1" si="82"/>
        <v>0</v>
      </c>
      <c r="AY75" s="526">
        <f t="shared" ca="1" si="82"/>
        <v>0</v>
      </c>
      <c r="AZ75" s="526">
        <f t="shared" ca="1" si="82"/>
        <v>0</v>
      </c>
      <c r="BA75" s="526">
        <f t="shared" ca="1" si="82"/>
        <v>0</v>
      </c>
      <c r="BB75" s="526">
        <f t="shared" ca="1" si="82"/>
        <v>0</v>
      </c>
      <c r="BC75" s="526">
        <f t="shared" ca="1" si="82"/>
        <v>0</v>
      </c>
      <c r="BD75" s="526">
        <f t="shared" ca="1" si="82"/>
        <v>0</v>
      </c>
      <c r="BE75" s="526">
        <f t="shared" ca="1" si="82"/>
        <v>0</v>
      </c>
      <c r="BF75" s="526">
        <f t="shared" ca="1" si="82"/>
        <v>0</v>
      </c>
      <c r="BG75" s="526">
        <f t="shared" ca="1" si="82"/>
        <v>0</v>
      </c>
      <c r="BH75" s="526">
        <f t="shared" ca="1" si="82"/>
        <v>15237.075678412686</v>
      </c>
      <c r="BI75" s="526">
        <f t="shared" ca="1" si="82"/>
        <v>0</v>
      </c>
      <c r="BJ75" s="526">
        <f t="shared" ca="1" si="82"/>
        <v>0</v>
      </c>
      <c r="BK75" s="526">
        <f t="shared" ca="1" si="82"/>
        <v>0</v>
      </c>
      <c r="BL75" s="526">
        <f t="shared" ca="1" si="82"/>
        <v>0</v>
      </c>
      <c r="BM75" s="526">
        <f t="shared" ca="1" si="82"/>
        <v>0</v>
      </c>
      <c r="BN75" s="526">
        <f t="shared" ca="1" si="82"/>
        <v>0</v>
      </c>
      <c r="BO75" s="526">
        <f t="shared" ca="1" si="82"/>
        <v>0</v>
      </c>
      <c r="BP75" s="526">
        <f t="shared" ca="1" si="82"/>
        <v>0</v>
      </c>
      <c r="BQ75" s="526">
        <f t="shared" ca="1" si="82"/>
        <v>0</v>
      </c>
      <c r="BR75" s="526">
        <f t="shared" ca="1" si="82"/>
        <v>0</v>
      </c>
      <c r="BS75" s="526">
        <f t="shared" ca="1" si="82"/>
        <v>0</v>
      </c>
      <c r="BT75" s="526">
        <f t="shared" ca="1" si="82"/>
        <v>0</v>
      </c>
      <c r="BU75" s="526">
        <f t="shared" ca="1" si="82"/>
        <v>0</v>
      </c>
      <c r="BV75" s="526">
        <f t="shared" ca="1" si="82"/>
        <v>0</v>
      </c>
      <c r="BW75" s="526">
        <f t="shared" ca="1" si="82"/>
        <v>0</v>
      </c>
      <c r="BX75" s="526">
        <f t="shared" ca="1" si="82"/>
        <v>0</v>
      </c>
      <c r="BY75" s="526">
        <f t="shared" ref="BY75:EB75" ca="1" si="83">BY68/$I68*$I75</f>
        <v>0</v>
      </c>
      <c r="BZ75" s="526">
        <f t="shared" ca="1" si="83"/>
        <v>0</v>
      </c>
      <c r="CA75" s="526">
        <f t="shared" ca="1" si="83"/>
        <v>0</v>
      </c>
      <c r="CB75" s="526">
        <f t="shared" ca="1" si="83"/>
        <v>0</v>
      </c>
      <c r="CC75" s="526">
        <f t="shared" ca="1" si="83"/>
        <v>0</v>
      </c>
      <c r="CD75" s="526">
        <f t="shared" ca="1" si="83"/>
        <v>0</v>
      </c>
      <c r="CE75" s="526">
        <f t="shared" ca="1" si="83"/>
        <v>0</v>
      </c>
      <c r="CF75" s="526">
        <f t="shared" ca="1" si="83"/>
        <v>0</v>
      </c>
      <c r="CG75" s="526">
        <f t="shared" ca="1" si="83"/>
        <v>0</v>
      </c>
      <c r="CH75" s="526">
        <f t="shared" ca="1" si="83"/>
        <v>0</v>
      </c>
      <c r="CI75" s="526">
        <f t="shared" ca="1" si="83"/>
        <v>0</v>
      </c>
      <c r="CJ75" s="526">
        <f t="shared" ca="1" si="83"/>
        <v>0</v>
      </c>
      <c r="CK75" s="526">
        <f t="shared" ca="1" si="83"/>
        <v>0</v>
      </c>
      <c r="CL75" s="526">
        <f t="shared" ca="1" si="83"/>
        <v>0</v>
      </c>
      <c r="CM75" s="526">
        <f t="shared" ca="1" si="83"/>
        <v>0</v>
      </c>
      <c r="CN75" s="526">
        <f t="shared" ca="1" si="83"/>
        <v>0</v>
      </c>
      <c r="CO75" s="526">
        <f t="shared" ca="1" si="83"/>
        <v>0</v>
      </c>
      <c r="CP75" s="526">
        <f t="shared" ca="1" si="83"/>
        <v>0</v>
      </c>
      <c r="CQ75" s="526">
        <f t="shared" ca="1" si="83"/>
        <v>0</v>
      </c>
      <c r="CR75" s="526">
        <f t="shared" ca="1" si="83"/>
        <v>0</v>
      </c>
      <c r="CS75" s="526">
        <f t="shared" ca="1" si="83"/>
        <v>0</v>
      </c>
      <c r="CT75" s="526">
        <f t="shared" ca="1" si="83"/>
        <v>0</v>
      </c>
      <c r="CU75" s="526">
        <f t="shared" ca="1" si="83"/>
        <v>0</v>
      </c>
      <c r="CV75" s="526">
        <f t="shared" ca="1" si="83"/>
        <v>0</v>
      </c>
      <c r="CW75" s="526">
        <f t="shared" ca="1" si="83"/>
        <v>0</v>
      </c>
      <c r="CX75" s="526">
        <f t="shared" ca="1" si="83"/>
        <v>0</v>
      </c>
      <c r="CY75" s="526">
        <f t="shared" ca="1" si="83"/>
        <v>0</v>
      </c>
      <c r="CZ75" s="526">
        <f t="shared" ca="1" si="83"/>
        <v>0</v>
      </c>
      <c r="DA75" s="526">
        <f t="shared" ca="1" si="83"/>
        <v>0</v>
      </c>
      <c r="DB75" s="526">
        <f t="shared" ca="1" si="83"/>
        <v>0</v>
      </c>
      <c r="DC75" s="526">
        <f t="shared" ca="1" si="83"/>
        <v>0</v>
      </c>
      <c r="DD75" s="526">
        <f t="shared" ca="1" si="83"/>
        <v>0</v>
      </c>
      <c r="DE75" s="526">
        <f t="shared" ca="1" si="83"/>
        <v>0</v>
      </c>
      <c r="DF75" s="526">
        <f t="shared" ca="1" si="83"/>
        <v>0</v>
      </c>
      <c r="DG75" s="526">
        <f t="shared" ca="1" si="83"/>
        <v>0</v>
      </c>
      <c r="DH75" s="526">
        <f t="shared" ca="1" si="83"/>
        <v>0</v>
      </c>
      <c r="DI75" s="526">
        <f t="shared" ca="1" si="83"/>
        <v>0</v>
      </c>
      <c r="DJ75" s="526">
        <f t="shared" ca="1" si="83"/>
        <v>0</v>
      </c>
      <c r="DK75" s="526">
        <f t="shared" ca="1" si="83"/>
        <v>0</v>
      </c>
      <c r="DL75" s="526">
        <f t="shared" ca="1" si="83"/>
        <v>0</v>
      </c>
      <c r="DM75" s="526">
        <f t="shared" ca="1" si="83"/>
        <v>0</v>
      </c>
      <c r="DN75" s="526">
        <f t="shared" ca="1" si="83"/>
        <v>0</v>
      </c>
      <c r="DO75" s="526">
        <f t="shared" ca="1" si="83"/>
        <v>0</v>
      </c>
      <c r="DP75" s="526">
        <f t="shared" ca="1" si="83"/>
        <v>0</v>
      </c>
      <c r="DQ75" s="526">
        <f t="shared" ca="1" si="83"/>
        <v>0</v>
      </c>
      <c r="DR75" s="526">
        <f t="shared" ca="1" si="83"/>
        <v>0</v>
      </c>
      <c r="DS75" s="526">
        <f t="shared" ca="1" si="83"/>
        <v>0</v>
      </c>
      <c r="DT75" s="526">
        <f t="shared" ca="1" si="83"/>
        <v>0</v>
      </c>
      <c r="DU75" s="526">
        <f t="shared" ca="1" si="83"/>
        <v>0</v>
      </c>
      <c r="DV75" s="526">
        <f t="shared" ca="1" si="83"/>
        <v>0</v>
      </c>
      <c r="DW75" s="526">
        <f t="shared" ca="1" si="83"/>
        <v>0</v>
      </c>
      <c r="DX75" s="526">
        <f t="shared" ca="1" si="83"/>
        <v>0</v>
      </c>
      <c r="DY75" s="526">
        <f t="shared" ca="1" si="83"/>
        <v>0</v>
      </c>
      <c r="DZ75" s="526">
        <f t="shared" ca="1" si="83"/>
        <v>0</v>
      </c>
      <c r="EA75" s="526">
        <f t="shared" ca="1" si="83"/>
        <v>0</v>
      </c>
      <c r="EB75" s="526">
        <f t="shared" ca="1" si="83"/>
        <v>0</v>
      </c>
      <c r="EC75" s="523" t="s">
        <v>557</v>
      </c>
    </row>
    <row r="76" spans="8:133">
      <c r="EC76" s="523" t="s">
        <v>557</v>
      </c>
    </row>
    <row r="77" spans="8:133">
      <c r="H77" s="518" t="s">
        <v>1190</v>
      </c>
      <c r="L77" s="526">
        <f ca="1">L68+L75</f>
        <v>0</v>
      </c>
      <c r="M77" s="526">
        <f t="shared" ref="M77:BX77" ca="1" si="84">M68+M75</f>
        <v>0</v>
      </c>
      <c r="N77" s="526">
        <f t="shared" ca="1" si="84"/>
        <v>0</v>
      </c>
      <c r="O77" s="526">
        <f t="shared" ca="1" si="84"/>
        <v>0</v>
      </c>
      <c r="P77" s="526">
        <f t="shared" ca="1" si="84"/>
        <v>0</v>
      </c>
      <c r="Q77" s="526">
        <f t="shared" ca="1" si="84"/>
        <v>0</v>
      </c>
      <c r="R77" s="526">
        <f t="shared" ca="1" si="84"/>
        <v>0</v>
      </c>
      <c r="S77" s="526">
        <f t="shared" ca="1" si="84"/>
        <v>0</v>
      </c>
      <c r="T77" s="526">
        <f t="shared" ca="1" si="84"/>
        <v>0</v>
      </c>
      <c r="U77" s="526">
        <f t="shared" ca="1" si="84"/>
        <v>0</v>
      </c>
      <c r="V77" s="526">
        <f t="shared" ca="1" si="84"/>
        <v>0</v>
      </c>
      <c r="W77" s="526">
        <f t="shared" ca="1" si="84"/>
        <v>0</v>
      </c>
      <c r="X77" s="526">
        <f t="shared" ca="1" si="84"/>
        <v>0</v>
      </c>
      <c r="Y77" s="526">
        <f t="shared" ca="1" si="84"/>
        <v>0</v>
      </c>
      <c r="Z77" s="526">
        <f t="shared" ca="1" si="84"/>
        <v>0</v>
      </c>
      <c r="AA77" s="526">
        <f t="shared" ca="1" si="84"/>
        <v>0</v>
      </c>
      <c r="AB77" s="526">
        <f t="shared" ca="1" si="84"/>
        <v>0</v>
      </c>
      <c r="AC77" s="526">
        <f t="shared" ca="1" si="84"/>
        <v>0</v>
      </c>
      <c r="AD77" s="526">
        <f t="shared" ca="1" si="84"/>
        <v>0</v>
      </c>
      <c r="AE77" s="526">
        <f t="shared" ca="1" si="84"/>
        <v>0</v>
      </c>
      <c r="AF77" s="526">
        <f t="shared" ca="1" si="84"/>
        <v>0</v>
      </c>
      <c r="AG77" s="526">
        <f t="shared" ca="1" si="84"/>
        <v>0</v>
      </c>
      <c r="AH77" s="526">
        <f t="shared" ca="1" si="84"/>
        <v>0</v>
      </c>
      <c r="AI77" s="526">
        <f t="shared" ca="1" si="84"/>
        <v>0</v>
      </c>
      <c r="AJ77" s="526">
        <f t="shared" ca="1" si="84"/>
        <v>0</v>
      </c>
      <c r="AK77" s="526">
        <f t="shared" ca="1" si="84"/>
        <v>0</v>
      </c>
      <c r="AL77" s="526">
        <f t="shared" ca="1" si="84"/>
        <v>0</v>
      </c>
      <c r="AM77" s="526">
        <f t="shared" ca="1" si="84"/>
        <v>0</v>
      </c>
      <c r="AN77" s="526">
        <f t="shared" ca="1" si="84"/>
        <v>0</v>
      </c>
      <c r="AO77" s="526">
        <f t="shared" ca="1" si="84"/>
        <v>0</v>
      </c>
      <c r="AP77" s="526">
        <f t="shared" ca="1" si="84"/>
        <v>0</v>
      </c>
      <c r="AQ77" s="526">
        <f t="shared" ca="1" si="84"/>
        <v>0</v>
      </c>
      <c r="AR77" s="526">
        <f t="shared" ca="1" si="84"/>
        <v>0</v>
      </c>
      <c r="AS77" s="526">
        <f t="shared" ca="1" si="84"/>
        <v>0</v>
      </c>
      <c r="AT77" s="526">
        <f t="shared" ca="1" si="84"/>
        <v>0</v>
      </c>
      <c r="AU77" s="526">
        <f t="shared" ca="1" si="84"/>
        <v>0</v>
      </c>
      <c r="AV77" s="526">
        <f t="shared" ca="1" si="84"/>
        <v>0</v>
      </c>
      <c r="AW77" s="526">
        <f t="shared" ca="1" si="84"/>
        <v>0</v>
      </c>
      <c r="AX77" s="526">
        <f t="shared" ca="1" si="84"/>
        <v>0</v>
      </c>
      <c r="AY77" s="526">
        <f t="shared" ca="1" si="84"/>
        <v>0</v>
      </c>
      <c r="AZ77" s="526">
        <f t="shared" ca="1" si="84"/>
        <v>0</v>
      </c>
      <c r="BA77" s="526">
        <f t="shared" ca="1" si="84"/>
        <v>0</v>
      </c>
      <c r="BB77" s="526">
        <f t="shared" ca="1" si="84"/>
        <v>0</v>
      </c>
      <c r="BC77" s="526">
        <f t="shared" ca="1" si="84"/>
        <v>0</v>
      </c>
      <c r="BD77" s="526">
        <f t="shared" ca="1" si="84"/>
        <v>0</v>
      </c>
      <c r="BE77" s="526">
        <f t="shared" ca="1" si="84"/>
        <v>0</v>
      </c>
      <c r="BF77" s="526">
        <f t="shared" ca="1" si="84"/>
        <v>0</v>
      </c>
      <c r="BG77" s="526">
        <f t="shared" ca="1" si="84"/>
        <v>0</v>
      </c>
      <c r="BH77" s="526">
        <f t="shared" ca="1" si="84"/>
        <v>60948.302713650744</v>
      </c>
      <c r="BI77" s="526">
        <f t="shared" ca="1" si="84"/>
        <v>0</v>
      </c>
      <c r="BJ77" s="526">
        <f t="shared" ca="1" si="84"/>
        <v>0</v>
      </c>
      <c r="BK77" s="526">
        <f t="shared" ca="1" si="84"/>
        <v>0</v>
      </c>
      <c r="BL77" s="526">
        <f t="shared" ca="1" si="84"/>
        <v>0</v>
      </c>
      <c r="BM77" s="526">
        <f t="shared" ca="1" si="84"/>
        <v>0</v>
      </c>
      <c r="BN77" s="526">
        <f t="shared" ca="1" si="84"/>
        <v>0</v>
      </c>
      <c r="BO77" s="526">
        <f t="shared" ca="1" si="84"/>
        <v>0</v>
      </c>
      <c r="BP77" s="526">
        <f t="shared" ca="1" si="84"/>
        <v>0</v>
      </c>
      <c r="BQ77" s="526">
        <f t="shared" ca="1" si="84"/>
        <v>0</v>
      </c>
      <c r="BR77" s="526">
        <f t="shared" ca="1" si="84"/>
        <v>0</v>
      </c>
      <c r="BS77" s="526">
        <f t="shared" ca="1" si="84"/>
        <v>0</v>
      </c>
      <c r="BT77" s="526">
        <f t="shared" ca="1" si="84"/>
        <v>0</v>
      </c>
      <c r="BU77" s="526">
        <f t="shared" ca="1" si="84"/>
        <v>0</v>
      </c>
      <c r="BV77" s="526">
        <f t="shared" ca="1" si="84"/>
        <v>0</v>
      </c>
      <c r="BW77" s="526">
        <f t="shared" ca="1" si="84"/>
        <v>0</v>
      </c>
      <c r="BX77" s="526">
        <f t="shared" ca="1" si="84"/>
        <v>0</v>
      </c>
      <c r="BY77" s="526">
        <f t="shared" ref="BY77:EB77" ca="1" si="85">BY68+BY75</f>
        <v>0</v>
      </c>
      <c r="BZ77" s="526">
        <f t="shared" ca="1" si="85"/>
        <v>0</v>
      </c>
      <c r="CA77" s="526">
        <f t="shared" ca="1" si="85"/>
        <v>0</v>
      </c>
      <c r="CB77" s="526">
        <f t="shared" ca="1" si="85"/>
        <v>0</v>
      </c>
      <c r="CC77" s="526">
        <f t="shared" ca="1" si="85"/>
        <v>0</v>
      </c>
      <c r="CD77" s="526">
        <f t="shared" ca="1" si="85"/>
        <v>0</v>
      </c>
      <c r="CE77" s="526">
        <f t="shared" ca="1" si="85"/>
        <v>0</v>
      </c>
      <c r="CF77" s="526">
        <f t="shared" ca="1" si="85"/>
        <v>0</v>
      </c>
      <c r="CG77" s="526">
        <f t="shared" ca="1" si="85"/>
        <v>0</v>
      </c>
      <c r="CH77" s="526">
        <f t="shared" ca="1" si="85"/>
        <v>0</v>
      </c>
      <c r="CI77" s="526">
        <f t="shared" ca="1" si="85"/>
        <v>0</v>
      </c>
      <c r="CJ77" s="526">
        <f t="shared" ca="1" si="85"/>
        <v>0</v>
      </c>
      <c r="CK77" s="526">
        <f t="shared" ca="1" si="85"/>
        <v>0</v>
      </c>
      <c r="CL77" s="526">
        <f t="shared" ca="1" si="85"/>
        <v>0</v>
      </c>
      <c r="CM77" s="526">
        <f t="shared" ca="1" si="85"/>
        <v>0</v>
      </c>
      <c r="CN77" s="526">
        <f t="shared" ca="1" si="85"/>
        <v>0</v>
      </c>
      <c r="CO77" s="526">
        <f t="shared" ca="1" si="85"/>
        <v>0</v>
      </c>
      <c r="CP77" s="526">
        <f t="shared" ca="1" si="85"/>
        <v>0</v>
      </c>
      <c r="CQ77" s="526">
        <f t="shared" ca="1" si="85"/>
        <v>0</v>
      </c>
      <c r="CR77" s="526">
        <f t="shared" ca="1" si="85"/>
        <v>0</v>
      </c>
      <c r="CS77" s="526">
        <f t="shared" ca="1" si="85"/>
        <v>0</v>
      </c>
      <c r="CT77" s="526">
        <f t="shared" ca="1" si="85"/>
        <v>0</v>
      </c>
      <c r="CU77" s="526">
        <f t="shared" ca="1" si="85"/>
        <v>0</v>
      </c>
      <c r="CV77" s="526">
        <f t="shared" ca="1" si="85"/>
        <v>0</v>
      </c>
      <c r="CW77" s="526">
        <f t="shared" ca="1" si="85"/>
        <v>0</v>
      </c>
      <c r="CX77" s="526">
        <f t="shared" ca="1" si="85"/>
        <v>0</v>
      </c>
      <c r="CY77" s="526">
        <f t="shared" ca="1" si="85"/>
        <v>0</v>
      </c>
      <c r="CZ77" s="526">
        <f t="shared" ca="1" si="85"/>
        <v>0</v>
      </c>
      <c r="DA77" s="526">
        <f t="shared" ca="1" si="85"/>
        <v>0</v>
      </c>
      <c r="DB77" s="526">
        <f t="shared" ca="1" si="85"/>
        <v>0</v>
      </c>
      <c r="DC77" s="526">
        <f t="shared" ca="1" si="85"/>
        <v>0</v>
      </c>
      <c r="DD77" s="526">
        <f t="shared" ca="1" si="85"/>
        <v>0</v>
      </c>
      <c r="DE77" s="526">
        <f t="shared" ca="1" si="85"/>
        <v>0</v>
      </c>
      <c r="DF77" s="526">
        <f t="shared" ca="1" si="85"/>
        <v>0</v>
      </c>
      <c r="DG77" s="526">
        <f t="shared" ca="1" si="85"/>
        <v>0</v>
      </c>
      <c r="DH77" s="526">
        <f t="shared" ca="1" si="85"/>
        <v>0</v>
      </c>
      <c r="DI77" s="526">
        <f t="shared" ca="1" si="85"/>
        <v>0</v>
      </c>
      <c r="DJ77" s="526">
        <f t="shared" ca="1" si="85"/>
        <v>0</v>
      </c>
      <c r="DK77" s="526">
        <f t="shared" ca="1" si="85"/>
        <v>0</v>
      </c>
      <c r="DL77" s="526">
        <f t="shared" ca="1" si="85"/>
        <v>0</v>
      </c>
      <c r="DM77" s="526">
        <f t="shared" ca="1" si="85"/>
        <v>0</v>
      </c>
      <c r="DN77" s="526">
        <f t="shared" ca="1" si="85"/>
        <v>0</v>
      </c>
      <c r="DO77" s="526">
        <f t="shared" ca="1" si="85"/>
        <v>0</v>
      </c>
      <c r="DP77" s="526">
        <f t="shared" ca="1" si="85"/>
        <v>0</v>
      </c>
      <c r="DQ77" s="526">
        <f t="shared" ca="1" si="85"/>
        <v>0</v>
      </c>
      <c r="DR77" s="526">
        <f t="shared" ca="1" si="85"/>
        <v>0</v>
      </c>
      <c r="DS77" s="526">
        <f t="shared" ca="1" si="85"/>
        <v>0</v>
      </c>
      <c r="DT77" s="526">
        <f t="shared" ca="1" si="85"/>
        <v>0</v>
      </c>
      <c r="DU77" s="526">
        <f t="shared" ca="1" si="85"/>
        <v>0</v>
      </c>
      <c r="DV77" s="526">
        <f t="shared" ca="1" si="85"/>
        <v>0</v>
      </c>
      <c r="DW77" s="526">
        <f t="shared" ca="1" si="85"/>
        <v>0</v>
      </c>
      <c r="DX77" s="526">
        <f t="shared" ca="1" si="85"/>
        <v>0</v>
      </c>
      <c r="DY77" s="526">
        <f t="shared" ca="1" si="85"/>
        <v>0</v>
      </c>
      <c r="DZ77" s="526">
        <f t="shared" ca="1" si="85"/>
        <v>0</v>
      </c>
      <c r="EA77" s="526">
        <f t="shared" ca="1" si="85"/>
        <v>0</v>
      </c>
      <c r="EB77" s="526">
        <f t="shared" ca="1" si="85"/>
        <v>0</v>
      </c>
      <c r="EC77" s="523" t="s">
        <v>557</v>
      </c>
    </row>
    <row r="78" spans="8:133" ht="18" thickBot="1">
      <c r="H78" s="554" t="s">
        <v>1167</v>
      </c>
      <c r="I78" s="555"/>
      <c r="J78" s="555"/>
      <c r="K78" s="555"/>
      <c r="L78" s="556">
        <f ca="1">L60-L77</f>
        <v>0</v>
      </c>
      <c r="M78" s="556">
        <f t="shared" ref="M78:BX78" ca="1" si="86">M60-M77</f>
        <v>0</v>
      </c>
      <c r="N78" s="556">
        <f t="shared" ca="1" si="86"/>
        <v>0</v>
      </c>
      <c r="O78" s="556">
        <f t="shared" ca="1" si="86"/>
        <v>0</v>
      </c>
      <c r="P78" s="556">
        <f t="shared" ca="1" si="86"/>
        <v>0</v>
      </c>
      <c r="Q78" s="556">
        <f t="shared" ca="1" si="86"/>
        <v>0</v>
      </c>
      <c r="R78" s="556">
        <f t="shared" ca="1" si="86"/>
        <v>0</v>
      </c>
      <c r="S78" s="556">
        <f t="shared" ca="1" si="86"/>
        <v>0</v>
      </c>
      <c r="T78" s="556">
        <f t="shared" ca="1" si="86"/>
        <v>0</v>
      </c>
      <c r="U78" s="556">
        <f t="shared" ca="1" si="86"/>
        <v>0</v>
      </c>
      <c r="V78" s="556">
        <f t="shared" ca="1" si="86"/>
        <v>0</v>
      </c>
      <c r="W78" s="556">
        <f t="shared" ca="1" si="86"/>
        <v>0</v>
      </c>
      <c r="X78" s="556">
        <f t="shared" ca="1" si="86"/>
        <v>0</v>
      </c>
      <c r="Y78" s="556">
        <f t="shared" ca="1" si="86"/>
        <v>0</v>
      </c>
      <c r="Z78" s="556">
        <f t="shared" ca="1" si="86"/>
        <v>0</v>
      </c>
      <c r="AA78" s="556">
        <f t="shared" ca="1" si="86"/>
        <v>0</v>
      </c>
      <c r="AB78" s="556">
        <f t="shared" ca="1" si="86"/>
        <v>0</v>
      </c>
      <c r="AC78" s="556">
        <f t="shared" ca="1" si="86"/>
        <v>0</v>
      </c>
      <c r="AD78" s="556">
        <f t="shared" ca="1" si="86"/>
        <v>0</v>
      </c>
      <c r="AE78" s="556">
        <f t="shared" ca="1" si="86"/>
        <v>0</v>
      </c>
      <c r="AF78" s="556">
        <f t="shared" ca="1" si="86"/>
        <v>0</v>
      </c>
      <c r="AG78" s="556">
        <f t="shared" ca="1" si="86"/>
        <v>0</v>
      </c>
      <c r="AH78" s="556">
        <f t="shared" ca="1" si="86"/>
        <v>0</v>
      </c>
      <c r="AI78" s="556">
        <f t="shared" ca="1" si="86"/>
        <v>0</v>
      </c>
      <c r="AJ78" s="556">
        <f t="shared" ca="1" si="86"/>
        <v>0</v>
      </c>
      <c r="AK78" s="556">
        <f t="shared" ca="1" si="86"/>
        <v>0</v>
      </c>
      <c r="AL78" s="556">
        <f t="shared" ca="1" si="86"/>
        <v>0</v>
      </c>
      <c r="AM78" s="556">
        <f t="shared" ca="1" si="86"/>
        <v>0</v>
      </c>
      <c r="AN78" s="556">
        <f t="shared" ca="1" si="86"/>
        <v>0</v>
      </c>
      <c r="AO78" s="556">
        <f t="shared" ca="1" si="86"/>
        <v>0</v>
      </c>
      <c r="AP78" s="556">
        <f t="shared" ca="1" si="86"/>
        <v>0</v>
      </c>
      <c r="AQ78" s="556">
        <f t="shared" ca="1" si="86"/>
        <v>0</v>
      </c>
      <c r="AR78" s="556">
        <f t="shared" ca="1" si="86"/>
        <v>0</v>
      </c>
      <c r="AS78" s="556">
        <f t="shared" ca="1" si="86"/>
        <v>0</v>
      </c>
      <c r="AT78" s="556">
        <f t="shared" ca="1" si="86"/>
        <v>0</v>
      </c>
      <c r="AU78" s="556">
        <f t="shared" ca="1" si="86"/>
        <v>0</v>
      </c>
      <c r="AV78" s="556">
        <f t="shared" ca="1" si="86"/>
        <v>0</v>
      </c>
      <c r="AW78" s="556">
        <f t="shared" ca="1" si="86"/>
        <v>0</v>
      </c>
      <c r="AX78" s="556">
        <f t="shared" ca="1" si="86"/>
        <v>0</v>
      </c>
      <c r="AY78" s="556">
        <f t="shared" ca="1" si="86"/>
        <v>0</v>
      </c>
      <c r="AZ78" s="556">
        <f t="shared" ca="1" si="86"/>
        <v>0</v>
      </c>
      <c r="BA78" s="556">
        <f t="shared" ca="1" si="86"/>
        <v>0</v>
      </c>
      <c r="BB78" s="556">
        <f t="shared" ca="1" si="86"/>
        <v>0</v>
      </c>
      <c r="BC78" s="556">
        <f t="shared" ca="1" si="86"/>
        <v>0</v>
      </c>
      <c r="BD78" s="556">
        <f t="shared" ca="1" si="86"/>
        <v>0</v>
      </c>
      <c r="BE78" s="556">
        <f t="shared" ca="1" si="86"/>
        <v>0</v>
      </c>
      <c r="BF78" s="556">
        <f t="shared" ca="1" si="86"/>
        <v>0</v>
      </c>
      <c r="BG78" s="556">
        <f t="shared" ca="1" si="86"/>
        <v>0</v>
      </c>
      <c r="BH78" s="556">
        <f t="shared" ca="1" si="86"/>
        <v>0</v>
      </c>
      <c r="BI78" s="556">
        <f t="shared" ca="1" si="86"/>
        <v>0</v>
      </c>
      <c r="BJ78" s="556">
        <f t="shared" ca="1" si="86"/>
        <v>0</v>
      </c>
      <c r="BK78" s="556">
        <f t="shared" ca="1" si="86"/>
        <v>0</v>
      </c>
      <c r="BL78" s="556">
        <f t="shared" ca="1" si="86"/>
        <v>0</v>
      </c>
      <c r="BM78" s="556">
        <f t="shared" ca="1" si="86"/>
        <v>0</v>
      </c>
      <c r="BN78" s="556">
        <f t="shared" ca="1" si="86"/>
        <v>0</v>
      </c>
      <c r="BO78" s="556">
        <f t="shared" ca="1" si="86"/>
        <v>0</v>
      </c>
      <c r="BP78" s="556">
        <f t="shared" ca="1" si="86"/>
        <v>0</v>
      </c>
      <c r="BQ78" s="556">
        <f t="shared" ca="1" si="86"/>
        <v>0</v>
      </c>
      <c r="BR78" s="556">
        <f t="shared" ca="1" si="86"/>
        <v>0</v>
      </c>
      <c r="BS78" s="556">
        <f t="shared" ca="1" si="86"/>
        <v>0</v>
      </c>
      <c r="BT78" s="556">
        <f t="shared" ca="1" si="86"/>
        <v>0</v>
      </c>
      <c r="BU78" s="556">
        <f t="shared" ca="1" si="86"/>
        <v>0</v>
      </c>
      <c r="BV78" s="556">
        <f t="shared" ca="1" si="86"/>
        <v>0</v>
      </c>
      <c r="BW78" s="556">
        <f t="shared" ca="1" si="86"/>
        <v>0</v>
      </c>
      <c r="BX78" s="556">
        <f t="shared" ca="1" si="86"/>
        <v>0</v>
      </c>
      <c r="BY78" s="556">
        <f t="shared" ref="BY78:EB78" ca="1" si="87">BY60-BY77</f>
        <v>0</v>
      </c>
      <c r="BZ78" s="556">
        <f t="shared" ca="1" si="87"/>
        <v>0</v>
      </c>
      <c r="CA78" s="556">
        <f t="shared" ca="1" si="87"/>
        <v>0</v>
      </c>
      <c r="CB78" s="556">
        <f t="shared" ca="1" si="87"/>
        <v>0</v>
      </c>
      <c r="CC78" s="556">
        <f t="shared" ca="1" si="87"/>
        <v>0</v>
      </c>
      <c r="CD78" s="556">
        <f t="shared" ca="1" si="87"/>
        <v>0</v>
      </c>
      <c r="CE78" s="556">
        <f t="shared" ca="1" si="87"/>
        <v>0</v>
      </c>
      <c r="CF78" s="556">
        <f t="shared" ca="1" si="87"/>
        <v>0</v>
      </c>
      <c r="CG78" s="556">
        <f t="shared" ca="1" si="87"/>
        <v>0</v>
      </c>
      <c r="CH78" s="556">
        <f t="shared" ca="1" si="87"/>
        <v>0</v>
      </c>
      <c r="CI78" s="556">
        <f t="shared" ca="1" si="87"/>
        <v>0</v>
      </c>
      <c r="CJ78" s="556">
        <f t="shared" ca="1" si="87"/>
        <v>0</v>
      </c>
      <c r="CK78" s="556">
        <f t="shared" ca="1" si="87"/>
        <v>0</v>
      </c>
      <c r="CL78" s="556">
        <f t="shared" ca="1" si="87"/>
        <v>0</v>
      </c>
      <c r="CM78" s="556">
        <f t="shared" ca="1" si="87"/>
        <v>0</v>
      </c>
      <c r="CN78" s="556">
        <f t="shared" ca="1" si="87"/>
        <v>0</v>
      </c>
      <c r="CO78" s="556">
        <f t="shared" ca="1" si="87"/>
        <v>0</v>
      </c>
      <c r="CP78" s="556">
        <f t="shared" ca="1" si="87"/>
        <v>0</v>
      </c>
      <c r="CQ78" s="556">
        <f t="shared" ca="1" si="87"/>
        <v>0</v>
      </c>
      <c r="CR78" s="556">
        <f t="shared" ca="1" si="87"/>
        <v>0</v>
      </c>
      <c r="CS78" s="556">
        <f t="shared" ca="1" si="87"/>
        <v>0</v>
      </c>
      <c r="CT78" s="556">
        <f t="shared" ca="1" si="87"/>
        <v>0</v>
      </c>
      <c r="CU78" s="556">
        <f t="shared" ca="1" si="87"/>
        <v>0</v>
      </c>
      <c r="CV78" s="556">
        <f t="shared" ca="1" si="87"/>
        <v>0</v>
      </c>
      <c r="CW78" s="556">
        <f t="shared" ca="1" si="87"/>
        <v>0</v>
      </c>
      <c r="CX78" s="556">
        <f t="shared" ca="1" si="87"/>
        <v>0</v>
      </c>
      <c r="CY78" s="556">
        <f t="shared" ca="1" si="87"/>
        <v>0</v>
      </c>
      <c r="CZ78" s="556">
        <f t="shared" ca="1" si="87"/>
        <v>0</v>
      </c>
      <c r="DA78" s="556">
        <f t="shared" ca="1" si="87"/>
        <v>0</v>
      </c>
      <c r="DB78" s="556">
        <f t="shared" ca="1" si="87"/>
        <v>0</v>
      </c>
      <c r="DC78" s="556">
        <f t="shared" ca="1" si="87"/>
        <v>0</v>
      </c>
      <c r="DD78" s="556">
        <f t="shared" ca="1" si="87"/>
        <v>0</v>
      </c>
      <c r="DE78" s="556">
        <f t="shared" ca="1" si="87"/>
        <v>0</v>
      </c>
      <c r="DF78" s="556">
        <f t="shared" ca="1" si="87"/>
        <v>0</v>
      </c>
      <c r="DG78" s="556">
        <f t="shared" ca="1" si="87"/>
        <v>0</v>
      </c>
      <c r="DH78" s="556">
        <f t="shared" ca="1" si="87"/>
        <v>0</v>
      </c>
      <c r="DI78" s="556">
        <f t="shared" ca="1" si="87"/>
        <v>0</v>
      </c>
      <c r="DJ78" s="556">
        <f t="shared" ca="1" si="87"/>
        <v>0</v>
      </c>
      <c r="DK78" s="556">
        <f t="shared" ca="1" si="87"/>
        <v>0</v>
      </c>
      <c r="DL78" s="556">
        <f t="shared" ca="1" si="87"/>
        <v>0</v>
      </c>
      <c r="DM78" s="556">
        <f t="shared" ca="1" si="87"/>
        <v>0</v>
      </c>
      <c r="DN78" s="556">
        <f t="shared" ca="1" si="87"/>
        <v>0</v>
      </c>
      <c r="DO78" s="556">
        <f t="shared" ca="1" si="87"/>
        <v>0</v>
      </c>
      <c r="DP78" s="556">
        <f t="shared" ca="1" si="87"/>
        <v>0</v>
      </c>
      <c r="DQ78" s="556">
        <f t="shared" ca="1" si="87"/>
        <v>0</v>
      </c>
      <c r="DR78" s="556">
        <f t="shared" ca="1" si="87"/>
        <v>0</v>
      </c>
      <c r="DS78" s="556">
        <f t="shared" ca="1" si="87"/>
        <v>0</v>
      </c>
      <c r="DT78" s="556">
        <f t="shared" ca="1" si="87"/>
        <v>0</v>
      </c>
      <c r="DU78" s="556">
        <f t="shared" ca="1" si="87"/>
        <v>0</v>
      </c>
      <c r="DV78" s="556">
        <f t="shared" ca="1" si="87"/>
        <v>0</v>
      </c>
      <c r="DW78" s="556">
        <f t="shared" ca="1" si="87"/>
        <v>0</v>
      </c>
      <c r="DX78" s="556">
        <f t="shared" ca="1" si="87"/>
        <v>0</v>
      </c>
      <c r="DY78" s="556">
        <f t="shared" ca="1" si="87"/>
        <v>0</v>
      </c>
      <c r="DZ78" s="556">
        <f t="shared" ca="1" si="87"/>
        <v>0</v>
      </c>
      <c r="EA78" s="556">
        <f t="shared" ca="1" si="87"/>
        <v>0</v>
      </c>
      <c r="EB78" s="556">
        <f t="shared" ca="1" si="87"/>
        <v>0</v>
      </c>
      <c r="EC78" s="523" t="s">
        <v>557</v>
      </c>
    </row>
    <row r="79" spans="8:133">
      <c r="L79" s="526"/>
      <c r="M79" s="526"/>
      <c r="N79" s="526"/>
      <c r="O79" s="526"/>
      <c r="P79" s="526"/>
      <c r="Q79" s="526"/>
      <c r="R79" s="526"/>
      <c r="S79" s="526"/>
      <c r="T79" s="526"/>
      <c r="U79" s="526"/>
      <c r="V79" s="526"/>
      <c r="W79" s="526"/>
      <c r="X79" s="526"/>
      <c r="Y79" s="526"/>
      <c r="Z79" s="526"/>
      <c r="AA79" s="526"/>
      <c r="AB79" s="526"/>
      <c r="AC79" s="526"/>
      <c r="AD79" s="526"/>
      <c r="AE79" s="526"/>
      <c r="AF79" s="526"/>
      <c r="AG79" s="526"/>
      <c r="AH79" s="526"/>
      <c r="AI79" s="526"/>
      <c r="AJ79" s="526"/>
      <c r="AK79" s="526"/>
      <c r="AL79" s="526"/>
      <c r="AM79" s="526"/>
      <c r="AN79" s="526"/>
      <c r="AO79" s="526"/>
      <c r="AP79" s="526"/>
      <c r="AQ79" s="526"/>
      <c r="AR79" s="526"/>
      <c r="AS79" s="526"/>
      <c r="AT79" s="526"/>
      <c r="AU79" s="526"/>
      <c r="AV79" s="526"/>
      <c r="AW79" s="526"/>
      <c r="AX79" s="526"/>
      <c r="AY79" s="526"/>
      <c r="AZ79" s="526"/>
      <c r="BA79" s="526"/>
      <c r="BB79" s="526"/>
      <c r="BC79" s="526"/>
      <c r="BD79" s="526"/>
      <c r="BE79" s="526"/>
      <c r="BF79" s="526"/>
      <c r="BG79" s="526"/>
      <c r="BH79" s="526"/>
      <c r="BI79" s="526"/>
      <c r="BJ79" s="526"/>
      <c r="BK79" s="526"/>
      <c r="BL79" s="526"/>
      <c r="BM79" s="526"/>
      <c r="BN79" s="526"/>
      <c r="BO79" s="526"/>
      <c r="BP79" s="526"/>
      <c r="BQ79" s="526"/>
      <c r="BR79" s="526"/>
      <c r="BS79" s="526"/>
      <c r="BT79" s="526"/>
      <c r="BU79" s="526"/>
      <c r="BV79" s="526"/>
      <c r="BW79" s="526"/>
      <c r="BX79" s="526"/>
      <c r="BY79" s="526"/>
      <c r="BZ79" s="526"/>
      <c r="CA79" s="526"/>
      <c r="CB79" s="526"/>
      <c r="CC79" s="526"/>
      <c r="CD79" s="526"/>
      <c r="CE79" s="526"/>
      <c r="CF79" s="526"/>
      <c r="CG79" s="526"/>
      <c r="CH79" s="526"/>
      <c r="CI79" s="526"/>
      <c r="CJ79" s="526"/>
      <c r="CK79" s="526"/>
      <c r="CL79" s="526"/>
      <c r="CM79" s="526"/>
      <c r="CN79" s="526"/>
      <c r="CO79" s="526"/>
      <c r="CP79" s="526"/>
      <c r="CQ79" s="526"/>
      <c r="CR79" s="526"/>
      <c r="CS79" s="526"/>
      <c r="CT79" s="526"/>
      <c r="CU79" s="526"/>
      <c r="CV79" s="526"/>
      <c r="CW79" s="526"/>
      <c r="CX79" s="526"/>
      <c r="CY79" s="526"/>
      <c r="CZ79" s="526"/>
      <c r="DA79" s="526"/>
      <c r="DB79" s="526"/>
      <c r="DC79" s="526"/>
      <c r="DD79" s="526"/>
      <c r="DE79" s="526"/>
      <c r="DF79" s="526"/>
      <c r="DG79" s="526"/>
      <c r="DH79" s="526"/>
      <c r="DI79" s="526"/>
      <c r="DJ79" s="526"/>
      <c r="DK79" s="526"/>
      <c r="DL79" s="526"/>
      <c r="DM79" s="526"/>
      <c r="DN79" s="526"/>
      <c r="DO79" s="526"/>
      <c r="DP79" s="526"/>
      <c r="DQ79" s="526"/>
      <c r="DR79" s="526"/>
      <c r="DS79" s="526"/>
      <c r="DT79" s="526"/>
      <c r="DU79" s="526"/>
      <c r="DV79" s="526"/>
      <c r="DW79" s="526"/>
      <c r="DX79" s="526"/>
      <c r="DY79" s="526"/>
      <c r="DZ79" s="526"/>
      <c r="EA79" s="526"/>
      <c r="EB79" s="526"/>
      <c r="EC79" s="523"/>
    </row>
    <row r="80" spans="8:133" ht="19">
      <c r="H80" s="173" t="s">
        <v>1157</v>
      </c>
      <c r="I80" s="529"/>
      <c r="J80" s="529"/>
      <c r="K80" s="530"/>
      <c r="L80" s="530"/>
      <c r="M80" s="530"/>
      <c r="N80" s="530"/>
      <c r="O80" s="530"/>
      <c r="P80" s="530"/>
      <c r="Q80" s="530"/>
      <c r="R80" s="530"/>
      <c r="S80" s="530"/>
      <c r="T80" s="530"/>
      <c r="U80" s="530"/>
      <c r="V80" s="530"/>
      <c r="W80" s="530"/>
      <c r="X80" s="530"/>
      <c r="Y80" s="530"/>
      <c r="Z80" s="530"/>
      <c r="AA80" s="530"/>
      <c r="AB80" s="530"/>
      <c r="AC80" s="530"/>
      <c r="AD80" s="530"/>
      <c r="AE80" s="530"/>
      <c r="AF80" s="530"/>
      <c r="AG80" s="530"/>
      <c r="AH80" s="530"/>
      <c r="AI80" s="530"/>
      <c r="AJ80" s="530"/>
      <c r="AK80" s="530"/>
      <c r="AL80" s="530"/>
      <c r="AM80" s="530"/>
      <c r="AN80" s="530"/>
      <c r="AO80" s="530"/>
      <c r="AP80" s="530"/>
      <c r="AQ80" s="530"/>
      <c r="AR80" s="530"/>
      <c r="AS80" s="530"/>
      <c r="AT80" s="530"/>
      <c r="AU80" s="530"/>
      <c r="AV80" s="530"/>
      <c r="AW80" s="530"/>
      <c r="AX80" s="530"/>
      <c r="AY80" s="530"/>
      <c r="AZ80" s="530"/>
      <c r="BA80" s="530"/>
      <c r="BB80" s="530"/>
      <c r="BC80" s="530"/>
      <c r="BD80" s="530"/>
      <c r="BE80" s="530"/>
      <c r="BF80" s="530"/>
      <c r="BG80" s="530"/>
      <c r="BH80" s="530"/>
      <c r="BI80" s="530"/>
      <c r="BJ80" s="530"/>
      <c r="BK80" s="530"/>
      <c r="BL80" s="530"/>
      <c r="BM80" s="530"/>
      <c r="BN80" s="530"/>
      <c r="BO80" s="530"/>
      <c r="BP80" s="530"/>
      <c r="BQ80" s="530"/>
      <c r="BR80" s="530"/>
      <c r="BS80" s="530"/>
      <c r="BT80" s="530"/>
      <c r="BU80" s="530"/>
      <c r="BV80" s="530"/>
      <c r="BW80" s="530"/>
      <c r="BX80" s="530"/>
      <c r="BY80" s="530"/>
      <c r="BZ80" s="530"/>
      <c r="CA80" s="530"/>
      <c r="CB80" s="530"/>
      <c r="CC80" s="530"/>
      <c r="CD80" s="530"/>
      <c r="CE80" s="530"/>
      <c r="CF80" s="530"/>
      <c r="CG80" s="530"/>
      <c r="CH80" s="530"/>
      <c r="CI80" s="530"/>
      <c r="CJ80" s="530"/>
      <c r="CK80" s="530"/>
      <c r="CL80" s="530"/>
      <c r="CM80" s="530"/>
      <c r="CN80" s="530"/>
      <c r="CO80" s="530"/>
      <c r="CP80" s="530"/>
      <c r="CQ80" s="530"/>
      <c r="CR80" s="530"/>
      <c r="CS80" s="530"/>
      <c r="CT80" s="530"/>
      <c r="CU80" s="530"/>
      <c r="CV80" s="530"/>
      <c r="CW80" s="530"/>
      <c r="CX80" s="530"/>
      <c r="CY80" s="530"/>
      <c r="CZ80" s="530"/>
      <c r="DA80" s="530"/>
      <c r="DB80" s="530"/>
      <c r="DC80" s="530"/>
      <c r="DD80" s="530"/>
      <c r="DE80" s="530"/>
      <c r="DF80" s="530"/>
      <c r="DG80" s="530"/>
      <c r="DH80" s="530"/>
      <c r="DI80" s="530"/>
      <c r="DJ80" s="530"/>
      <c r="DK80" s="530"/>
      <c r="DL80" s="530"/>
      <c r="DM80" s="530"/>
      <c r="DN80" s="530"/>
      <c r="DO80" s="530"/>
      <c r="DP80" s="530"/>
      <c r="DQ80" s="530"/>
      <c r="DR80" s="530"/>
      <c r="DS80" s="530"/>
      <c r="DT80" s="530"/>
      <c r="DU80" s="530"/>
      <c r="DV80" s="530"/>
      <c r="DW80" s="530"/>
      <c r="DX80" s="530"/>
      <c r="DY80" s="530"/>
      <c r="DZ80" s="530"/>
      <c r="EA80" s="530"/>
      <c r="EB80" s="530"/>
      <c r="EC80" s="523" t="s">
        <v>557</v>
      </c>
    </row>
    <row r="81" spans="6:133">
      <c r="H81" s="520" t="s">
        <v>1136</v>
      </c>
      <c r="I81" s="533"/>
      <c r="J81" s="533"/>
      <c r="K81" s="521"/>
      <c r="L81" s="521"/>
      <c r="M81" s="521"/>
      <c r="N81" s="521"/>
      <c r="O81" s="521"/>
      <c r="P81" s="521"/>
      <c r="Q81" s="521"/>
      <c r="R81" s="521"/>
      <c r="S81" s="521"/>
      <c r="T81" s="521"/>
      <c r="U81" s="521"/>
      <c r="V81" s="521"/>
      <c r="W81" s="521"/>
      <c r="X81" s="521"/>
      <c r="Y81" s="521"/>
      <c r="Z81" s="521"/>
      <c r="AA81" s="521"/>
      <c r="AB81" s="521"/>
      <c r="AC81" s="521"/>
      <c r="AD81" s="521"/>
      <c r="AE81" s="521"/>
      <c r="AF81" s="521"/>
      <c r="AG81" s="521"/>
      <c r="AH81" s="521"/>
      <c r="AI81" s="521"/>
      <c r="AJ81" s="521"/>
      <c r="AK81" s="521"/>
      <c r="AL81" s="521"/>
      <c r="AM81" s="521"/>
      <c r="AN81" s="521"/>
      <c r="AO81" s="521"/>
      <c r="AP81" s="521"/>
      <c r="AQ81" s="521"/>
      <c r="AR81" s="521"/>
      <c r="AS81" s="521"/>
      <c r="AT81" s="521"/>
      <c r="AU81" s="521"/>
      <c r="AV81" s="521"/>
      <c r="AW81" s="521"/>
      <c r="AX81" s="521"/>
      <c r="AY81" s="521"/>
      <c r="AZ81" s="521"/>
      <c r="BA81" s="521"/>
      <c r="BB81" s="521"/>
      <c r="BC81" s="521"/>
      <c r="BD81" s="521"/>
      <c r="BE81" s="521"/>
      <c r="BF81" s="521"/>
      <c r="BG81" s="521"/>
      <c r="BH81" s="521"/>
      <c r="BI81" s="521"/>
      <c r="BJ81" s="521"/>
      <c r="BK81" s="521"/>
      <c r="BL81" s="521"/>
      <c r="BM81" s="521"/>
      <c r="BN81" s="521"/>
      <c r="BO81" s="521"/>
      <c r="BP81" s="521"/>
      <c r="BQ81" s="521"/>
      <c r="BR81" s="521"/>
      <c r="BS81" s="521"/>
      <c r="BT81" s="521"/>
      <c r="BU81" s="521"/>
      <c r="BV81" s="521"/>
      <c r="BW81" s="521"/>
      <c r="BX81" s="521"/>
      <c r="BY81" s="521"/>
      <c r="BZ81" s="521"/>
      <c r="CA81" s="521"/>
      <c r="CB81" s="521"/>
      <c r="CC81" s="521"/>
      <c r="CD81" s="521"/>
      <c r="CE81" s="521"/>
      <c r="CF81" s="521"/>
      <c r="CG81" s="521"/>
      <c r="CH81" s="521"/>
      <c r="CI81" s="521"/>
      <c r="CJ81" s="521"/>
      <c r="CK81" s="521"/>
      <c r="CL81" s="521"/>
      <c r="CM81" s="521"/>
      <c r="CN81" s="521"/>
      <c r="CO81" s="521"/>
      <c r="CP81" s="521"/>
      <c r="CQ81" s="521"/>
      <c r="CR81" s="521"/>
      <c r="CS81" s="521"/>
      <c r="CT81" s="521"/>
      <c r="CU81" s="521"/>
      <c r="CV81" s="521"/>
      <c r="CW81" s="521"/>
      <c r="CX81" s="521"/>
      <c r="CY81" s="521"/>
      <c r="CZ81" s="521"/>
      <c r="DA81" s="521"/>
      <c r="DB81" s="521"/>
      <c r="DC81" s="521"/>
      <c r="DD81" s="521"/>
      <c r="DE81" s="521"/>
      <c r="DF81" s="521"/>
      <c r="DG81" s="521"/>
      <c r="DH81" s="521"/>
      <c r="DI81" s="521"/>
      <c r="DJ81" s="521"/>
      <c r="DK81" s="521"/>
      <c r="DL81" s="521"/>
      <c r="DM81" s="521"/>
      <c r="DN81" s="521"/>
      <c r="DO81" s="521"/>
      <c r="DP81" s="521"/>
      <c r="DQ81" s="521"/>
      <c r="DR81" s="521"/>
      <c r="DS81" s="521"/>
      <c r="DT81" s="521"/>
      <c r="DU81" s="521"/>
      <c r="DV81" s="521"/>
      <c r="DW81" s="521"/>
      <c r="DX81" s="521"/>
      <c r="DY81" s="521"/>
      <c r="DZ81" s="521"/>
      <c r="EA81" s="521"/>
      <c r="EB81" s="521"/>
      <c r="EC81" s="523" t="s">
        <v>557</v>
      </c>
    </row>
    <row r="82" spans="6:133">
      <c r="H82" s="518" t="s">
        <v>1141</v>
      </c>
      <c r="J82" s="1002" t="s">
        <v>1142</v>
      </c>
      <c r="L82" s="526">
        <f>K87</f>
        <v>0</v>
      </c>
      <c r="M82" s="526">
        <f ca="1">L87</f>
        <v>20296000</v>
      </c>
      <c r="N82" s="526">
        <f t="shared" ref="N82:BY82" ca="1" si="88">M87</f>
        <v>20531578.813842569</v>
      </c>
      <c r="O82" s="526">
        <f t="shared" ca="1" si="88"/>
        <v>20768650.641256556</v>
      </c>
      <c r="P82" s="526">
        <f t="shared" ca="1" si="88"/>
        <v>21007224.249000326</v>
      </c>
      <c r="Q82" s="526">
        <f t="shared" ca="1" si="88"/>
        <v>21247308.444110077</v>
      </c>
      <c r="R82" s="526">
        <f t="shared" ca="1" si="88"/>
        <v>21488912.073890235</v>
      </c>
      <c r="S82" s="526">
        <f t="shared" ca="1" si="88"/>
        <v>21732044.025899515</v>
      </c>
      <c r="T82" s="526">
        <f t="shared" ca="1" si="88"/>
        <v>21976713.227932576</v>
      </c>
      <c r="U82" s="526">
        <f t="shared" ca="1" si="88"/>
        <v>22222928.647997156</v>
      </c>
      <c r="V82" s="526">
        <f t="shared" ca="1" si="88"/>
        <v>22470699.294286594</v>
      </c>
      <c r="W82" s="526">
        <f t="shared" ca="1" si="88"/>
        <v>22720034.215147667</v>
      </c>
      <c r="X82" s="526">
        <f t="shared" ca="1" si="88"/>
        <v>22970942.499043595</v>
      </c>
      <c r="Y82" s="526">
        <f t="shared" ca="1" si="88"/>
        <v>23223433.274512142</v>
      </c>
      <c r="Z82" s="526">
        <f t="shared" ca="1" si="88"/>
        <v>23479839.489114981</v>
      </c>
      <c r="AA82" s="526">
        <f t="shared" ca="1" si="88"/>
        <v>23738026.098871134</v>
      </c>
      <c r="AB82" s="526">
        <f t="shared" ca="1" si="88"/>
        <v>23998006.954136267</v>
      </c>
      <c r="AC82" s="526">
        <f t="shared" ca="1" si="88"/>
        <v>24259796.033516716</v>
      </c>
      <c r="AD82" s="526">
        <f t="shared" ca="1" si="88"/>
        <v>24523407.445309244</v>
      </c>
      <c r="AE82" s="526">
        <f t="shared" ca="1" si="88"/>
        <v>24788855.428959548</v>
      </c>
      <c r="AF82" s="526">
        <f t="shared" ca="1" si="88"/>
        <v>25056154.356539845</v>
      </c>
      <c r="AG82" s="526">
        <f t="shared" ca="1" si="88"/>
        <v>25325318.734245721</v>
      </c>
      <c r="AH82" s="526">
        <f t="shared" ca="1" si="88"/>
        <v>25596363.203912586</v>
      </c>
      <c r="AI82" s="526">
        <f t="shared" ca="1" si="88"/>
        <v>25869302.544551983</v>
      </c>
      <c r="AJ82" s="526">
        <f t="shared" ca="1" si="88"/>
        <v>26144151.673908047</v>
      </c>
      <c r="AK82" s="526">
        <f t="shared" ca="1" si="88"/>
        <v>26420925.650034375</v>
      </c>
      <c r="AL82" s="526">
        <f t="shared" ca="1" si="88"/>
        <v>26702934.643081084</v>
      </c>
      <c r="AM82" s="526">
        <f t="shared" ca="1" si="88"/>
        <v>26988031.778525203</v>
      </c>
      <c r="AN82" s="526">
        <f t="shared" ca="1" si="88"/>
        <v>27276260.236638464</v>
      </c>
      <c r="AO82" s="526">
        <f t="shared" ca="1" si="88"/>
        <v>27567663.84510117</v>
      </c>
      <c r="AP82" s="526">
        <f t="shared" ca="1" si="88"/>
        <v>27862287.088868175</v>
      </c>
      <c r="AQ82" s="526">
        <f t="shared" ca="1" si="88"/>
        <v>28160175.120185714</v>
      </c>
      <c r="AR82" s="526">
        <f t="shared" ca="1" si="88"/>
        <v>28461373.768761452</v>
      </c>
      <c r="AS82" s="526">
        <f t="shared" ca="1" si="88"/>
        <v>28765929.552090071</v>
      </c>
      <c r="AT82" s="526">
        <f t="shared" ca="1" si="88"/>
        <v>29073889.685936794</v>
      </c>
      <c r="AU82" s="526">
        <f t="shared" ca="1" si="88"/>
        <v>29385302.094981242</v>
      </c>
      <c r="AV82" s="526">
        <f t="shared" ca="1" si="88"/>
        <v>29700215.423624091</v>
      </c>
      <c r="AW82" s="526">
        <f t="shared" ca="1" si="88"/>
        <v>30018679.046959013</v>
      </c>
      <c r="AX82" s="526">
        <f t="shared" ca="1" si="88"/>
        <v>30343008.044350058</v>
      </c>
      <c r="AY82" s="526">
        <f t="shared" ca="1" si="88"/>
        <v>30671022.99880461</v>
      </c>
      <c r="AZ82" s="526">
        <f t="shared" ca="1" si="88"/>
        <v>31002776.075879753</v>
      </c>
      <c r="BA82" s="526">
        <f t="shared" ca="1" si="88"/>
        <v>31338320.225544643</v>
      </c>
      <c r="BB82" s="526">
        <f t="shared" ca="1" si="88"/>
        <v>31677709.194142066</v>
      </c>
      <c r="BC82" s="526">
        <f t="shared" ca="1" si="88"/>
        <v>32020997.53653295</v>
      </c>
      <c r="BD82" s="526">
        <f t="shared" ca="1" si="88"/>
        <v>32368240.628426656</v>
      </c>
      <c r="BE82" s="526">
        <f t="shared" ca="1" si="88"/>
        <v>32719494.678899873</v>
      </c>
      <c r="BF82" s="526">
        <f t="shared" ca="1" si="88"/>
        <v>33074816.74310701</v>
      </c>
      <c r="BG82" s="526">
        <f t="shared" ca="1" si="88"/>
        <v>33434264.73518502</v>
      </c>
      <c r="BH82" s="526">
        <f t="shared" ca="1" si="88"/>
        <v>33797897.441355631</v>
      </c>
      <c r="BI82" s="526">
        <f t="shared" ca="1" si="88"/>
        <v>5910632.7637432143</v>
      </c>
      <c r="BJ82" s="526">
        <f t="shared" ca="1" si="88"/>
        <v>6001121.4216744853</v>
      </c>
      <c r="BK82" s="526">
        <f t="shared" ca="1" si="88"/>
        <v>6092995.4130449155</v>
      </c>
      <c r="BL82" s="526">
        <f t="shared" ca="1" si="88"/>
        <v>6186275.9465759238</v>
      </c>
      <c r="BM82" s="526">
        <f t="shared" ca="1" si="88"/>
        <v>6280984.5556832245</v>
      </c>
      <c r="BN82" s="526">
        <f t="shared" ca="1" si="88"/>
        <v>6377143.1034477241</v>
      </c>
      <c r="BO82" s="526">
        <f t="shared" ca="1" si="88"/>
        <v>6474773.787662521</v>
      </c>
      <c r="BP82" s="526">
        <f t="shared" ca="1" si="88"/>
        <v>6573899.1459571728</v>
      </c>
      <c r="BQ82" s="526">
        <f t="shared" ca="1" si="88"/>
        <v>6674542.0610004123</v>
      </c>
      <c r="BR82" s="526">
        <f t="shared" ca="1" si="88"/>
        <v>6776725.7657825127</v>
      </c>
      <c r="BS82" s="526">
        <f t="shared" ca="1" si="88"/>
        <v>6880473.8489785288</v>
      </c>
      <c r="BT82" s="526">
        <f t="shared" ca="1" si="88"/>
        <v>6985810.2603936372</v>
      </c>
      <c r="BU82" s="526">
        <f t="shared" ca="1" si="88"/>
        <v>7092759.3164918534</v>
      </c>
      <c r="BV82" s="526">
        <f t="shared" ca="1" si="88"/>
        <v>7201345.7060093787</v>
      </c>
      <c r="BW82" s="526">
        <f t="shared" ca="1" si="88"/>
        <v>7311594.4956538947</v>
      </c>
      <c r="BX82" s="526">
        <f t="shared" ca="1" si="88"/>
        <v>7423531.135891105</v>
      </c>
      <c r="BY82" s="526">
        <f t="shared" ca="1" si="88"/>
        <v>7537181.4668198656</v>
      </c>
      <c r="BZ82" s="526">
        <f t="shared" ref="BZ82:EB82" ca="1" si="89">BY87</f>
        <v>7652571.7241372652</v>
      </c>
      <c r="CA82" s="526">
        <f t="shared" ca="1" si="89"/>
        <v>7769728.5451950217</v>
      </c>
      <c r="CB82" s="526">
        <f t="shared" ca="1" si="89"/>
        <v>7888678.9751486043</v>
      </c>
      <c r="CC82" s="526">
        <f t="shared" ca="1" si="89"/>
        <v>8009450.4732004916</v>
      </c>
      <c r="CD82" s="526">
        <f t="shared" ca="1" si="89"/>
        <v>8132070.918939013</v>
      </c>
      <c r="CE82" s="526">
        <f t="shared" ca="1" si="89"/>
        <v>8256568.6187742315</v>
      </c>
      <c r="CF82" s="526">
        <f t="shared" ca="1" si="89"/>
        <v>8382972.3124723621</v>
      </c>
      <c r="CG82" s="526">
        <f t="shared" ca="1" si="89"/>
        <v>8511311.1797902212</v>
      </c>
      <c r="CH82" s="526">
        <f t="shared" ca="1" si="89"/>
        <v>8641614.847211251</v>
      </c>
      <c r="CI82" s="526">
        <f t="shared" ca="1" si="89"/>
        <v>8773913.3947846703</v>
      </c>
      <c r="CJ82" s="526">
        <f t="shared" ca="1" si="89"/>
        <v>8908237.363069322</v>
      </c>
      <c r="CK82" s="526">
        <f t="shared" ca="1" si="89"/>
        <v>9044617.7601838354</v>
      </c>
      <c r="CL82" s="526">
        <f t="shared" ca="1" si="89"/>
        <v>9183086.0689647142</v>
      </c>
      <c r="CM82" s="526">
        <f t="shared" ca="1" si="89"/>
        <v>9323674.2542340215</v>
      </c>
      <c r="CN82" s="526">
        <f t="shared" ca="1" si="89"/>
        <v>9466414.7701783199</v>
      </c>
      <c r="CO82" s="526">
        <f t="shared" ca="1" si="89"/>
        <v>9611340.5678405836</v>
      </c>
      <c r="CP82" s="526">
        <f t="shared" ca="1" si="89"/>
        <v>9758485.1027268078</v>
      </c>
      <c r="CQ82" s="526">
        <f t="shared" ca="1" si="89"/>
        <v>9907882.3425290696</v>
      </c>
      <c r="CR82" s="526">
        <f t="shared" ca="1" si="89"/>
        <v>10059566.774966827</v>
      </c>
      <c r="CS82" s="526">
        <f t="shared" ca="1" si="89"/>
        <v>10213573.415748257</v>
      </c>
      <c r="CT82" s="526">
        <f t="shared" ca="1" si="89"/>
        <v>10369937.816653494</v>
      </c>
      <c r="CU82" s="526">
        <f t="shared" ca="1" si="89"/>
        <v>10528696.073741598</v>
      </c>
      <c r="CV82" s="526">
        <f t="shared" ca="1" si="89"/>
        <v>10689884.83568318</v>
      </c>
      <c r="CW82" s="526">
        <f t="shared" ca="1" si="89"/>
        <v>10853541.312220596</v>
      </c>
      <c r="CX82" s="526">
        <f t="shared" ca="1" si="89"/>
        <v>11019703.282757651</v>
      </c>
      <c r="CY82" s="526">
        <f t="shared" ca="1" si="89"/>
        <v>11188409.105080821</v>
      </c>
      <c r="CZ82" s="526">
        <f t="shared" ca="1" si="89"/>
        <v>11359697.72421398</v>
      </c>
      <c r="DA82" s="526">
        <f t="shared" ca="1" si="89"/>
        <v>11533608.681408698</v>
      </c>
      <c r="DB82" s="526">
        <f t="shared" ca="1" si="89"/>
        <v>11710182.123272168</v>
      </c>
      <c r="DC82" s="526">
        <f t="shared" ca="1" si="89"/>
        <v>11889458.811034882</v>
      </c>
      <c r="DD82" s="526">
        <f t="shared" ca="1" si="89"/>
        <v>12071480.129960191</v>
      </c>
      <c r="DE82" s="526">
        <f t="shared" ca="1" si="89"/>
        <v>12256288.098897908</v>
      </c>
      <c r="DF82" s="526">
        <f t="shared" ca="1" si="89"/>
        <v>12443925.379984193</v>
      </c>
      <c r="DG82" s="526">
        <f t="shared" ca="1" si="89"/>
        <v>12634435.288489917</v>
      </c>
      <c r="DH82" s="526">
        <f t="shared" ca="1" si="89"/>
        <v>12827861.802819816</v>
      </c>
      <c r="DI82" s="526">
        <f t="shared" ca="1" si="89"/>
        <v>13024249.574664716</v>
      </c>
      <c r="DJ82" s="526">
        <f t="shared" ca="1" si="89"/>
        <v>13223643.939309182</v>
      </c>
      <c r="DK82" s="526">
        <f t="shared" ca="1" si="89"/>
        <v>13426090.926096985</v>
      </c>
      <c r="DL82" s="526">
        <f t="shared" ca="1" si="89"/>
        <v>13631637.269056775</v>
      </c>
      <c r="DM82" s="526">
        <f t="shared" ca="1" si="89"/>
        <v>13840330.417690435</v>
      </c>
      <c r="DN82" s="526">
        <f t="shared" ca="1" si="89"/>
        <v>14052218.547926599</v>
      </c>
      <c r="DO82" s="526">
        <f t="shared" ca="1" si="89"/>
        <v>14267350.573241858</v>
      </c>
      <c r="DP82" s="526">
        <f t="shared" ca="1" si="89"/>
        <v>14485776.155952226</v>
      </c>
      <c r="DQ82" s="526">
        <f t="shared" ca="1" si="89"/>
        <v>14707545.718677487</v>
      </c>
      <c r="DR82" s="526">
        <f t="shared" ca="1" si="89"/>
        <v>14932710.455981027</v>
      </c>
      <c r="DS82" s="526">
        <f t="shared" ca="1" si="89"/>
        <v>15161322.346187897</v>
      </c>
      <c r="DT82" s="526">
        <f t="shared" ca="1" si="89"/>
        <v>15393434.163383776</v>
      </c>
      <c r="DU82" s="526">
        <f t="shared" ca="1" si="89"/>
        <v>15629099.489597654</v>
      </c>
      <c r="DV82" s="526">
        <f t="shared" ca="1" si="89"/>
        <v>15868372.727171013</v>
      </c>
      <c r="DW82" s="526">
        <f t="shared" ca="1" si="89"/>
        <v>16111309.111316377</v>
      </c>
      <c r="DX82" s="526">
        <f t="shared" ca="1" si="89"/>
        <v>16357964.722868126</v>
      </c>
      <c r="DY82" s="526">
        <f t="shared" ca="1" si="89"/>
        <v>16608396.501228519</v>
      </c>
      <c r="DZ82" s="526">
        <f t="shared" ca="1" si="89"/>
        <v>16862662.257511914</v>
      </c>
      <c r="EA82" s="526">
        <f t="shared" ca="1" si="89"/>
        <v>17120820.687890224</v>
      </c>
      <c r="EB82" s="526">
        <f t="shared" ca="1" si="89"/>
        <v>17382931.387142666</v>
      </c>
      <c r="EC82" s="523" t="s">
        <v>557</v>
      </c>
    </row>
    <row r="83" spans="6:133">
      <c r="F83" s="138" t="s">
        <v>1199</v>
      </c>
      <c r="H83" s="518" t="s">
        <v>1180</v>
      </c>
      <c r="I83" s="537">
        <f>F18</f>
        <v>0.2</v>
      </c>
      <c r="J83" s="538">
        <f>((I83+1)^(1/12)-1)</f>
        <v>1.5309470499731193E-2</v>
      </c>
      <c r="L83" s="526">
        <f>L82*$J83</f>
        <v>0</v>
      </c>
      <c r="M83" s="526">
        <f t="shared" ref="M83:BX83" ca="1" si="90">M82*$J83</f>
        <v>310721.01326254429</v>
      </c>
      <c r="N83" s="526">
        <f t="shared" ca="1" si="90"/>
        <v>314327.60016342875</v>
      </c>
      <c r="O83" s="526">
        <f t="shared" ca="1" si="90"/>
        <v>317957.04431154055</v>
      </c>
      <c r="P83" s="526">
        <f t="shared" ca="1" si="90"/>
        <v>321609.47992130823</v>
      </c>
      <c r="Q83" s="526">
        <f t="shared" ca="1" si="90"/>
        <v>325285.04182379268</v>
      </c>
      <c r="R83" s="526">
        <f t="shared" ca="1" si="90"/>
        <v>328983.86546653998</v>
      </c>
      <c r="S83" s="526">
        <f t="shared" ca="1" si="90"/>
        <v>332706.08691336814</v>
      </c>
      <c r="T83" s="526">
        <f t="shared" ca="1" si="90"/>
        <v>336451.84284408606</v>
      </c>
      <c r="U83" s="526">
        <f t="shared" ca="1" si="90"/>
        <v>340221.27055414364</v>
      </c>
      <c r="V83" s="526">
        <f t="shared" ca="1" si="90"/>
        <v>344014.50795421115</v>
      </c>
      <c r="W83" s="526">
        <f t="shared" ca="1" si="90"/>
        <v>347831.69356968655</v>
      </c>
      <c r="X83" s="526">
        <f t="shared" ca="1" si="90"/>
        <v>351672.96654012945</v>
      </c>
      <c r="Y83" s="526">
        <f t="shared" ca="1" si="90"/>
        <v>355538.46661861939</v>
      </c>
      <c r="Z83" s="526">
        <f t="shared" ca="1" si="90"/>
        <v>359463.90999702935</v>
      </c>
      <c r="AA83" s="526">
        <f t="shared" ca="1" si="90"/>
        <v>363416.61028251675</v>
      </c>
      <c r="AB83" s="526">
        <f t="shared" ca="1" si="90"/>
        <v>367396.7795166932</v>
      </c>
      <c r="AC83" s="526">
        <f t="shared" ca="1" si="90"/>
        <v>371404.63170461997</v>
      </c>
      <c r="AD83" s="526">
        <f t="shared" ca="1" si="90"/>
        <v>375440.38283685019</v>
      </c>
      <c r="AE83" s="526">
        <f t="shared" ca="1" si="90"/>
        <v>379504.25091175764</v>
      </c>
      <c r="AF83" s="526">
        <f t="shared" ca="1" si="90"/>
        <v>383596.45595815795</v>
      </c>
      <c r="AG83" s="526">
        <f t="shared" ca="1" si="90"/>
        <v>387717.22005822457</v>
      </c>
      <c r="AH83" s="526">
        <f t="shared" ca="1" si="90"/>
        <v>391866.76737070474</v>
      </c>
      <c r="AI83" s="526">
        <f t="shared" ca="1" si="90"/>
        <v>396045.32415443967</v>
      </c>
      <c r="AJ83" s="526">
        <f t="shared" ca="1" si="90"/>
        <v>400253.11879219313</v>
      </c>
      <c r="AK83" s="526">
        <f t="shared" ca="1" si="90"/>
        <v>404490.38181479246</v>
      </c>
      <c r="AL83" s="526">
        <f t="shared" ca="1" si="90"/>
        <v>408807.79017449991</v>
      </c>
      <c r="AM83" s="526">
        <f t="shared" ca="1" si="90"/>
        <v>413172.47635913955</v>
      </c>
      <c r="AN83" s="526">
        <f t="shared" ca="1" si="90"/>
        <v>417585.10143580753</v>
      </c>
      <c r="AO83" s="526">
        <f t="shared" ca="1" si="90"/>
        <v>422046.33638308255</v>
      </c>
      <c r="AP83" s="526">
        <f t="shared" ca="1" si="90"/>
        <v>426556.86224206863</v>
      </c>
      <c r="AQ83" s="526">
        <f t="shared" ca="1" si="90"/>
        <v>431117.37026974751</v>
      </c>
      <c r="AR83" s="526">
        <f t="shared" ca="1" si="90"/>
        <v>435728.56209467666</v>
      </c>
      <c r="AS83" s="526">
        <f t="shared" ca="1" si="90"/>
        <v>440391.14987506869</v>
      </c>
      <c r="AT83" s="526">
        <f t="shared" ca="1" si="90"/>
        <v>445105.85645928833</v>
      </c>
      <c r="AU83" s="526">
        <f t="shared" ca="1" si="90"/>
        <v>449873.41554880451</v>
      </c>
      <c r="AV83" s="526">
        <f t="shared" ca="1" si="90"/>
        <v>454694.5718636344</v>
      </c>
      <c r="AW83" s="526">
        <f t="shared" ca="1" si="90"/>
        <v>459570.08131031785</v>
      </c>
      <c r="AX83" s="526">
        <f t="shared" ca="1" si="90"/>
        <v>464535.38652808347</v>
      </c>
      <c r="AY83" s="526">
        <f t="shared" ca="1" si="90"/>
        <v>469557.12179677613</v>
      </c>
      <c r="AZ83" s="526">
        <f t="shared" ca="1" si="90"/>
        <v>474636.08574345306</v>
      </c>
      <c r="BA83" s="526">
        <f t="shared" ca="1" si="90"/>
        <v>479773.08900410507</v>
      </c>
      <c r="BB83" s="526">
        <f t="shared" ca="1" si="90"/>
        <v>484968.95440678153</v>
      </c>
      <c r="BC83" s="526">
        <f t="shared" ca="1" si="90"/>
        <v>490224.51715751638</v>
      </c>
      <c r="BD83" s="526">
        <f t="shared" ca="1" si="90"/>
        <v>495540.62502909853</v>
      </c>
      <c r="BE83" s="526">
        <f t="shared" ca="1" si="90"/>
        <v>500918.13855272933</v>
      </c>
      <c r="BF83" s="526">
        <f t="shared" ca="1" si="90"/>
        <v>506357.93121261208</v>
      </c>
      <c r="BG83" s="526">
        <f t="shared" ca="1" si="90"/>
        <v>511860.88964351796</v>
      </c>
      <c r="BH83" s="526">
        <f t="shared" ca="1" si="90"/>
        <v>517427.91383137438</v>
      </c>
      <c r="BI83" s="526">
        <f t="shared" ca="1" si="90"/>
        <v>90488.657931271387</v>
      </c>
      <c r="BJ83" s="526">
        <f t="shared" ca="1" si="90"/>
        <v>91873.991370430449</v>
      </c>
      <c r="BK83" s="526">
        <f t="shared" ca="1" si="90"/>
        <v>93280.533531008608</v>
      </c>
      <c r="BL83" s="526">
        <f t="shared" ca="1" si="90"/>
        <v>94708.60910730077</v>
      </c>
      <c r="BM83" s="526">
        <f t="shared" ca="1" si="90"/>
        <v>96158.547764499555</v>
      </c>
      <c r="BN83" s="526">
        <f t="shared" ca="1" si="90"/>
        <v>97630.684214797162</v>
      </c>
      <c r="BO83" s="526">
        <f t="shared" ca="1" si="90"/>
        <v>99125.358294652164</v>
      </c>
      <c r="BP83" s="526">
        <f t="shared" ca="1" si="90"/>
        <v>100642.91504323942</v>
      </c>
      <c r="BQ83" s="526">
        <f t="shared" ca="1" si="90"/>
        <v>102183.70478210085</v>
      </c>
      <c r="BR83" s="526">
        <f t="shared" ca="1" si="90"/>
        <v>103748.08319601565</v>
      </c>
      <c r="BS83" s="526">
        <f t="shared" ca="1" si="90"/>
        <v>105336.41141510871</v>
      </c>
      <c r="BT83" s="526">
        <f t="shared" ca="1" si="90"/>
        <v>106949.05609821586</v>
      </c>
      <c r="BU83" s="526">
        <f t="shared" ca="1" si="90"/>
        <v>108586.3895175256</v>
      </c>
      <c r="BV83" s="526">
        <f t="shared" ca="1" si="90"/>
        <v>110248.78964451648</v>
      </c>
      <c r="BW83" s="526">
        <f t="shared" ca="1" si="90"/>
        <v>111936.64023721027</v>
      </c>
      <c r="BX83" s="526">
        <f t="shared" ca="1" si="90"/>
        <v>113650.33092876086</v>
      </c>
      <c r="BY83" s="526">
        <f t="shared" ref="BY83:EB83" ca="1" si="91">BY82*$J83</f>
        <v>115390.25731739942</v>
      </c>
      <c r="BZ83" s="526">
        <f t="shared" ca="1" si="91"/>
        <v>117156.82105775653</v>
      </c>
      <c r="CA83" s="526">
        <f t="shared" ca="1" si="91"/>
        <v>118950.42995358254</v>
      </c>
      <c r="CB83" s="526">
        <f t="shared" ca="1" si="91"/>
        <v>120771.49805188725</v>
      </c>
      <c r="CC83" s="526">
        <f t="shared" ca="1" si="91"/>
        <v>122620.44573852097</v>
      </c>
      <c r="CD83" s="526">
        <f t="shared" ca="1" si="91"/>
        <v>124497.69983521875</v>
      </c>
      <c r="CE83" s="526">
        <f t="shared" ca="1" si="91"/>
        <v>126403.69369813042</v>
      </c>
      <c r="CF83" s="526">
        <f t="shared" ca="1" si="91"/>
        <v>128338.86731785901</v>
      </c>
      <c r="CG83" s="526">
        <f t="shared" ca="1" si="91"/>
        <v>130303.66742103068</v>
      </c>
      <c r="CH83" s="526">
        <f t="shared" ca="1" si="91"/>
        <v>132298.54757341972</v>
      </c>
      <c r="CI83" s="526">
        <f t="shared" ca="1" si="91"/>
        <v>134323.96828465228</v>
      </c>
      <c r="CJ83" s="526">
        <f t="shared" ca="1" si="91"/>
        <v>136380.39711451298</v>
      </c>
      <c r="CK83" s="526">
        <f t="shared" ca="1" si="91"/>
        <v>138468.30878087925</v>
      </c>
      <c r="CL83" s="526">
        <f t="shared" ca="1" si="91"/>
        <v>140588.18526930778</v>
      </c>
      <c r="CM83" s="526">
        <f t="shared" ca="1" si="91"/>
        <v>142740.51594429897</v>
      </c>
      <c r="CN83" s="526">
        <f t="shared" ca="1" si="91"/>
        <v>144925.79766226464</v>
      </c>
      <c r="CO83" s="526">
        <f t="shared" ca="1" si="91"/>
        <v>147144.53488622507</v>
      </c>
      <c r="CP83" s="526">
        <f t="shared" ca="1" si="91"/>
        <v>149397.23980226237</v>
      </c>
      <c r="CQ83" s="526">
        <f t="shared" ca="1" si="91"/>
        <v>151684.43243775636</v>
      </c>
      <c r="CR83" s="526">
        <f t="shared" ca="1" si="91"/>
        <v>154006.64078143067</v>
      </c>
      <c r="CS83" s="526">
        <f t="shared" ca="1" si="91"/>
        <v>156364.40090523669</v>
      </c>
      <c r="CT83" s="526">
        <f t="shared" ca="1" si="91"/>
        <v>158758.25708810356</v>
      </c>
      <c r="CU83" s="526">
        <f t="shared" ca="1" si="91"/>
        <v>161188.76194158263</v>
      </c>
      <c r="CV83" s="526">
        <f t="shared" ca="1" si="91"/>
        <v>163656.47653741547</v>
      </c>
      <c r="CW83" s="526">
        <f t="shared" ca="1" si="91"/>
        <v>166161.97053705499</v>
      </c>
      <c r="CX83" s="526">
        <f t="shared" ca="1" si="91"/>
        <v>168705.82232316924</v>
      </c>
      <c r="CY83" s="526">
        <f t="shared" ca="1" si="91"/>
        <v>171288.6191331587</v>
      </c>
      <c r="CZ83" s="526">
        <f t="shared" ca="1" si="91"/>
        <v>173910.95719471748</v>
      </c>
      <c r="DA83" s="526">
        <f t="shared" ca="1" si="91"/>
        <v>176573.44186347004</v>
      </c>
      <c r="DB83" s="526">
        <f t="shared" ca="1" si="91"/>
        <v>179276.68776271484</v>
      </c>
      <c r="DC83" s="526">
        <f t="shared" ca="1" si="91"/>
        <v>182021.31892530763</v>
      </c>
      <c r="DD83" s="526">
        <f t="shared" ca="1" si="91"/>
        <v>184807.9689377168</v>
      </c>
      <c r="DE83" s="526">
        <f t="shared" ca="1" si="91"/>
        <v>187637.28108628403</v>
      </c>
      <c r="DF83" s="526">
        <f t="shared" ca="1" si="91"/>
        <v>190509.90850572428</v>
      </c>
      <c r="DG83" s="526">
        <f t="shared" ca="1" si="91"/>
        <v>193426.51432989916</v>
      </c>
      <c r="DH83" s="526">
        <f t="shared" ca="1" si="91"/>
        <v>196387.77184489858</v>
      </c>
      <c r="DI83" s="526">
        <f t="shared" ca="1" si="91"/>
        <v>199394.364644466</v>
      </c>
      <c r="DJ83" s="526">
        <f t="shared" ca="1" si="91"/>
        <v>202446.98678780309</v>
      </c>
      <c r="DK83" s="526">
        <f t="shared" ca="1" si="91"/>
        <v>205546.34295979043</v>
      </c>
      <c r="DL83" s="526">
        <f t="shared" ca="1" si="91"/>
        <v>208693.14863366098</v>
      </c>
      <c r="DM83" s="526">
        <f t="shared" ca="1" si="91"/>
        <v>211888.13023616403</v>
      </c>
      <c r="DN83" s="526">
        <f t="shared" ca="1" si="91"/>
        <v>215132.02531525778</v>
      </c>
      <c r="DO83" s="526">
        <f t="shared" ca="1" si="91"/>
        <v>218425.58271036914</v>
      </c>
      <c r="DP83" s="526">
        <f t="shared" ca="1" si="91"/>
        <v>221769.56272526013</v>
      </c>
      <c r="DQ83" s="526">
        <f t="shared" ca="1" si="91"/>
        <v>225164.73730354078</v>
      </c>
      <c r="DR83" s="526">
        <f t="shared" ca="1" si="91"/>
        <v>228611.89020686905</v>
      </c>
      <c r="DS83" s="526">
        <f t="shared" ca="1" si="91"/>
        <v>232111.81719587892</v>
      </c>
      <c r="DT83" s="526">
        <f t="shared" ca="1" si="91"/>
        <v>235665.32621387823</v>
      </c>
      <c r="DU83" s="526">
        <f t="shared" ca="1" si="91"/>
        <v>239273.23757335913</v>
      </c>
      <c r="DV83" s="526">
        <f t="shared" ca="1" si="91"/>
        <v>242936.38414536364</v>
      </c>
      <c r="DW83" s="526">
        <f t="shared" ca="1" si="91"/>
        <v>246655.61155174844</v>
      </c>
      <c r="DX83" s="526">
        <f t="shared" ca="1" si="91"/>
        <v>250431.7783603931</v>
      </c>
      <c r="DY83" s="526">
        <f t="shared" ca="1" si="91"/>
        <v>254265.75628339677</v>
      </c>
      <c r="DZ83" s="526">
        <f t="shared" ca="1" si="91"/>
        <v>258158.43037830925</v>
      </c>
      <c r="EA83" s="526">
        <f t="shared" ca="1" si="91"/>
        <v>262110.69925244289</v>
      </c>
      <c r="EB83" s="526">
        <f t="shared" ca="1" si="91"/>
        <v>266123.47527031205</v>
      </c>
      <c r="EC83" s="523" t="s">
        <v>557</v>
      </c>
    </row>
    <row r="84" spans="6:133">
      <c r="H84" s="518" t="s">
        <v>1145</v>
      </c>
      <c r="L84" s="526">
        <f ca="1">L66</f>
        <v>20296000</v>
      </c>
      <c r="M84" s="526">
        <f>M66</f>
        <v>0</v>
      </c>
      <c r="N84" s="526">
        <f t="shared" ref="N84:BY84" si="92">N66</f>
        <v>0</v>
      </c>
      <c r="O84" s="526">
        <f t="shared" si="92"/>
        <v>0</v>
      </c>
      <c r="P84" s="526">
        <f t="shared" si="92"/>
        <v>0</v>
      </c>
      <c r="Q84" s="526">
        <f t="shared" si="92"/>
        <v>0</v>
      </c>
      <c r="R84" s="526">
        <f t="shared" si="92"/>
        <v>0</v>
      </c>
      <c r="S84" s="526">
        <f t="shared" si="92"/>
        <v>0</v>
      </c>
      <c r="T84" s="526">
        <f t="shared" si="92"/>
        <v>0</v>
      </c>
      <c r="U84" s="526">
        <f t="shared" si="92"/>
        <v>0</v>
      </c>
      <c r="V84" s="526">
        <f t="shared" si="92"/>
        <v>0</v>
      </c>
      <c r="W84" s="526">
        <f t="shared" si="92"/>
        <v>0</v>
      </c>
      <c r="X84" s="526">
        <f t="shared" si="92"/>
        <v>0</v>
      </c>
      <c r="Y84" s="526">
        <f t="shared" si="92"/>
        <v>0</v>
      </c>
      <c r="Z84" s="526">
        <f t="shared" si="92"/>
        <v>0</v>
      </c>
      <c r="AA84" s="526">
        <f t="shared" si="92"/>
        <v>0</v>
      </c>
      <c r="AB84" s="526">
        <f t="shared" si="92"/>
        <v>0</v>
      </c>
      <c r="AC84" s="526">
        <f t="shared" si="92"/>
        <v>0</v>
      </c>
      <c r="AD84" s="526">
        <f t="shared" si="92"/>
        <v>0</v>
      </c>
      <c r="AE84" s="526">
        <f t="shared" si="92"/>
        <v>0</v>
      </c>
      <c r="AF84" s="526">
        <f t="shared" si="92"/>
        <v>0</v>
      </c>
      <c r="AG84" s="526">
        <f t="shared" si="92"/>
        <v>0</v>
      </c>
      <c r="AH84" s="526">
        <f t="shared" si="92"/>
        <v>0</v>
      </c>
      <c r="AI84" s="526">
        <f t="shared" si="92"/>
        <v>0</v>
      </c>
      <c r="AJ84" s="526">
        <f t="shared" si="92"/>
        <v>0</v>
      </c>
      <c r="AK84" s="526">
        <f t="shared" si="92"/>
        <v>0</v>
      </c>
      <c r="AL84" s="526">
        <f t="shared" si="92"/>
        <v>0</v>
      </c>
      <c r="AM84" s="526">
        <f t="shared" si="92"/>
        <v>0</v>
      </c>
      <c r="AN84" s="526">
        <f t="shared" si="92"/>
        <v>0</v>
      </c>
      <c r="AO84" s="526">
        <f t="shared" si="92"/>
        <v>0</v>
      </c>
      <c r="AP84" s="526">
        <f t="shared" si="92"/>
        <v>0</v>
      </c>
      <c r="AQ84" s="526">
        <f t="shared" si="92"/>
        <v>0</v>
      </c>
      <c r="AR84" s="526">
        <f t="shared" si="92"/>
        <v>0</v>
      </c>
      <c r="AS84" s="526">
        <f t="shared" si="92"/>
        <v>0</v>
      </c>
      <c r="AT84" s="526">
        <f t="shared" si="92"/>
        <v>0</v>
      </c>
      <c r="AU84" s="526">
        <f t="shared" si="92"/>
        <v>0</v>
      </c>
      <c r="AV84" s="526">
        <f t="shared" si="92"/>
        <v>0</v>
      </c>
      <c r="AW84" s="526">
        <f t="shared" si="92"/>
        <v>0</v>
      </c>
      <c r="AX84" s="526">
        <f t="shared" si="92"/>
        <v>0</v>
      </c>
      <c r="AY84" s="526">
        <f t="shared" si="92"/>
        <v>0</v>
      </c>
      <c r="AZ84" s="526">
        <f t="shared" si="92"/>
        <v>0</v>
      </c>
      <c r="BA84" s="526">
        <f t="shared" si="92"/>
        <v>0</v>
      </c>
      <c r="BB84" s="526">
        <f t="shared" si="92"/>
        <v>0</v>
      </c>
      <c r="BC84" s="526">
        <f t="shared" si="92"/>
        <v>0</v>
      </c>
      <c r="BD84" s="526">
        <f t="shared" si="92"/>
        <v>0</v>
      </c>
      <c r="BE84" s="526">
        <f t="shared" si="92"/>
        <v>0</v>
      </c>
      <c r="BF84" s="526">
        <f t="shared" si="92"/>
        <v>0</v>
      </c>
      <c r="BG84" s="526">
        <f t="shared" si="92"/>
        <v>0</v>
      </c>
      <c r="BH84" s="526">
        <f t="shared" si="92"/>
        <v>0</v>
      </c>
      <c r="BI84" s="526">
        <f t="shared" si="92"/>
        <v>0</v>
      </c>
      <c r="BJ84" s="526">
        <f t="shared" si="92"/>
        <v>0</v>
      </c>
      <c r="BK84" s="526">
        <f t="shared" si="92"/>
        <v>0</v>
      </c>
      <c r="BL84" s="526">
        <f t="shared" si="92"/>
        <v>0</v>
      </c>
      <c r="BM84" s="526">
        <f t="shared" si="92"/>
        <v>0</v>
      </c>
      <c r="BN84" s="526">
        <f t="shared" si="92"/>
        <v>0</v>
      </c>
      <c r="BO84" s="526">
        <f t="shared" si="92"/>
        <v>0</v>
      </c>
      <c r="BP84" s="526">
        <f t="shared" si="92"/>
        <v>0</v>
      </c>
      <c r="BQ84" s="526">
        <f t="shared" si="92"/>
        <v>0</v>
      </c>
      <c r="BR84" s="526">
        <f t="shared" si="92"/>
        <v>0</v>
      </c>
      <c r="BS84" s="526">
        <f t="shared" si="92"/>
        <v>0</v>
      </c>
      <c r="BT84" s="526">
        <f t="shared" si="92"/>
        <v>0</v>
      </c>
      <c r="BU84" s="526">
        <f t="shared" si="92"/>
        <v>0</v>
      </c>
      <c r="BV84" s="526">
        <f t="shared" si="92"/>
        <v>0</v>
      </c>
      <c r="BW84" s="526">
        <f t="shared" si="92"/>
        <v>0</v>
      </c>
      <c r="BX84" s="526">
        <f t="shared" si="92"/>
        <v>0</v>
      </c>
      <c r="BY84" s="526">
        <f t="shared" si="92"/>
        <v>0</v>
      </c>
      <c r="BZ84" s="526">
        <f t="shared" ref="BZ84:EB84" si="93">BZ66</f>
        <v>0</v>
      </c>
      <c r="CA84" s="526">
        <f t="shared" si="93"/>
        <v>0</v>
      </c>
      <c r="CB84" s="526">
        <f t="shared" si="93"/>
        <v>0</v>
      </c>
      <c r="CC84" s="526">
        <f t="shared" si="93"/>
        <v>0</v>
      </c>
      <c r="CD84" s="526">
        <f t="shared" si="93"/>
        <v>0</v>
      </c>
      <c r="CE84" s="526">
        <f t="shared" si="93"/>
        <v>0</v>
      </c>
      <c r="CF84" s="526">
        <f t="shared" si="93"/>
        <v>0</v>
      </c>
      <c r="CG84" s="526">
        <f t="shared" si="93"/>
        <v>0</v>
      </c>
      <c r="CH84" s="526">
        <f t="shared" si="93"/>
        <v>0</v>
      </c>
      <c r="CI84" s="526">
        <f t="shared" si="93"/>
        <v>0</v>
      </c>
      <c r="CJ84" s="526">
        <f t="shared" si="93"/>
        <v>0</v>
      </c>
      <c r="CK84" s="526">
        <f t="shared" si="93"/>
        <v>0</v>
      </c>
      <c r="CL84" s="526">
        <f t="shared" si="93"/>
        <v>0</v>
      </c>
      <c r="CM84" s="526">
        <f t="shared" si="93"/>
        <v>0</v>
      </c>
      <c r="CN84" s="526">
        <f t="shared" si="93"/>
        <v>0</v>
      </c>
      <c r="CO84" s="526">
        <f t="shared" si="93"/>
        <v>0</v>
      </c>
      <c r="CP84" s="526">
        <f t="shared" si="93"/>
        <v>0</v>
      </c>
      <c r="CQ84" s="526">
        <f t="shared" si="93"/>
        <v>0</v>
      </c>
      <c r="CR84" s="526">
        <f t="shared" si="93"/>
        <v>0</v>
      </c>
      <c r="CS84" s="526">
        <f t="shared" si="93"/>
        <v>0</v>
      </c>
      <c r="CT84" s="526">
        <f t="shared" si="93"/>
        <v>0</v>
      </c>
      <c r="CU84" s="526">
        <f t="shared" si="93"/>
        <v>0</v>
      </c>
      <c r="CV84" s="526">
        <f t="shared" si="93"/>
        <v>0</v>
      </c>
      <c r="CW84" s="526">
        <f t="shared" si="93"/>
        <v>0</v>
      </c>
      <c r="CX84" s="526">
        <f t="shared" si="93"/>
        <v>0</v>
      </c>
      <c r="CY84" s="526">
        <f t="shared" si="93"/>
        <v>0</v>
      </c>
      <c r="CZ84" s="526">
        <f t="shared" si="93"/>
        <v>0</v>
      </c>
      <c r="DA84" s="526">
        <f t="shared" si="93"/>
        <v>0</v>
      </c>
      <c r="DB84" s="526">
        <f t="shared" si="93"/>
        <v>0</v>
      </c>
      <c r="DC84" s="526">
        <f t="shared" si="93"/>
        <v>0</v>
      </c>
      <c r="DD84" s="526">
        <f t="shared" si="93"/>
        <v>0</v>
      </c>
      <c r="DE84" s="526">
        <f t="shared" si="93"/>
        <v>0</v>
      </c>
      <c r="DF84" s="526">
        <f t="shared" si="93"/>
        <v>0</v>
      </c>
      <c r="DG84" s="526">
        <f t="shared" si="93"/>
        <v>0</v>
      </c>
      <c r="DH84" s="526">
        <f t="shared" si="93"/>
        <v>0</v>
      </c>
      <c r="DI84" s="526">
        <f t="shared" si="93"/>
        <v>0</v>
      </c>
      <c r="DJ84" s="526">
        <f t="shared" si="93"/>
        <v>0</v>
      </c>
      <c r="DK84" s="526">
        <f t="shared" si="93"/>
        <v>0</v>
      </c>
      <c r="DL84" s="526">
        <f t="shared" si="93"/>
        <v>0</v>
      </c>
      <c r="DM84" s="526">
        <f t="shared" si="93"/>
        <v>0</v>
      </c>
      <c r="DN84" s="526">
        <f t="shared" si="93"/>
        <v>0</v>
      </c>
      <c r="DO84" s="526">
        <f t="shared" si="93"/>
        <v>0</v>
      </c>
      <c r="DP84" s="526">
        <f t="shared" si="93"/>
        <v>0</v>
      </c>
      <c r="DQ84" s="526">
        <f t="shared" si="93"/>
        <v>0</v>
      </c>
      <c r="DR84" s="526">
        <f t="shared" si="93"/>
        <v>0</v>
      </c>
      <c r="DS84" s="526">
        <f t="shared" si="93"/>
        <v>0</v>
      </c>
      <c r="DT84" s="526">
        <f t="shared" si="93"/>
        <v>0</v>
      </c>
      <c r="DU84" s="526">
        <f t="shared" si="93"/>
        <v>0</v>
      </c>
      <c r="DV84" s="526">
        <f t="shared" si="93"/>
        <v>0</v>
      </c>
      <c r="DW84" s="526">
        <f t="shared" si="93"/>
        <v>0</v>
      </c>
      <c r="DX84" s="526">
        <f t="shared" si="93"/>
        <v>0</v>
      </c>
      <c r="DY84" s="526">
        <f t="shared" si="93"/>
        <v>0</v>
      </c>
      <c r="DZ84" s="526">
        <f t="shared" si="93"/>
        <v>0</v>
      </c>
      <c r="EA84" s="526">
        <f t="shared" si="93"/>
        <v>0</v>
      </c>
      <c r="EB84" s="526">
        <f t="shared" si="93"/>
        <v>0</v>
      </c>
      <c r="EC84" s="523" t="s">
        <v>557</v>
      </c>
    </row>
    <row r="85" spans="6:133">
      <c r="H85" s="518" t="s">
        <v>1181</v>
      </c>
      <c r="L85" s="526">
        <f ca="1">L67+L68</f>
        <v>0</v>
      </c>
      <c r="M85" s="526">
        <f t="shared" ref="M85:BX85" ca="1" si="94">M67+M68</f>
        <v>75142.199419975848</v>
      </c>
      <c r="N85" s="526">
        <f t="shared" ca="1" si="94"/>
        <v>77255.772749442272</v>
      </c>
      <c r="O85" s="526">
        <f t="shared" ca="1" si="94"/>
        <v>79383.436567771874</v>
      </c>
      <c r="P85" s="526">
        <f t="shared" ca="1" si="94"/>
        <v>81525.284811557081</v>
      </c>
      <c r="Q85" s="526">
        <f t="shared" ca="1" si="94"/>
        <v>83681.412043634118</v>
      </c>
      <c r="R85" s="526">
        <f t="shared" ca="1" si="94"/>
        <v>85851.913457258299</v>
      </c>
      <c r="S85" s="526">
        <f t="shared" ca="1" si="94"/>
        <v>88036.884880306709</v>
      </c>
      <c r="T85" s="526">
        <f t="shared" ca="1" si="94"/>
        <v>90236.422779508677</v>
      </c>
      <c r="U85" s="526">
        <f t="shared" ca="1" si="94"/>
        <v>92450.624264705359</v>
      </c>
      <c r="V85" s="526">
        <f t="shared" ca="1" si="94"/>
        <v>94679.587093136754</v>
      </c>
      <c r="W85" s="526">
        <f t="shared" ca="1" si="94"/>
        <v>96923.409673757662</v>
      </c>
      <c r="X85" s="526">
        <f t="shared" ca="1" si="94"/>
        <v>99182.191071582594</v>
      </c>
      <c r="Y85" s="526">
        <f t="shared" ca="1" si="94"/>
        <v>99132.252015780003</v>
      </c>
      <c r="Z85" s="526">
        <f t="shared" ca="1" si="94"/>
        <v>101277.30024087873</v>
      </c>
      <c r="AA85" s="526">
        <f t="shared" ca="1" si="94"/>
        <v>103435.75501738423</v>
      </c>
      <c r="AB85" s="526">
        <f t="shared" ca="1" si="94"/>
        <v>105607.70013624289</v>
      </c>
      <c r="AC85" s="526">
        <f t="shared" ca="1" si="94"/>
        <v>107793.2199120944</v>
      </c>
      <c r="AD85" s="526">
        <f t="shared" ca="1" si="94"/>
        <v>109992.39918654515</v>
      </c>
      <c r="AE85" s="526">
        <f t="shared" ca="1" si="94"/>
        <v>112205.32333146107</v>
      </c>
      <c r="AF85" s="526">
        <f t="shared" ca="1" si="94"/>
        <v>114432.07825228265</v>
      </c>
      <c r="AG85" s="526">
        <f t="shared" ca="1" si="94"/>
        <v>116672.75039135954</v>
      </c>
      <c r="AH85" s="526">
        <f t="shared" ca="1" si="94"/>
        <v>118927.4267313055</v>
      </c>
      <c r="AI85" s="526">
        <f t="shared" ca="1" si="94"/>
        <v>121196.19479837616</v>
      </c>
      <c r="AJ85" s="526">
        <f t="shared" ca="1" si="94"/>
        <v>123479.14266586611</v>
      </c>
      <c r="AK85" s="526">
        <f t="shared" ca="1" si="94"/>
        <v>122481.38876808564</v>
      </c>
      <c r="AL85" s="526">
        <f t="shared" ca="1" si="94"/>
        <v>123710.65473037933</v>
      </c>
      <c r="AM85" s="526">
        <f t="shared" ca="1" si="94"/>
        <v>124944.01824588062</v>
      </c>
      <c r="AN85" s="526">
        <f t="shared" ca="1" si="94"/>
        <v>126181.4929731002</v>
      </c>
      <c r="AO85" s="526">
        <f t="shared" ca="1" si="94"/>
        <v>127423.09261607715</v>
      </c>
      <c r="AP85" s="526">
        <f t="shared" ca="1" si="94"/>
        <v>128668.83092453091</v>
      </c>
      <c r="AQ85" s="526">
        <f t="shared" ca="1" si="94"/>
        <v>129918.72169401268</v>
      </c>
      <c r="AR85" s="526">
        <f t="shared" ca="1" si="94"/>
        <v>131172.77876605943</v>
      </c>
      <c r="AS85" s="526">
        <f t="shared" ca="1" si="94"/>
        <v>132431.01602834626</v>
      </c>
      <c r="AT85" s="526">
        <f t="shared" ca="1" si="94"/>
        <v>133693.44741484086</v>
      </c>
      <c r="AU85" s="526">
        <f t="shared" ca="1" si="94"/>
        <v>134960.08690595691</v>
      </c>
      <c r="AV85" s="526">
        <f t="shared" ca="1" si="94"/>
        <v>136230.94852871029</v>
      </c>
      <c r="AW85" s="526">
        <f t="shared" ca="1" si="94"/>
        <v>135241.08391927258</v>
      </c>
      <c r="AX85" s="526">
        <f t="shared" ca="1" si="94"/>
        <v>136520.43207352899</v>
      </c>
      <c r="AY85" s="526">
        <f t="shared" ca="1" si="94"/>
        <v>137804.04472163261</v>
      </c>
      <c r="AZ85" s="526">
        <f t="shared" ca="1" si="94"/>
        <v>139091.93607856351</v>
      </c>
      <c r="BA85" s="526">
        <f t="shared" ca="1" si="94"/>
        <v>140384.12040668412</v>
      </c>
      <c r="BB85" s="526">
        <f t="shared" ca="1" si="94"/>
        <v>141680.61201589828</v>
      </c>
      <c r="BC85" s="526">
        <f t="shared" ca="1" si="94"/>
        <v>142981.42526381009</v>
      </c>
      <c r="BD85" s="526">
        <f t="shared" ca="1" si="94"/>
        <v>144286.57455588144</v>
      </c>
      <c r="BE85" s="526">
        <f t="shared" ca="1" si="94"/>
        <v>145596.07434559317</v>
      </c>
      <c r="BF85" s="526">
        <f t="shared" ca="1" si="94"/>
        <v>146909.93913460377</v>
      </c>
      <c r="BG85" s="526">
        <f t="shared" ca="1" si="94"/>
        <v>148228.18347291125</v>
      </c>
      <c r="BH85" s="526">
        <f t="shared" ca="1" si="94"/>
        <v>28404692.591443792</v>
      </c>
      <c r="BI85" s="526">
        <f t="shared" ca="1" si="94"/>
        <v>0</v>
      </c>
      <c r="BJ85" s="526">
        <f t="shared" ca="1" si="94"/>
        <v>0</v>
      </c>
      <c r="BK85" s="526">
        <f t="shared" ca="1" si="94"/>
        <v>0</v>
      </c>
      <c r="BL85" s="526">
        <f t="shared" ca="1" si="94"/>
        <v>0</v>
      </c>
      <c r="BM85" s="526">
        <f t="shared" ca="1" si="94"/>
        <v>0</v>
      </c>
      <c r="BN85" s="526">
        <f t="shared" ca="1" si="94"/>
        <v>0</v>
      </c>
      <c r="BO85" s="526">
        <f t="shared" ca="1" si="94"/>
        <v>0</v>
      </c>
      <c r="BP85" s="526">
        <f t="shared" ca="1" si="94"/>
        <v>0</v>
      </c>
      <c r="BQ85" s="526">
        <f t="shared" ca="1" si="94"/>
        <v>0</v>
      </c>
      <c r="BR85" s="526">
        <f t="shared" ca="1" si="94"/>
        <v>0</v>
      </c>
      <c r="BS85" s="526">
        <f t="shared" ca="1" si="94"/>
        <v>0</v>
      </c>
      <c r="BT85" s="526">
        <f t="shared" ca="1" si="94"/>
        <v>0</v>
      </c>
      <c r="BU85" s="526">
        <f t="shared" ca="1" si="94"/>
        <v>0</v>
      </c>
      <c r="BV85" s="526">
        <f t="shared" ca="1" si="94"/>
        <v>0</v>
      </c>
      <c r="BW85" s="526">
        <f t="shared" ca="1" si="94"/>
        <v>0</v>
      </c>
      <c r="BX85" s="526">
        <f t="shared" ca="1" si="94"/>
        <v>0</v>
      </c>
      <c r="BY85" s="526">
        <f t="shared" ref="BY85:EB85" ca="1" si="95">BY67+BY68</f>
        <v>0</v>
      </c>
      <c r="BZ85" s="526">
        <f t="shared" ca="1" si="95"/>
        <v>0</v>
      </c>
      <c r="CA85" s="526">
        <f t="shared" ca="1" si="95"/>
        <v>0</v>
      </c>
      <c r="CB85" s="526">
        <f t="shared" ca="1" si="95"/>
        <v>0</v>
      </c>
      <c r="CC85" s="526">
        <f t="shared" ca="1" si="95"/>
        <v>0</v>
      </c>
      <c r="CD85" s="526">
        <f t="shared" ca="1" si="95"/>
        <v>0</v>
      </c>
      <c r="CE85" s="526">
        <f t="shared" ca="1" si="95"/>
        <v>0</v>
      </c>
      <c r="CF85" s="526">
        <f t="shared" ca="1" si="95"/>
        <v>0</v>
      </c>
      <c r="CG85" s="526">
        <f t="shared" ca="1" si="95"/>
        <v>0</v>
      </c>
      <c r="CH85" s="526">
        <f t="shared" ca="1" si="95"/>
        <v>0</v>
      </c>
      <c r="CI85" s="526">
        <f t="shared" ca="1" si="95"/>
        <v>0</v>
      </c>
      <c r="CJ85" s="526">
        <f t="shared" ca="1" si="95"/>
        <v>0</v>
      </c>
      <c r="CK85" s="526">
        <f t="shared" ca="1" si="95"/>
        <v>0</v>
      </c>
      <c r="CL85" s="526">
        <f t="shared" ca="1" si="95"/>
        <v>0</v>
      </c>
      <c r="CM85" s="526">
        <f t="shared" ca="1" si="95"/>
        <v>0</v>
      </c>
      <c r="CN85" s="526">
        <f t="shared" ca="1" si="95"/>
        <v>0</v>
      </c>
      <c r="CO85" s="526">
        <f t="shared" ca="1" si="95"/>
        <v>0</v>
      </c>
      <c r="CP85" s="526">
        <f t="shared" ca="1" si="95"/>
        <v>0</v>
      </c>
      <c r="CQ85" s="526">
        <f t="shared" ca="1" si="95"/>
        <v>0</v>
      </c>
      <c r="CR85" s="526">
        <f t="shared" ca="1" si="95"/>
        <v>0</v>
      </c>
      <c r="CS85" s="526">
        <f t="shared" ca="1" si="95"/>
        <v>0</v>
      </c>
      <c r="CT85" s="526">
        <f t="shared" ca="1" si="95"/>
        <v>0</v>
      </c>
      <c r="CU85" s="526">
        <f t="shared" ca="1" si="95"/>
        <v>0</v>
      </c>
      <c r="CV85" s="526">
        <f t="shared" ca="1" si="95"/>
        <v>0</v>
      </c>
      <c r="CW85" s="526">
        <f t="shared" ca="1" si="95"/>
        <v>0</v>
      </c>
      <c r="CX85" s="526">
        <f t="shared" ca="1" si="95"/>
        <v>0</v>
      </c>
      <c r="CY85" s="526">
        <f t="shared" ca="1" si="95"/>
        <v>0</v>
      </c>
      <c r="CZ85" s="526">
        <f t="shared" ca="1" si="95"/>
        <v>0</v>
      </c>
      <c r="DA85" s="526">
        <f t="shared" ca="1" si="95"/>
        <v>0</v>
      </c>
      <c r="DB85" s="526">
        <f t="shared" ca="1" si="95"/>
        <v>0</v>
      </c>
      <c r="DC85" s="526">
        <f t="shared" ca="1" si="95"/>
        <v>0</v>
      </c>
      <c r="DD85" s="526">
        <f t="shared" ca="1" si="95"/>
        <v>0</v>
      </c>
      <c r="DE85" s="526">
        <f t="shared" ca="1" si="95"/>
        <v>0</v>
      </c>
      <c r="DF85" s="526">
        <f t="shared" ca="1" si="95"/>
        <v>0</v>
      </c>
      <c r="DG85" s="526">
        <f t="shared" ca="1" si="95"/>
        <v>0</v>
      </c>
      <c r="DH85" s="526">
        <f t="shared" ca="1" si="95"/>
        <v>0</v>
      </c>
      <c r="DI85" s="526">
        <f t="shared" ca="1" si="95"/>
        <v>0</v>
      </c>
      <c r="DJ85" s="526">
        <f t="shared" ca="1" si="95"/>
        <v>0</v>
      </c>
      <c r="DK85" s="526">
        <f t="shared" ca="1" si="95"/>
        <v>0</v>
      </c>
      <c r="DL85" s="526">
        <f t="shared" ca="1" si="95"/>
        <v>0</v>
      </c>
      <c r="DM85" s="526">
        <f t="shared" ca="1" si="95"/>
        <v>0</v>
      </c>
      <c r="DN85" s="526">
        <f t="shared" ca="1" si="95"/>
        <v>0</v>
      </c>
      <c r="DO85" s="526">
        <f t="shared" ca="1" si="95"/>
        <v>0</v>
      </c>
      <c r="DP85" s="526">
        <f t="shared" ca="1" si="95"/>
        <v>0</v>
      </c>
      <c r="DQ85" s="526">
        <f t="shared" ca="1" si="95"/>
        <v>0</v>
      </c>
      <c r="DR85" s="526">
        <f t="shared" ca="1" si="95"/>
        <v>0</v>
      </c>
      <c r="DS85" s="526">
        <f t="shared" ca="1" si="95"/>
        <v>0</v>
      </c>
      <c r="DT85" s="526">
        <f t="shared" ca="1" si="95"/>
        <v>0</v>
      </c>
      <c r="DU85" s="526">
        <f t="shared" ca="1" si="95"/>
        <v>0</v>
      </c>
      <c r="DV85" s="526">
        <f t="shared" ca="1" si="95"/>
        <v>0</v>
      </c>
      <c r="DW85" s="526">
        <f t="shared" ca="1" si="95"/>
        <v>0</v>
      </c>
      <c r="DX85" s="526">
        <f t="shared" ca="1" si="95"/>
        <v>0</v>
      </c>
      <c r="DY85" s="526">
        <f t="shared" ca="1" si="95"/>
        <v>0</v>
      </c>
      <c r="DZ85" s="526">
        <f t="shared" ca="1" si="95"/>
        <v>0</v>
      </c>
      <c r="EA85" s="526">
        <f t="shared" ca="1" si="95"/>
        <v>0</v>
      </c>
      <c r="EB85" s="526">
        <f t="shared" ca="1" si="95"/>
        <v>0</v>
      </c>
      <c r="EC85" s="523" t="s">
        <v>557</v>
      </c>
    </row>
    <row r="86" spans="6:133">
      <c r="H86" s="518" t="s">
        <v>1182</v>
      </c>
      <c r="I86" s="539">
        <f>E18</f>
        <v>0.7</v>
      </c>
      <c r="L86" s="526">
        <f ca="1">MIN(L78*$I86,L82+L83-L85)</f>
        <v>0</v>
      </c>
      <c r="M86" s="526">
        <f t="shared" ref="M86:BX86" ca="1" si="96">MIN(M78*$I86,M82+M83-M85)</f>
        <v>0</v>
      </c>
      <c r="N86" s="526">
        <f t="shared" ca="1" si="96"/>
        <v>0</v>
      </c>
      <c r="O86" s="526">
        <f t="shared" ca="1" si="96"/>
        <v>0</v>
      </c>
      <c r="P86" s="526">
        <f t="shared" ca="1" si="96"/>
        <v>0</v>
      </c>
      <c r="Q86" s="526">
        <f t="shared" ca="1" si="96"/>
        <v>0</v>
      </c>
      <c r="R86" s="526">
        <f t="shared" ca="1" si="96"/>
        <v>0</v>
      </c>
      <c r="S86" s="526">
        <f t="shared" ca="1" si="96"/>
        <v>0</v>
      </c>
      <c r="T86" s="526">
        <f t="shared" ca="1" si="96"/>
        <v>0</v>
      </c>
      <c r="U86" s="526">
        <f t="shared" ca="1" si="96"/>
        <v>0</v>
      </c>
      <c r="V86" s="526">
        <f t="shared" ca="1" si="96"/>
        <v>0</v>
      </c>
      <c r="W86" s="526">
        <f t="shared" ca="1" si="96"/>
        <v>0</v>
      </c>
      <c r="X86" s="526">
        <f t="shared" ca="1" si="96"/>
        <v>0</v>
      </c>
      <c r="Y86" s="526">
        <f t="shared" ca="1" si="96"/>
        <v>0</v>
      </c>
      <c r="Z86" s="526">
        <f t="shared" ca="1" si="96"/>
        <v>0</v>
      </c>
      <c r="AA86" s="526">
        <f t="shared" ca="1" si="96"/>
        <v>0</v>
      </c>
      <c r="AB86" s="526">
        <f t="shared" ca="1" si="96"/>
        <v>0</v>
      </c>
      <c r="AC86" s="526">
        <f t="shared" ca="1" si="96"/>
        <v>0</v>
      </c>
      <c r="AD86" s="526">
        <f t="shared" ca="1" si="96"/>
        <v>0</v>
      </c>
      <c r="AE86" s="526">
        <f t="shared" ca="1" si="96"/>
        <v>0</v>
      </c>
      <c r="AF86" s="526">
        <f t="shared" ca="1" si="96"/>
        <v>0</v>
      </c>
      <c r="AG86" s="526">
        <f t="shared" ca="1" si="96"/>
        <v>0</v>
      </c>
      <c r="AH86" s="526">
        <f t="shared" ca="1" si="96"/>
        <v>0</v>
      </c>
      <c r="AI86" s="526">
        <f t="shared" ca="1" si="96"/>
        <v>0</v>
      </c>
      <c r="AJ86" s="526">
        <f t="shared" ca="1" si="96"/>
        <v>0</v>
      </c>
      <c r="AK86" s="526">
        <f t="shared" ca="1" si="96"/>
        <v>0</v>
      </c>
      <c r="AL86" s="526">
        <f t="shared" ca="1" si="96"/>
        <v>0</v>
      </c>
      <c r="AM86" s="526">
        <f t="shared" ca="1" si="96"/>
        <v>0</v>
      </c>
      <c r="AN86" s="526">
        <f t="shared" ca="1" si="96"/>
        <v>0</v>
      </c>
      <c r="AO86" s="526">
        <f t="shared" ca="1" si="96"/>
        <v>0</v>
      </c>
      <c r="AP86" s="526">
        <f t="shared" ca="1" si="96"/>
        <v>0</v>
      </c>
      <c r="AQ86" s="526">
        <f t="shared" ca="1" si="96"/>
        <v>0</v>
      </c>
      <c r="AR86" s="526">
        <f t="shared" ca="1" si="96"/>
        <v>0</v>
      </c>
      <c r="AS86" s="526">
        <f t="shared" ca="1" si="96"/>
        <v>0</v>
      </c>
      <c r="AT86" s="526">
        <f t="shared" ca="1" si="96"/>
        <v>0</v>
      </c>
      <c r="AU86" s="526">
        <f t="shared" ca="1" si="96"/>
        <v>0</v>
      </c>
      <c r="AV86" s="526">
        <f t="shared" ca="1" si="96"/>
        <v>0</v>
      </c>
      <c r="AW86" s="526">
        <f t="shared" ca="1" si="96"/>
        <v>0</v>
      </c>
      <c r="AX86" s="526">
        <f t="shared" ca="1" si="96"/>
        <v>0</v>
      </c>
      <c r="AY86" s="526">
        <f t="shared" ca="1" si="96"/>
        <v>0</v>
      </c>
      <c r="AZ86" s="526">
        <f t="shared" ca="1" si="96"/>
        <v>0</v>
      </c>
      <c r="BA86" s="526">
        <f t="shared" ca="1" si="96"/>
        <v>0</v>
      </c>
      <c r="BB86" s="526">
        <f t="shared" ca="1" si="96"/>
        <v>0</v>
      </c>
      <c r="BC86" s="526">
        <f t="shared" ca="1" si="96"/>
        <v>0</v>
      </c>
      <c r="BD86" s="526">
        <f t="shared" ca="1" si="96"/>
        <v>0</v>
      </c>
      <c r="BE86" s="526">
        <f t="shared" ca="1" si="96"/>
        <v>0</v>
      </c>
      <c r="BF86" s="526">
        <f t="shared" ca="1" si="96"/>
        <v>0</v>
      </c>
      <c r="BG86" s="526">
        <f t="shared" ca="1" si="96"/>
        <v>0</v>
      </c>
      <c r="BH86" s="526">
        <f t="shared" ca="1" si="96"/>
        <v>0</v>
      </c>
      <c r="BI86" s="526">
        <f t="shared" ca="1" si="96"/>
        <v>0</v>
      </c>
      <c r="BJ86" s="526">
        <f t="shared" ca="1" si="96"/>
        <v>0</v>
      </c>
      <c r="BK86" s="526">
        <f t="shared" ca="1" si="96"/>
        <v>0</v>
      </c>
      <c r="BL86" s="526">
        <f t="shared" ca="1" si="96"/>
        <v>0</v>
      </c>
      <c r="BM86" s="526">
        <f t="shared" ca="1" si="96"/>
        <v>0</v>
      </c>
      <c r="BN86" s="526">
        <f t="shared" ca="1" si="96"/>
        <v>0</v>
      </c>
      <c r="BO86" s="526">
        <f t="shared" ca="1" si="96"/>
        <v>0</v>
      </c>
      <c r="BP86" s="526">
        <f t="shared" ca="1" si="96"/>
        <v>0</v>
      </c>
      <c r="BQ86" s="526">
        <f t="shared" ca="1" si="96"/>
        <v>0</v>
      </c>
      <c r="BR86" s="526">
        <f t="shared" ca="1" si="96"/>
        <v>0</v>
      </c>
      <c r="BS86" s="526">
        <f t="shared" ca="1" si="96"/>
        <v>0</v>
      </c>
      <c r="BT86" s="526">
        <f t="shared" ca="1" si="96"/>
        <v>0</v>
      </c>
      <c r="BU86" s="526">
        <f t="shared" ca="1" si="96"/>
        <v>0</v>
      </c>
      <c r="BV86" s="526">
        <f t="shared" ca="1" si="96"/>
        <v>0</v>
      </c>
      <c r="BW86" s="526">
        <f t="shared" ca="1" si="96"/>
        <v>0</v>
      </c>
      <c r="BX86" s="526">
        <f t="shared" ca="1" si="96"/>
        <v>0</v>
      </c>
      <c r="BY86" s="526">
        <f t="shared" ref="BY86:EB86" ca="1" si="97">MIN(BY78*$I86,BY82+BY83-BY85)</f>
        <v>0</v>
      </c>
      <c r="BZ86" s="526">
        <f t="shared" ca="1" si="97"/>
        <v>0</v>
      </c>
      <c r="CA86" s="526">
        <f t="shared" ca="1" si="97"/>
        <v>0</v>
      </c>
      <c r="CB86" s="526">
        <f t="shared" ca="1" si="97"/>
        <v>0</v>
      </c>
      <c r="CC86" s="526">
        <f t="shared" ca="1" si="97"/>
        <v>0</v>
      </c>
      <c r="CD86" s="526">
        <f t="shared" ca="1" si="97"/>
        <v>0</v>
      </c>
      <c r="CE86" s="526">
        <f t="shared" ca="1" si="97"/>
        <v>0</v>
      </c>
      <c r="CF86" s="526">
        <f t="shared" ca="1" si="97"/>
        <v>0</v>
      </c>
      <c r="CG86" s="526">
        <f t="shared" ca="1" si="97"/>
        <v>0</v>
      </c>
      <c r="CH86" s="526">
        <f t="shared" ca="1" si="97"/>
        <v>0</v>
      </c>
      <c r="CI86" s="526">
        <f t="shared" ca="1" si="97"/>
        <v>0</v>
      </c>
      <c r="CJ86" s="526">
        <f t="shared" ca="1" si="97"/>
        <v>0</v>
      </c>
      <c r="CK86" s="526">
        <f t="shared" ca="1" si="97"/>
        <v>0</v>
      </c>
      <c r="CL86" s="526">
        <f t="shared" ca="1" si="97"/>
        <v>0</v>
      </c>
      <c r="CM86" s="526">
        <f t="shared" ca="1" si="97"/>
        <v>0</v>
      </c>
      <c r="CN86" s="526">
        <f t="shared" ca="1" si="97"/>
        <v>0</v>
      </c>
      <c r="CO86" s="526">
        <f t="shared" ca="1" si="97"/>
        <v>0</v>
      </c>
      <c r="CP86" s="526">
        <f t="shared" ca="1" si="97"/>
        <v>0</v>
      </c>
      <c r="CQ86" s="526">
        <f t="shared" ca="1" si="97"/>
        <v>0</v>
      </c>
      <c r="CR86" s="526">
        <f t="shared" ca="1" si="97"/>
        <v>0</v>
      </c>
      <c r="CS86" s="526">
        <f t="shared" ca="1" si="97"/>
        <v>0</v>
      </c>
      <c r="CT86" s="526">
        <f t="shared" ca="1" si="97"/>
        <v>0</v>
      </c>
      <c r="CU86" s="526">
        <f t="shared" ca="1" si="97"/>
        <v>0</v>
      </c>
      <c r="CV86" s="526">
        <f t="shared" ca="1" si="97"/>
        <v>0</v>
      </c>
      <c r="CW86" s="526">
        <f t="shared" ca="1" si="97"/>
        <v>0</v>
      </c>
      <c r="CX86" s="526">
        <f t="shared" ca="1" si="97"/>
        <v>0</v>
      </c>
      <c r="CY86" s="526">
        <f t="shared" ca="1" si="97"/>
        <v>0</v>
      </c>
      <c r="CZ86" s="526">
        <f t="shared" ca="1" si="97"/>
        <v>0</v>
      </c>
      <c r="DA86" s="526">
        <f t="shared" ca="1" si="97"/>
        <v>0</v>
      </c>
      <c r="DB86" s="526">
        <f t="shared" ca="1" si="97"/>
        <v>0</v>
      </c>
      <c r="DC86" s="526">
        <f t="shared" ca="1" si="97"/>
        <v>0</v>
      </c>
      <c r="DD86" s="526">
        <f t="shared" ca="1" si="97"/>
        <v>0</v>
      </c>
      <c r="DE86" s="526">
        <f t="shared" ca="1" si="97"/>
        <v>0</v>
      </c>
      <c r="DF86" s="526">
        <f t="shared" ca="1" si="97"/>
        <v>0</v>
      </c>
      <c r="DG86" s="526">
        <f t="shared" ca="1" si="97"/>
        <v>0</v>
      </c>
      <c r="DH86" s="526">
        <f t="shared" ca="1" si="97"/>
        <v>0</v>
      </c>
      <c r="DI86" s="526">
        <f t="shared" ca="1" si="97"/>
        <v>0</v>
      </c>
      <c r="DJ86" s="526">
        <f t="shared" ca="1" si="97"/>
        <v>0</v>
      </c>
      <c r="DK86" s="526">
        <f t="shared" ca="1" si="97"/>
        <v>0</v>
      </c>
      <c r="DL86" s="526">
        <f t="shared" ca="1" si="97"/>
        <v>0</v>
      </c>
      <c r="DM86" s="526">
        <f t="shared" ca="1" si="97"/>
        <v>0</v>
      </c>
      <c r="DN86" s="526">
        <f t="shared" ca="1" si="97"/>
        <v>0</v>
      </c>
      <c r="DO86" s="526">
        <f t="shared" ca="1" si="97"/>
        <v>0</v>
      </c>
      <c r="DP86" s="526">
        <f t="shared" ca="1" si="97"/>
        <v>0</v>
      </c>
      <c r="DQ86" s="526">
        <f t="shared" ca="1" si="97"/>
        <v>0</v>
      </c>
      <c r="DR86" s="526">
        <f t="shared" ca="1" si="97"/>
        <v>0</v>
      </c>
      <c r="DS86" s="526">
        <f t="shared" ca="1" si="97"/>
        <v>0</v>
      </c>
      <c r="DT86" s="526">
        <f t="shared" ca="1" si="97"/>
        <v>0</v>
      </c>
      <c r="DU86" s="526">
        <f t="shared" ca="1" si="97"/>
        <v>0</v>
      </c>
      <c r="DV86" s="526">
        <f t="shared" ca="1" si="97"/>
        <v>0</v>
      </c>
      <c r="DW86" s="526">
        <f t="shared" ca="1" si="97"/>
        <v>0</v>
      </c>
      <c r="DX86" s="526">
        <f t="shared" ca="1" si="97"/>
        <v>0</v>
      </c>
      <c r="DY86" s="526">
        <f t="shared" ca="1" si="97"/>
        <v>0</v>
      </c>
      <c r="DZ86" s="526">
        <f t="shared" ca="1" si="97"/>
        <v>0</v>
      </c>
      <c r="EA86" s="526">
        <f t="shared" ca="1" si="97"/>
        <v>0</v>
      </c>
      <c r="EB86" s="526">
        <f t="shared" ca="1" si="97"/>
        <v>0</v>
      </c>
      <c r="EC86" s="523"/>
    </row>
    <row r="87" spans="6:133">
      <c r="H87" s="518" t="s">
        <v>1148</v>
      </c>
      <c r="L87" s="526">
        <f ca="1">L82+L83+L84-L85-L86</f>
        <v>20296000</v>
      </c>
      <c r="M87" s="526">
        <f t="shared" ref="M87:BX87" ca="1" si="98">M82+M83+M84-M85-M86</f>
        <v>20531578.813842569</v>
      </c>
      <c r="N87" s="526">
        <f t="shared" ca="1" si="98"/>
        <v>20768650.641256556</v>
      </c>
      <c r="O87" s="526">
        <f t="shared" ca="1" si="98"/>
        <v>21007224.249000326</v>
      </c>
      <c r="P87" s="526">
        <f t="shared" ca="1" si="98"/>
        <v>21247308.444110077</v>
      </c>
      <c r="Q87" s="526">
        <f t="shared" ca="1" si="98"/>
        <v>21488912.073890235</v>
      </c>
      <c r="R87" s="526">
        <f t="shared" ca="1" si="98"/>
        <v>21732044.025899515</v>
      </c>
      <c r="S87" s="526">
        <f t="shared" ca="1" si="98"/>
        <v>21976713.227932576</v>
      </c>
      <c r="T87" s="526">
        <f t="shared" ca="1" si="98"/>
        <v>22222928.647997156</v>
      </c>
      <c r="U87" s="526">
        <f t="shared" ca="1" si="98"/>
        <v>22470699.294286594</v>
      </c>
      <c r="V87" s="526">
        <f t="shared" ca="1" si="98"/>
        <v>22720034.215147667</v>
      </c>
      <c r="W87" s="526">
        <f t="shared" ca="1" si="98"/>
        <v>22970942.499043595</v>
      </c>
      <c r="X87" s="526">
        <f t="shared" ca="1" si="98"/>
        <v>23223433.274512142</v>
      </c>
      <c r="Y87" s="526">
        <f t="shared" ca="1" si="98"/>
        <v>23479839.489114981</v>
      </c>
      <c r="Z87" s="526">
        <f t="shared" ca="1" si="98"/>
        <v>23738026.098871134</v>
      </c>
      <c r="AA87" s="526">
        <f t="shared" ca="1" si="98"/>
        <v>23998006.954136267</v>
      </c>
      <c r="AB87" s="526">
        <f t="shared" ca="1" si="98"/>
        <v>24259796.033516716</v>
      </c>
      <c r="AC87" s="526">
        <f t="shared" ca="1" si="98"/>
        <v>24523407.445309244</v>
      </c>
      <c r="AD87" s="526">
        <f t="shared" ca="1" si="98"/>
        <v>24788855.428959548</v>
      </c>
      <c r="AE87" s="526">
        <f t="shared" ca="1" si="98"/>
        <v>25056154.356539845</v>
      </c>
      <c r="AF87" s="526">
        <f t="shared" ca="1" si="98"/>
        <v>25325318.734245721</v>
      </c>
      <c r="AG87" s="526">
        <f t="shared" ca="1" si="98"/>
        <v>25596363.203912586</v>
      </c>
      <c r="AH87" s="526">
        <f t="shared" ca="1" si="98"/>
        <v>25869302.544551983</v>
      </c>
      <c r="AI87" s="526">
        <f t="shared" ca="1" si="98"/>
        <v>26144151.673908047</v>
      </c>
      <c r="AJ87" s="526">
        <f t="shared" ca="1" si="98"/>
        <v>26420925.650034375</v>
      </c>
      <c r="AK87" s="526">
        <f t="shared" ca="1" si="98"/>
        <v>26702934.643081084</v>
      </c>
      <c r="AL87" s="526">
        <f t="shared" ca="1" si="98"/>
        <v>26988031.778525203</v>
      </c>
      <c r="AM87" s="526">
        <f t="shared" ca="1" si="98"/>
        <v>27276260.236638464</v>
      </c>
      <c r="AN87" s="526">
        <f t="shared" ca="1" si="98"/>
        <v>27567663.84510117</v>
      </c>
      <c r="AO87" s="526">
        <f t="shared" ca="1" si="98"/>
        <v>27862287.088868175</v>
      </c>
      <c r="AP87" s="526">
        <f t="shared" ca="1" si="98"/>
        <v>28160175.120185714</v>
      </c>
      <c r="AQ87" s="526">
        <f t="shared" ca="1" si="98"/>
        <v>28461373.768761452</v>
      </c>
      <c r="AR87" s="526">
        <f t="shared" ca="1" si="98"/>
        <v>28765929.552090071</v>
      </c>
      <c r="AS87" s="526">
        <f t="shared" ca="1" si="98"/>
        <v>29073889.685936794</v>
      </c>
      <c r="AT87" s="526">
        <f t="shared" ca="1" si="98"/>
        <v>29385302.094981242</v>
      </c>
      <c r="AU87" s="526">
        <f t="shared" ca="1" si="98"/>
        <v>29700215.423624091</v>
      </c>
      <c r="AV87" s="526">
        <f t="shared" ca="1" si="98"/>
        <v>30018679.046959013</v>
      </c>
      <c r="AW87" s="526">
        <f t="shared" ca="1" si="98"/>
        <v>30343008.044350058</v>
      </c>
      <c r="AX87" s="526">
        <f t="shared" ca="1" si="98"/>
        <v>30671022.99880461</v>
      </c>
      <c r="AY87" s="526">
        <f t="shared" ca="1" si="98"/>
        <v>31002776.075879753</v>
      </c>
      <c r="AZ87" s="526">
        <f t="shared" ca="1" si="98"/>
        <v>31338320.225544643</v>
      </c>
      <c r="BA87" s="526">
        <f t="shared" ca="1" si="98"/>
        <v>31677709.194142066</v>
      </c>
      <c r="BB87" s="526">
        <f t="shared" ca="1" si="98"/>
        <v>32020997.53653295</v>
      </c>
      <c r="BC87" s="526">
        <f t="shared" ca="1" si="98"/>
        <v>32368240.628426656</v>
      </c>
      <c r="BD87" s="526">
        <f t="shared" ca="1" si="98"/>
        <v>32719494.678899873</v>
      </c>
      <c r="BE87" s="526">
        <f t="shared" ca="1" si="98"/>
        <v>33074816.74310701</v>
      </c>
      <c r="BF87" s="526">
        <f t="shared" ca="1" si="98"/>
        <v>33434264.73518502</v>
      </c>
      <c r="BG87" s="526">
        <f t="shared" ca="1" si="98"/>
        <v>33797897.441355631</v>
      </c>
      <c r="BH87" s="526">
        <f t="shared" ca="1" si="98"/>
        <v>5910632.7637432143</v>
      </c>
      <c r="BI87" s="526">
        <f t="shared" ca="1" si="98"/>
        <v>6001121.4216744853</v>
      </c>
      <c r="BJ87" s="526">
        <f t="shared" ca="1" si="98"/>
        <v>6092995.4130449155</v>
      </c>
      <c r="BK87" s="526">
        <f t="shared" ca="1" si="98"/>
        <v>6186275.9465759238</v>
      </c>
      <c r="BL87" s="526">
        <f t="shared" ca="1" si="98"/>
        <v>6280984.5556832245</v>
      </c>
      <c r="BM87" s="526">
        <f t="shared" ca="1" si="98"/>
        <v>6377143.1034477241</v>
      </c>
      <c r="BN87" s="526">
        <f t="shared" ca="1" si="98"/>
        <v>6474773.787662521</v>
      </c>
      <c r="BO87" s="526">
        <f t="shared" ca="1" si="98"/>
        <v>6573899.1459571728</v>
      </c>
      <c r="BP87" s="526">
        <f t="shared" ca="1" si="98"/>
        <v>6674542.0610004123</v>
      </c>
      <c r="BQ87" s="526">
        <f t="shared" ca="1" si="98"/>
        <v>6776725.7657825127</v>
      </c>
      <c r="BR87" s="526">
        <f t="shared" ca="1" si="98"/>
        <v>6880473.8489785288</v>
      </c>
      <c r="BS87" s="526">
        <f t="shared" ca="1" si="98"/>
        <v>6985810.2603936372</v>
      </c>
      <c r="BT87" s="526">
        <f t="shared" ca="1" si="98"/>
        <v>7092759.3164918534</v>
      </c>
      <c r="BU87" s="526">
        <f t="shared" ca="1" si="98"/>
        <v>7201345.7060093787</v>
      </c>
      <c r="BV87" s="526">
        <f t="shared" ca="1" si="98"/>
        <v>7311594.4956538947</v>
      </c>
      <c r="BW87" s="526">
        <f t="shared" ca="1" si="98"/>
        <v>7423531.135891105</v>
      </c>
      <c r="BX87" s="526">
        <f t="shared" ca="1" si="98"/>
        <v>7537181.4668198656</v>
      </c>
      <c r="BY87" s="526">
        <f t="shared" ref="BY87:EB87" ca="1" si="99">BY82+BY83+BY84-BY85-BY86</f>
        <v>7652571.7241372652</v>
      </c>
      <c r="BZ87" s="526">
        <f t="shared" ca="1" si="99"/>
        <v>7769728.5451950217</v>
      </c>
      <c r="CA87" s="526">
        <f t="shared" ca="1" si="99"/>
        <v>7888678.9751486043</v>
      </c>
      <c r="CB87" s="526">
        <f t="shared" ca="1" si="99"/>
        <v>8009450.4732004916</v>
      </c>
      <c r="CC87" s="526">
        <f t="shared" ca="1" si="99"/>
        <v>8132070.918939013</v>
      </c>
      <c r="CD87" s="526">
        <f t="shared" ca="1" si="99"/>
        <v>8256568.6187742315</v>
      </c>
      <c r="CE87" s="526">
        <f t="shared" ca="1" si="99"/>
        <v>8382972.3124723621</v>
      </c>
      <c r="CF87" s="526">
        <f t="shared" ca="1" si="99"/>
        <v>8511311.1797902212</v>
      </c>
      <c r="CG87" s="526">
        <f t="shared" ca="1" si="99"/>
        <v>8641614.847211251</v>
      </c>
      <c r="CH87" s="526">
        <f t="shared" ca="1" si="99"/>
        <v>8773913.3947846703</v>
      </c>
      <c r="CI87" s="526">
        <f t="shared" ca="1" si="99"/>
        <v>8908237.363069322</v>
      </c>
      <c r="CJ87" s="526">
        <f t="shared" ca="1" si="99"/>
        <v>9044617.7601838354</v>
      </c>
      <c r="CK87" s="526">
        <f t="shared" ca="1" si="99"/>
        <v>9183086.0689647142</v>
      </c>
      <c r="CL87" s="526">
        <f t="shared" ca="1" si="99"/>
        <v>9323674.2542340215</v>
      </c>
      <c r="CM87" s="526">
        <f t="shared" ca="1" si="99"/>
        <v>9466414.7701783199</v>
      </c>
      <c r="CN87" s="526">
        <f t="shared" ca="1" si="99"/>
        <v>9611340.5678405836</v>
      </c>
      <c r="CO87" s="526">
        <f t="shared" ca="1" si="99"/>
        <v>9758485.1027268078</v>
      </c>
      <c r="CP87" s="526">
        <f t="shared" ca="1" si="99"/>
        <v>9907882.3425290696</v>
      </c>
      <c r="CQ87" s="526">
        <f t="shared" ca="1" si="99"/>
        <v>10059566.774966827</v>
      </c>
      <c r="CR87" s="526">
        <f t="shared" ca="1" si="99"/>
        <v>10213573.415748257</v>
      </c>
      <c r="CS87" s="526">
        <f t="shared" ca="1" si="99"/>
        <v>10369937.816653494</v>
      </c>
      <c r="CT87" s="526">
        <f t="shared" ca="1" si="99"/>
        <v>10528696.073741598</v>
      </c>
      <c r="CU87" s="526">
        <f t="shared" ca="1" si="99"/>
        <v>10689884.83568318</v>
      </c>
      <c r="CV87" s="526">
        <f t="shared" ca="1" si="99"/>
        <v>10853541.312220596</v>
      </c>
      <c r="CW87" s="526">
        <f t="shared" ca="1" si="99"/>
        <v>11019703.282757651</v>
      </c>
      <c r="CX87" s="526">
        <f t="shared" ca="1" si="99"/>
        <v>11188409.105080821</v>
      </c>
      <c r="CY87" s="526">
        <f t="shared" ca="1" si="99"/>
        <v>11359697.72421398</v>
      </c>
      <c r="CZ87" s="526">
        <f t="shared" ca="1" si="99"/>
        <v>11533608.681408698</v>
      </c>
      <c r="DA87" s="526">
        <f t="shared" ca="1" si="99"/>
        <v>11710182.123272168</v>
      </c>
      <c r="DB87" s="526">
        <f t="shared" ca="1" si="99"/>
        <v>11889458.811034882</v>
      </c>
      <c r="DC87" s="526">
        <f t="shared" ca="1" si="99"/>
        <v>12071480.129960191</v>
      </c>
      <c r="DD87" s="526">
        <f t="shared" ca="1" si="99"/>
        <v>12256288.098897908</v>
      </c>
      <c r="DE87" s="526">
        <f t="shared" ca="1" si="99"/>
        <v>12443925.379984193</v>
      </c>
      <c r="DF87" s="526">
        <f t="shared" ca="1" si="99"/>
        <v>12634435.288489917</v>
      </c>
      <c r="DG87" s="526">
        <f t="shared" ca="1" si="99"/>
        <v>12827861.802819816</v>
      </c>
      <c r="DH87" s="526">
        <f t="shared" ca="1" si="99"/>
        <v>13024249.574664716</v>
      </c>
      <c r="DI87" s="526">
        <f t="shared" ca="1" si="99"/>
        <v>13223643.939309182</v>
      </c>
      <c r="DJ87" s="526">
        <f t="shared" ca="1" si="99"/>
        <v>13426090.926096985</v>
      </c>
      <c r="DK87" s="526">
        <f t="shared" ca="1" si="99"/>
        <v>13631637.269056775</v>
      </c>
      <c r="DL87" s="526">
        <f t="shared" ca="1" si="99"/>
        <v>13840330.417690435</v>
      </c>
      <c r="DM87" s="526">
        <f t="shared" ca="1" si="99"/>
        <v>14052218.547926599</v>
      </c>
      <c r="DN87" s="526">
        <f t="shared" ca="1" si="99"/>
        <v>14267350.573241858</v>
      </c>
      <c r="DO87" s="526">
        <f t="shared" ca="1" si="99"/>
        <v>14485776.155952226</v>
      </c>
      <c r="DP87" s="526">
        <f t="shared" ca="1" si="99"/>
        <v>14707545.718677487</v>
      </c>
      <c r="DQ87" s="526">
        <f t="shared" ca="1" si="99"/>
        <v>14932710.455981027</v>
      </c>
      <c r="DR87" s="526">
        <f t="shared" ca="1" si="99"/>
        <v>15161322.346187897</v>
      </c>
      <c r="DS87" s="526">
        <f t="shared" ca="1" si="99"/>
        <v>15393434.163383776</v>
      </c>
      <c r="DT87" s="526">
        <f t="shared" ca="1" si="99"/>
        <v>15629099.489597654</v>
      </c>
      <c r="DU87" s="526">
        <f t="shared" ca="1" si="99"/>
        <v>15868372.727171013</v>
      </c>
      <c r="DV87" s="526">
        <f t="shared" ca="1" si="99"/>
        <v>16111309.111316377</v>
      </c>
      <c r="DW87" s="526">
        <f t="shared" ca="1" si="99"/>
        <v>16357964.722868126</v>
      </c>
      <c r="DX87" s="526">
        <f t="shared" ca="1" si="99"/>
        <v>16608396.501228519</v>
      </c>
      <c r="DY87" s="526">
        <f t="shared" ca="1" si="99"/>
        <v>16862662.257511914</v>
      </c>
      <c r="DZ87" s="526">
        <f t="shared" ca="1" si="99"/>
        <v>17120820.687890224</v>
      </c>
      <c r="EA87" s="526">
        <f t="shared" ca="1" si="99"/>
        <v>17382931.387142666</v>
      </c>
      <c r="EB87" s="526">
        <f t="shared" ca="1" si="99"/>
        <v>17649054.862412978</v>
      </c>
      <c r="EC87" s="523" t="s">
        <v>557</v>
      </c>
    </row>
    <row r="88" spans="6:133">
      <c r="H88" s="518" t="s">
        <v>1150</v>
      </c>
      <c r="J88" s="543" t="s">
        <v>1105</v>
      </c>
      <c r="L88" s="526">
        <f ca="1">-L84+L85+L86</f>
        <v>-20296000</v>
      </c>
      <c r="M88" s="526">
        <f t="shared" ref="M88:BX88" ca="1" si="100">-M84+M85+M86</f>
        <v>75142.199419975848</v>
      </c>
      <c r="N88" s="526">
        <f t="shared" ca="1" si="100"/>
        <v>77255.772749442272</v>
      </c>
      <c r="O88" s="526">
        <f t="shared" ca="1" si="100"/>
        <v>79383.436567771874</v>
      </c>
      <c r="P88" s="526">
        <f t="shared" ca="1" si="100"/>
        <v>81525.284811557081</v>
      </c>
      <c r="Q88" s="526">
        <f t="shared" ca="1" si="100"/>
        <v>83681.412043634118</v>
      </c>
      <c r="R88" s="526">
        <f t="shared" ca="1" si="100"/>
        <v>85851.913457258299</v>
      </c>
      <c r="S88" s="526">
        <f t="shared" ca="1" si="100"/>
        <v>88036.884880306709</v>
      </c>
      <c r="T88" s="526">
        <f t="shared" ca="1" si="100"/>
        <v>90236.422779508677</v>
      </c>
      <c r="U88" s="526">
        <f t="shared" ca="1" si="100"/>
        <v>92450.624264705359</v>
      </c>
      <c r="V88" s="526">
        <f t="shared" ca="1" si="100"/>
        <v>94679.587093136754</v>
      </c>
      <c r="W88" s="526">
        <f t="shared" ca="1" si="100"/>
        <v>96923.409673757662</v>
      </c>
      <c r="X88" s="526">
        <f t="shared" ca="1" si="100"/>
        <v>99182.191071582594</v>
      </c>
      <c r="Y88" s="526">
        <f t="shared" ca="1" si="100"/>
        <v>99132.252015780003</v>
      </c>
      <c r="Z88" s="526">
        <f t="shared" ca="1" si="100"/>
        <v>101277.30024087873</v>
      </c>
      <c r="AA88" s="526">
        <f t="shared" ca="1" si="100"/>
        <v>103435.75501738423</v>
      </c>
      <c r="AB88" s="526">
        <f t="shared" ca="1" si="100"/>
        <v>105607.70013624289</v>
      </c>
      <c r="AC88" s="526">
        <f t="shared" ca="1" si="100"/>
        <v>107793.2199120944</v>
      </c>
      <c r="AD88" s="526">
        <f t="shared" ca="1" si="100"/>
        <v>109992.39918654515</v>
      </c>
      <c r="AE88" s="526">
        <f t="shared" ca="1" si="100"/>
        <v>112205.32333146107</v>
      </c>
      <c r="AF88" s="526">
        <f t="shared" ca="1" si="100"/>
        <v>114432.07825228265</v>
      </c>
      <c r="AG88" s="526">
        <f t="shared" ca="1" si="100"/>
        <v>116672.75039135954</v>
      </c>
      <c r="AH88" s="526">
        <f t="shared" ca="1" si="100"/>
        <v>118927.4267313055</v>
      </c>
      <c r="AI88" s="526">
        <f t="shared" ca="1" si="100"/>
        <v>121196.19479837616</v>
      </c>
      <c r="AJ88" s="526">
        <f t="shared" ca="1" si="100"/>
        <v>123479.14266586611</v>
      </c>
      <c r="AK88" s="526">
        <f t="shared" ca="1" si="100"/>
        <v>122481.38876808564</v>
      </c>
      <c r="AL88" s="526">
        <f t="shared" ca="1" si="100"/>
        <v>123710.65473037933</v>
      </c>
      <c r="AM88" s="526">
        <f t="shared" ca="1" si="100"/>
        <v>124944.01824588062</v>
      </c>
      <c r="AN88" s="526">
        <f t="shared" ca="1" si="100"/>
        <v>126181.4929731002</v>
      </c>
      <c r="AO88" s="526">
        <f t="shared" ca="1" si="100"/>
        <v>127423.09261607715</v>
      </c>
      <c r="AP88" s="526">
        <f t="shared" ca="1" si="100"/>
        <v>128668.83092453091</v>
      </c>
      <c r="AQ88" s="526">
        <f t="shared" ca="1" si="100"/>
        <v>129918.72169401268</v>
      </c>
      <c r="AR88" s="526">
        <f t="shared" ca="1" si="100"/>
        <v>131172.77876605943</v>
      </c>
      <c r="AS88" s="526">
        <f t="shared" ca="1" si="100"/>
        <v>132431.01602834626</v>
      </c>
      <c r="AT88" s="526">
        <f t="shared" ca="1" si="100"/>
        <v>133693.44741484086</v>
      </c>
      <c r="AU88" s="526">
        <f t="shared" ca="1" si="100"/>
        <v>134960.08690595691</v>
      </c>
      <c r="AV88" s="526">
        <f t="shared" ca="1" si="100"/>
        <v>136230.94852871029</v>
      </c>
      <c r="AW88" s="526">
        <f t="shared" ca="1" si="100"/>
        <v>135241.08391927258</v>
      </c>
      <c r="AX88" s="526">
        <f t="shared" ca="1" si="100"/>
        <v>136520.43207352899</v>
      </c>
      <c r="AY88" s="526">
        <f t="shared" ca="1" si="100"/>
        <v>137804.04472163261</v>
      </c>
      <c r="AZ88" s="526">
        <f t="shared" ca="1" si="100"/>
        <v>139091.93607856351</v>
      </c>
      <c r="BA88" s="526">
        <f t="shared" ca="1" si="100"/>
        <v>140384.12040668412</v>
      </c>
      <c r="BB88" s="526">
        <f t="shared" ca="1" si="100"/>
        <v>141680.61201589828</v>
      </c>
      <c r="BC88" s="526">
        <f t="shared" ca="1" si="100"/>
        <v>142981.42526381009</v>
      </c>
      <c r="BD88" s="526">
        <f t="shared" ca="1" si="100"/>
        <v>144286.57455588144</v>
      </c>
      <c r="BE88" s="526">
        <f t="shared" ca="1" si="100"/>
        <v>145596.07434559317</v>
      </c>
      <c r="BF88" s="526">
        <f t="shared" ca="1" si="100"/>
        <v>146909.93913460377</v>
      </c>
      <c r="BG88" s="526">
        <f t="shared" ca="1" si="100"/>
        <v>148228.18347291125</v>
      </c>
      <c r="BH88" s="526">
        <f t="shared" ca="1" si="100"/>
        <v>28404692.591443792</v>
      </c>
      <c r="BI88" s="526">
        <f t="shared" ca="1" si="100"/>
        <v>0</v>
      </c>
      <c r="BJ88" s="526">
        <f t="shared" ca="1" si="100"/>
        <v>0</v>
      </c>
      <c r="BK88" s="526">
        <f t="shared" ca="1" si="100"/>
        <v>0</v>
      </c>
      <c r="BL88" s="526">
        <f t="shared" ca="1" si="100"/>
        <v>0</v>
      </c>
      <c r="BM88" s="526">
        <f t="shared" ca="1" si="100"/>
        <v>0</v>
      </c>
      <c r="BN88" s="526">
        <f t="shared" ca="1" si="100"/>
        <v>0</v>
      </c>
      <c r="BO88" s="526">
        <f t="shared" ca="1" si="100"/>
        <v>0</v>
      </c>
      <c r="BP88" s="526">
        <f t="shared" ca="1" si="100"/>
        <v>0</v>
      </c>
      <c r="BQ88" s="526">
        <f t="shared" ca="1" si="100"/>
        <v>0</v>
      </c>
      <c r="BR88" s="526">
        <f t="shared" ca="1" si="100"/>
        <v>0</v>
      </c>
      <c r="BS88" s="526">
        <f t="shared" ca="1" si="100"/>
        <v>0</v>
      </c>
      <c r="BT88" s="526">
        <f t="shared" ca="1" si="100"/>
        <v>0</v>
      </c>
      <c r="BU88" s="526">
        <f t="shared" ca="1" si="100"/>
        <v>0</v>
      </c>
      <c r="BV88" s="526">
        <f t="shared" ca="1" si="100"/>
        <v>0</v>
      </c>
      <c r="BW88" s="526">
        <f t="shared" ca="1" si="100"/>
        <v>0</v>
      </c>
      <c r="BX88" s="526">
        <f t="shared" ca="1" si="100"/>
        <v>0</v>
      </c>
      <c r="BY88" s="526">
        <f t="shared" ref="BY88:EB88" ca="1" si="101">-BY84+BY85+BY86</f>
        <v>0</v>
      </c>
      <c r="BZ88" s="526">
        <f t="shared" ca="1" si="101"/>
        <v>0</v>
      </c>
      <c r="CA88" s="526">
        <f t="shared" ca="1" si="101"/>
        <v>0</v>
      </c>
      <c r="CB88" s="526">
        <f t="shared" ca="1" si="101"/>
        <v>0</v>
      </c>
      <c r="CC88" s="526">
        <f t="shared" ca="1" si="101"/>
        <v>0</v>
      </c>
      <c r="CD88" s="526">
        <f t="shared" ca="1" si="101"/>
        <v>0</v>
      </c>
      <c r="CE88" s="526">
        <f t="shared" ca="1" si="101"/>
        <v>0</v>
      </c>
      <c r="CF88" s="526">
        <f t="shared" ca="1" si="101"/>
        <v>0</v>
      </c>
      <c r="CG88" s="526">
        <f t="shared" ca="1" si="101"/>
        <v>0</v>
      </c>
      <c r="CH88" s="526">
        <f t="shared" ca="1" si="101"/>
        <v>0</v>
      </c>
      <c r="CI88" s="526">
        <f t="shared" ca="1" si="101"/>
        <v>0</v>
      </c>
      <c r="CJ88" s="526">
        <f t="shared" ca="1" si="101"/>
        <v>0</v>
      </c>
      <c r="CK88" s="526">
        <f t="shared" ca="1" si="101"/>
        <v>0</v>
      </c>
      <c r="CL88" s="526">
        <f t="shared" ca="1" si="101"/>
        <v>0</v>
      </c>
      <c r="CM88" s="526">
        <f t="shared" ca="1" si="101"/>
        <v>0</v>
      </c>
      <c r="CN88" s="526">
        <f t="shared" ca="1" si="101"/>
        <v>0</v>
      </c>
      <c r="CO88" s="526">
        <f t="shared" ca="1" si="101"/>
        <v>0</v>
      </c>
      <c r="CP88" s="526">
        <f t="shared" ca="1" si="101"/>
        <v>0</v>
      </c>
      <c r="CQ88" s="526">
        <f t="shared" ca="1" si="101"/>
        <v>0</v>
      </c>
      <c r="CR88" s="526">
        <f t="shared" ca="1" si="101"/>
        <v>0</v>
      </c>
      <c r="CS88" s="526">
        <f t="shared" ca="1" si="101"/>
        <v>0</v>
      </c>
      <c r="CT88" s="526">
        <f t="shared" ca="1" si="101"/>
        <v>0</v>
      </c>
      <c r="CU88" s="526">
        <f t="shared" ca="1" si="101"/>
        <v>0</v>
      </c>
      <c r="CV88" s="526">
        <f t="shared" ca="1" si="101"/>
        <v>0</v>
      </c>
      <c r="CW88" s="526">
        <f t="shared" ca="1" si="101"/>
        <v>0</v>
      </c>
      <c r="CX88" s="526">
        <f t="shared" ca="1" si="101"/>
        <v>0</v>
      </c>
      <c r="CY88" s="526">
        <f t="shared" ca="1" si="101"/>
        <v>0</v>
      </c>
      <c r="CZ88" s="526">
        <f t="shared" ca="1" si="101"/>
        <v>0</v>
      </c>
      <c r="DA88" s="526">
        <f t="shared" ca="1" si="101"/>
        <v>0</v>
      </c>
      <c r="DB88" s="526">
        <f t="shared" ca="1" si="101"/>
        <v>0</v>
      </c>
      <c r="DC88" s="526">
        <f t="shared" ca="1" si="101"/>
        <v>0</v>
      </c>
      <c r="DD88" s="526">
        <f t="shared" ca="1" si="101"/>
        <v>0</v>
      </c>
      <c r="DE88" s="526">
        <f t="shared" ca="1" si="101"/>
        <v>0</v>
      </c>
      <c r="DF88" s="526">
        <f t="shared" ca="1" si="101"/>
        <v>0</v>
      </c>
      <c r="DG88" s="526">
        <f t="shared" ca="1" si="101"/>
        <v>0</v>
      </c>
      <c r="DH88" s="526">
        <f t="shared" ca="1" si="101"/>
        <v>0</v>
      </c>
      <c r="DI88" s="526">
        <f t="shared" ca="1" si="101"/>
        <v>0</v>
      </c>
      <c r="DJ88" s="526">
        <f t="shared" ca="1" si="101"/>
        <v>0</v>
      </c>
      <c r="DK88" s="526">
        <f t="shared" ca="1" si="101"/>
        <v>0</v>
      </c>
      <c r="DL88" s="526">
        <f t="shared" ca="1" si="101"/>
        <v>0</v>
      </c>
      <c r="DM88" s="526">
        <f t="shared" ca="1" si="101"/>
        <v>0</v>
      </c>
      <c r="DN88" s="526">
        <f t="shared" ca="1" si="101"/>
        <v>0</v>
      </c>
      <c r="DO88" s="526">
        <f t="shared" ca="1" si="101"/>
        <v>0</v>
      </c>
      <c r="DP88" s="526">
        <f t="shared" ca="1" si="101"/>
        <v>0</v>
      </c>
      <c r="DQ88" s="526">
        <f t="shared" ca="1" si="101"/>
        <v>0</v>
      </c>
      <c r="DR88" s="526">
        <f t="shared" ca="1" si="101"/>
        <v>0</v>
      </c>
      <c r="DS88" s="526">
        <f t="shared" ca="1" si="101"/>
        <v>0</v>
      </c>
      <c r="DT88" s="526">
        <f t="shared" ca="1" si="101"/>
        <v>0</v>
      </c>
      <c r="DU88" s="526">
        <f t="shared" ca="1" si="101"/>
        <v>0</v>
      </c>
      <c r="DV88" s="526">
        <f t="shared" ca="1" si="101"/>
        <v>0</v>
      </c>
      <c r="DW88" s="526">
        <f t="shared" ca="1" si="101"/>
        <v>0</v>
      </c>
      <c r="DX88" s="526">
        <f t="shared" ca="1" si="101"/>
        <v>0</v>
      </c>
      <c r="DY88" s="526">
        <f t="shared" ca="1" si="101"/>
        <v>0</v>
      </c>
      <c r="DZ88" s="526">
        <f t="shared" ca="1" si="101"/>
        <v>0</v>
      </c>
      <c r="EA88" s="526">
        <f t="shared" ca="1" si="101"/>
        <v>0</v>
      </c>
      <c r="EB88" s="526">
        <f t="shared" ca="1" si="101"/>
        <v>0</v>
      </c>
      <c r="EC88" s="523" t="s">
        <v>557</v>
      </c>
    </row>
    <row r="89" spans="6:133">
      <c r="H89" s="545" t="s">
        <v>1152</v>
      </c>
      <c r="I89" s="1017">
        <f>F37</f>
        <v>0</v>
      </c>
      <c r="J89" s="1017">
        <f ca="1">XIRR(L88:EB88,$L$2:$EB$2,)</f>
        <v>0.15229130387306214</v>
      </c>
      <c r="EC89" s="523" t="s">
        <v>557</v>
      </c>
    </row>
    <row r="90" spans="6:133">
      <c r="EC90" s="523" t="s">
        <v>557</v>
      </c>
    </row>
    <row r="91" spans="6:133">
      <c r="H91" s="520" t="s">
        <v>1135</v>
      </c>
      <c r="I91" s="533"/>
      <c r="J91" s="533"/>
      <c r="K91" s="521"/>
      <c r="L91" s="521"/>
      <c r="M91" s="521"/>
      <c r="N91" s="521"/>
      <c r="O91" s="521"/>
      <c r="P91" s="521"/>
      <c r="Q91" s="521"/>
      <c r="R91" s="521"/>
      <c r="S91" s="521"/>
      <c r="T91" s="521"/>
      <c r="U91" s="521"/>
      <c r="V91" s="521"/>
      <c r="W91" s="521"/>
      <c r="X91" s="521"/>
      <c r="Y91" s="521"/>
      <c r="Z91" s="521"/>
      <c r="AA91" s="521"/>
      <c r="AB91" s="521"/>
      <c r="AC91" s="521"/>
      <c r="AD91" s="521"/>
      <c r="AE91" s="521"/>
      <c r="AF91" s="521"/>
      <c r="AG91" s="521"/>
      <c r="AH91" s="521"/>
      <c r="AI91" s="521"/>
      <c r="AJ91" s="521"/>
      <c r="AK91" s="521"/>
      <c r="AL91" s="521"/>
      <c r="AM91" s="521"/>
      <c r="AN91" s="521"/>
      <c r="AO91" s="521"/>
      <c r="AP91" s="521"/>
      <c r="AQ91" s="521"/>
      <c r="AR91" s="521"/>
      <c r="AS91" s="521"/>
      <c r="AT91" s="521"/>
      <c r="AU91" s="521"/>
      <c r="AV91" s="521"/>
      <c r="AW91" s="521"/>
      <c r="AX91" s="521"/>
      <c r="AY91" s="521"/>
      <c r="AZ91" s="521"/>
      <c r="BA91" s="521"/>
      <c r="BB91" s="521"/>
      <c r="BC91" s="521"/>
      <c r="BD91" s="521"/>
      <c r="BE91" s="521"/>
      <c r="BF91" s="521"/>
      <c r="BG91" s="521"/>
      <c r="BH91" s="521"/>
      <c r="BI91" s="521"/>
      <c r="BJ91" s="521"/>
      <c r="BK91" s="521"/>
      <c r="BL91" s="521"/>
      <c r="BM91" s="521"/>
      <c r="BN91" s="521"/>
      <c r="BO91" s="521"/>
      <c r="BP91" s="521"/>
      <c r="BQ91" s="521"/>
      <c r="BR91" s="521"/>
      <c r="BS91" s="521"/>
      <c r="BT91" s="521"/>
      <c r="BU91" s="521"/>
      <c r="BV91" s="521"/>
      <c r="BW91" s="521"/>
      <c r="BX91" s="521"/>
      <c r="BY91" s="521"/>
      <c r="BZ91" s="521"/>
      <c r="CA91" s="521"/>
      <c r="CB91" s="521"/>
      <c r="CC91" s="521"/>
      <c r="CD91" s="521"/>
      <c r="CE91" s="521"/>
      <c r="CF91" s="521"/>
      <c r="CG91" s="521"/>
      <c r="CH91" s="521"/>
      <c r="CI91" s="521"/>
      <c r="CJ91" s="521"/>
      <c r="CK91" s="521"/>
      <c r="CL91" s="521"/>
      <c r="CM91" s="521"/>
      <c r="CN91" s="521"/>
      <c r="CO91" s="521"/>
      <c r="CP91" s="521"/>
      <c r="CQ91" s="521"/>
      <c r="CR91" s="521"/>
      <c r="CS91" s="521"/>
      <c r="CT91" s="521"/>
      <c r="CU91" s="521"/>
      <c r="CV91" s="521"/>
      <c r="CW91" s="521"/>
      <c r="CX91" s="521"/>
      <c r="CY91" s="521"/>
      <c r="CZ91" s="521"/>
      <c r="DA91" s="521"/>
      <c r="DB91" s="521"/>
      <c r="DC91" s="521"/>
      <c r="DD91" s="521"/>
      <c r="DE91" s="521"/>
      <c r="DF91" s="521"/>
      <c r="DG91" s="521"/>
      <c r="DH91" s="521"/>
      <c r="DI91" s="521"/>
      <c r="DJ91" s="521"/>
      <c r="DK91" s="521"/>
      <c r="DL91" s="521"/>
      <c r="DM91" s="521"/>
      <c r="DN91" s="521"/>
      <c r="DO91" s="521"/>
      <c r="DP91" s="521"/>
      <c r="DQ91" s="521"/>
      <c r="DR91" s="521"/>
      <c r="DS91" s="521"/>
      <c r="DT91" s="521"/>
      <c r="DU91" s="521"/>
      <c r="DV91" s="521"/>
      <c r="DW91" s="521"/>
      <c r="DX91" s="521"/>
      <c r="DY91" s="521"/>
      <c r="DZ91" s="521"/>
      <c r="EA91" s="521"/>
      <c r="EB91" s="521"/>
      <c r="EC91" s="523" t="s">
        <v>557</v>
      </c>
    </row>
    <row r="92" spans="6:133">
      <c r="H92" s="518" t="s">
        <v>1158</v>
      </c>
      <c r="L92" s="526">
        <f ca="1">L74</f>
        <v>0</v>
      </c>
      <c r="M92" s="526">
        <f t="shared" ref="M92:BX92" si="102">M72</f>
        <v>0</v>
      </c>
      <c r="N92" s="526">
        <f t="shared" si="102"/>
        <v>0</v>
      </c>
      <c r="O92" s="526">
        <f t="shared" si="102"/>
        <v>0</v>
      </c>
      <c r="P92" s="526">
        <f t="shared" si="102"/>
        <v>0</v>
      </c>
      <c r="Q92" s="526">
        <f t="shared" si="102"/>
        <v>0</v>
      </c>
      <c r="R92" s="526">
        <f t="shared" si="102"/>
        <v>0</v>
      </c>
      <c r="S92" s="526">
        <f t="shared" si="102"/>
        <v>0</v>
      </c>
      <c r="T92" s="526">
        <f t="shared" si="102"/>
        <v>0</v>
      </c>
      <c r="U92" s="526">
        <f t="shared" si="102"/>
        <v>0</v>
      </c>
      <c r="V92" s="526">
        <f t="shared" si="102"/>
        <v>0</v>
      </c>
      <c r="W92" s="526">
        <f t="shared" si="102"/>
        <v>0</v>
      </c>
      <c r="X92" s="526">
        <f t="shared" si="102"/>
        <v>0</v>
      </c>
      <c r="Y92" s="526">
        <f t="shared" si="102"/>
        <v>0</v>
      </c>
      <c r="Z92" s="526">
        <f t="shared" si="102"/>
        <v>0</v>
      </c>
      <c r="AA92" s="526">
        <f t="shared" si="102"/>
        <v>0</v>
      </c>
      <c r="AB92" s="526">
        <f t="shared" si="102"/>
        <v>0</v>
      </c>
      <c r="AC92" s="526">
        <f t="shared" si="102"/>
        <v>0</v>
      </c>
      <c r="AD92" s="526">
        <f t="shared" si="102"/>
        <v>0</v>
      </c>
      <c r="AE92" s="526">
        <f t="shared" si="102"/>
        <v>0</v>
      </c>
      <c r="AF92" s="526">
        <f t="shared" si="102"/>
        <v>0</v>
      </c>
      <c r="AG92" s="526">
        <f t="shared" si="102"/>
        <v>0</v>
      </c>
      <c r="AH92" s="526">
        <f t="shared" si="102"/>
        <v>0</v>
      </c>
      <c r="AI92" s="526">
        <f t="shared" si="102"/>
        <v>0</v>
      </c>
      <c r="AJ92" s="526">
        <f t="shared" si="102"/>
        <v>0</v>
      </c>
      <c r="AK92" s="526">
        <f t="shared" si="102"/>
        <v>0</v>
      </c>
      <c r="AL92" s="526">
        <f t="shared" si="102"/>
        <v>0</v>
      </c>
      <c r="AM92" s="526">
        <f t="shared" si="102"/>
        <v>0</v>
      </c>
      <c r="AN92" s="526">
        <f t="shared" si="102"/>
        <v>0</v>
      </c>
      <c r="AO92" s="526">
        <f t="shared" si="102"/>
        <v>0</v>
      </c>
      <c r="AP92" s="526">
        <f t="shared" si="102"/>
        <v>0</v>
      </c>
      <c r="AQ92" s="526">
        <f t="shared" si="102"/>
        <v>0</v>
      </c>
      <c r="AR92" s="526">
        <f t="shared" si="102"/>
        <v>0</v>
      </c>
      <c r="AS92" s="526">
        <f t="shared" si="102"/>
        <v>0</v>
      </c>
      <c r="AT92" s="526">
        <f t="shared" si="102"/>
        <v>0</v>
      </c>
      <c r="AU92" s="526">
        <f t="shared" si="102"/>
        <v>0</v>
      </c>
      <c r="AV92" s="526">
        <f t="shared" si="102"/>
        <v>0</v>
      </c>
      <c r="AW92" s="526">
        <f t="shared" si="102"/>
        <v>0</v>
      </c>
      <c r="AX92" s="526">
        <f t="shared" si="102"/>
        <v>0</v>
      </c>
      <c r="AY92" s="526">
        <f t="shared" si="102"/>
        <v>0</v>
      </c>
      <c r="AZ92" s="526">
        <f t="shared" si="102"/>
        <v>0</v>
      </c>
      <c r="BA92" s="526">
        <f t="shared" si="102"/>
        <v>0</v>
      </c>
      <c r="BB92" s="526">
        <f t="shared" si="102"/>
        <v>0</v>
      </c>
      <c r="BC92" s="526">
        <f t="shared" si="102"/>
        <v>0</v>
      </c>
      <c r="BD92" s="526">
        <f t="shared" si="102"/>
        <v>0</v>
      </c>
      <c r="BE92" s="526">
        <f t="shared" si="102"/>
        <v>0</v>
      </c>
      <c r="BF92" s="526">
        <f t="shared" si="102"/>
        <v>0</v>
      </c>
      <c r="BG92" s="526">
        <f t="shared" si="102"/>
        <v>0</v>
      </c>
      <c r="BH92" s="526">
        <f t="shared" si="102"/>
        <v>0</v>
      </c>
      <c r="BI92" s="526">
        <f t="shared" si="102"/>
        <v>0</v>
      </c>
      <c r="BJ92" s="526">
        <f t="shared" si="102"/>
        <v>0</v>
      </c>
      <c r="BK92" s="526">
        <f t="shared" si="102"/>
        <v>0</v>
      </c>
      <c r="BL92" s="526">
        <f t="shared" si="102"/>
        <v>0</v>
      </c>
      <c r="BM92" s="526">
        <f t="shared" si="102"/>
        <v>0</v>
      </c>
      <c r="BN92" s="526">
        <f t="shared" si="102"/>
        <v>0</v>
      </c>
      <c r="BO92" s="526">
        <f t="shared" si="102"/>
        <v>0</v>
      </c>
      <c r="BP92" s="526">
        <f t="shared" si="102"/>
        <v>0</v>
      </c>
      <c r="BQ92" s="526">
        <f t="shared" si="102"/>
        <v>0</v>
      </c>
      <c r="BR92" s="526">
        <f t="shared" si="102"/>
        <v>0</v>
      </c>
      <c r="BS92" s="526">
        <f t="shared" si="102"/>
        <v>0</v>
      </c>
      <c r="BT92" s="526">
        <f t="shared" si="102"/>
        <v>0</v>
      </c>
      <c r="BU92" s="526">
        <f t="shared" si="102"/>
        <v>0</v>
      </c>
      <c r="BV92" s="526">
        <f t="shared" si="102"/>
        <v>0</v>
      </c>
      <c r="BW92" s="526">
        <f t="shared" si="102"/>
        <v>0</v>
      </c>
      <c r="BX92" s="526">
        <f t="shared" si="102"/>
        <v>0</v>
      </c>
      <c r="BY92" s="526">
        <f t="shared" ref="BY92:EB92" si="103">BY72</f>
        <v>0</v>
      </c>
      <c r="BZ92" s="526">
        <f t="shared" si="103"/>
        <v>0</v>
      </c>
      <c r="CA92" s="526">
        <f t="shared" si="103"/>
        <v>0</v>
      </c>
      <c r="CB92" s="526">
        <f t="shared" si="103"/>
        <v>0</v>
      </c>
      <c r="CC92" s="526">
        <f t="shared" si="103"/>
        <v>0</v>
      </c>
      <c r="CD92" s="526">
        <f t="shared" si="103"/>
        <v>0</v>
      </c>
      <c r="CE92" s="526">
        <f t="shared" si="103"/>
        <v>0</v>
      </c>
      <c r="CF92" s="526">
        <f t="shared" si="103"/>
        <v>0</v>
      </c>
      <c r="CG92" s="526">
        <f t="shared" si="103"/>
        <v>0</v>
      </c>
      <c r="CH92" s="526">
        <f t="shared" si="103"/>
        <v>0</v>
      </c>
      <c r="CI92" s="526">
        <f t="shared" si="103"/>
        <v>0</v>
      </c>
      <c r="CJ92" s="526">
        <f t="shared" si="103"/>
        <v>0</v>
      </c>
      <c r="CK92" s="526">
        <f t="shared" si="103"/>
        <v>0</v>
      </c>
      <c r="CL92" s="526">
        <f t="shared" si="103"/>
        <v>0</v>
      </c>
      <c r="CM92" s="526">
        <f t="shared" si="103"/>
        <v>0</v>
      </c>
      <c r="CN92" s="526">
        <f t="shared" si="103"/>
        <v>0</v>
      </c>
      <c r="CO92" s="526">
        <f t="shared" si="103"/>
        <v>0</v>
      </c>
      <c r="CP92" s="526">
        <f t="shared" si="103"/>
        <v>0</v>
      </c>
      <c r="CQ92" s="526">
        <f t="shared" si="103"/>
        <v>0</v>
      </c>
      <c r="CR92" s="526">
        <f t="shared" si="103"/>
        <v>0</v>
      </c>
      <c r="CS92" s="526">
        <f t="shared" si="103"/>
        <v>0</v>
      </c>
      <c r="CT92" s="526">
        <f t="shared" si="103"/>
        <v>0</v>
      </c>
      <c r="CU92" s="526">
        <f t="shared" si="103"/>
        <v>0</v>
      </c>
      <c r="CV92" s="526">
        <f t="shared" si="103"/>
        <v>0</v>
      </c>
      <c r="CW92" s="526">
        <f t="shared" si="103"/>
        <v>0</v>
      </c>
      <c r="CX92" s="526">
        <f t="shared" si="103"/>
        <v>0</v>
      </c>
      <c r="CY92" s="526">
        <f t="shared" si="103"/>
        <v>0</v>
      </c>
      <c r="CZ92" s="526">
        <f t="shared" si="103"/>
        <v>0</v>
      </c>
      <c r="DA92" s="526">
        <f t="shared" si="103"/>
        <v>0</v>
      </c>
      <c r="DB92" s="526">
        <f t="shared" si="103"/>
        <v>0</v>
      </c>
      <c r="DC92" s="526">
        <f t="shared" si="103"/>
        <v>0</v>
      </c>
      <c r="DD92" s="526">
        <f t="shared" si="103"/>
        <v>0</v>
      </c>
      <c r="DE92" s="526">
        <f t="shared" si="103"/>
        <v>0</v>
      </c>
      <c r="DF92" s="526">
        <f t="shared" si="103"/>
        <v>0</v>
      </c>
      <c r="DG92" s="526">
        <f t="shared" si="103"/>
        <v>0</v>
      </c>
      <c r="DH92" s="526">
        <f t="shared" si="103"/>
        <v>0</v>
      </c>
      <c r="DI92" s="526">
        <f t="shared" si="103"/>
        <v>0</v>
      </c>
      <c r="DJ92" s="526">
        <f t="shared" si="103"/>
        <v>0</v>
      </c>
      <c r="DK92" s="526">
        <f t="shared" si="103"/>
        <v>0</v>
      </c>
      <c r="DL92" s="526">
        <f t="shared" si="103"/>
        <v>0</v>
      </c>
      <c r="DM92" s="526">
        <f t="shared" si="103"/>
        <v>0</v>
      </c>
      <c r="DN92" s="526">
        <f t="shared" si="103"/>
        <v>0</v>
      </c>
      <c r="DO92" s="526">
        <f t="shared" si="103"/>
        <v>0</v>
      </c>
      <c r="DP92" s="526">
        <f t="shared" si="103"/>
        <v>0</v>
      </c>
      <c r="DQ92" s="526">
        <f t="shared" si="103"/>
        <v>0</v>
      </c>
      <c r="DR92" s="526">
        <f t="shared" si="103"/>
        <v>0</v>
      </c>
      <c r="DS92" s="526">
        <f t="shared" si="103"/>
        <v>0</v>
      </c>
      <c r="DT92" s="526">
        <f t="shared" si="103"/>
        <v>0</v>
      </c>
      <c r="DU92" s="526">
        <f t="shared" si="103"/>
        <v>0</v>
      </c>
      <c r="DV92" s="526">
        <f t="shared" si="103"/>
        <v>0</v>
      </c>
      <c r="DW92" s="526">
        <f t="shared" si="103"/>
        <v>0</v>
      </c>
      <c r="DX92" s="526">
        <f t="shared" si="103"/>
        <v>0</v>
      </c>
      <c r="DY92" s="526">
        <f t="shared" si="103"/>
        <v>0</v>
      </c>
      <c r="DZ92" s="526">
        <f t="shared" si="103"/>
        <v>0</v>
      </c>
      <c r="EA92" s="526">
        <f t="shared" si="103"/>
        <v>0</v>
      </c>
      <c r="EB92" s="526">
        <f t="shared" si="103"/>
        <v>0</v>
      </c>
      <c r="EC92" s="523" t="s">
        <v>557</v>
      </c>
    </row>
    <row r="93" spans="6:133">
      <c r="H93" s="518" t="s">
        <v>1160</v>
      </c>
      <c r="I93" s="539">
        <f>D18</f>
        <v>0.30000000000000004</v>
      </c>
      <c r="L93" s="526">
        <f ca="1">L86/$I86*$I93</f>
        <v>0</v>
      </c>
      <c r="M93" s="526">
        <f t="shared" ref="M93:BX93" ca="1" si="104">M86/$I86*$I93</f>
        <v>0</v>
      </c>
      <c r="N93" s="526">
        <f t="shared" ca="1" si="104"/>
        <v>0</v>
      </c>
      <c r="O93" s="526">
        <f t="shared" ca="1" si="104"/>
        <v>0</v>
      </c>
      <c r="P93" s="526">
        <f t="shared" ca="1" si="104"/>
        <v>0</v>
      </c>
      <c r="Q93" s="526">
        <f t="shared" ca="1" si="104"/>
        <v>0</v>
      </c>
      <c r="R93" s="526">
        <f t="shared" ca="1" si="104"/>
        <v>0</v>
      </c>
      <c r="S93" s="526">
        <f t="shared" ca="1" si="104"/>
        <v>0</v>
      </c>
      <c r="T93" s="526">
        <f t="shared" ca="1" si="104"/>
        <v>0</v>
      </c>
      <c r="U93" s="526">
        <f t="shared" ca="1" si="104"/>
        <v>0</v>
      </c>
      <c r="V93" s="526">
        <f t="shared" ca="1" si="104"/>
        <v>0</v>
      </c>
      <c r="W93" s="526">
        <f t="shared" ca="1" si="104"/>
        <v>0</v>
      </c>
      <c r="X93" s="526">
        <f t="shared" ca="1" si="104"/>
        <v>0</v>
      </c>
      <c r="Y93" s="526">
        <f t="shared" ca="1" si="104"/>
        <v>0</v>
      </c>
      <c r="Z93" s="526">
        <f t="shared" ca="1" si="104"/>
        <v>0</v>
      </c>
      <c r="AA93" s="526">
        <f t="shared" ca="1" si="104"/>
        <v>0</v>
      </c>
      <c r="AB93" s="526">
        <f t="shared" ca="1" si="104"/>
        <v>0</v>
      </c>
      <c r="AC93" s="526">
        <f t="shared" ca="1" si="104"/>
        <v>0</v>
      </c>
      <c r="AD93" s="526">
        <f t="shared" ca="1" si="104"/>
        <v>0</v>
      </c>
      <c r="AE93" s="526">
        <f t="shared" ca="1" si="104"/>
        <v>0</v>
      </c>
      <c r="AF93" s="526">
        <f t="shared" ca="1" si="104"/>
        <v>0</v>
      </c>
      <c r="AG93" s="526">
        <f t="shared" ca="1" si="104"/>
        <v>0</v>
      </c>
      <c r="AH93" s="526">
        <f t="shared" ca="1" si="104"/>
        <v>0</v>
      </c>
      <c r="AI93" s="526">
        <f t="shared" ca="1" si="104"/>
        <v>0</v>
      </c>
      <c r="AJ93" s="526">
        <f t="shared" ca="1" si="104"/>
        <v>0</v>
      </c>
      <c r="AK93" s="526">
        <f t="shared" ca="1" si="104"/>
        <v>0</v>
      </c>
      <c r="AL93" s="526">
        <f t="shared" ca="1" si="104"/>
        <v>0</v>
      </c>
      <c r="AM93" s="526">
        <f t="shared" ca="1" si="104"/>
        <v>0</v>
      </c>
      <c r="AN93" s="526">
        <f t="shared" ca="1" si="104"/>
        <v>0</v>
      </c>
      <c r="AO93" s="526">
        <f t="shared" ca="1" si="104"/>
        <v>0</v>
      </c>
      <c r="AP93" s="526">
        <f t="shared" ca="1" si="104"/>
        <v>0</v>
      </c>
      <c r="AQ93" s="526">
        <f t="shared" ca="1" si="104"/>
        <v>0</v>
      </c>
      <c r="AR93" s="526">
        <f t="shared" ca="1" si="104"/>
        <v>0</v>
      </c>
      <c r="AS93" s="526">
        <f t="shared" ca="1" si="104"/>
        <v>0</v>
      </c>
      <c r="AT93" s="526">
        <f t="shared" ca="1" si="104"/>
        <v>0</v>
      </c>
      <c r="AU93" s="526">
        <f t="shared" ca="1" si="104"/>
        <v>0</v>
      </c>
      <c r="AV93" s="526">
        <f t="shared" ca="1" si="104"/>
        <v>0</v>
      </c>
      <c r="AW93" s="526">
        <f t="shared" ca="1" si="104"/>
        <v>0</v>
      </c>
      <c r="AX93" s="526">
        <f t="shared" ca="1" si="104"/>
        <v>0</v>
      </c>
      <c r="AY93" s="526">
        <f t="shared" ca="1" si="104"/>
        <v>0</v>
      </c>
      <c r="AZ93" s="526">
        <f t="shared" ca="1" si="104"/>
        <v>0</v>
      </c>
      <c r="BA93" s="526">
        <f t="shared" ca="1" si="104"/>
        <v>0</v>
      </c>
      <c r="BB93" s="526">
        <f t="shared" ca="1" si="104"/>
        <v>0</v>
      </c>
      <c r="BC93" s="526">
        <f t="shared" ca="1" si="104"/>
        <v>0</v>
      </c>
      <c r="BD93" s="526">
        <f t="shared" ca="1" si="104"/>
        <v>0</v>
      </c>
      <c r="BE93" s="526">
        <f t="shared" ca="1" si="104"/>
        <v>0</v>
      </c>
      <c r="BF93" s="526">
        <f t="shared" ca="1" si="104"/>
        <v>0</v>
      </c>
      <c r="BG93" s="526">
        <f t="shared" ca="1" si="104"/>
        <v>0</v>
      </c>
      <c r="BH93" s="526">
        <f t="shared" ca="1" si="104"/>
        <v>0</v>
      </c>
      <c r="BI93" s="526">
        <f t="shared" ca="1" si="104"/>
        <v>0</v>
      </c>
      <c r="BJ93" s="526">
        <f t="shared" ca="1" si="104"/>
        <v>0</v>
      </c>
      <c r="BK93" s="526">
        <f t="shared" ca="1" si="104"/>
        <v>0</v>
      </c>
      <c r="BL93" s="526">
        <f t="shared" ca="1" si="104"/>
        <v>0</v>
      </c>
      <c r="BM93" s="526">
        <f t="shared" ca="1" si="104"/>
        <v>0</v>
      </c>
      <c r="BN93" s="526">
        <f t="shared" ca="1" si="104"/>
        <v>0</v>
      </c>
      <c r="BO93" s="526">
        <f t="shared" ca="1" si="104"/>
        <v>0</v>
      </c>
      <c r="BP93" s="526">
        <f t="shared" ca="1" si="104"/>
        <v>0</v>
      </c>
      <c r="BQ93" s="526">
        <f t="shared" ca="1" si="104"/>
        <v>0</v>
      </c>
      <c r="BR93" s="526">
        <f t="shared" ca="1" si="104"/>
        <v>0</v>
      </c>
      <c r="BS93" s="526">
        <f t="shared" ca="1" si="104"/>
        <v>0</v>
      </c>
      <c r="BT93" s="526">
        <f t="shared" ca="1" si="104"/>
        <v>0</v>
      </c>
      <c r="BU93" s="526">
        <f t="shared" ca="1" si="104"/>
        <v>0</v>
      </c>
      <c r="BV93" s="526">
        <f t="shared" ca="1" si="104"/>
        <v>0</v>
      </c>
      <c r="BW93" s="526">
        <f t="shared" ca="1" si="104"/>
        <v>0</v>
      </c>
      <c r="BX93" s="526">
        <f t="shared" ca="1" si="104"/>
        <v>0</v>
      </c>
      <c r="BY93" s="526">
        <f t="shared" ref="BY93:EB93" ca="1" si="105">BY86/$I86*$I93</f>
        <v>0</v>
      </c>
      <c r="BZ93" s="526">
        <f t="shared" ca="1" si="105"/>
        <v>0</v>
      </c>
      <c r="CA93" s="526">
        <f t="shared" ca="1" si="105"/>
        <v>0</v>
      </c>
      <c r="CB93" s="526">
        <f t="shared" ca="1" si="105"/>
        <v>0</v>
      </c>
      <c r="CC93" s="526">
        <f t="shared" ca="1" si="105"/>
        <v>0</v>
      </c>
      <c r="CD93" s="526">
        <f t="shared" ca="1" si="105"/>
        <v>0</v>
      </c>
      <c r="CE93" s="526">
        <f t="shared" ca="1" si="105"/>
        <v>0</v>
      </c>
      <c r="CF93" s="526">
        <f t="shared" ca="1" si="105"/>
        <v>0</v>
      </c>
      <c r="CG93" s="526">
        <f t="shared" ca="1" si="105"/>
        <v>0</v>
      </c>
      <c r="CH93" s="526">
        <f t="shared" ca="1" si="105"/>
        <v>0</v>
      </c>
      <c r="CI93" s="526">
        <f t="shared" ca="1" si="105"/>
        <v>0</v>
      </c>
      <c r="CJ93" s="526">
        <f t="shared" ca="1" si="105"/>
        <v>0</v>
      </c>
      <c r="CK93" s="526">
        <f t="shared" ca="1" si="105"/>
        <v>0</v>
      </c>
      <c r="CL93" s="526">
        <f t="shared" ca="1" si="105"/>
        <v>0</v>
      </c>
      <c r="CM93" s="526">
        <f t="shared" ca="1" si="105"/>
        <v>0</v>
      </c>
      <c r="CN93" s="526">
        <f t="shared" ca="1" si="105"/>
        <v>0</v>
      </c>
      <c r="CO93" s="526">
        <f t="shared" ca="1" si="105"/>
        <v>0</v>
      </c>
      <c r="CP93" s="526">
        <f t="shared" ca="1" si="105"/>
        <v>0</v>
      </c>
      <c r="CQ93" s="526">
        <f t="shared" ca="1" si="105"/>
        <v>0</v>
      </c>
      <c r="CR93" s="526">
        <f t="shared" ca="1" si="105"/>
        <v>0</v>
      </c>
      <c r="CS93" s="526">
        <f t="shared" ca="1" si="105"/>
        <v>0</v>
      </c>
      <c r="CT93" s="526">
        <f t="shared" ca="1" si="105"/>
        <v>0</v>
      </c>
      <c r="CU93" s="526">
        <f t="shared" ca="1" si="105"/>
        <v>0</v>
      </c>
      <c r="CV93" s="526">
        <f t="shared" ca="1" si="105"/>
        <v>0</v>
      </c>
      <c r="CW93" s="526">
        <f t="shared" ca="1" si="105"/>
        <v>0</v>
      </c>
      <c r="CX93" s="526">
        <f t="shared" ca="1" si="105"/>
        <v>0</v>
      </c>
      <c r="CY93" s="526">
        <f t="shared" ca="1" si="105"/>
        <v>0</v>
      </c>
      <c r="CZ93" s="526">
        <f t="shared" ca="1" si="105"/>
        <v>0</v>
      </c>
      <c r="DA93" s="526">
        <f t="shared" ca="1" si="105"/>
        <v>0</v>
      </c>
      <c r="DB93" s="526">
        <f t="shared" ca="1" si="105"/>
        <v>0</v>
      </c>
      <c r="DC93" s="526">
        <f t="shared" ca="1" si="105"/>
        <v>0</v>
      </c>
      <c r="DD93" s="526">
        <f t="shared" ca="1" si="105"/>
        <v>0</v>
      </c>
      <c r="DE93" s="526">
        <f t="shared" ca="1" si="105"/>
        <v>0</v>
      </c>
      <c r="DF93" s="526">
        <f t="shared" ca="1" si="105"/>
        <v>0</v>
      </c>
      <c r="DG93" s="526">
        <f t="shared" ca="1" si="105"/>
        <v>0</v>
      </c>
      <c r="DH93" s="526">
        <f t="shared" ca="1" si="105"/>
        <v>0</v>
      </c>
      <c r="DI93" s="526">
        <f t="shared" ca="1" si="105"/>
        <v>0</v>
      </c>
      <c r="DJ93" s="526">
        <f t="shared" ca="1" si="105"/>
        <v>0</v>
      </c>
      <c r="DK93" s="526">
        <f t="shared" ca="1" si="105"/>
        <v>0</v>
      </c>
      <c r="DL93" s="526">
        <f t="shared" ca="1" si="105"/>
        <v>0</v>
      </c>
      <c r="DM93" s="526">
        <f t="shared" ca="1" si="105"/>
        <v>0</v>
      </c>
      <c r="DN93" s="526">
        <f t="shared" ca="1" si="105"/>
        <v>0</v>
      </c>
      <c r="DO93" s="526">
        <f t="shared" ca="1" si="105"/>
        <v>0</v>
      </c>
      <c r="DP93" s="526">
        <f t="shared" ca="1" si="105"/>
        <v>0</v>
      </c>
      <c r="DQ93" s="526">
        <f t="shared" ca="1" si="105"/>
        <v>0</v>
      </c>
      <c r="DR93" s="526">
        <f t="shared" ca="1" si="105"/>
        <v>0</v>
      </c>
      <c r="DS93" s="526">
        <f t="shared" ca="1" si="105"/>
        <v>0</v>
      </c>
      <c r="DT93" s="526">
        <f t="shared" ca="1" si="105"/>
        <v>0</v>
      </c>
      <c r="DU93" s="526">
        <f t="shared" ca="1" si="105"/>
        <v>0</v>
      </c>
      <c r="DV93" s="526">
        <f t="shared" ca="1" si="105"/>
        <v>0</v>
      </c>
      <c r="DW93" s="526">
        <f t="shared" ca="1" si="105"/>
        <v>0</v>
      </c>
      <c r="DX93" s="526">
        <f t="shared" ca="1" si="105"/>
        <v>0</v>
      </c>
      <c r="DY93" s="526">
        <f t="shared" ca="1" si="105"/>
        <v>0</v>
      </c>
      <c r="DZ93" s="526">
        <f t="shared" ca="1" si="105"/>
        <v>0</v>
      </c>
      <c r="EA93" s="526">
        <f t="shared" ca="1" si="105"/>
        <v>0</v>
      </c>
      <c r="EB93" s="526">
        <f t="shared" ca="1" si="105"/>
        <v>0</v>
      </c>
      <c r="EC93" s="523" t="s">
        <v>557</v>
      </c>
    </row>
    <row r="94" spans="6:133">
      <c r="EC94" s="523" t="s">
        <v>557</v>
      </c>
    </row>
    <row r="95" spans="6:133">
      <c r="H95" s="518" t="s">
        <v>1190</v>
      </c>
      <c r="L95" s="526">
        <f ca="1">L86+L93</f>
        <v>0</v>
      </c>
      <c r="M95" s="526">
        <f t="shared" ref="M95:BX95" ca="1" si="106">M86+M93</f>
        <v>0</v>
      </c>
      <c r="N95" s="526">
        <f t="shared" ca="1" si="106"/>
        <v>0</v>
      </c>
      <c r="O95" s="526">
        <f t="shared" ca="1" si="106"/>
        <v>0</v>
      </c>
      <c r="P95" s="526">
        <f t="shared" ca="1" si="106"/>
        <v>0</v>
      </c>
      <c r="Q95" s="526">
        <f t="shared" ca="1" si="106"/>
        <v>0</v>
      </c>
      <c r="R95" s="526">
        <f t="shared" ca="1" si="106"/>
        <v>0</v>
      </c>
      <c r="S95" s="526">
        <f t="shared" ca="1" si="106"/>
        <v>0</v>
      </c>
      <c r="T95" s="526">
        <f t="shared" ca="1" si="106"/>
        <v>0</v>
      </c>
      <c r="U95" s="526">
        <f t="shared" ca="1" si="106"/>
        <v>0</v>
      </c>
      <c r="V95" s="526">
        <f t="shared" ca="1" si="106"/>
        <v>0</v>
      </c>
      <c r="W95" s="526">
        <f t="shared" ca="1" si="106"/>
        <v>0</v>
      </c>
      <c r="X95" s="526">
        <f t="shared" ca="1" si="106"/>
        <v>0</v>
      </c>
      <c r="Y95" s="526">
        <f t="shared" ca="1" si="106"/>
        <v>0</v>
      </c>
      <c r="Z95" s="526">
        <f t="shared" ca="1" si="106"/>
        <v>0</v>
      </c>
      <c r="AA95" s="526">
        <f t="shared" ca="1" si="106"/>
        <v>0</v>
      </c>
      <c r="AB95" s="526">
        <f t="shared" ca="1" si="106"/>
        <v>0</v>
      </c>
      <c r="AC95" s="526">
        <f t="shared" ca="1" si="106"/>
        <v>0</v>
      </c>
      <c r="AD95" s="526">
        <f t="shared" ca="1" si="106"/>
        <v>0</v>
      </c>
      <c r="AE95" s="526">
        <f t="shared" ca="1" si="106"/>
        <v>0</v>
      </c>
      <c r="AF95" s="526">
        <f t="shared" ca="1" si="106"/>
        <v>0</v>
      </c>
      <c r="AG95" s="526">
        <f t="shared" ca="1" si="106"/>
        <v>0</v>
      </c>
      <c r="AH95" s="526">
        <f t="shared" ca="1" si="106"/>
        <v>0</v>
      </c>
      <c r="AI95" s="526">
        <f t="shared" ca="1" si="106"/>
        <v>0</v>
      </c>
      <c r="AJ95" s="526">
        <f t="shared" ca="1" si="106"/>
        <v>0</v>
      </c>
      <c r="AK95" s="526">
        <f t="shared" ca="1" si="106"/>
        <v>0</v>
      </c>
      <c r="AL95" s="526">
        <f t="shared" ca="1" si="106"/>
        <v>0</v>
      </c>
      <c r="AM95" s="526">
        <f t="shared" ca="1" si="106"/>
        <v>0</v>
      </c>
      <c r="AN95" s="526">
        <f t="shared" ca="1" si="106"/>
        <v>0</v>
      </c>
      <c r="AO95" s="526">
        <f t="shared" ca="1" si="106"/>
        <v>0</v>
      </c>
      <c r="AP95" s="526">
        <f t="shared" ca="1" si="106"/>
        <v>0</v>
      </c>
      <c r="AQ95" s="526">
        <f t="shared" ca="1" si="106"/>
        <v>0</v>
      </c>
      <c r="AR95" s="526">
        <f t="shared" ca="1" si="106"/>
        <v>0</v>
      </c>
      <c r="AS95" s="526">
        <f t="shared" ca="1" si="106"/>
        <v>0</v>
      </c>
      <c r="AT95" s="526">
        <f t="shared" ca="1" si="106"/>
        <v>0</v>
      </c>
      <c r="AU95" s="526">
        <f t="shared" ca="1" si="106"/>
        <v>0</v>
      </c>
      <c r="AV95" s="526">
        <f t="shared" ca="1" si="106"/>
        <v>0</v>
      </c>
      <c r="AW95" s="526">
        <f t="shared" ca="1" si="106"/>
        <v>0</v>
      </c>
      <c r="AX95" s="526">
        <f t="shared" ca="1" si="106"/>
        <v>0</v>
      </c>
      <c r="AY95" s="526">
        <f t="shared" ca="1" si="106"/>
        <v>0</v>
      </c>
      <c r="AZ95" s="526">
        <f t="shared" ca="1" si="106"/>
        <v>0</v>
      </c>
      <c r="BA95" s="526">
        <f t="shared" ca="1" si="106"/>
        <v>0</v>
      </c>
      <c r="BB95" s="526">
        <f t="shared" ca="1" si="106"/>
        <v>0</v>
      </c>
      <c r="BC95" s="526">
        <f t="shared" ca="1" si="106"/>
        <v>0</v>
      </c>
      <c r="BD95" s="526">
        <f t="shared" ca="1" si="106"/>
        <v>0</v>
      </c>
      <c r="BE95" s="526">
        <f t="shared" ca="1" si="106"/>
        <v>0</v>
      </c>
      <c r="BF95" s="526">
        <f t="shared" ca="1" si="106"/>
        <v>0</v>
      </c>
      <c r="BG95" s="526">
        <f t="shared" ca="1" si="106"/>
        <v>0</v>
      </c>
      <c r="BH95" s="526">
        <f t="shared" ca="1" si="106"/>
        <v>0</v>
      </c>
      <c r="BI95" s="526">
        <f t="shared" ca="1" si="106"/>
        <v>0</v>
      </c>
      <c r="BJ95" s="526">
        <f t="shared" ca="1" si="106"/>
        <v>0</v>
      </c>
      <c r="BK95" s="526">
        <f t="shared" ca="1" si="106"/>
        <v>0</v>
      </c>
      <c r="BL95" s="526">
        <f t="shared" ca="1" si="106"/>
        <v>0</v>
      </c>
      <c r="BM95" s="526">
        <f t="shared" ca="1" si="106"/>
        <v>0</v>
      </c>
      <c r="BN95" s="526">
        <f t="shared" ca="1" si="106"/>
        <v>0</v>
      </c>
      <c r="BO95" s="526">
        <f t="shared" ca="1" si="106"/>
        <v>0</v>
      </c>
      <c r="BP95" s="526">
        <f t="shared" ca="1" si="106"/>
        <v>0</v>
      </c>
      <c r="BQ95" s="526">
        <f t="shared" ca="1" si="106"/>
        <v>0</v>
      </c>
      <c r="BR95" s="526">
        <f t="shared" ca="1" si="106"/>
        <v>0</v>
      </c>
      <c r="BS95" s="526">
        <f t="shared" ca="1" si="106"/>
        <v>0</v>
      </c>
      <c r="BT95" s="526">
        <f t="shared" ca="1" si="106"/>
        <v>0</v>
      </c>
      <c r="BU95" s="526">
        <f t="shared" ca="1" si="106"/>
        <v>0</v>
      </c>
      <c r="BV95" s="526">
        <f t="shared" ca="1" si="106"/>
        <v>0</v>
      </c>
      <c r="BW95" s="526">
        <f t="shared" ca="1" si="106"/>
        <v>0</v>
      </c>
      <c r="BX95" s="526">
        <f t="shared" ca="1" si="106"/>
        <v>0</v>
      </c>
      <c r="BY95" s="526">
        <f t="shared" ref="BY95:EB95" ca="1" si="107">BY86+BY93</f>
        <v>0</v>
      </c>
      <c r="BZ95" s="526">
        <f t="shared" ca="1" si="107"/>
        <v>0</v>
      </c>
      <c r="CA95" s="526">
        <f t="shared" ca="1" si="107"/>
        <v>0</v>
      </c>
      <c r="CB95" s="526">
        <f t="shared" ca="1" si="107"/>
        <v>0</v>
      </c>
      <c r="CC95" s="526">
        <f t="shared" ca="1" si="107"/>
        <v>0</v>
      </c>
      <c r="CD95" s="526">
        <f t="shared" ca="1" si="107"/>
        <v>0</v>
      </c>
      <c r="CE95" s="526">
        <f t="shared" ca="1" si="107"/>
        <v>0</v>
      </c>
      <c r="CF95" s="526">
        <f t="shared" ca="1" si="107"/>
        <v>0</v>
      </c>
      <c r="CG95" s="526">
        <f t="shared" ca="1" si="107"/>
        <v>0</v>
      </c>
      <c r="CH95" s="526">
        <f t="shared" ca="1" si="107"/>
        <v>0</v>
      </c>
      <c r="CI95" s="526">
        <f t="shared" ca="1" si="107"/>
        <v>0</v>
      </c>
      <c r="CJ95" s="526">
        <f t="shared" ca="1" si="107"/>
        <v>0</v>
      </c>
      <c r="CK95" s="526">
        <f t="shared" ca="1" si="107"/>
        <v>0</v>
      </c>
      <c r="CL95" s="526">
        <f t="shared" ca="1" si="107"/>
        <v>0</v>
      </c>
      <c r="CM95" s="526">
        <f t="shared" ca="1" si="107"/>
        <v>0</v>
      </c>
      <c r="CN95" s="526">
        <f t="shared" ca="1" si="107"/>
        <v>0</v>
      </c>
      <c r="CO95" s="526">
        <f t="shared" ca="1" si="107"/>
        <v>0</v>
      </c>
      <c r="CP95" s="526">
        <f t="shared" ca="1" si="107"/>
        <v>0</v>
      </c>
      <c r="CQ95" s="526">
        <f t="shared" ca="1" si="107"/>
        <v>0</v>
      </c>
      <c r="CR95" s="526">
        <f t="shared" ca="1" si="107"/>
        <v>0</v>
      </c>
      <c r="CS95" s="526">
        <f t="shared" ca="1" si="107"/>
        <v>0</v>
      </c>
      <c r="CT95" s="526">
        <f t="shared" ca="1" si="107"/>
        <v>0</v>
      </c>
      <c r="CU95" s="526">
        <f t="shared" ca="1" si="107"/>
        <v>0</v>
      </c>
      <c r="CV95" s="526">
        <f t="shared" ca="1" si="107"/>
        <v>0</v>
      </c>
      <c r="CW95" s="526">
        <f t="shared" ca="1" si="107"/>
        <v>0</v>
      </c>
      <c r="CX95" s="526">
        <f t="shared" ca="1" si="107"/>
        <v>0</v>
      </c>
      <c r="CY95" s="526">
        <f t="shared" ca="1" si="107"/>
        <v>0</v>
      </c>
      <c r="CZ95" s="526">
        <f t="shared" ca="1" si="107"/>
        <v>0</v>
      </c>
      <c r="DA95" s="526">
        <f t="shared" ca="1" si="107"/>
        <v>0</v>
      </c>
      <c r="DB95" s="526">
        <f t="shared" ca="1" si="107"/>
        <v>0</v>
      </c>
      <c r="DC95" s="526">
        <f t="shared" ca="1" si="107"/>
        <v>0</v>
      </c>
      <c r="DD95" s="526">
        <f t="shared" ca="1" si="107"/>
        <v>0</v>
      </c>
      <c r="DE95" s="526">
        <f t="shared" ca="1" si="107"/>
        <v>0</v>
      </c>
      <c r="DF95" s="526">
        <f t="shared" ca="1" si="107"/>
        <v>0</v>
      </c>
      <c r="DG95" s="526">
        <f t="shared" ca="1" si="107"/>
        <v>0</v>
      </c>
      <c r="DH95" s="526">
        <f t="shared" ca="1" si="107"/>
        <v>0</v>
      </c>
      <c r="DI95" s="526">
        <f t="shared" ca="1" si="107"/>
        <v>0</v>
      </c>
      <c r="DJ95" s="526">
        <f t="shared" ca="1" si="107"/>
        <v>0</v>
      </c>
      <c r="DK95" s="526">
        <f t="shared" ca="1" si="107"/>
        <v>0</v>
      </c>
      <c r="DL95" s="526">
        <f t="shared" ca="1" si="107"/>
        <v>0</v>
      </c>
      <c r="DM95" s="526">
        <f t="shared" ca="1" si="107"/>
        <v>0</v>
      </c>
      <c r="DN95" s="526">
        <f t="shared" ca="1" si="107"/>
        <v>0</v>
      </c>
      <c r="DO95" s="526">
        <f t="shared" ca="1" si="107"/>
        <v>0</v>
      </c>
      <c r="DP95" s="526">
        <f t="shared" ca="1" si="107"/>
        <v>0</v>
      </c>
      <c r="DQ95" s="526">
        <f t="shared" ca="1" si="107"/>
        <v>0</v>
      </c>
      <c r="DR95" s="526">
        <f t="shared" ca="1" si="107"/>
        <v>0</v>
      </c>
      <c r="DS95" s="526">
        <f t="shared" ca="1" si="107"/>
        <v>0</v>
      </c>
      <c r="DT95" s="526">
        <f t="shared" ca="1" si="107"/>
        <v>0</v>
      </c>
      <c r="DU95" s="526">
        <f t="shared" ca="1" si="107"/>
        <v>0</v>
      </c>
      <c r="DV95" s="526">
        <f t="shared" ca="1" si="107"/>
        <v>0</v>
      </c>
      <c r="DW95" s="526">
        <f t="shared" ca="1" si="107"/>
        <v>0</v>
      </c>
      <c r="DX95" s="526">
        <f t="shared" ca="1" si="107"/>
        <v>0</v>
      </c>
      <c r="DY95" s="526">
        <f t="shared" ca="1" si="107"/>
        <v>0</v>
      </c>
      <c r="DZ95" s="526">
        <f t="shared" ca="1" si="107"/>
        <v>0</v>
      </c>
      <c r="EA95" s="526">
        <f t="shared" ca="1" si="107"/>
        <v>0</v>
      </c>
      <c r="EB95" s="526">
        <f t="shared" ca="1" si="107"/>
        <v>0</v>
      </c>
      <c r="EC95" s="523" t="s">
        <v>557</v>
      </c>
    </row>
    <row r="96" spans="6:133" ht="18" thickBot="1">
      <c r="H96" s="554" t="s">
        <v>1167</v>
      </c>
      <c r="I96" s="555"/>
      <c r="J96" s="555"/>
      <c r="K96" s="555"/>
      <c r="L96" s="556">
        <f ca="1">L78-L95</f>
        <v>0</v>
      </c>
      <c r="M96" s="556">
        <f t="shared" ref="M96:BX96" ca="1" si="108">M78-M95</f>
        <v>0</v>
      </c>
      <c r="N96" s="556">
        <f t="shared" ca="1" si="108"/>
        <v>0</v>
      </c>
      <c r="O96" s="556">
        <f t="shared" ca="1" si="108"/>
        <v>0</v>
      </c>
      <c r="P96" s="556">
        <f t="shared" ca="1" si="108"/>
        <v>0</v>
      </c>
      <c r="Q96" s="556">
        <f t="shared" ca="1" si="108"/>
        <v>0</v>
      </c>
      <c r="R96" s="556">
        <f t="shared" ca="1" si="108"/>
        <v>0</v>
      </c>
      <c r="S96" s="556">
        <f t="shared" ca="1" si="108"/>
        <v>0</v>
      </c>
      <c r="T96" s="556">
        <f t="shared" ca="1" si="108"/>
        <v>0</v>
      </c>
      <c r="U96" s="556">
        <f t="shared" ca="1" si="108"/>
        <v>0</v>
      </c>
      <c r="V96" s="556">
        <f t="shared" ca="1" si="108"/>
        <v>0</v>
      </c>
      <c r="W96" s="556">
        <f t="shared" ca="1" si="108"/>
        <v>0</v>
      </c>
      <c r="X96" s="556">
        <f t="shared" ca="1" si="108"/>
        <v>0</v>
      </c>
      <c r="Y96" s="556">
        <f t="shared" ca="1" si="108"/>
        <v>0</v>
      </c>
      <c r="Z96" s="556">
        <f t="shared" ca="1" si="108"/>
        <v>0</v>
      </c>
      <c r="AA96" s="556">
        <f t="shared" ca="1" si="108"/>
        <v>0</v>
      </c>
      <c r="AB96" s="556">
        <f t="shared" ca="1" si="108"/>
        <v>0</v>
      </c>
      <c r="AC96" s="556">
        <f t="shared" ca="1" si="108"/>
        <v>0</v>
      </c>
      <c r="AD96" s="556">
        <f t="shared" ca="1" si="108"/>
        <v>0</v>
      </c>
      <c r="AE96" s="556">
        <f t="shared" ca="1" si="108"/>
        <v>0</v>
      </c>
      <c r="AF96" s="556">
        <f t="shared" ca="1" si="108"/>
        <v>0</v>
      </c>
      <c r="AG96" s="556">
        <f t="shared" ca="1" si="108"/>
        <v>0</v>
      </c>
      <c r="AH96" s="556">
        <f t="shared" ca="1" si="108"/>
        <v>0</v>
      </c>
      <c r="AI96" s="556">
        <f t="shared" ca="1" si="108"/>
        <v>0</v>
      </c>
      <c r="AJ96" s="556">
        <f t="shared" ca="1" si="108"/>
        <v>0</v>
      </c>
      <c r="AK96" s="556">
        <f t="shared" ca="1" si="108"/>
        <v>0</v>
      </c>
      <c r="AL96" s="556">
        <f t="shared" ca="1" si="108"/>
        <v>0</v>
      </c>
      <c r="AM96" s="556">
        <f t="shared" ca="1" si="108"/>
        <v>0</v>
      </c>
      <c r="AN96" s="556">
        <f t="shared" ca="1" si="108"/>
        <v>0</v>
      </c>
      <c r="AO96" s="556">
        <f t="shared" ca="1" si="108"/>
        <v>0</v>
      </c>
      <c r="AP96" s="556">
        <f t="shared" ca="1" si="108"/>
        <v>0</v>
      </c>
      <c r="AQ96" s="556">
        <f t="shared" ca="1" si="108"/>
        <v>0</v>
      </c>
      <c r="AR96" s="556">
        <f t="shared" ca="1" si="108"/>
        <v>0</v>
      </c>
      <c r="AS96" s="556">
        <f t="shared" ca="1" si="108"/>
        <v>0</v>
      </c>
      <c r="AT96" s="556">
        <f t="shared" ca="1" si="108"/>
        <v>0</v>
      </c>
      <c r="AU96" s="556">
        <f t="shared" ca="1" si="108"/>
        <v>0</v>
      </c>
      <c r="AV96" s="556">
        <f t="shared" ca="1" si="108"/>
        <v>0</v>
      </c>
      <c r="AW96" s="556">
        <f t="shared" ca="1" si="108"/>
        <v>0</v>
      </c>
      <c r="AX96" s="556">
        <f t="shared" ca="1" si="108"/>
        <v>0</v>
      </c>
      <c r="AY96" s="556">
        <f t="shared" ca="1" si="108"/>
        <v>0</v>
      </c>
      <c r="AZ96" s="556">
        <f t="shared" ca="1" si="108"/>
        <v>0</v>
      </c>
      <c r="BA96" s="556">
        <f t="shared" ca="1" si="108"/>
        <v>0</v>
      </c>
      <c r="BB96" s="556">
        <f t="shared" ca="1" si="108"/>
        <v>0</v>
      </c>
      <c r="BC96" s="556">
        <f t="shared" ca="1" si="108"/>
        <v>0</v>
      </c>
      <c r="BD96" s="556">
        <f t="shared" ca="1" si="108"/>
        <v>0</v>
      </c>
      <c r="BE96" s="556">
        <f t="shared" ca="1" si="108"/>
        <v>0</v>
      </c>
      <c r="BF96" s="556">
        <f t="shared" ca="1" si="108"/>
        <v>0</v>
      </c>
      <c r="BG96" s="556">
        <f t="shared" ca="1" si="108"/>
        <v>0</v>
      </c>
      <c r="BH96" s="556">
        <f t="shared" ca="1" si="108"/>
        <v>0</v>
      </c>
      <c r="BI96" s="556">
        <f t="shared" ca="1" si="108"/>
        <v>0</v>
      </c>
      <c r="BJ96" s="556">
        <f t="shared" ca="1" si="108"/>
        <v>0</v>
      </c>
      <c r="BK96" s="556">
        <f t="shared" ca="1" si="108"/>
        <v>0</v>
      </c>
      <c r="BL96" s="556">
        <f t="shared" ca="1" si="108"/>
        <v>0</v>
      </c>
      <c r="BM96" s="556">
        <f t="shared" ca="1" si="108"/>
        <v>0</v>
      </c>
      <c r="BN96" s="556">
        <f t="shared" ca="1" si="108"/>
        <v>0</v>
      </c>
      <c r="BO96" s="556">
        <f t="shared" ca="1" si="108"/>
        <v>0</v>
      </c>
      <c r="BP96" s="556">
        <f t="shared" ca="1" si="108"/>
        <v>0</v>
      </c>
      <c r="BQ96" s="556">
        <f t="shared" ca="1" si="108"/>
        <v>0</v>
      </c>
      <c r="BR96" s="556">
        <f t="shared" ca="1" si="108"/>
        <v>0</v>
      </c>
      <c r="BS96" s="556">
        <f t="shared" ca="1" si="108"/>
        <v>0</v>
      </c>
      <c r="BT96" s="556">
        <f t="shared" ca="1" si="108"/>
        <v>0</v>
      </c>
      <c r="BU96" s="556">
        <f t="shared" ca="1" si="108"/>
        <v>0</v>
      </c>
      <c r="BV96" s="556">
        <f t="shared" ca="1" si="108"/>
        <v>0</v>
      </c>
      <c r="BW96" s="556">
        <f t="shared" ca="1" si="108"/>
        <v>0</v>
      </c>
      <c r="BX96" s="556">
        <f t="shared" ca="1" si="108"/>
        <v>0</v>
      </c>
      <c r="BY96" s="556">
        <f t="shared" ref="BY96:EB96" ca="1" si="109">BY78-BY95</f>
        <v>0</v>
      </c>
      <c r="BZ96" s="556">
        <f t="shared" ca="1" si="109"/>
        <v>0</v>
      </c>
      <c r="CA96" s="556">
        <f t="shared" ca="1" si="109"/>
        <v>0</v>
      </c>
      <c r="CB96" s="556">
        <f t="shared" ca="1" si="109"/>
        <v>0</v>
      </c>
      <c r="CC96" s="556">
        <f t="shared" ca="1" si="109"/>
        <v>0</v>
      </c>
      <c r="CD96" s="556">
        <f t="shared" ca="1" si="109"/>
        <v>0</v>
      </c>
      <c r="CE96" s="556">
        <f t="shared" ca="1" si="109"/>
        <v>0</v>
      </c>
      <c r="CF96" s="556">
        <f t="shared" ca="1" si="109"/>
        <v>0</v>
      </c>
      <c r="CG96" s="556">
        <f t="shared" ca="1" si="109"/>
        <v>0</v>
      </c>
      <c r="CH96" s="556">
        <f t="shared" ca="1" si="109"/>
        <v>0</v>
      </c>
      <c r="CI96" s="556">
        <f t="shared" ca="1" si="109"/>
        <v>0</v>
      </c>
      <c r="CJ96" s="556">
        <f t="shared" ca="1" si="109"/>
        <v>0</v>
      </c>
      <c r="CK96" s="556">
        <f t="shared" ca="1" si="109"/>
        <v>0</v>
      </c>
      <c r="CL96" s="556">
        <f t="shared" ca="1" si="109"/>
        <v>0</v>
      </c>
      <c r="CM96" s="556">
        <f t="shared" ca="1" si="109"/>
        <v>0</v>
      </c>
      <c r="CN96" s="556">
        <f t="shared" ca="1" si="109"/>
        <v>0</v>
      </c>
      <c r="CO96" s="556">
        <f t="shared" ca="1" si="109"/>
        <v>0</v>
      </c>
      <c r="CP96" s="556">
        <f t="shared" ca="1" si="109"/>
        <v>0</v>
      </c>
      <c r="CQ96" s="556">
        <f t="shared" ca="1" si="109"/>
        <v>0</v>
      </c>
      <c r="CR96" s="556">
        <f t="shared" ca="1" si="109"/>
        <v>0</v>
      </c>
      <c r="CS96" s="556">
        <f t="shared" ca="1" si="109"/>
        <v>0</v>
      </c>
      <c r="CT96" s="556">
        <f t="shared" ca="1" si="109"/>
        <v>0</v>
      </c>
      <c r="CU96" s="556">
        <f t="shared" ca="1" si="109"/>
        <v>0</v>
      </c>
      <c r="CV96" s="556">
        <f t="shared" ca="1" si="109"/>
        <v>0</v>
      </c>
      <c r="CW96" s="556">
        <f t="shared" ca="1" si="109"/>
        <v>0</v>
      </c>
      <c r="CX96" s="556">
        <f t="shared" ca="1" si="109"/>
        <v>0</v>
      </c>
      <c r="CY96" s="556">
        <f t="shared" ca="1" si="109"/>
        <v>0</v>
      </c>
      <c r="CZ96" s="556">
        <f t="shared" ca="1" si="109"/>
        <v>0</v>
      </c>
      <c r="DA96" s="556">
        <f t="shared" ca="1" si="109"/>
        <v>0</v>
      </c>
      <c r="DB96" s="556">
        <f t="shared" ca="1" si="109"/>
        <v>0</v>
      </c>
      <c r="DC96" s="556">
        <f t="shared" ca="1" si="109"/>
        <v>0</v>
      </c>
      <c r="DD96" s="556">
        <f t="shared" ca="1" si="109"/>
        <v>0</v>
      </c>
      <c r="DE96" s="556">
        <f t="shared" ca="1" si="109"/>
        <v>0</v>
      </c>
      <c r="DF96" s="556">
        <f t="shared" ca="1" si="109"/>
        <v>0</v>
      </c>
      <c r="DG96" s="556">
        <f t="shared" ca="1" si="109"/>
        <v>0</v>
      </c>
      <c r="DH96" s="556">
        <f t="shared" ca="1" si="109"/>
        <v>0</v>
      </c>
      <c r="DI96" s="556">
        <f t="shared" ca="1" si="109"/>
        <v>0</v>
      </c>
      <c r="DJ96" s="556">
        <f t="shared" ca="1" si="109"/>
        <v>0</v>
      </c>
      <c r="DK96" s="556">
        <f t="shared" ca="1" si="109"/>
        <v>0</v>
      </c>
      <c r="DL96" s="556">
        <f t="shared" ca="1" si="109"/>
        <v>0</v>
      </c>
      <c r="DM96" s="556">
        <f t="shared" ca="1" si="109"/>
        <v>0</v>
      </c>
      <c r="DN96" s="556">
        <f t="shared" ca="1" si="109"/>
        <v>0</v>
      </c>
      <c r="DO96" s="556">
        <f t="shared" ca="1" si="109"/>
        <v>0</v>
      </c>
      <c r="DP96" s="556">
        <f t="shared" ca="1" si="109"/>
        <v>0</v>
      </c>
      <c r="DQ96" s="556">
        <f t="shared" ca="1" si="109"/>
        <v>0</v>
      </c>
      <c r="DR96" s="556">
        <f t="shared" ca="1" si="109"/>
        <v>0</v>
      </c>
      <c r="DS96" s="556">
        <f t="shared" ca="1" si="109"/>
        <v>0</v>
      </c>
      <c r="DT96" s="556">
        <f t="shared" ca="1" si="109"/>
        <v>0</v>
      </c>
      <c r="DU96" s="556">
        <f t="shared" ca="1" si="109"/>
        <v>0</v>
      </c>
      <c r="DV96" s="556">
        <f t="shared" ca="1" si="109"/>
        <v>0</v>
      </c>
      <c r="DW96" s="556">
        <f t="shared" ca="1" si="109"/>
        <v>0</v>
      </c>
      <c r="DX96" s="556">
        <f t="shared" ca="1" si="109"/>
        <v>0</v>
      </c>
      <c r="DY96" s="556">
        <f t="shared" ca="1" si="109"/>
        <v>0</v>
      </c>
      <c r="DZ96" s="556">
        <f t="shared" ca="1" si="109"/>
        <v>0</v>
      </c>
      <c r="EA96" s="556">
        <f t="shared" ca="1" si="109"/>
        <v>0</v>
      </c>
      <c r="EB96" s="556">
        <f t="shared" ca="1" si="109"/>
        <v>0</v>
      </c>
      <c r="EC96" s="523" t="s">
        <v>557</v>
      </c>
    </row>
    <row r="97" spans="6:133">
      <c r="L97" s="526"/>
      <c r="M97" s="526"/>
      <c r="N97" s="526"/>
      <c r="O97" s="526"/>
      <c r="P97" s="526"/>
      <c r="Q97" s="526"/>
      <c r="R97" s="526"/>
      <c r="S97" s="526"/>
      <c r="T97" s="526"/>
      <c r="U97" s="526"/>
      <c r="V97" s="526"/>
      <c r="W97" s="526"/>
      <c r="X97" s="526"/>
      <c r="Y97" s="526"/>
      <c r="Z97" s="526"/>
      <c r="AA97" s="526"/>
      <c r="AB97" s="526"/>
      <c r="AC97" s="526"/>
      <c r="AD97" s="526"/>
      <c r="AE97" s="526"/>
      <c r="AF97" s="526"/>
      <c r="AG97" s="526"/>
      <c r="AH97" s="526"/>
      <c r="AI97" s="526"/>
      <c r="AJ97" s="526"/>
      <c r="AK97" s="526"/>
      <c r="AL97" s="526"/>
      <c r="AM97" s="526"/>
      <c r="AN97" s="526"/>
      <c r="AO97" s="526"/>
      <c r="AP97" s="526"/>
      <c r="AQ97" s="526"/>
      <c r="AR97" s="526"/>
      <c r="AS97" s="526"/>
      <c r="AT97" s="526"/>
      <c r="AU97" s="526"/>
      <c r="AV97" s="526"/>
      <c r="AW97" s="526"/>
      <c r="AX97" s="526"/>
      <c r="AY97" s="526"/>
      <c r="AZ97" s="526"/>
      <c r="BA97" s="526"/>
      <c r="BB97" s="526"/>
      <c r="BC97" s="526"/>
      <c r="BD97" s="526"/>
      <c r="BE97" s="526"/>
      <c r="BF97" s="526"/>
      <c r="BG97" s="526"/>
      <c r="BH97" s="526"/>
      <c r="BI97" s="526"/>
      <c r="BJ97" s="526"/>
      <c r="BK97" s="526"/>
      <c r="BL97" s="526"/>
      <c r="BM97" s="526"/>
      <c r="BN97" s="526"/>
      <c r="BO97" s="526"/>
      <c r="BP97" s="526"/>
      <c r="BQ97" s="526"/>
      <c r="BR97" s="526"/>
      <c r="BS97" s="526"/>
      <c r="BT97" s="526"/>
      <c r="BU97" s="526"/>
      <c r="BV97" s="526"/>
      <c r="BW97" s="526"/>
      <c r="BX97" s="526"/>
      <c r="BY97" s="526"/>
      <c r="BZ97" s="526"/>
      <c r="CA97" s="526"/>
      <c r="CB97" s="526"/>
      <c r="CC97" s="526"/>
      <c r="CD97" s="526"/>
      <c r="CE97" s="526"/>
      <c r="CF97" s="526"/>
      <c r="CG97" s="526"/>
      <c r="CH97" s="526"/>
      <c r="CI97" s="526"/>
      <c r="CJ97" s="526"/>
      <c r="CK97" s="526"/>
      <c r="CL97" s="526"/>
      <c r="CM97" s="526"/>
      <c r="CN97" s="526"/>
      <c r="CO97" s="526"/>
      <c r="CP97" s="526"/>
      <c r="CQ97" s="526"/>
      <c r="CR97" s="526"/>
      <c r="CS97" s="526"/>
      <c r="CT97" s="526"/>
      <c r="CU97" s="526"/>
      <c r="CV97" s="526"/>
      <c r="CW97" s="526"/>
      <c r="CX97" s="526"/>
      <c r="CY97" s="526"/>
      <c r="CZ97" s="526"/>
      <c r="DA97" s="526"/>
      <c r="DB97" s="526"/>
      <c r="DC97" s="526"/>
      <c r="DD97" s="526"/>
      <c r="DE97" s="526"/>
      <c r="DF97" s="526"/>
      <c r="DG97" s="526"/>
      <c r="DH97" s="526"/>
      <c r="DI97" s="526"/>
      <c r="DJ97" s="526"/>
      <c r="DK97" s="526"/>
      <c r="DL97" s="526"/>
      <c r="DM97" s="526"/>
      <c r="DN97" s="526"/>
      <c r="DO97" s="526"/>
      <c r="DP97" s="526"/>
      <c r="DQ97" s="526"/>
      <c r="DR97" s="526"/>
      <c r="DS97" s="526"/>
      <c r="DT97" s="526"/>
      <c r="DU97" s="526"/>
      <c r="DV97" s="526"/>
      <c r="DW97" s="526"/>
      <c r="DX97" s="526"/>
      <c r="DY97" s="526"/>
      <c r="DZ97" s="526"/>
      <c r="EA97" s="526"/>
      <c r="EB97" s="526"/>
      <c r="EC97" s="523"/>
    </row>
    <row r="98" spans="6:133" ht="19">
      <c r="H98" s="173" t="s">
        <v>1159</v>
      </c>
      <c r="I98" s="529"/>
      <c r="J98" s="529"/>
      <c r="K98" s="530"/>
      <c r="L98" s="530"/>
      <c r="M98" s="530"/>
      <c r="N98" s="530"/>
      <c r="O98" s="530"/>
      <c r="P98" s="530"/>
      <c r="Q98" s="530"/>
      <c r="R98" s="530"/>
      <c r="S98" s="530"/>
      <c r="T98" s="530"/>
      <c r="U98" s="530"/>
      <c r="V98" s="530"/>
      <c r="W98" s="530"/>
      <c r="X98" s="530"/>
      <c r="Y98" s="530"/>
      <c r="Z98" s="530"/>
      <c r="AA98" s="530"/>
      <c r="AB98" s="530"/>
      <c r="AC98" s="530"/>
      <c r="AD98" s="530"/>
      <c r="AE98" s="530"/>
      <c r="AF98" s="530"/>
      <c r="AG98" s="530"/>
      <c r="AH98" s="530"/>
      <c r="AI98" s="530"/>
      <c r="AJ98" s="530"/>
      <c r="AK98" s="530"/>
      <c r="AL98" s="530"/>
      <c r="AM98" s="530"/>
      <c r="AN98" s="530"/>
      <c r="AO98" s="530"/>
      <c r="AP98" s="530"/>
      <c r="AQ98" s="530"/>
      <c r="AR98" s="530"/>
      <c r="AS98" s="530"/>
      <c r="AT98" s="530"/>
      <c r="AU98" s="530"/>
      <c r="AV98" s="530"/>
      <c r="AW98" s="530"/>
      <c r="AX98" s="530"/>
      <c r="AY98" s="530"/>
      <c r="AZ98" s="530"/>
      <c r="BA98" s="530"/>
      <c r="BB98" s="530"/>
      <c r="BC98" s="530"/>
      <c r="BD98" s="530"/>
      <c r="BE98" s="530"/>
      <c r="BF98" s="530"/>
      <c r="BG98" s="530"/>
      <c r="BH98" s="530"/>
      <c r="BI98" s="530"/>
      <c r="BJ98" s="530"/>
      <c r="BK98" s="530"/>
      <c r="BL98" s="530"/>
      <c r="BM98" s="530"/>
      <c r="BN98" s="530"/>
      <c r="BO98" s="530"/>
      <c r="BP98" s="530"/>
      <c r="BQ98" s="530"/>
      <c r="BR98" s="530"/>
      <c r="BS98" s="530"/>
      <c r="BT98" s="530"/>
      <c r="BU98" s="530"/>
      <c r="BV98" s="530"/>
      <c r="BW98" s="530"/>
      <c r="BX98" s="530"/>
      <c r="BY98" s="530"/>
      <c r="BZ98" s="530"/>
      <c r="CA98" s="530"/>
      <c r="CB98" s="530"/>
      <c r="CC98" s="530"/>
      <c r="CD98" s="530"/>
      <c r="CE98" s="530"/>
      <c r="CF98" s="530"/>
      <c r="CG98" s="530"/>
      <c r="CH98" s="530"/>
      <c r="CI98" s="530"/>
      <c r="CJ98" s="530"/>
      <c r="CK98" s="530"/>
      <c r="CL98" s="530"/>
      <c r="CM98" s="530"/>
      <c r="CN98" s="530"/>
      <c r="CO98" s="530"/>
      <c r="CP98" s="530"/>
      <c r="CQ98" s="530"/>
      <c r="CR98" s="530"/>
      <c r="CS98" s="530"/>
      <c r="CT98" s="530"/>
      <c r="CU98" s="530"/>
      <c r="CV98" s="530"/>
      <c r="CW98" s="530"/>
      <c r="CX98" s="530"/>
      <c r="CY98" s="530"/>
      <c r="CZ98" s="530"/>
      <c r="DA98" s="530"/>
      <c r="DB98" s="530"/>
      <c r="DC98" s="530"/>
      <c r="DD98" s="530"/>
      <c r="DE98" s="530"/>
      <c r="DF98" s="530"/>
      <c r="DG98" s="530"/>
      <c r="DH98" s="530"/>
      <c r="DI98" s="530"/>
      <c r="DJ98" s="530"/>
      <c r="DK98" s="530"/>
      <c r="DL98" s="530"/>
      <c r="DM98" s="530"/>
      <c r="DN98" s="530"/>
      <c r="DO98" s="530"/>
      <c r="DP98" s="530"/>
      <c r="DQ98" s="530"/>
      <c r="DR98" s="530"/>
      <c r="DS98" s="530"/>
      <c r="DT98" s="530"/>
      <c r="DU98" s="530"/>
      <c r="DV98" s="530"/>
      <c r="DW98" s="530"/>
      <c r="DX98" s="530"/>
      <c r="DY98" s="530"/>
      <c r="DZ98" s="530"/>
      <c r="EA98" s="530"/>
      <c r="EB98" s="530"/>
      <c r="EC98" s="523" t="s">
        <v>557</v>
      </c>
    </row>
    <row r="99" spans="6:133">
      <c r="H99" s="520" t="s">
        <v>1136</v>
      </c>
      <c r="I99" s="533"/>
      <c r="J99" s="533"/>
      <c r="K99" s="521"/>
      <c r="L99" s="521"/>
      <c r="M99" s="521"/>
      <c r="N99" s="521"/>
      <c r="O99" s="521"/>
      <c r="P99" s="521"/>
      <c r="Q99" s="521"/>
      <c r="R99" s="521"/>
      <c r="S99" s="521"/>
      <c r="T99" s="521"/>
      <c r="U99" s="521"/>
      <c r="V99" s="521"/>
      <c r="W99" s="521"/>
      <c r="X99" s="521"/>
      <c r="Y99" s="521"/>
      <c r="Z99" s="521"/>
      <c r="AA99" s="521"/>
      <c r="AB99" s="521"/>
      <c r="AC99" s="521"/>
      <c r="AD99" s="521"/>
      <c r="AE99" s="521"/>
      <c r="AF99" s="521"/>
      <c r="AG99" s="521"/>
      <c r="AH99" s="521"/>
      <c r="AI99" s="521"/>
      <c r="AJ99" s="521"/>
      <c r="AK99" s="521"/>
      <c r="AL99" s="521"/>
      <c r="AM99" s="521"/>
      <c r="AN99" s="521"/>
      <c r="AO99" s="521"/>
      <c r="AP99" s="521"/>
      <c r="AQ99" s="521"/>
      <c r="AR99" s="521"/>
      <c r="AS99" s="521"/>
      <c r="AT99" s="521"/>
      <c r="AU99" s="521"/>
      <c r="AV99" s="521"/>
      <c r="AW99" s="521"/>
      <c r="AX99" s="521"/>
      <c r="AY99" s="521"/>
      <c r="AZ99" s="521"/>
      <c r="BA99" s="521"/>
      <c r="BB99" s="521"/>
      <c r="BC99" s="521"/>
      <c r="BD99" s="521"/>
      <c r="BE99" s="521"/>
      <c r="BF99" s="521"/>
      <c r="BG99" s="521"/>
      <c r="BH99" s="521"/>
      <c r="BI99" s="521"/>
      <c r="BJ99" s="521"/>
      <c r="BK99" s="521"/>
      <c r="BL99" s="521"/>
      <c r="BM99" s="521"/>
      <c r="BN99" s="521"/>
      <c r="BO99" s="521"/>
      <c r="BP99" s="521"/>
      <c r="BQ99" s="521"/>
      <c r="BR99" s="521"/>
      <c r="BS99" s="521"/>
      <c r="BT99" s="521"/>
      <c r="BU99" s="521"/>
      <c r="BV99" s="521"/>
      <c r="BW99" s="521"/>
      <c r="BX99" s="521"/>
      <c r="BY99" s="521"/>
      <c r="BZ99" s="521"/>
      <c r="CA99" s="521"/>
      <c r="CB99" s="521"/>
      <c r="CC99" s="521"/>
      <c r="CD99" s="521"/>
      <c r="CE99" s="521"/>
      <c r="CF99" s="521"/>
      <c r="CG99" s="521"/>
      <c r="CH99" s="521"/>
      <c r="CI99" s="521"/>
      <c r="CJ99" s="521"/>
      <c r="CK99" s="521"/>
      <c r="CL99" s="521"/>
      <c r="CM99" s="521"/>
      <c r="CN99" s="521"/>
      <c r="CO99" s="521"/>
      <c r="CP99" s="521"/>
      <c r="CQ99" s="521"/>
      <c r="CR99" s="521"/>
      <c r="CS99" s="521"/>
      <c r="CT99" s="521"/>
      <c r="CU99" s="521"/>
      <c r="CV99" s="521"/>
      <c r="CW99" s="521"/>
      <c r="CX99" s="521"/>
      <c r="CY99" s="521"/>
      <c r="CZ99" s="521"/>
      <c r="DA99" s="521"/>
      <c r="DB99" s="521"/>
      <c r="DC99" s="521"/>
      <c r="DD99" s="521"/>
      <c r="DE99" s="521"/>
      <c r="DF99" s="521"/>
      <c r="DG99" s="521"/>
      <c r="DH99" s="521"/>
      <c r="DI99" s="521"/>
      <c r="DJ99" s="521"/>
      <c r="DK99" s="521"/>
      <c r="DL99" s="521"/>
      <c r="DM99" s="521"/>
      <c r="DN99" s="521"/>
      <c r="DO99" s="521"/>
      <c r="DP99" s="521"/>
      <c r="DQ99" s="521"/>
      <c r="DR99" s="521"/>
      <c r="DS99" s="521"/>
      <c r="DT99" s="521"/>
      <c r="DU99" s="521"/>
      <c r="DV99" s="521"/>
      <c r="DW99" s="521"/>
      <c r="DX99" s="521"/>
      <c r="DY99" s="521"/>
      <c r="DZ99" s="521"/>
      <c r="EA99" s="521"/>
      <c r="EB99" s="521"/>
      <c r="EC99" s="523" t="s">
        <v>557</v>
      </c>
    </row>
    <row r="100" spans="6:133">
      <c r="H100" s="518" t="s">
        <v>1141</v>
      </c>
      <c r="J100" s="1002" t="s">
        <v>1142</v>
      </c>
      <c r="L100" s="526">
        <f>K105</f>
        <v>0</v>
      </c>
      <c r="M100" s="526">
        <f ca="1">L105</f>
        <v>20296000</v>
      </c>
      <c r="N100" s="526">
        <f t="shared" ref="N100:BY100" ca="1" si="110">M105</f>
        <v>20559982.931349035</v>
      </c>
      <c r="O100" s="526">
        <f t="shared" ca="1" si="110"/>
        <v>20826263.170631636</v>
      </c>
      <c r="P100" s="526">
        <f t="shared" ca="1" si="110"/>
        <v>21094865.012994207</v>
      </c>
      <c r="Q100" s="526">
        <f t="shared" ca="1" si="110"/>
        <v>21365813.065593287</v>
      </c>
      <c r="R100" s="526">
        <f t="shared" ca="1" si="110"/>
        <v>21639132.252182659</v>
      </c>
      <c r="S100" s="526">
        <f t="shared" ca="1" si="110"/>
        <v>21914847.817772962</v>
      </c>
      <c r="T100" s="526">
        <f t="shared" ca="1" si="110"/>
        <v>22192985.333364923</v>
      </c>
      <c r="U100" s="526">
        <f t="shared" ca="1" si="110"/>
        <v>22473570.700757474</v>
      </c>
      <c r="V100" s="526">
        <f t="shared" ca="1" si="110"/>
        <v>22756630.157431915</v>
      </c>
      <c r="W100" s="526">
        <f t="shared" ca="1" si="110"/>
        <v>23042190.281513445</v>
      </c>
      <c r="X100" s="526">
        <f t="shared" ca="1" si="110"/>
        <v>23330277.996811241</v>
      </c>
      <c r="Y100" s="526">
        <f t="shared" ca="1" si="110"/>
        <v>23620920.577938415</v>
      </c>
      <c r="Z100" s="526">
        <f t="shared" ca="1" si="110"/>
        <v>23916469.434509438</v>
      </c>
      <c r="AA100" s="526">
        <f t="shared" ca="1" si="110"/>
        <v>24214811.558022551</v>
      </c>
      <c r="AB100" s="526">
        <f t="shared" ca="1" si="110"/>
        <v>24515980.214522772</v>
      </c>
      <c r="AC100" s="526">
        <f t="shared" ca="1" si="110"/>
        <v>24820009.142105311</v>
      </c>
      <c r="AD100" s="526">
        <f t="shared" ca="1" si="110"/>
        <v>25126932.558279365</v>
      </c>
      <c r="AE100" s="526">
        <f t="shared" ca="1" si="110"/>
        <v>25436785.167451639</v>
      </c>
      <c r="AF100" s="526">
        <f t="shared" ca="1" si="110"/>
        <v>25749602.168531649</v>
      </c>
      <c r="AG100" s="526">
        <f t="shared" ca="1" si="110"/>
        <v>26065419.262660783</v>
      </c>
      <c r="AH100" s="526">
        <f t="shared" ca="1" si="110"/>
        <v>26384272.661067162</v>
      </c>
      <c r="AI100" s="526">
        <f t="shared" ca="1" si="110"/>
        <v>26706199.09304839</v>
      </c>
      <c r="AJ100" s="526">
        <f t="shared" ca="1" si="110"/>
        <v>27031235.814084325</v>
      </c>
      <c r="AK100" s="526">
        <f t="shared" ca="1" si="110"/>
        <v>27359420.614082001</v>
      </c>
      <c r="AL100" s="526">
        <f t="shared" ca="1" si="110"/>
        <v>27694086.795944329</v>
      </c>
      <c r="AM100" s="526">
        <f t="shared" ca="1" si="110"/>
        <v>28033115.636986658</v>
      </c>
      <c r="AN100" s="526">
        <f t="shared" ca="1" si="110"/>
        <v>28376575.935170412</v>
      </c>
      <c r="AO100" s="526">
        <f t="shared" ca="1" si="110"/>
        <v>28724537.624341153</v>
      </c>
      <c r="AP100" s="526">
        <f t="shared" ca="1" si="110"/>
        <v>29077071.793162502</v>
      </c>
      <c r="AQ100" s="526">
        <f t="shared" ca="1" si="110"/>
        <v>29434250.704366278</v>
      </c>
      <c r="AR100" s="526">
        <f t="shared" ca="1" si="110"/>
        <v>29796147.814324118</v>
      </c>
      <c r="AS100" s="526">
        <f t="shared" ca="1" si="110"/>
        <v>30162837.792945988</v>
      </c>
      <c r="AT100" s="526">
        <f t="shared" ca="1" si="110"/>
        <v>30534396.543911003</v>
      </c>
      <c r="AU100" s="526">
        <f t="shared" ca="1" si="110"/>
        <v>30910901.22523614</v>
      </c>
      <c r="AV100" s="526">
        <f t="shared" ca="1" si="110"/>
        <v>31292430.270188488</v>
      </c>
      <c r="AW100" s="526">
        <f t="shared" ca="1" si="110"/>
        <v>31679063.408546738</v>
      </c>
      <c r="AX100" s="526">
        <f t="shared" ca="1" si="110"/>
        <v>32073146.650655411</v>
      </c>
      <c r="AY100" s="526">
        <f t="shared" ca="1" si="110"/>
        <v>32472535.267265223</v>
      </c>
      <c r="AZ100" s="526">
        <f t="shared" ca="1" si="110"/>
        <v>32877313.641193204</v>
      </c>
      <c r="BA100" s="526">
        <f t="shared" ca="1" si="110"/>
        <v>33287567.550990842</v>
      </c>
      <c r="BB100" s="526">
        <f t="shared" ca="1" si="110"/>
        <v>33703384.194217972</v>
      </c>
      <c r="BC100" s="526">
        <f t="shared" ca="1" si="110"/>
        <v>34124852.211105421</v>
      </c>
      <c r="BD100" s="526">
        <f t="shared" ca="1" si="110"/>
        <v>34552061.708612815</v>
      </c>
      <c r="BE100" s="526">
        <f t="shared" ca="1" si="110"/>
        <v>34985104.284888238</v>
      </c>
      <c r="BF100" s="526">
        <f t="shared" ca="1" si="110"/>
        <v>35424073.054136463</v>
      </c>
      <c r="BG100" s="526">
        <f t="shared" ca="1" si="110"/>
        <v>35869062.671902478</v>
      </c>
      <c r="BH100" s="526">
        <f t="shared" ca="1" si="110"/>
        <v>36320169.360777356</v>
      </c>
      <c r="BI100" s="526">
        <f t="shared" ca="1" si="110"/>
        <v>8522349.1670486853</v>
      </c>
      <c r="BJ100" s="526">
        <f t="shared" ca="1" si="110"/>
        <v>8664748.7913950849</v>
      </c>
      <c r="BK100" s="526">
        <f t="shared" ca="1" si="110"/>
        <v>8809527.7659202367</v>
      </c>
      <c r="BL100" s="526">
        <f t="shared" ca="1" si="110"/>
        <v>8956725.8471003175</v>
      </c>
      <c r="BM100" s="526">
        <f t="shared" ca="1" si="110"/>
        <v>9106383.4557010289</v>
      </c>
      <c r="BN100" s="526">
        <f t="shared" ca="1" si="110"/>
        <v>9258541.6878771894</v>
      </c>
      <c r="BO100" s="526">
        <f t="shared" ca="1" si="110"/>
        <v>9413242.3264577799</v>
      </c>
      <c r="BP100" s="526">
        <f t="shared" ca="1" si="110"/>
        <v>9570527.8524195645</v>
      </c>
      <c r="BQ100" s="526">
        <f t="shared" ca="1" si="110"/>
        <v>9730441.4565524105</v>
      </c>
      <c r="BR100" s="526">
        <f t="shared" ca="1" si="110"/>
        <v>9893027.051319534</v>
      </c>
      <c r="BS100" s="526">
        <f t="shared" ca="1" si="110"/>
        <v>10058329.282915911</v>
      </c>
      <c r="BT100" s="526">
        <f t="shared" ca="1" si="110"/>
        <v>10226393.543528179</v>
      </c>
      <c r="BU100" s="526">
        <f t="shared" ca="1" si="110"/>
        <v>10397265.983799381</v>
      </c>
      <c r="BV100" s="526">
        <f t="shared" ca="1" si="110"/>
        <v>10570993.525501989</v>
      </c>
      <c r="BW100" s="526">
        <f t="shared" ca="1" si="110"/>
        <v>10747623.874422673</v>
      </c>
      <c r="BX100" s="526">
        <f t="shared" ca="1" si="110"/>
        <v>10927205.533462372</v>
      </c>
      <c r="BY100" s="526">
        <f t="shared" ca="1" si="110"/>
        <v>11109787.81595524</v>
      </c>
      <c r="BZ100" s="526">
        <f t="shared" ref="BZ100:EB100" ca="1" si="111">BY105</f>
        <v>11295420.859210156</v>
      </c>
      <c r="CA100" s="526">
        <f t="shared" ca="1" si="111"/>
        <v>11484155.638278477</v>
      </c>
      <c r="CB100" s="526">
        <f t="shared" ca="1" si="111"/>
        <v>11676043.979951853</v>
      </c>
      <c r="CC100" s="526">
        <f t="shared" ca="1" si="111"/>
        <v>11871138.576993924</v>
      </c>
      <c r="CD100" s="526">
        <f t="shared" ca="1" si="111"/>
        <v>12069493.002609814</v>
      </c>
      <c r="CE100" s="526">
        <f t="shared" ca="1" si="111"/>
        <v>12271161.725157393</v>
      </c>
      <c r="CF100" s="526">
        <f t="shared" ca="1" si="111"/>
        <v>12476200.12310436</v>
      </c>
      <c r="CG100" s="526">
        <f t="shared" ca="1" si="111"/>
        <v>12684664.500235228</v>
      </c>
      <c r="CH100" s="526">
        <f t="shared" ca="1" si="111"/>
        <v>12896612.101112409</v>
      </c>
      <c r="CI100" s="526">
        <f t="shared" ca="1" si="111"/>
        <v>13112101.126795644</v>
      </c>
      <c r="CJ100" s="526">
        <f t="shared" ca="1" si="111"/>
        <v>13331190.750824075</v>
      </c>
      <c r="CK100" s="526">
        <f t="shared" ca="1" si="111"/>
        <v>13553941.135465374</v>
      </c>
      <c r="CL100" s="526">
        <f t="shared" ca="1" si="111"/>
        <v>13780413.44823637</v>
      </c>
      <c r="CM100" s="526">
        <f t="shared" ca="1" si="111"/>
        <v>14010669.878699722</v>
      </c>
      <c r="CN100" s="526">
        <f t="shared" ca="1" si="111"/>
        <v>14244773.655541239</v>
      </c>
      <c r="CO100" s="526">
        <f t="shared" ca="1" si="111"/>
        <v>14482789.063932566</v>
      </c>
      <c r="CP100" s="526">
        <f t="shared" ca="1" si="111"/>
        <v>14724781.463183951</v>
      </c>
      <c r="CQ100" s="526">
        <f t="shared" ca="1" si="111"/>
        <v>14970817.304691998</v>
      </c>
      <c r="CR100" s="526">
        <f t="shared" ca="1" si="111"/>
        <v>15220964.150187299</v>
      </c>
      <c r="CS100" s="526">
        <f t="shared" ca="1" si="111"/>
        <v>15475290.690286957</v>
      </c>
      <c r="CT100" s="526">
        <f t="shared" ca="1" si="111"/>
        <v>15733866.763357118</v>
      </c>
      <c r="CU100" s="526">
        <f t="shared" ca="1" si="111"/>
        <v>15996763.374690663</v>
      </c>
      <c r="CV100" s="526">
        <f t="shared" ca="1" si="111"/>
        <v>16264052.71600535</v>
      </c>
      <c r="CW100" s="526">
        <f t="shared" ca="1" si="111"/>
        <v>16535808.185267735</v>
      </c>
      <c r="CX100" s="526">
        <f t="shared" ca="1" si="111"/>
        <v>16812104.406848349</v>
      </c>
      <c r="CY100" s="526">
        <f t="shared" ca="1" si="111"/>
        <v>17093017.252013635</v>
      </c>
      <c r="CZ100" s="526">
        <f t="shared" ca="1" si="111"/>
        <v>17378623.859760288</v>
      </c>
      <c r="DA100" s="526">
        <f t="shared" ca="1" si="111"/>
        <v>17669002.657997705</v>
      </c>
      <c r="DB100" s="526">
        <f t="shared" ca="1" si="111"/>
        <v>17964233.385084394</v>
      </c>
      <c r="DC100" s="526">
        <f t="shared" ca="1" si="111"/>
        <v>18264397.111724213</v>
      </c>
      <c r="DD100" s="526">
        <f t="shared" ca="1" si="111"/>
        <v>18569576.26322848</v>
      </c>
      <c r="DE100" s="526">
        <f t="shared" ca="1" si="111"/>
        <v>18879854.642150063</v>
      </c>
      <c r="DF100" s="526">
        <f t="shared" ca="1" si="111"/>
        <v>19195317.451295659</v>
      </c>
      <c r="DG100" s="526">
        <f t="shared" ca="1" si="111"/>
        <v>19516051.317122586</v>
      </c>
      <c r="DH100" s="526">
        <f t="shared" ca="1" si="111"/>
        <v>19842144.313526504</v>
      </c>
      <c r="DI100" s="526">
        <f t="shared" ca="1" si="111"/>
        <v>20173685.986026615</v>
      </c>
      <c r="DJ100" s="526">
        <f t="shared" ca="1" si="111"/>
        <v>20510767.376354966</v>
      </c>
      <c r="DK100" s="526">
        <f t="shared" ca="1" si="111"/>
        <v>20853481.047456618</v>
      </c>
      <c r="DL100" s="526">
        <f t="shared" ca="1" si="111"/>
        <v>21201921.108907532</v>
      </c>
      <c r="DM100" s="526">
        <f t="shared" ca="1" si="111"/>
        <v>21556183.242757183</v>
      </c>
      <c r="DN100" s="526">
        <f t="shared" ca="1" si="111"/>
        <v>21916364.729802944</v>
      </c>
      <c r="DO100" s="526">
        <f t="shared" ca="1" si="111"/>
        <v>22282564.476303522</v>
      </c>
      <c r="DP100" s="526">
        <f t="shared" ca="1" si="111"/>
        <v>22654883.041138727</v>
      </c>
      <c r="DQ100" s="526">
        <f t="shared" ca="1" si="111"/>
        <v>23033422.663423058</v>
      </c>
      <c r="DR100" s="526">
        <f t="shared" ca="1" si="111"/>
        <v>23418287.290580686</v>
      </c>
      <c r="DS100" s="526">
        <f t="shared" ca="1" si="111"/>
        <v>23809582.606889535</v>
      </c>
      <c r="DT100" s="526">
        <f t="shared" ca="1" si="111"/>
        <v>24207416.062502313</v>
      </c>
      <c r="DU100" s="526">
        <f t="shared" ca="1" si="111"/>
        <v>24611896.902952448</v>
      </c>
      <c r="DV100" s="526">
        <f t="shared" ca="1" si="111"/>
        <v>25023136.199153036</v>
      </c>
      <c r="DW100" s="526">
        <f t="shared" ca="1" si="111"/>
        <v>25441246.87789705</v>
      </c>
      <c r="DX100" s="526">
        <f t="shared" ca="1" si="111"/>
        <v>25866343.752867166</v>
      </c>
      <c r="DY100" s="526">
        <f t="shared" ca="1" si="111"/>
        <v>26298543.556163736</v>
      </c>
      <c r="DZ100" s="526">
        <f t="shared" ca="1" si="111"/>
        <v>26737964.970359564</v>
      </c>
      <c r="EA100" s="526">
        <f t="shared" ca="1" si="111"/>
        <v>27184728.661090266</v>
      </c>
      <c r="EB100" s="526">
        <f t="shared" ca="1" si="111"/>
        <v>27638957.310189214</v>
      </c>
      <c r="EC100" s="523" t="s">
        <v>557</v>
      </c>
    </row>
    <row r="101" spans="6:133">
      <c r="F101" s="138" t="s">
        <v>1199</v>
      </c>
      <c r="H101" s="518" t="s">
        <v>1180</v>
      </c>
      <c r="I101" s="537">
        <f>F19</f>
        <v>0.22</v>
      </c>
      <c r="J101" s="538">
        <f>((I101+1)^(1/12)-1)</f>
        <v>1.6708963873128146E-2</v>
      </c>
      <c r="L101" s="526">
        <f>L100*$J101</f>
        <v>0</v>
      </c>
      <c r="M101" s="526">
        <f t="shared" ref="M101:BX101" ca="1" si="112">M100*$J101</f>
        <v>339125.13076900889</v>
      </c>
      <c r="N101" s="526">
        <f t="shared" ca="1" si="112"/>
        <v>343536.01203204237</v>
      </c>
      <c r="O101" s="526">
        <f t="shared" ca="1" si="112"/>
        <v>347985.27893034328</v>
      </c>
      <c r="P101" s="526">
        <f t="shared" ca="1" si="112"/>
        <v>352473.33741063514</v>
      </c>
      <c r="Q101" s="526">
        <f t="shared" ca="1" si="112"/>
        <v>357000.59863300755</v>
      </c>
      <c r="R101" s="526">
        <f t="shared" ca="1" si="112"/>
        <v>361567.47904756217</v>
      </c>
      <c r="S101" s="526">
        <f t="shared" ca="1" si="112"/>
        <v>366174.40047226963</v>
      </c>
      <c r="T101" s="526">
        <f t="shared" ca="1" si="112"/>
        <v>370821.79017205728</v>
      </c>
      <c r="U101" s="526">
        <f t="shared" ca="1" si="112"/>
        <v>375510.08093914785</v>
      </c>
      <c r="V101" s="526">
        <f t="shared" ca="1" si="112"/>
        <v>380239.71117466834</v>
      </c>
      <c r="W101" s="526">
        <f t="shared" ca="1" si="112"/>
        <v>385011.12497155264</v>
      </c>
      <c r="X101" s="526">
        <f t="shared" ca="1" si="112"/>
        <v>389824.77219875553</v>
      </c>
      <c r="Y101" s="526">
        <f t="shared" ca="1" si="112"/>
        <v>394681.10858680221</v>
      </c>
      <c r="Z101" s="526">
        <f t="shared" ca="1" si="112"/>
        <v>399619.42375399172</v>
      </c>
      <c r="AA101" s="526">
        <f t="shared" ca="1" si="112"/>
        <v>404604.41151760472</v>
      </c>
      <c r="AB101" s="526">
        <f t="shared" ca="1" si="112"/>
        <v>409636.62771878543</v>
      </c>
      <c r="AC101" s="526">
        <f t="shared" ca="1" si="112"/>
        <v>414716.63608614798</v>
      </c>
      <c r="AD101" s="526">
        <f t="shared" ca="1" si="112"/>
        <v>419845.00835881731</v>
      </c>
      <c r="AE101" s="526">
        <f t="shared" ca="1" si="112"/>
        <v>425022.32441147132</v>
      </c>
      <c r="AF101" s="526">
        <f t="shared" ca="1" si="112"/>
        <v>430249.17238141748</v>
      </c>
      <c r="AG101" s="526">
        <f t="shared" ca="1" si="112"/>
        <v>435526.14879773749</v>
      </c>
      <c r="AH101" s="526">
        <f t="shared" ca="1" si="112"/>
        <v>440853.85871253384</v>
      </c>
      <c r="AI101" s="526">
        <f t="shared" ca="1" si="112"/>
        <v>446232.9158343132</v>
      </c>
      <c r="AJ101" s="526">
        <f t="shared" ca="1" si="112"/>
        <v>451663.94266354269</v>
      </c>
      <c r="AK101" s="526">
        <f t="shared" ca="1" si="112"/>
        <v>457147.57063041365</v>
      </c>
      <c r="AL101" s="526">
        <f t="shared" ca="1" si="112"/>
        <v>462739.49577270902</v>
      </c>
      <c r="AM101" s="526">
        <f t="shared" ca="1" si="112"/>
        <v>468404.31642963382</v>
      </c>
      <c r="AN101" s="526">
        <f t="shared" ca="1" si="112"/>
        <v>474143.18214383995</v>
      </c>
      <c r="AO101" s="526">
        <f t="shared" ca="1" si="112"/>
        <v>479957.2614374265</v>
      </c>
      <c r="AP101" s="526">
        <f t="shared" ca="1" si="112"/>
        <v>485847.74212830572</v>
      </c>
      <c r="AQ101" s="526">
        <f t="shared" ca="1" si="112"/>
        <v>491815.83165185282</v>
      </c>
      <c r="AR101" s="526">
        <f t="shared" ca="1" si="112"/>
        <v>497862.75738792785</v>
      </c>
      <c r="AS101" s="526">
        <f t="shared" ca="1" si="112"/>
        <v>503989.76699335885</v>
      </c>
      <c r="AT101" s="526">
        <f t="shared" ca="1" si="112"/>
        <v>510198.1287399779</v>
      </c>
      <c r="AU101" s="526">
        <f t="shared" ca="1" si="112"/>
        <v>516489.13185830321</v>
      </c>
      <c r="AV101" s="526">
        <f t="shared" ca="1" si="112"/>
        <v>522864.08688696107</v>
      </c>
      <c r="AW101" s="526">
        <f t="shared" ca="1" si="112"/>
        <v>529324.32602794329</v>
      </c>
      <c r="AX101" s="526">
        <f t="shared" ca="1" si="112"/>
        <v>535909.04868334229</v>
      </c>
      <c r="AY101" s="526">
        <f t="shared" ca="1" si="112"/>
        <v>542582.41864961421</v>
      </c>
      <c r="AZ101" s="526">
        <f t="shared" ca="1" si="112"/>
        <v>549345.84587620047</v>
      </c>
      <c r="BA101" s="526">
        <f t="shared" ca="1" si="112"/>
        <v>556200.76363381871</v>
      </c>
      <c r="BB101" s="526">
        <f t="shared" ca="1" si="112"/>
        <v>563148.62890334625</v>
      </c>
      <c r="BC101" s="526">
        <f t="shared" ca="1" si="112"/>
        <v>570190.92277119763</v>
      </c>
      <c r="BD101" s="526">
        <f t="shared" ca="1" si="112"/>
        <v>577329.15083130589</v>
      </c>
      <c r="BE101" s="526">
        <f t="shared" ca="1" si="112"/>
        <v>584564.84359381825</v>
      </c>
      <c r="BF101" s="526">
        <f t="shared" ca="1" si="112"/>
        <v>591899.55690061837</v>
      </c>
      <c r="BG101" s="526">
        <f t="shared" ca="1" si="112"/>
        <v>599334.87234778784</v>
      </c>
      <c r="BH101" s="526">
        <f t="shared" ca="1" si="112"/>
        <v>606872.39771512465</v>
      </c>
      <c r="BI101" s="526">
        <f t="shared" ca="1" si="112"/>
        <v>142399.62434640023</v>
      </c>
      <c r="BJ101" s="526">
        <f t="shared" ca="1" si="112"/>
        <v>144778.97452515125</v>
      </c>
      <c r="BK101" s="526">
        <f t="shared" ca="1" si="112"/>
        <v>147198.08118008054</v>
      </c>
      <c r="BL101" s="526">
        <f t="shared" ca="1" si="112"/>
        <v>149657.60860071229</v>
      </c>
      <c r="BM101" s="526">
        <f t="shared" ca="1" si="112"/>
        <v>152158.23217616035</v>
      </c>
      <c r="BN101" s="526">
        <f t="shared" ca="1" si="112"/>
        <v>154700.63858059084</v>
      </c>
      <c r="BO101" s="526">
        <f t="shared" ca="1" si="112"/>
        <v>157285.5259617838</v>
      </c>
      <c r="BP101" s="526">
        <f t="shared" ca="1" si="112"/>
        <v>159913.60413284521</v>
      </c>
      <c r="BQ101" s="526">
        <f t="shared" ca="1" si="112"/>
        <v>162585.59476712265</v>
      </c>
      <c r="BR101" s="526">
        <f t="shared" ca="1" si="112"/>
        <v>165302.23159637756</v>
      </c>
      <c r="BS101" s="526">
        <f t="shared" ca="1" si="112"/>
        <v>168064.26061226887</v>
      </c>
      <c r="BT101" s="526">
        <f t="shared" ca="1" si="112"/>
        <v>170872.44027120326</v>
      </c>
      <c r="BU101" s="526">
        <f t="shared" ca="1" si="112"/>
        <v>173727.54170260802</v>
      </c>
      <c r="BV101" s="526">
        <f t="shared" ca="1" si="112"/>
        <v>176630.34892068428</v>
      </c>
      <c r="BW101" s="526">
        <f t="shared" ca="1" si="112"/>
        <v>179581.65903969802</v>
      </c>
      <c r="BX101" s="526">
        <f t="shared" ca="1" si="112"/>
        <v>182582.28249286875</v>
      </c>
      <c r="BY101" s="526">
        <f t="shared" ref="BY101:EB101" ca="1" si="113">BY100*$J101</f>
        <v>185633.04325491536</v>
      </c>
      <c r="BZ101" s="526">
        <f t="shared" ca="1" si="113"/>
        <v>188734.77906832058</v>
      </c>
      <c r="CA101" s="526">
        <f t="shared" ca="1" si="113"/>
        <v>191888.34167337598</v>
      </c>
      <c r="CB101" s="526">
        <f t="shared" ca="1" si="113"/>
        <v>195094.59704207088</v>
      </c>
      <c r="CC101" s="526">
        <f t="shared" ca="1" si="113"/>
        <v>198354.42561588934</v>
      </c>
      <c r="CD101" s="526">
        <f t="shared" ca="1" si="113"/>
        <v>201668.72254758034</v>
      </c>
      <c r="CE101" s="526">
        <f t="shared" ca="1" si="113"/>
        <v>205038.39794696774</v>
      </c>
      <c r="CF101" s="526">
        <f t="shared" ca="1" si="113"/>
        <v>208464.37713086768</v>
      </c>
      <c r="CG101" s="526">
        <f t="shared" ca="1" si="113"/>
        <v>211947.60087718151</v>
      </c>
      <c r="CH101" s="526">
        <f t="shared" ca="1" si="113"/>
        <v>215489.0256832345</v>
      </c>
      <c r="CI101" s="526">
        <f t="shared" ca="1" si="113"/>
        <v>219089.62402843128</v>
      </c>
      <c r="CJ101" s="526">
        <f t="shared" ca="1" si="113"/>
        <v>222750.38464129955</v>
      </c>
      <c r="CK101" s="526">
        <f t="shared" ca="1" si="113"/>
        <v>226472.31277099642</v>
      </c>
      <c r="CL101" s="526">
        <f t="shared" ca="1" si="113"/>
        <v>230256.43046335079</v>
      </c>
      <c r="CM101" s="526">
        <f t="shared" ca="1" si="113"/>
        <v>234103.77684151835</v>
      </c>
      <c r="CN101" s="526">
        <f t="shared" ca="1" si="113"/>
        <v>238015.40839132614</v>
      </c>
      <c r="CO101" s="526">
        <f t="shared" ca="1" si="113"/>
        <v>241992.39925138466</v>
      </c>
      <c r="CP101" s="526">
        <f t="shared" ca="1" si="113"/>
        <v>246035.84150804763</v>
      </c>
      <c r="CQ101" s="526">
        <f t="shared" ca="1" si="113"/>
        <v>250146.84549530028</v>
      </c>
      <c r="CR101" s="526">
        <f t="shared" ca="1" si="113"/>
        <v>254326.54009965825</v>
      </c>
      <c r="CS101" s="526">
        <f t="shared" ca="1" si="113"/>
        <v>258576.0730701611</v>
      </c>
      <c r="CT101" s="526">
        <f t="shared" ca="1" si="113"/>
        <v>262896.61133354576</v>
      </c>
      <c r="CU101" s="526">
        <f t="shared" ca="1" si="113"/>
        <v>267289.34131468576</v>
      </c>
      <c r="CV101" s="526">
        <f t="shared" ca="1" si="113"/>
        <v>271755.4692623851</v>
      </c>
      <c r="CW101" s="526">
        <f t="shared" ca="1" si="113"/>
        <v>276296.22158061527</v>
      </c>
      <c r="CX101" s="526">
        <f t="shared" ca="1" si="113"/>
        <v>280912.84516528755</v>
      </c>
      <c r="CY101" s="526">
        <f t="shared" ca="1" si="113"/>
        <v>285606.60774665198</v>
      </c>
      <c r="CZ101" s="526">
        <f t="shared" ca="1" si="113"/>
        <v>290378.79823741748</v>
      </c>
      <c r="DA101" s="526">
        <f t="shared" ca="1" si="113"/>
        <v>295230.72708668886</v>
      </c>
      <c r="DB101" s="526">
        <f t="shared" ca="1" si="113"/>
        <v>300163.7266398177</v>
      </c>
      <c r="DC101" s="526">
        <f t="shared" ca="1" si="113"/>
        <v>305179.15150426596</v>
      </c>
      <c r="DD101" s="526">
        <f t="shared" ca="1" si="113"/>
        <v>310278.37892158265</v>
      </c>
      <c r="DE101" s="526">
        <f t="shared" ca="1" si="113"/>
        <v>315462.80914559611</v>
      </c>
      <c r="DF101" s="526">
        <f t="shared" ca="1" si="113"/>
        <v>320733.86582692544</v>
      </c>
      <c r="DG101" s="526">
        <f t="shared" ca="1" si="113"/>
        <v>326092.99640391627</v>
      </c>
      <c r="DH101" s="526">
        <f t="shared" ca="1" si="113"/>
        <v>331541.67250010942</v>
      </c>
      <c r="DI101" s="526">
        <f t="shared" ca="1" si="113"/>
        <v>337081.3903283503</v>
      </c>
      <c r="DJ101" s="526">
        <f t="shared" ca="1" si="113"/>
        <v>342713.67110165051</v>
      </c>
      <c r="DK101" s="526">
        <f t="shared" ca="1" si="113"/>
        <v>348440.06145091512</v>
      </c>
      <c r="DL101" s="526">
        <f t="shared" ca="1" si="113"/>
        <v>354262.13384964899</v>
      </c>
      <c r="DM101" s="526">
        <f t="shared" ca="1" si="113"/>
        <v>360181.48704576009</v>
      </c>
      <c r="DN101" s="526">
        <f t="shared" ca="1" si="113"/>
        <v>366199.74650057731</v>
      </c>
      <c r="DO101" s="526">
        <f t="shared" ca="1" si="113"/>
        <v>372318.56483520416</v>
      </c>
      <c r="DP101" s="526">
        <f t="shared" ca="1" si="113"/>
        <v>378539.62228433049</v>
      </c>
      <c r="DQ101" s="526">
        <f t="shared" ca="1" si="113"/>
        <v>384864.62715762696</v>
      </c>
      <c r="DR101" s="526">
        <f t="shared" ca="1" si="113"/>
        <v>391295.31630884873</v>
      </c>
      <c r="DS101" s="526">
        <f t="shared" ca="1" si="113"/>
        <v>397833.4556127775</v>
      </c>
      <c r="DT101" s="526">
        <f t="shared" ca="1" si="113"/>
        <v>404480.84045013314</v>
      </c>
      <c r="DU101" s="526">
        <f t="shared" ca="1" si="113"/>
        <v>411239.29620058695</v>
      </c>
      <c r="DV101" s="526">
        <f t="shared" ca="1" si="113"/>
        <v>418110.67874401325</v>
      </c>
      <c r="DW101" s="526">
        <f t="shared" ca="1" si="113"/>
        <v>425096.87497011607</v>
      </c>
      <c r="DX101" s="526">
        <f t="shared" ca="1" si="113"/>
        <v>432199.80329657142</v>
      </c>
      <c r="DY101" s="526">
        <f t="shared" ca="1" si="113"/>
        <v>439421.41419582686</v>
      </c>
      <c r="DZ101" s="526">
        <f t="shared" ca="1" si="113"/>
        <v>446763.69073070382</v>
      </c>
      <c r="EA101" s="526">
        <f t="shared" ca="1" si="113"/>
        <v>454228.64909894852</v>
      </c>
      <c r="EB101" s="526">
        <f t="shared" ca="1" si="113"/>
        <v>461818.33918688266</v>
      </c>
      <c r="EC101" s="523" t="s">
        <v>557</v>
      </c>
    </row>
    <row r="102" spans="6:133">
      <c r="H102" s="518" t="s">
        <v>1145</v>
      </c>
      <c r="L102" s="526">
        <f ca="1">L84</f>
        <v>20296000</v>
      </c>
      <c r="M102" s="526">
        <f>M84</f>
        <v>0</v>
      </c>
      <c r="N102" s="526">
        <f t="shared" ref="N102:BY102" si="114">N84</f>
        <v>0</v>
      </c>
      <c r="O102" s="526">
        <f t="shared" si="114"/>
        <v>0</v>
      </c>
      <c r="P102" s="526">
        <f t="shared" si="114"/>
        <v>0</v>
      </c>
      <c r="Q102" s="526">
        <f t="shared" si="114"/>
        <v>0</v>
      </c>
      <c r="R102" s="526">
        <f t="shared" si="114"/>
        <v>0</v>
      </c>
      <c r="S102" s="526">
        <f t="shared" si="114"/>
        <v>0</v>
      </c>
      <c r="T102" s="526">
        <f t="shared" si="114"/>
        <v>0</v>
      </c>
      <c r="U102" s="526">
        <f t="shared" si="114"/>
        <v>0</v>
      </c>
      <c r="V102" s="526">
        <f t="shared" si="114"/>
        <v>0</v>
      </c>
      <c r="W102" s="526">
        <f t="shared" si="114"/>
        <v>0</v>
      </c>
      <c r="X102" s="526">
        <f t="shared" si="114"/>
        <v>0</v>
      </c>
      <c r="Y102" s="526">
        <f t="shared" si="114"/>
        <v>0</v>
      </c>
      <c r="Z102" s="526">
        <f t="shared" si="114"/>
        <v>0</v>
      </c>
      <c r="AA102" s="526">
        <f t="shared" si="114"/>
        <v>0</v>
      </c>
      <c r="AB102" s="526">
        <f t="shared" si="114"/>
        <v>0</v>
      </c>
      <c r="AC102" s="526">
        <f t="shared" si="114"/>
        <v>0</v>
      </c>
      <c r="AD102" s="526">
        <f t="shared" si="114"/>
        <v>0</v>
      </c>
      <c r="AE102" s="526">
        <f t="shared" si="114"/>
        <v>0</v>
      </c>
      <c r="AF102" s="526">
        <f t="shared" si="114"/>
        <v>0</v>
      </c>
      <c r="AG102" s="526">
        <f t="shared" si="114"/>
        <v>0</v>
      </c>
      <c r="AH102" s="526">
        <f t="shared" si="114"/>
        <v>0</v>
      </c>
      <c r="AI102" s="526">
        <f t="shared" si="114"/>
        <v>0</v>
      </c>
      <c r="AJ102" s="526">
        <f t="shared" si="114"/>
        <v>0</v>
      </c>
      <c r="AK102" s="526">
        <f t="shared" si="114"/>
        <v>0</v>
      </c>
      <c r="AL102" s="526">
        <f t="shared" si="114"/>
        <v>0</v>
      </c>
      <c r="AM102" s="526">
        <f t="shared" si="114"/>
        <v>0</v>
      </c>
      <c r="AN102" s="526">
        <f t="shared" si="114"/>
        <v>0</v>
      </c>
      <c r="AO102" s="526">
        <f t="shared" si="114"/>
        <v>0</v>
      </c>
      <c r="AP102" s="526">
        <f t="shared" si="114"/>
        <v>0</v>
      </c>
      <c r="AQ102" s="526">
        <f t="shared" si="114"/>
        <v>0</v>
      </c>
      <c r="AR102" s="526">
        <f t="shared" si="114"/>
        <v>0</v>
      </c>
      <c r="AS102" s="526">
        <f t="shared" si="114"/>
        <v>0</v>
      </c>
      <c r="AT102" s="526">
        <f t="shared" si="114"/>
        <v>0</v>
      </c>
      <c r="AU102" s="526">
        <f t="shared" si="114"/>
        <v>0</v>
      </c>
      <c r="AV102" s="526">
        <f t="shared" si="114"/>
        <v>0</v>
      </c>
      <c r="AW102" s="526">
        <f t="shared" si="114"/>
        <v>0</v>
      </c>
      <c r="AX102" s="526">
        <f t="shared" si="114"/>
        <v>0</v>
      </c>
      <c r="AY102" s="526">
        <f t="shared" si="114"/>
        <v>0</v>
      </c>
      <c r="AZ102" s="526">
        <f t="shared" si="114"/>
        <v>0</v>
      </c>
      <c r="BA102" s="526">
        <f t="shared" si="114"/>
        <v>0</v>
      </c>
      <c r="BB102" s="526">
        <f t="shared" si="114"/>
        <v>0</v>
      </c>
      <c r="BC102" s="526">
        <f t="shared" si="114"/>
        <v>0</v>
      </c>
      <c r="BD102" s="526">
        <f t="shared" si="114"/>
        <v>0</v>
      </c>
      <c r="BE102" s="526">
        <f t="shared" si="114"/>
        <v>0</v>
      </c>
      <c r="BF102" s="526">
        <f t="shared" si="114"/>
        <v>0</v>
      </c>
      <c r="BG102" s="526">
        <f t="shared" si="114"/>
        <v>0</v>
      </c>
      <c r="BH102" s="526">
        <f t="shared" si="114"/>
        <v>0</v>
      </c>
      <c r="BI102" s="526">
        <f t="shared" si="114"/>
        <v>0</v>
      </c>
      <c r="BJ102" s="526">
        <f t="shared" si="114"/>
        <v>0</v>
      </c>
      <c r="BK102" s="526">
        <f t="shared" si="114"/>
        <v>0</v>
      </c>
      <c r="BL102" s="526">
        <f t="shared" si="114"/>
        <v>0</v>
      </c>
      <c r="BM102" s="526">
        <f t="shared" si="114"/>
        <v>0</v>
      </c>
      <c r="BN102" s="526">
        <f t="shared" si="114"/>
        <v>0</v>
      </c>
      <c r="BO102" s="526">
        <f t="shared" si="114"/>
        <v>0</v>
      </c>
      <c r="BP102" s="526">
        <f t="shared" si="114"/>
        <v>0</v>
      </c>
      <c r="BQ102" s="526">
        <f t="shared" si="114"/>
        <v>0</v>
      </c>
      <c r="BR102" s="526">
        <f t="shared" si="114"/>
        <v>0</v>
      </c>
      <c r="BS102" s="526">
        <f t="shared" si="114"/>
        <v>0</v>
      </c>
      <c r="BT102" s="526">
        <f t="shared" si="114"/>
        <v>0</v>
      </c>
      <c r="BU102" s="526">
        <f t="shared" si="114"/>
        <v>0</v>
      </c>
      <c r="BV102" s="526">
        <f t="shared" si="114"/>
        <v>0</v>
      </c>
      <c r="BW102" s="526">
        <f t="shared" si="114"/>
        <v>0</v>
      </c>
      <c r="BX102" s="526">
        <f t="shared" si="114"/>
        <v>0</v>
      </c>
      <c r="BY102" s="526">
        <f t="shared" si="114"/>
        <v>0</v>
      </c>
      <c r="BZ102" s="526">
        <f t="shared" ref="BZ102:EB102" si="115">BZ84</f>
        <v>0</v>
      </c>
      <c r="CA102" s="526">
        <f t="shared" si="115"/>
        <v>0</v>
      </c>
      <c r="CB102" s="526">
        <f t="shared" si="115"/>
        <v>0</v>
      </c>
      <c r="CC102" s="526">
        <f t="shared" si="115"/>
        <v>0</v>
      </c>
      <c r="CD102" s="526">
        <f t="shared" si="115"/>
        <v>0</v>
      </c>
      <c r="CE102" s="526">
        <f t="shared" si="115"/>
        <v>0</v>
      </c>
      <c r="CF102" s="526">
        <f t="shared" si="115"/>
        <v>0</v>
      </c>
      <c r="CG102" s="526">
        <f t="shared" si="115"/>
        <v>0</v>
      </c>
      <c r="CH102" s="526">
        <f t="shared" si="115"/>
        <v>0</v>
      </c>
      <c r="CI102" s="526">
        <f t="shared" si="115"/>
        <v>0</v>
      </c>
      <c r="CJ102" s="526">
        <f t="shared" si="115"/>
        <v>0</v>
      </c>
      <c r="CK102" s="526">
        <f t="shared" si="115"/>
        <v>0</v>
      </c>
      <c r="CL102" s="526">
        <f t="shared" si="115"/>
        <v>0</v>
      </c>
      <c r="CM102" s="526">
        <f t="shared" si="115"/>
        <v>0</v>
      </c>
      <c r="CN102" s="526">
        <f t="shared" si="115"/>
        <v>0</v>
      </c>
      <c r="CO102" s="526">
        <f t="shared" si="115"/>
        <v>0</v>
      </c>
      <c r="CP102" s="526">
        <f t="shared" si="115"/>
        <v>0</v>
      </c>
      <c r="CQ102" s="526">
        <f t="shared" si="115"/>
        <v>0</v>
      </c>
      <c r="CR102" s="526">
        <f t="shared" si="115"/>
        <v>0</v>
      </c>
      <c r="CS102" s="526">
        <f t="shared" si="115"/>
        <v>0</v>
      </c>
      <c r="CT102" s="526">
        <f t="shared" si="115"/>
        <v>0</v>
      </c>
      <c r="CU102" s="526">
        <f t="shared" si="115"/>
        <v>0</v>
      </c>
      <c r="CV102" s="526">
        <f t="shared" si="115"/>
        <v>0</v>
      </c>
      <c r="CW102" s="526">
        <f t="shared" si="115"/>
        <v>0</v>
      </c>
      <c r="CX102" s="526">
        <f t="shared" si="115"/>
        <v>0</v>
      </c>
      <c r="CY102" s="526">
        <f t="shared" si="115"/>
        <v>0</v>
      </c>
      <c r="CZ102" s="526">
        <f t="shared" si="115"/>
        <v>0</v>
      </c>
      <c r="DA102" s="526">
        <f t="shared" si="115"/>
        <v>0</v>
      </c>
      <c r="DB102" s="526">
        <f t="shared" si="115"/>
        <v>0</v>
      </c>
      <c r="DC102" s="526">
        <f t="shared" si="115"/>
        <v>0</v>
      </c>
      <c r="DD102" s="526">
        <f t="shared" si="115"/>
        <v>0</v>
      </c>
      <c r="DE102" s="526">
        <f t="shared" si="115"/>
        <v>0</v>
      </c>
      <c r="DF102" s="526">
        <f t="shared" si="115"/>
        <v>0</v>
      </c>
      <c r="DG102" s="526">
        <f t="shared" si="115"/>
        <v>0</v>
      </c>
      <c r="DH102" s="526">
        <f t="shared" si="115"/>
        <v>0</v>
      </c>
      <c r="DI102" s="526">
        <f t="shared" si="115"/>
        <v>0</v>
      </c>
      <c r="DJ102" s="526">
        <f t="shared" si="115"/>
        <v>0</v>
      </c>
      <c r="DK102" s="526">
        <f t="shared" si="115"/>
        <v>0</v>
      </c>
      <c r="DL102" s="526">
        <f t="shared" si="115"/>
        <v>0</v>
      </c>
      <c r="DM102" s="526">
        <f t="shared" si="115"/>
        <v>0</v>
      </c>
      <c r="DN102" s="526">
        <f t="shared" si="115"/>
        <v>0</v>
      </c>
      <c r="DO102" s="526">
        <f t="shared" si="115"/>
        <v>0</v>
      </c>
      <c r="DP102" s="526">
        <f t="shared" si="115"/>
        <v>0</v>
      </c>
      <c r="DQ102" s="526">
        <f t="shared" si="115"/>
        <v>0</v>
      </c>
      <c r="DR102" s="526">
        <f t="shared" si="115"/>
        <v>0</v>
      </c>
      <c r="DS102" s="526">
        <f t="shared" si="115"/>
        <v>0</v>
      </c>
      <c r="DT102" s="526">
        <f t="shared" si="115"/>
        <v>0</v>
      </c>
      <c r="DU102" s="526">
        <f t="shared" si="115"/>
        <v>0</v>
      </c>
      <c r="DV102" s="526">
        <f t="shared" si="115"/>
        <v>0</v>
      </c>
      <c r="DW102" s="526">
        <f t="shared" si="115"/>
        <v>0</v>
      </c>
      <c r="DX102" s="526">
        <f t="shared" si="115"/>
        <v>0</v>
      </c>
      <c r="DY102" s="526">
        <f t="shared" si="115"/>
        <v>0</v>
      </c>
      <c r="DZ102" s="526">
        <f t="shared" si="115"/>
        <v>0</v>
      </c>
      <c r="EA102" s="526">
        <f t="shared" si="115"/>
        <v>0</v>
      </c>
      <c r="EB102" s="526">
        <f t="shared" si="115"/>
        <v>0</v>
      </c>
      <c r="EC102" s="523" t="s">
        <v>557</v>
      </c>
    </row>
    <row r="103" spans="6:133">
      <c r="H103" s="518" t="s">
        <v>1185</v>
      </c>
      <c r="L103" s="526">
        <f ca="1">L85+L86</f>
        <v>0</v>
      </c>
      <c r="M103" s="526">
        <f t="shared" ref="M103:BX103" ca="1" si="116">M85+M86</f>
        <v>75142.199419975848</v>
      </c>
      <c r="N103" s="526">
        <f t="shared" ca="1" si="116"/>
        <v>77255.772749442272</v>
      </c>
      <c r="O103" s="526">
        <f t="shared" ca="1" si="116"/>
        <v>79383.436567771874</v>
      </c>
      <c r="P103" s="526">
        <f t="shared" ca="1" si="116"/>
        <v>81525.284811557081</v>
      </c>
      <c r="Q103" s="526">
        <f t="shared" ca="1" si="116"/>
        <v>83681.412043634118</v>
      </c>
      <c r="R103" s="526">
        <f t="shared" ca="1" si="116"/>
        <v>85851.913457258299</v>
      </c>
      <c r="S103" s="526">
        <f t="shared" ca="1" si="116"/>
        <v>88036.884880306709</v>
      </c>
      <c r="T103" s="526">
        <f t="shared" ca="1" si="116"/>
        <v>90236.422779508677</v>
      </c>
      <c r="U103" s="526">
        <f t="shared" ca="1" si="116"/>
        <v>92450.624264705359</v>
      </c>
      <c r="V103" s="526">
        <f t="shared" ca="1" si="116"/>
        <v>94679.587093136754</v>
      </c>
      <c r="W103" s="526">
        <f t="shared" ca="1" si="116"/>
        <v>96923.409673757662</v>
      </c>
      <c r="X103" s="526">
        <f t="shared" ca="1" si="116"/>
        <v>99182.191071582594</v>
      </c>
      <c r="Y103" s="526">
        <f t="shared" ca="1" si="116"/>
        <v>99132.252015780003</v>
      </c>
      <c r="Z103" s="526">
        <f t="shared" ca="1" si="116"/>
        <v>101277.30024087873</v>
      </c>
      <c r="AA103" s="526">
        <f t="shared" ca="1" si="116"/>
        <v>103435.75501738423</v>
      </c>
      <c r="AB103" s="526">
        <f t="shared" ca="1" si="116"/>
        <v>105607.70013624289</v>
      </c>
      <c r="AC103" s="526">
        <f t="shared" ca="1" si="116"/>
        <v>107793.2199120944</v>
      </c>
      <c r="AD103" s="526">
        <f t="shared" ca="1" si="116"/>
        <v>109992.39918654515</v>
      </c>
      <c r="AE103" s="526">
        <f t="shared" ca="1" si="116"/>
        <v>112205.32333146107</v>
      </c>
      <c r="AF103" s="526">
        <f t="shared" ca="1" si="116"/>
        <v>114432.07825228265</v>
      </c>
      <c r="AG103" s="526">
        <f t="shared" ca="1" si="116"/>
        <v>116672.75039135954</v>
      </c>
      <c r="AH103" s="526">
        <f t="shared" ca="1" si="116"/>
        <v>118927.4267313055</v>
      </c>
      <c r="AI103" s="526">
        <f t="shared" ca="1" si="116"/>
        <v>121196.19479837616</v>
      </c>
      <c r="AJ103" s="526">
        <f t="shared" ca="1" si="116"/>
        <v>123479.14266586611</v>
      </c>
      <c r="AK103" s="526">
        <f t="shared" ca="1" si="116"/>
        <v>122481.38876808564</v>
      </c>
      <c r="AL103" s="526">
        <f t="shared" ca="1" si="116"/>
        <v>123710.65473037933</v>
      </c>
      <c r="AM103" s="526">
        <f t="shared" ca="1" si="116"/>
        <v>124944.01824588062</v>
      </c>
      <c r="AN103" s="526">
        <f t="shared" ca="1" si="116"/>
        <v>126181.4929731002</v>
      </c>
      <c r="AO103" s="526">
        <f t="shared" ca="1" si="116"/>
        <v>127423.09261607715</v>
      </c>
      <c r="AP103" s="526">
        <f t="shared" ca="1" si="116"/>
        <v>128668.83092453091</v>
      </c>
      <c r="AQ103" s="526">
        <f t="shared" ca="1" si="116"/>
        <v>129918.72169401268</v>
      </c>
      <c r="AR103" s="526">
        <f t="shared" ca="1" si="116"/>
        <v>131172.77876605943</v>
      </c>
      <c r="AS103" s="526">
        <f t="shared" ca="1" si="116"/>
        <v>132431.01602834626</v>
      </c>
      <c r="AT103" s="526">
        <f t="shared" ca="1" si="116"/>
        <v>133693.44741484086</v>
      </c>
      <c r="AU103" s="526">
        <f t="shared" ca="1" si="116"/>
        <v>134960.08690595691</v>
      </c>
      <c r="AV103" s="526">
        <f t="shared" ca="1" si="116"/>
        <v>136230.94852871029</v>
      </c>
      <c r="AW103" s="526">
        <f t="shared" ca="1" si="116"/>
        <v>135241.08391927258</v>
      </c>
      <c r="AX103" s="526">
        <f t="shared" ca="1" si="116"/>
        <v>136520.43207352899</v>
      </c>
      <c r="AY103" s="526">
        <f t="shared" ca="1" si="116"/>
        <v>137804.04472163261</v>
      </c>
      <c r="AZ103" s="526">
        <f t="shared" ca="1" si="116"/>
        <v>139091.93607856351</v>
      </c>
      <c r="BA103" s="526">
        <f t="shared" ca="1" si="116"/>
        <v>140384.12040668412</v>
      </c>
      <c r="BB103" s="526">
        <f t="shared" ca="1" si="116"/>
        <v>141680.61201589828</v>
      </c>
      <c r="BC103" s="526">
        <f t="shared" ca="1" si="116"/>
        <v>142981.42526381009</v>
      </c>
      <c r="BD103" s="526">
        <f t="shared" ca="1" si="116"/>
        <v>144286.57455588144</v>
      </c>
      <c r="BE103" s="526">
        <f t="shared" ca="1" si="116"/>
        <v>145596.07434559317</v>
      </c>
      <c r="BF103" s="526">
        <f t="shared" ca="1" si="116"/>
        <v>146909.93913460377</v>
      </c>
      <c r="BG103" s="526">
        <f t="shared" ca="1" si="116"/>
        <v>148228.18347291125</v>
      </c>
      <c r="BH103" s="526">
        <f t="shared" ca="1" si="116"/>
        <v>28404692.591443792</v>
      </c>
      <c r="BI103" s="526">
        <f t="shared" ca="1" si="116"/>
        <v>0</v>
      </c>
      <c r="BJ103" s="526">
        <f t="shared" ca="1" si="116"/>
        <v>0</v>
      </c>
      <c r="BK103" s="526">
        <f t="shared" ca="1" si="116"/>
        <v>0</v>
      </c>
      <c r="BL103" s="526">
        <f t="shared" ca="1" si="116"/>
        <v>0</v>
      </c>
      <c r="BM103" s="526">
        <f t="shared" ca="1" si="116"/>
        <v>0</v>
      </c>
      <c r="BN103" s="526">
        <f t="shared" ca="1" si="116"/>
        <v>0</v>
      </c>
      <c r="BO103" s="526">
        <f t="shared" ca="1" si="116"/>
        <v>0</v>
      </c>
      <c r="BP103" s="526">
        <f t="shared" ca="1" si="116"/>
        <v>0</v>
      </c>
      <c r="BQ103" s="526">
        <f t="shared" ca="1" si="116"/>
        <v>0</v>
      </c>
      <c r="BR103" s="526">
        <f t="shared" ca="1" si="116"/>
        <v>0</v>
      </c>
      <c r="BS103" s="526">
        <f t="shared" ca="1" si="116"/>
        <v>0</v>
      </c>
      <c r="BT103" s="526">
        <f t="shared" ca="1" si="116"/>
        <v>0</v>
      </c>
      <c r="BU103" s="526">
        <f t="shared" ca="1" si="116"/>
        <v>0</v>
      </c>
      <c r="BV103" s="526">
        <f t="shared" ca="1" si="116"/>
        <v>0</v>
      </c>
      <c r="BW103" s="526">
        <f t="shared" ca="1" si="116"/>
        <v>0</v>
      </c>
      <c r="BX103" s="526">
        <f t="shared" ca="1" si="116"/>
        <v>0</v>
      </c>
      <c r="BY103" s="526">
        <f t="shared" ref="BY103:EB103" ca="1" si="117">BY85+BY86</f>
        <v>0</v>
      </c>
      <c r="BZ103" s="526">
        <f t="shared" ca="1" si="117"/>
        <v>0</v>
      </c>
      <c r="CA103" s="526">
        <f t="shared" ca="1" si="117"/>
        <v>0</v>
      </c>
      <c r="CB103" s="526">
        <f t="shared" ca="1" si="117"/>
        <v>0</v>
      </c>
      <c r="CC103" s="526">
        <f t="shared" ca="1" si="117"/>
        <v>0</v>
      </c>
      <c r="CD103" s="526">
        <f t="shared" ca="1" si="117"/>
        <v>0</v>
      </c>
      <c r="CE103" s="526">
        <f t="shared" ca="1" si="117"/>
        <v>0</v>
      </c>
      <c r="CF103" s="526">
        <f t="shared" ca="1" si="117"/>
        <v>0</v>
      </c>
      <c r="CG103" s="526">
        <f t="shared" ca="1" si="117"/>
        <v>0</v>
      </c>
      <c r="CH103" s="526">
        <f t="shared" ca="1" si="117"/>
        <v>0</v>
      </c>
      <c r="CI103" s="526">
        <f t="shared" ca="1" si="117"/>
        <v>0</v>
      </c>
      <c r="CJ103" s="526">
        <f t="shared" ca="1" si="117"/>
        <v>0</v>
      </c>
      <c r="CK103" s="526">
        <f t="shared" ca="1" si="117"/>
        <v>0</v>
      </c>
      <c r="CL103" s="526">
        <f t="shared" ca="1" si="117"/>
        <v>0</v>
      </c>
      <c r="CM103" s="526">
        <f t="shared" ca="1" si="117"/>
        <v>0</v>
      </c>
      <c r="CN103" s="526">
        <f t="shared" ca="1" si="117"/>
        <v>0</v>
      </c>
      <c r="CO103" s="526">
        <f t="shared" ca="1" si="117"/>
        <v>0</v>
      </c>
      <c r="CP103" s="526">
        <f t="shared" ca="1" si="117"/>
        <v>0</v>
      </c>
      <c r="CQ103" s="526">
        <f t="shared" ca="1" si="117"/>
        <v>0</v>
      </c>
      <c r="CR103" s="526">
        <f t="shared" ca="1" si="117"/>
        <v>0</v>
      </c>
      <c r="CS103" s="526">
        <f t="shared" ca="1" si="117"/>
        <v>0</v>
      </c>
      <c r="CT103" s="526">
        <f t="shared" ca="1" si="117"/>
        <v>0</v>
      </c>
      <c r="CU103" s="526">
        <f t="shared" ca="1" si="117"/>
        <v>0</v>
      </c>
      <c r="CV103" s="526">
        <f t="shared" ca="1" si="117"/>
        <v>0</v>
      </c>
      <c r="CW103" s="526">
        <f t="shared" ca="1" si="117"/>
        <v>0</v>
      </c>
      <c r="CX103" s="526">
        <f t="shared" ca="1" si="117"/>
        <v>0</v>
      </c>
      <c r="CY103" s="526">
        <f t="shared" ca="1" si="117"/>
        <v>0</v>
      </c>
      <c r="CZ103" s="526">
        <f t="shared" ca="1" si="117"/>
        <v>0</v>
      </c>
      <c r="DA103" s="526">
        <f t="shared" ca="1" si="117"/>
        <v>0</v>
      </c>
      <c r="DB103" s="526">
        <f t="shared" ca="1" si="117"/>
        <v>0</v>
      </c>
      <c r="DC103" s="526">
        <f t="shared" ca="1" si="117"/>
        <v>0</v>
      </c>
      <c r="DD103" s="526">
        <f t="shared" ca="1" si="117"/>
        <v>0</v>
      </c>
      <c r="DE103" s="526">
        <f t="shared" ca="1" si="117"/>
        <v>0</v>
      </c>
      <c r="DF103" s="526">
        <f t="shared" ca="1" si="117"/>
        <v>0</v>
      </c>
      <c r="DG103" s="526">
        <f t="shared" ca="1" si="117"/>
        <v>0</v>
      </c>
      <c r="DH103" s="526">
        <f t="shared" ca="1" si="117"/>
        <v>0</v>
      </c>
      <c r="DI103" s="526">
        <f t="shared" ca="1" si="117"/>
        <v>0</v>
      </c>
      <c r="DJ103" s="526">
        <f t="shared" ca="1" si="117"/>
        <v>0</v>
      </c>
      <c r="DK103" s="526">
        <f t="shared" ca="1" si="117"/>
        <v>0</v>
      </c>
      <c r="DL103" s="526">
        <f t="shared" ca="1" si="117"/>
        <v>0</v>
      </c>
      <c r="DM103" s="526">
        <f t="shared" ca="1" si="117"/>
        <v>0</v>
      </c>
      <c r="DN103" s="526">
        <f t="shared" ca="1" si="117"/>
        <v>0</v>
      </c>
      <c r="DO103" s="526">
        <f t="shared" ca="1" si="117"/>
        <v>0</v>
      </c>
      <c r="DP103" s="526">
        <f t="shared" ca="1" si="117"/>
        <v>0</v>
      </c>
      <c r="DQ103" s="526">
        <f t="shared" ca="1" si="117"/>
        <v>0</v>
      </c>
      <c r="DR103" s="526">
        <f t="shared" ca="1" si="117"/>
        <v>0</v>
      </c>
      <c r="DS103" s="526">
        <f t="shared" ca="1" si="117"/>
        <v>0</v>
      </c>
      <c r="DT103" s="526">
        <f t="shared" ca="1" si="117"/>
        <v>0</v>
      </c>
      <c r="DU103" s="526">
        <f t="shared" ca="1" si="117"/>
        <v>0</v>
      </c>
      <c r="DV103" s="526">
        <f t="shared" ca="1" si="117"/>
        <v>0</v>
      </c>
      <c r="DW103" s="526">
        <f t="shared" ca="1" si="117"/>
        <v>0</v>
      </c>
      <c r="DX103" s="526">
        <f t="shared" ca="1" si="117"/>
        <v>0</v>
      </c>
      <c r="DY103" s="526">
        <f t="shared" ca="1" si="117"/>
        <v>0</v>
      </c>
      <c r="DZ103" s="526">
        <f t="shared" ca="1" si="117"/>
        <v>0</v>
      </c>
      <c r="EA103" s="526">
        <f t="shared" ca="1" si="117"/>
        <v>0</v>
      </c>
      <c r="EB103" s="526">
        <f t="shared" ca="1" si="117"/>
        <v>0</v>
      </c>
      <c r="EC103" s="523" t="s">
        <v>557</v>
      </c>
    </row>
    <row r="104" spans="6:133">
      <c r="H104" s="518" t="s">
        <v>1186</v>
      </c>
      <c r="I104" s="539">
        <f>E19</f>
        <v>0.65</v>
      </c>
      <c r="L104" s="526">
        <f ca="1">MIN(L96*$I104,L100+L101-L103)</f>
        <v>0</v>
      </c>
      <c r="M104" s="526">
        <f t="shared" ref="M104:BX104" ca="1" si="118">MIN(M96*$I104,M100+M101-M103)</f>
        <v>0</v>
      </c>
      <c r="N104" s="526">
        <f t="shared" ca="1" si="118"/>
        <v>0</v>
      </c>
      <c r="O104" s="526">
        <f t="shared" ca="1" si="118"/>
        <v>0</v>
      </c>
      <c r="P104" s="526">
        <f t="shared" ca="1" si="118"/>
        <v>0</v>
      </c>
      <c r="Q104" s="526">
        <f t="shared" ca="1" si="118"/>
        <v>0</v>
      </c>
      <c r="R104" s="526">
        <f t="shared" ca="1" si="118"/>
        <v>0</v>
      </c>
      <c r="S104" s="526">
        <f t="shared" ca="1" si="118"/>
        <v>0</v>
      </c>
      <c r="T104" s="526">
        <f t="shared" ca="1" si="118"/>
        <v>0</v>
      </c>
      <c r="U104" s="526">
        <f t="shared" ca="1" si="118"/>
        <v>0</v>
      </c>
      <c r="V104" s="526">
        <f t="shared" ca="1" si="118"/>
        <v>0</v>
      </c>
      <c r="W104" s="526">
        <f t="shared" ca="1" si="118"/>
        <v>0</v>
      </c>
      <c r="X104" s="526">
        <f t="shared" ca="1" si="118"/>
        <v>0</v>
      </c>
      <c r="Y104" s="526">
        <f t="shared" ca="1" si="118"/>
        <v>0</v>
      </c>
      <c r="Z104" s="526">
        <f t="shared" ca="1" si="118"/>
        <v>0</v>
      </c>
      <c r="AA104" s="526">
        <f t="shared" ca="1" si="118"/>
        <v>0</v>
      </c>
      <c r="AB104" s="526">
        <f t="shared" ca="1" si="118"/>
        <v>0</v>
      </c>
      <c r="AC104" s="526">
        <f t="shared" ca="1" si="118"/>
        <v>0</v>
      </c>
      <c r="AD104" s="526">
        <f t="shared" ca="1" si="118"/>
        <v>0</v>
      </c>
      <c r="AE104" s="526">
        <f t="shared" ca="1" si="118"/>
        <v>0</v>
      </c>
      <c r="AF104" s="526">
        <f t="shared" ca="1" si="118"/>
        <v>0</v>
      </c>
      <c r="AG104" s="526">
        <f t="shared" ca="1" si="118"/>
        <v>0</v>
      </c>
      <c r="AH104" s="526">
        <f t="shared" ca="1" si="118"/>
        <v>0</v>
      </c>
      <c r="AI104" s="526">
        <f t="shared" ca="1" si="118"/>
        <v>0</v>
      </c>
      <c r="AJ104" s="526">
        <f t="shared" ca="1" si="118"/>
        <v>0</v>
      </c>
      <c r="AK104" s="526">
        <f t="shared" ca="1" si="118"/>
        <v>0</v>
      </c>
      <c r="AL104" s="526">
        <f t="shared" ca="1" si="118"/>
        <v>0</v>
      </c>
      <c r="AM104" s="526">
        <f t="shared" ca="1" si="118"/>
        <v>0</v>
      </c>
      <c r="AN104" s="526">
        <f t="shared" ca="1" si="118"/>
        <v>0</v>
      </c>
      <c r="AO104" s="526">
        <f t="shared" ca="1" si="118"/>
        <v>0</v>
      </c>
      <c r="AP104" s="526">
        <f t="shared" ca="1" si="118"/>
        <v>0</v>
      </c>
      <c r="AQ104" s="526">
        <f t="shared" ca="1" si="118"/>
        <v>0</v>
      </c>
      <c r="AR104" s="526">
        <f t="shared" ca="1" si="118"/>
        <v>0</v>
      </c>
      <c r="AS104" s="526">
        <f t="shared" ca="1" si="118"/>
        <v>0</v>
      </c>
      <c r="AT104" s="526">
        <f t="shared" ca="1" si="118"/>
        <v>0</v>
      </c>
      <c r="AU104" s="526">
        <f t="shared" ca="1" si="118"/>
        <v>0</v>
      </c>
      <c r="AV104" s="526">
        <f t="shared" ca="1" si="118"/>
        <v>0</v>
      </c>
      <c r="AW104" s="526">
        <f t="shared" ca="1" si="118"/>
        <v>0</v>
      </c>
      <c r="AX104" s="526">
        <f t="shared" ca="1" si="118"/>
        <v>0</v>
      </c>
      <c r="AY104" s="526">
        <f t="shared" ca="1" si="118"/>
        <v>0</v>
      </c>
      <c r="AZ104" s="526">
        <f t="shared" ca="1" si="118"/>
        <v>0</v>
      </c>
      <c r="BA104" s="526">
        <f t="shared" ca="1" si="118"/>
        <v>0</v>
      </c>
      <c r="BB104" s="526">
        <f t="shared" ca="1" si="118"/>
        <v>0</v>
      </c>
      <c r="BC104" s="526">
        <f t="shared" ca="1" si="118"/>
        <v>0</v>
      </c>
      <c r="BD104" s="526">
        <f t="shared" ca="1" si="118"/>
        <v>0</v>
      </c>
      <c r="BE104" s="526">
        <f t="shared" ca="1" si="118"/>
        <v>0</v>
      </c>
      <c r="BF104" s="526">
        <f t="shared" ca="1" si="118"/>
        <v>0</v>
      </c>
      <c r="BG104" s="526">
        <f t="shared" ca="1" si="118"/>
        <v>0</v>
      </c>
      <c r="BH104" s="526">
        <f t="shared" ca="1" si="118"/>
        <v>0</v>
      </c>
      <c r="BI104" s="526">
        <f t="shared" ca="1" si="118"/>
        <v>0</v>
      </c>
      <c r="BJ104" s="526">
        <f t="shared" ca="1" si="118"/>
        <v>0</v>
      </c>
      <c r="BK104" s="526">
        <f t="shared" ca="1" si="118"/>
        <v>0</v>
      </c>
      <c r="BL104" s="526">
        <f t="shared" ca="1" si="118"/>
        <v>0</v>
      </c>
      <c r="BM104" s="526">
        <f t="shared" ca="1" si="118"/>
        <v>0</v>
      </c>
      <c r="BN104" s="526">
        <f t="shared" ca="1" si="118"/>
        <v>0</v>
      </c>
      <c r="BO104" s="526">
        <f t="shared" ca="1" si="118"/>
        <v>0</v>
      </c>
      <c r="BP104" s="526">
        <f t="shared" ca="1" si="118"/>
        <v>0</v>
      </c>
      <c r="BQ104" s="526">
        <f t="shared" ca="1" si="118"/>
        <v>0</v>
      </c>
      <c r="BR104" s="526">
        <f t="shared" ca="1" si="118"/>
        <v>0</v>
      </c>
      <c r="BS104" s="526">
        <f t="shared" ca="1" si="118"/>
        <v>0</v>
      </c>
      <c r="BT104" s="526">
        <f t="shared" ca="1" si="118"/>
        <v>0</v>
      </c>
      <c r="BU104" s="526">
        <f t="shared" ca="1" si="118"/>
        <v>0</v>
      </c>
      <c r="BV104" s="526">
        <f t="shared" ca="1" si="118"/>
        <v>0</v>
      </c>
      <c r="BW104" s="526">
        <f t="shared" ca="1" si="118"/>
        <v>0</v>
      </c>
      <c r="BX104" s="526">
        <f t="shared" ca="1" si="118"/>
        <v>0</v>
      </c>
      <c r="BY104" s="526">
        <f t="shared" ref="BY104:EB104" ca="1" si="119">MIN(BY96*$I104,BY100+BY101-BY103)</f>
        <v>0</v>
      </c>
      <c r="BZ104" s="526">
        <f t="shared" ca="1" si="119"/>
        <v>0</v>
      </c>
      <c r="CA104" s="526">
        <f t="shared" ca="1" si="119"/>
        <v>0</v>
      </c>
      <c r="CB104" s="526">
        <f t="shared" ca="1" si="119"/>
        <v>0</v>
      </c>
      <c r="CC104" s="526">
        <f t="shared" ca="1" si="119"/>
        <v>0</v>
      </c>
      <c r="CD104" s="526">
        <f t="shared" ca="1" si="119"/>
        <v>0</v>
      </c>
      <c r="CE104" s="526">
        <f t="shared" ca="1" si="119"/>
        <v>0</v>
      </c>
      <c r="CF104" s="526">
        <f t="shared" ca="1" si="119"/>
        <v>0</v>
      </c>
      <c r="CG104" s="526">
        <f t="shared" ca="1" si="119"/>
        <v>0</v>
      </c>
      <c r="CH104" s="526">
        <f t="shared" ca="1" si="119"/>
        <v>0</v>
      </c>
      <c r="CI104" s="526">
        <f t="shared" ca="1" si="119"/>
        <v>0</v>
      </c>
      <c r="CJ104" s="526">
        <f t="shared" ca="1" si="119"/>
        <v>0</v>
      </c>
      <c r="CK104" s="526">
        <f t="shared" ca="1" si="119"/>
        <v>0</v>
      </c>
      <c r="CL104" s="526">
        <f t="shared" ca="1" si="119"/>
        <v>0</v>
      </c>
      <c r="CM104" s="526">
        <f t="shared" ca="1" si="119"/>
        <v>0</v>
      </c>
      <c r="CN104" s="526">
        <f t="shared" ca="1" si="119"/>
        <v>0</v>
      </c>
      <c r="CO104" s="526">
        <f t="shared" ca="1" si="119"/>
        <v>0</v>
      </c>
      <c r="CP104" s="526">
        <f t="shared" ca="1" si="119"/>
        <v>0</v>
      </c>
      <c r="CQ104" s="526">
        <f t="shared" ca="1" si="119"/>
        <v>0</v>
      </c>
      <c r="CR104" s="526">
        <f t="shared" ca="1" si="119"/>
        <v>0</v>
      </c>
      <c r="CS104" s="526">
        <f t="shared" ca="1" si="119"/>
        <v>0</v>
      </c>
      <c r="CT104" s="526">
        <f t="shared" ca="1" si="119"/>
        <v>0</v>
      </c>
      <c r="CU104" s="526">
        <f t="shared" ca="1" si="119"/>
        <v>0</v>
      </c>
      <c r="CV104" s="526">
        <f t="shared" ca="1" si="119"/>
        <v>0</v>
      </c>
      <c r="CW104" s="526">
        <f t="shared" ca="1" si="119"/>
        <v>0</v>
      </c>
      <c r="CX104" s="526">
        <f t="shared" ca="1" si="119"/>
        <v>0</v>
      </c>
      <c r="CY104" s="526">
        <f t="shared" ca="1" si="119"/>
        <v>0</v>
      </c>
      <c r="CZ104" s="526">
        <f t="shared" ca="1" si="119"/>
        <v>0</v>
      </c>
      <c r="DA104" s="526">
        <f t="shared" ca="1" si="119"/>
        <v>0</v>
      </c>
      <c r="DB104" s="526">
        <f t="shared" ca="1" si="119"/>
        <v>0</v>
      </c>
      <c r="DC104" s="526">
        <f t="shared" ca="1" si="119"/>
        <v>0</v>
      </c>
      <c r="DD104" s="526">
        <f t="shared" ca="1" si="119"/>
        <v>0</v>
      </c>
      <c r="DE104" s="526">
        <f t="shared" ca="1" si="119"/>
        <v>0</v>
      </c>
      <c r="DF104" s="526">
        <f t="shared" ca="1" si="119"/>
        <v>0</v>
      </c>
      <c r="DG104" s="526">
        <f t="shared" ca="1" si="119"/>
        <v>0</v>
      </c>
      <c r="DH104" s="526">
        <f t="shared" ca="1" si="119"/>
        <v>0</v>
      </c>
      <c r="DI104" s="526">
        <f t="shared" ca="1" si="119"/>
        <v>0</v>
      </c>
      <c r="DJ104" s="526">
        <f t="shared" ca="1" si="119"/>
        <v>0</v>
      </c>
      <c r="DK104" s="526">
        <f t="shared" ca="1" si="119"/>
        <v>0</v>
      </c>
      <c r="DL104" s="526">
        <f t="shared" ca="1" si="119"/>
        <v>0</v>
      </c>
      <c r="DM104" s="526">
        <f t="shared" ca="1" si="119"/>
        <v>0</v>
      </c>
      <c r="DN104" s="526">
        <f t="shared" ca="1" si="119"/>
        <v>0</v>
      </c>
      <c r="DO104" s="526">
        <f t="shared" ca="1" si="119"/>
        <v>0</v>
      </c>
      <c r="DP104" s="526">
        <f t="shared" ca="1" si="119"/>
        <v>0</v>
      </c>
      <c r="DQ104" s="526">
        <f t="shared" ca="1" si="119"/>
        <v>0</v>
      </c>
      <c r="DR104" s="526">
        <f t="shared" ca="1" si="119"/>
        <v>0</v>
      </c>
      <c r="DS104" s="526">
        <f t="shared" ca="1" si="119"/>
        <v>0</v>
      </c>
      <c r="DT104" s="526">
        <f t="shared" ca="1" si="119"/>
        <v>0</v>
      </c>
      <c r="DU104" s="526">
        <f t="shared" ca="1" si="119"/>
        <v>0</v>
      </c>
      <c r="DV104" s="526">
        <f t="shared" ca="1" si="119"/>
        <v>0</v>
      </c>
      <c r="DW104" s="526">
        <f t="shared" ca="1" si="119"/>
        <v>0</v>
      </c>
      <c r="DX104" s="526">
        <f t="shared" ca="1" si="119"/>
        <v>0</v>
      </c>
      <c r="DY104" s="526">
        <f t="shared" ca="1" si="119"/>
        <v>0</v>
      </c>
      <c r="DZ104" s="526">
        <f t="shared" ca="1" si="119"/>
        <v>0</v>
      </c>
      <c r="EA104" s="526">
        <f t="shared" ca="1" si="119"/>
        <v>0</v>
      </c>
      <c r="EB104" s="526">
        <f t="shared" ca="1" si="119"/>
        <v>0</v>
      </c>
      <c r="EC104" s="523"/>
    </row>
    <row r="105" spans="6:133">
      <c r="H105" s="518" t="s">
        <v>1148</v>
      </c>
      <c r="L105" s="526">
        <f ca="1">L100+L101+L102-L103-L104</f>
        <v>20296000</v>
      </c>
      <c r="M105" s="526">
        <f t="shared" ref="M105:BX105" ca="1" si="120">M100+M101+M102-M103-M104</f>
        <v>20559982.931349035</v>
      </c>
      <c r="N105" s="526">
        <f t="shared" ca="1" si="120"/>
        <v>20826263.170631636</v>
      </c>
      <c r="O105" s="526">
        <f t="shared" ca="1" si="120"/>
        <v>21094865.012994207</v>
      </c>
      <c r="P105" s="526">
        <f t="shared" ca="1" si="120"/>
        <v>21365813.065593287</v>
      </c>
      <c r="Q105" s="526">
        <f t="shared" ca="1" si="120"/>
        <v>21639132.252182659</v>
      </c>
      <c r="R105" s="526">
        <f t="shared" ca="1" si="120"/>
        <v>21914847.817772962</v>
      </c>
      <c r="S105" s="526">
        <f t="shared" ca="1" si="120"/>
        <v>22192985.333364923</v>
      </c>
      <c r="T105" s="526">
        <f t="shared" ca="1" si="120"/>
        <v>22473570.700757474</v>
      </c>
      <c r="U105" s="526">
        <f t="shared" ca="1" si="120"/>
        <v>22756630.157431915</v>
      </c>
      <c r="V105" s="526">
        <f t="shared" ca="1" si="120"/>
        <v>23042190.281513445</v>
      </c>
      <c r="W105" s="526">
        <f t="shared" ca="1" si="120"/>
        <v>23330277.996811241</v>
      </c>
      <c r="X105" s="526">
        <f t="shared" ca="1" si="120"/>
        <v>23620920.577938415</v>
      </c>
      <c r="Y105" s="526">
        <f t="shared" ca="1" si="120"/>
        <v>23916469.434509438</v>
      </c>
      <c r="Z105" s="526">
        <f t="shared" ca="1" si="120"/>
        <v>24214811.558022551</v>
      </c>
      <c r="AA105" s="526">
        <f t="shared" ca="1" si="120"/>
        <v>24515980.214522772</v>
      </c>
      <c r="AB105" s="526">
        <f t="shared" ca="1" si="120"/>
        <v>24820009.142105311</v>
      </c>
      <c r="AC105" s="526">
        <f t="shared" ca="1" si="120"/>
        <v>25126932.558279365</v>
      </c>
      <c r="AD105" s="526">
        <f t="shared" ca="1" si="120"/>
        <v>25436785.167451639</v>
      </c>
      <c r="AE105" s="526">
        <f t="shared" ca="1" si="120"/>
        <v>25749602.168531649</v>
      </c>
      <c r="AF105" s="526">
        <f t="shared" ca="1" si="120"/>
        <v>26065419.262660783</v>
      </c>
      <c r="AG105" s="526">
        <f t="shared" ca="1" si="120"/>
        <v>26384272.661067162</v>
      </c>
      <c r="AH105" s="526">
        <f t="shared" ca="1" si="120"/>
        <v>26706199.09304839</v>
      </c>
      <c r="AI105" s="526">
        <f t="shared" ca="1" si="120"/>
        <v>27031235.814084325</v>
      </c>
      <c r="AJ105" s="526">
        <f t="shared" ca="1" si="120"/>
        <v>27359420.614082001</v>
      </c>
      <c r="AK105" s="526">
        <f t="shared" ca="1" si="120"/>
        <v>27694086.795944329</v>
      </c>
      <c r="AL105" s="526">
        <f t="shared" ca="1" si="120"/>
        <v>28033115.636986658</v>
      </c>
      <c r="AM105" s="526">
        <f t="shared" ca="1" si="120"/>
        <v>28376575.935170412</v>
      </c>
      <c r="AN105" s="526">
        <f t="shared" ca="1" si="120"/>
        <v>28724537.624341153</v>
      </c>
      <c r="AO105" s="526">
        <f t="shared" ca="1" si="120"/>
        <v>29077071.793162502</v>
      </c>
      <c r="AP105" s="526">
        <f t="shared" ca="1" si="120"/>
        <v>29434250.704366278</v>
      </c>
      <c r="AQ105" s="526">
        <f t="shared" ca="1" si="120"/>
        <v>29796147.814324118</v>
      </c>
      <c r="AR105" s="526">
        <f t="shared" ca="1" si="120"/>
        <v>30162837.792945988</v>
      </c>
      <c r="AS105" s="526">
        <f t="shared" ca="1" si="120"/>
        <v>30534396.543911003</v>
      </c>
      <c r="AT105" s="526">
        <f t="shared" ca="1" si="120"/>
        <v>30910901.22523614</v>
      </c>
      <c r="AU105" s="526">
        <f t="shared" ca="1" si="120"/>
        <v>31292430.270188488</v>
      </c>
      <c r="AV105" s="526">
        <f t="shared" ca="1" si="120"/>
        <v>31679063.408546738</v>
      </c>
      <c r="AW105" s="526">
        <f t="shared" ca="1" si="120"/>
        <v>32073146.650655411</v>
      </c>
      <c r="AX105" s="526">
        <f t="shared" ca="1" si="120"/>
        <v>32472535.267265223</v>
      </c>
      <c r="AY105" s="526">
        <f t="shared" ca="1" si="120"/>
        <v>32877313.641193204</v>
      </c>
      <c r="AZ105" s="526">
        <f t="shared" ca="1" si="120"/>
        <v>33287567.550990842</v>
      </c>
      <c r="BA105" s="526">
        <f t="shared" ca="1" si="120"/>
        <v>33703384.194217972</v>
      </c>
      <c r="BB105" s="526">
        <f t="shared" ca="1" si="120"/>
        <v>34124852.211105421</v>
      </c>
      <c r="BC105" s="526">
        <f t="shared" ca="1" si="120"/>
        <v>34552061.708612815</v>
      </c>
      <c r="BD105" s="526">
        <f t="shared" ca="1" si="120"/>
        <v>34985104.284888238</v>
      </c>
      <c r="BE105" s="526">
        <f t="shared" ca="1" si="120"/>
        <v>35424073.054136463</v>
      </c>
      <c r="BF105" s="526">
        <f t="shared" ca="1" si="120"/>
        <v>35869062.671902478</v>
      </c>
      <c r="BG105" s="526">
        <f t="shared" ca="1" si="120"/>
        <v>36320169.360777356</v>
      </c>
      <c r="BH105" s="526">
        <f t="shared" ca="1" si="120"/>
        <v>8522349.1670486853</v>
      </c>
      <c r="BI105" s="526">
        <f t="shared" ca="1" si="120"/>
        <v>8664748.7913950849</v>
      </c>
      <c r="BJ105" s="526">
        <f t="shared" ca="1" si="120"/>
        <v>8809527.7659202367</v>
      </c>
      <c r="BK105" s="526">
        <f t="shared" ca="1" si="120"/>
        <v>8956725.8471003175</v>
      </c>
      <c r="BL105" s="526">
        <f t="shared" ca="1" si="120"/>
        <v>9106383.4557010289</v>
      </c>
      <c r="BM105" s="526">
        <f t="shared" ca="1" si="120"/>
        <v>9258541.6878771894</v>
      </c>
      <c r="BN105" s="526">
        <f t="shared" ca="1" si="120"/>
        <v>9413242.3264577799</v>
      </c>
      <c r="BO105" s="526">
        <f t="shared" ca="1" si="120"/>
        <v>9570527.8524195645</v>
      </c>
      <c r="BP105" s="526">
        <f t="shared" ca="1" si="120"/>
        <v>9730441.4565524105</v>
      </c>
      <c r="BQ105" s="526">
        <f t="shared" ca="1" si="120"/>
        <v>9893027.051319534</v>
      </c>
      <c r="BR105" s="526">
        <f t="shared" ca="1" si="120"/>
        <v>10058329.282915911</v>
      </c>
      <c r="BS105" s="526">
        <f t="shared" ca="1" si="120"/>
        <v>10226393.543528179</v>
      </c>
      <c r="BT105" s="526">
        <f t="shared" ca="1" si="120"/>
        <v>10397265.983799381</v>
      </c>
      <c r="BU105" s="526">
        <f t="shared" ca="1" si="120"/>
        <v>10570993.525501989</v>
      </c>
      <c r="BV105" s="526">
        <f t="shared" ca="1" si="120"/>
        <v>10747623.874422673</v>
      </c>
      <c r="BW105" s="526">
        <f t="shared" ca="1" si="120"/>
        <v>10927205.533462372</v>
      </c>
      <c r="BX105" s="526">
        <f t="shared" ca="1" si="120"/>
        <v>11109787.81595524</v>
      </c>
      <c r="BY105" s="526">
        <f t="shared" ref="BY105:EB105" ca="1" si="121">BY100+BY101+BY102-BY103-BY104</f>
        <v>11295420.859210156</v>
      </c>
      <c r="BZ105" s="526">
        <f t="shared" ca="1" si="121"/>
        <v>11484155.638278477</v>
      </c>
      <c r="CA105" s="526">
        <f t="shared" ca="1" si="121"/>
        <v>11676043.979951853</v>
      </c>
      <c r="CB105" s="526">
        <f t="shared" ca="1" si="121"/>
        <v>11871138.576993924</v>
      </c>
      <c r="CC105" s="526">
        <f t="shared" ca="1" si="121"/>
        <v>12069493.002609814</v>
      </c>
      <c r="CD105" s="526">
        <f t="shared" ca="1" si="121"/>
        <v>12271161.725157393</v>
      </c>
      <c r="CE105" s="526">
        <f t="shared" ca="1" si="121"/>
        <v>12476200.12310436</v>
      </c>
      <c r="CF105" s="526">
        <f t="shared" ca="1" si="121"/>
        <v>12684664.500235228</v>
      </c>
      <c r="CG105" s="526">
        <f t="shared" ca="1" si="121"/>
        <v>12896612.101112409</v>
      </c>
      <c r="CH105" s="526">
        <f t="shared" ca="1" si="121"/>
        <v>13112101.126795644</v>
      </c>
      <c r="CI105" s="526">
        <f t="shared" ca="1" si="121"/>
        <v>13331190.750824075</v>
      </c>
      <c r="CJ105" s="526">
        <f t="shared" ca="1" si="121"/>
        <v>13553941.135465374</v>
      </c>
      <c r="CK105" s="526">
        <f t="shared" ca="1" si="121"/>
        <v>13780413.44823637</v>
      </c>
      <c r="CL105" s="526">
        <f t="shared" ca="1" si="121"/>
        <v>14010669.878699722</v>
      </c>
      <c r="CM105" s="526">
        <f t="shared" ca="1" si="121"/>
        <v>14244773.655541239</v>
      </c>
      <c r="CN105" s="526">
        <f t="shared" ca="1" si="121"/>
        <v>14482789.063932566</v>
      </c>
      <c r="CO105" s="526">
        <f t="shared" ca="1" si="121"/>
        <v>14724781.463183951</v>
      </c>
      <c r="CP105" s="526">
        <f t="shared" ca="1" si="121"/>
        <v>14970817.304691998</v>
      </c>
      <c r="CQ105" s="526">
        <f t="shared" ca="1" si="121"/>
        <v>15220964.150187299</v>
      </c>
      <c r="CR105" s="526">
        <f t="shared" ca="1" si="121"/>
        <v>15475290.690286957</v>
      </c>
      <c r="CS105" s="526">
        <f t="shared" ca="1" si="121"/>
        <v>15733866.763357118</v>
      </c>
      <c r="CT105" s="526">
        <f t="shared" ca="1" si="121"/>
        <v>15996763.374690663</v>
      </c>
      <c r="CU105" s="526">
        <f t="shared" ca="1" si="121"/>
        <v>16264052.71600535</v>
      </c>
      <c r="CV105" s="526">
        <f t="shared" ca="1" si="121"/>
        <v>16535808.185267735</v>
      </c>
      <c r="CW105" s="526">
        <f t="shared" ca="1" si="121"/>
        <v>16812104.406848349</v>
      </c>
      <c r="CX105" s="526">
        <f t="shared" ca="1" si="121"/>
        <v>17093017.252013635</v>
      </c>
      <c r="CY105" s="526">
        <f t="shared" ca="1" si="121"/>
        <v>17378623.859760288</v>
      </c>
      <c r="CZ105" s="526">
        <f t="shared" ca="1" si="121"/>
        <v>17669002.657997705</v>
      </c>
      <c r="DA105" s="526">
        <f t="shared" ca="1" si="121"/>
        <v>17964233.385084394</v>
      </c>
      <c r="DB105" s="526">
        <f t="shared" ca="1" si="121"/>
        <v>18264397.111724213</v>
      </c>
      <c r="DC105" s="526">
        <f t="shared" ca="1" si="121"/>
        <v>18569576.26322848</v>
      </c>
      <c r="DD105" s="526">
        <f t="shared" ca="1" si="121"/>
        <v>18879854.642150063</v>
      </c>
      <c r="DE105" s="526">
        <f t="shared" ca="1" si="121"/>
        <v>19195317.451295659</v>
      </c>
      <c r="DF105" s="526">
        <f t="shared" ca="1" si="121"/>
        <v>19516051.317122586</v>
      </c>
      <c r="DG105" s="526">
        <f t="shared" ca="1" si="121"/>
        <v>19842144.313526504</v>
      </c>
      <c r="DH105" s="526">
        <f t="shared" ca="1" si="121"/>
        <v>20173685.986026615</v>
      </c>
      <c r="DI105" s="526">
        <f t="shared" ca="1" si="121"/>
        <v>20510767.376354966</v>
      </c>
      <c r="DJ105" s="526">
        <f t="shared" ca="1" si="121"/>
        <v>20853481.047456618</v>
      </c>
      <c r="DK105" s="526">
        <f t="shared" ca="1" si="121"/>
        <v>21201921.108907532</v>
      </c>
      <c r="DL105" s="526">
        <f t="shared" ca="1" si="121"/>
        <v>21556183.242757183</v>
      </c>
      <c r="DM105" s="526">
        <f t="shared" ca="1" si="121"/>
        <v>21916364.729802944</v>
      </c>
      <c r="DN105" s="526">
        <f t="shared" ca="1" si="121"/>
        <v>22282564.476303522</v>
      </c>
      <c r="DO105" s="526">
        <f t="shared" ca="1" si="121"/>
        <v>22654883.041138727</v>
      </c>
      <c r="DP105" s="526">
        <f t="shared" ca="1" si="121"/>
        <v>23033422.663423058</v>
      </c>
      <c r="DQ105" s="526">
        <f t="shared" ca="1" si="121"/>
        <v>23418287.290580686</v>
      </c>
      <c r="DR105" s="526">
        <f t="shared" ca="1" si="121"/>
        <v>23809582.606889535</v>
      </c>
      <c r="DS105" s="526">
        <f t="shared" ca="1" si="121"/>
        <v>24207416.062502313</v>
      </c>
      <c r="DT105" s="526">
        <f t="shared" ca="1" si="121"/>
        <v>24611896.902952448</v>
      </c>
      <c r="DU105" s="526">
        <f t="shared" ca="1" si="121"/>
        <v>25023136.199153036</v>
      </c>
      <c r="DV105" s="526">
        <f t="shared" ca="1" si="121"/>
        <v>25441246.87789705</v>
      </c>
      <c r="DW105" s="526">
        <f t="shared" ca="1" si="121"/>
        <v>25866343.752867166</v>
      </c>
      <c r="DX105" s="526">
        <f t="shared" ca="1" si="121"/>
        <v>26298543.556163736</v>
      </c>
      <c r="DY105" s="526">
        <f t="shared" ca="1" si="121"/>
        <v>26737964.970359564</v>
      </c>
      <c r="DZ105" s="526">
        <f t="shared" ca="1" si="121"/>
        <v>27184728.661090266</v>
      </c>
      <c r="EA105" s="526">
        <f t="shared" ca="1" si="121"/>
        <v>27638957.310189214</v>
      </c>
      <c r="EB105" s="526">
        <f t="shared" ca="1" si="121"/>
        <v>28100775.649376098</v>
      </c>
      <c r="EC105" s="523" t="s">
        <v>557</v>
      </c>
    </row>
    <row r="106" spans="6:133">
      <c r="H106" s="518" t="s">
        <v>1150</v>
      </c>
      <c r="J106" s="543" t="s">
        <v>1105</v>
      </c>
      <c r="L106" s="526">
        <f ca="1">-L102+L103+L104</f>
        <v>-20296000</v>
      </c>
      <c r="M106" s="526">
        <f t="shared" ref="M106:BX106" ca="1" si="122">-M102+M103+M104</f>
        <v>75142.199419975848</v>
      </c>
      <c r="N106" s="526">
        <f t="shared" ca="1" si="122"/>
        <v>77255.772749442272</v>
      </c>
      <c r="O106" s="526">
        <f t="shared" ca="1" si="122"/>
        <v>79383.436567771874</v>
      </c>
      <c r="P106" s="526">
        <f t="shared" ca="1" si="122"/>
        <v>81525.284811557081</v>
      </c>
      <c r="Q106" s="526">
        <f t="shared" ca="1" si="122"/>
        <v>83681.412043634118</v>
      </c>
      <c r="R106" s="526">
        <f t="shared" ca="1" si="122"/>
        <v>85851.913457258299</v>
      </c>
      <c r="S106" s="526">
        <f t="shared" ca="1" si="122"/>
        <v>88036.884880306709</v>
      </c>
      <c r="T106" s="526">
        <f t="shared" ca="1" si="122"/>
        <v>90236.422779508677</v>
      </c>
      <c r="U106" s="526">
        <f t="shared" ca="1" si="122"/>
        <v>92450.624264705359</v>
      </c>
      <c r="V106" s="526">
        <f t="shared" ca="1" si="122"/>
        <v>94679.587093136754</v>
      </c>
      <c r="W106" s="526">
        <f t="shared" ca="1" si="122"/>
        <v>96923.409673757662</v>
      </c>
      <c r="X106" s="526">
        <f t="shared" ca="1" si="122"/>
        <v>99182.191071582594</v>
      </c>
      <c r="Y106" s="526">
        <f t="shared" ca="1" si="122"/>
        <v>99132.252015780003</v>
      </c>
      <c r="Z106" s="526">
        <f t="shared" ca="1" si="122"/>
        <v>101277.30024087873</v>
      </c>
      <c r="AA106" s="526">
        <f t="shared" ca="1" si="122"/>
        <v>103435.75501738423</v>
      </c>
      <c r="AB106" s="526">
        <f t="shared" ca="1" si="122"/>
        <v>105607.70013624289</v>
      </c>
      <c r="AC106" s="526">
        <f t="shared" ca="1" si="122"/>
        <v>107793.2199120944</v>
      </c>
      <c r="AD106" s="526">
        <f t="shared" ca="1" si="122"/>
        <v>109992.39918654515</v>
      </c>
      <c r="AE106" s="526">
        <f t="shared" ca="1" si="122"/>
        <v>112205.32333146107</v>
      </c>
      <c r="AF106" s="526">
        <f t="shared" ca="1" si="122"/>
        <v>114432.07825228265</v>
      </c>
      <c r="AG106" s="526">
        <f t="shared" ca="1" si="122"/>
        <v>116672.75039135954</v>
      </c>
      <c r="AH106" s="526">
        <f t="shared" ca="1" si="122"/>
        <v>118927.4267313055</v>
      </c>
      <c r="AI106" s="526">
        <f t="shared" ca="1" si="122"/>
        <v>121196.19479837616</v>
      </c>
      <c r="AJ106" s="526">
        <f t="shared" ca="1" si="122"/>
        <v>123479.14266586611</v>
      </c>
      <c r="AK106" s="526">
        <f t="shared" ca="1" si="122"/>
        <v>122481.38876808564</v>
      </c>
      <c r="AL106" s="526">
        <f t="shared" ca="1" si="122"/>
        <v>123710.65473037933</v>
      </c>
      <c r="AM106" s="526">
        <f t="shared" ca="1" si="122"/>
        <v>124944.01824588062</v>
      </c>
      <c r="AN106" s="526">
        <f t="shared" ca="1" si="122"/>
        <v>126181.4929731002</v>
      </c>
      <c r="AO106" s="526">
        <f t="shared" ca="1" si="122"/>
        <v>127423.09261607715</v>
      </c>
      <c r="AP106" s="526">
        <f t="shared" ca="1" si="122"/>
        <v>128668.83092453091</v>
      </c>
      <c r="AQ106" s="526">
        <f t="shared" ca="1" si="122"/>
        <v>129918.72169401268</v>
      </c>
      <c r="AR106" s="526">
        <f t="shared" ca="1" si="122"/>
        <v>131172.77876605943</v>
      </c>
      <c r="AS106" s="526">
        <f t="shared" ca="1" si="122"/>
        <v>132431.01602834626</v>
      </c>
      <c r="AT106" s="526">
        <f t="shared" ca="1" si="122"/>
        <v>133693.44741484086</v>
      </c>
      <c r="AU106" s="526">
        <f t="shared" ca="1" si="122"/>
        <v>134960.08690595691</v>
      </c>
      <c r="AV106" s="526">
        <f t="shared" ca="1" si="122"/>
        <v>136230.94852871029</v>
      </c>
      <c r="AW106" s="526">
        <f t="shared" ca="1" si="122"/>
        <v>135241.08391927258</v>
      </c>
      <c r="AX106" s="526">
        <f t="shared" ca="1" si="122"/>
        <v>136520.43207352899</v>
      </c>
      <c r="AY106" s="526">
        <f t="shared" ca="1" si="122"/>
        <v>137804.04472163261</v>
      </c>
      <c r="AZ106" s="526">
        <f t="shared" ca="1" si="122"/>
        <v>139091.93607856351</v>
      </c>
      <c r="BA106" s="526">
        <f t="shared" ca="1" si="122"/>
        <v>140384.12040668412</v>
      </c>
      <c r="BB106" s="526">
        <f t="shared" ca="1" si="122"/>
        <v>141680.61201589828</v>
      </c>
      <c r="BC106" s="526">
        <f t="shared" ca="1" si="122"/>
        <v>142981.42526381009</v>
      </c>
      <c r="BD106" s="526">
        <f t="shared" ca="1" si="122"/>
        <v>144286.57455588144</v>
      </c>
      <c r="BE106" s="526">
        <f t="shared" ca="1" si="122"/>
        <v>145596.07434559317</v>
      </c>
      <c r="BF106" s="526">
        <f t="shared" ca="1" si="122"/>
        <v>146909.93913460377</v>
      </c>
      <c r="BG106" s="526">
        <f t="shared" ca="1" si="122"/>
        <v>148228.18347291125</v>
      </c>
      <c r="BH106" s="526">
        <f t="shared" ca="1" si="122"/>
        <v>28404692.591443792</v>
      </c>
      <c r="BI106" s="526">
        <f t="shared" ca="1" si="122"/>
        <v>0</v>
      </c>
      <c r="BJ106" s="526">
        <f t="shared" ca="1" si="122"/>
        <v>0</v>
      </c>
      <c r="BK106" s="526">
        <f t="shared" ca="1" si="122"/>
        <v>0</v>
      </c>
      <c r="BL106" s="526">
        <f t="shared" ca="1" si="122"/>
        <v>0</v>
      </c>
      <c r="BM106" s="526">
        <f t="shared" ca="1" si="122"/>
        <v>0</v>
      </c>
      <c r="BN106" s="526">
        <f t="shared" ca="1" si="122"/>
        <v>0</v>
      </c>
      <c r="BO106" s="526">
        <f t="shared" ca="1" si="122"/>
        <v>0</v>
      </c>
      <c r="BP106" s="526">
        <f t="shared" ca="1" si="122"/>
        <v>0</v>
      </c>
      <c r="BQ106" s="526">
        <f t="shared" ca="1" si="122"/>
        <v>0</v>
      </c>
      <c r="BR106" s="526">
        <f t="shared" ca="1" si="122"/>
        <v>0</v>
      </c>
      <c r="BS106" s="526">
        <f t="shared" ca="1" si="122"/>
        <v>0</v>
      </c>
      <c r="BT106" s="526">
        <f t="shared" ca="1" si="122"/>
        <v>0</v>
      </c>
      <c r="BU106" s="526">
        <f t="shared" ca="1" si="122"/>
        <v>0</v>
      </c>
      <c r="BV106" s="526">
        <f t="shared" ca="1" si="122"/>
        <v>0</v>
      </c>
      <c r="BW106" s="526">
        <f t="shared" ca="1" si="122"/>
        <v>0</v>
      </c>
      <c r="BX106" s="526">
        <f t="shared" ca="1" si="122"/>
        <v>0</v>
      </c>
      <c r="BY106" s="526">
        <f t="shared" ref="BY106:EB106" ca="1" si="123">-BY102+BY103+BY104</f>
        <v>0</v>
      </c>
      <c r="BZ106" s="526">
        <f t="shared" ca="1" si="123"/>
        <v>0</v>
      </c>
      <c r="CA106" s="526">
        <f t="shared" ca="1" si="123"/>
        <v>0</v>
      </c>
      <c r="CB106" s="526">
        <f t="shared" ca="1" si="123"/>
        <v>0</v>
      </c>
      <c r="CC106" s="526">
        <f t="shared" ca="1" si="123"/>
        <v>0</v>
      </c>
      <c r="CD106" s="526">
        <f t="shared" ca="1" si="123"/>
        <v>0</v>
      </c>
      <c r="CE106" s="526">
        <f t="shared" ca="1" si="123"/>
        <v>0</v>
      </c>
      <c r="CF106" s="526">
        <f t="shared" ca="1" si="123"/>
        <v>0</v>
      </c>
      <c r="CG106" s="526">
        <f t="shared" ca="1" si="123"/>
        <v>0</v>
      </c>
      <c r="CH106" s="526">
        <f t="shared" ca="1" si="123"/>
        <v>0</v>
      </c>
      <c r="CI106" s="526">
        <f t="shared" ca="1" si="123"/>
        <v>0</v>
      </c>
      <c r="CJ106" s="526">
        <f t="shared" ca="1" si="123"/>
        <v>0</v>
      </c>
      <c r="CK106" s="526">
        <f t="shared" ca="1" si="123"/>
        <v>0</v>
      </c>
      <c r="CL106" s="526">
        <f t="shared" ca="1" si="123"/>
        <v>0</v>
      </c>
      <c r="CM106" s="526">
        <f t="shared" ca="1" si="123"/>
        <v>0</v>
      </c>
      <c r="CN106" s="526">
        <f t="shared" ca="1" si="123"/>
        <v>0</v>
      </c>
      <c r="CO106" s="526">
        <f t="shared" ca="1" si="123"/>
        <v>0</v>
      </c>
      <c r="CP106" s="526">
        <f t="shared" ca="1" si="123"/>
        <v>0</v>
      </c>
      <c r="CQ106" s="526">
        <f t="shared" ca="1" si="123"/>
        <v>0</v>
      </c>
      <c r="CR106" s="526">
        <f t="shared" ca="1" si="123"/>
        <v>0</v>
      </c>
      <c r="CS106" s="526">
        <f t="shared" ca="1" si="123"/>
        <v>0</v>
      </c>
      <c r="CT106" s="526">
        <f t="shared" ca="1" si="123"/>
        <v>0</v>
      </c>
      <c r="CU106" s="526">
        <f t="shared" ca="1" si="123"/>
        <v>0</v>
      </c>
      <c r="CV106" s="526">
        <f t="shared" ca="1" si="123"/>
        <v>0</v>
      </c>
      <c r="CW106" s="526">
        <f t="shared" ca="1" si="123"/>
        <v>0</v>
      </c>
      <c r="CX106" s="526">
        <f t="shared" ca="1" si="123"/>
        <v>0</v>
      </c>
      <c r="CY106" s="526">
        <f t="shared" ca="1" si="123"/>
        <v>0</v>
      </c>
      <c r="CZ106" s="526">
        <f t="shared" ca="1" si="123"/>
        <v>0</v>
      </c>
      <c r="DA106" s="526">
        <f t="shared" ca="1" si="123"/>
        <v>0</v>
      </c>
      <c r="DB106" s="526">
        <f t="shared" ca="1" si="123"/>
        <v>0</v>
      </c>
      <c r="DC106" s="526">
        <f t="shared" ca="1" si="123"/>
        <v>0</v>
      </c>
      <c r="DD106" s="526">
        <f t="shared" ca="1" si="123"/>
        <v>0</v>
      </c>
      <c r="DE106" s="526">
        <f t="shared" ca="1" si="123"/>
        <v>0</v>
      </c>
      <c r="DF106" s="526">
        <f t="shared" ca="1" si="123"/>
        <v>0</v>
      </c>
      <c r="DG106" s="526">
        <f t="shared" ca="1" si="123"/>
        <v>0</v>
      </c>
      <c r="DH106" s="526">
        <f t="shared" ca="1" si="123"/>
        <v>0</v>
      </c>
      <c r="DI106" s="526">
        <f t="shared" ca="1" si="123"/>
        <v>0</v>
      </c>
      <c r="DJ106" s="526">
        <f t="shared" ca="1" si="123"/>
        <v>0</v>
      </c>
      <c r="DK106" s="526">
        <f t="shared" ca="1" si="123"/>
        <v>0</v>
      </c>
      <c r="DL106" s="526">
        <f t="shared" ca="1" si="123"/>
        <v>0</v>
      </c>
      <c r="DM106" s="526">
        <f t="shared" ca="1" si="123"/>
        <v>0</v>
      </c>
      <c r="DN106" s="526">
        <f t="shared" ca="1" si="123"/>
        <v>0</v>
      </c>
      <c r="DO106" s="526">
        <f t="shared" ca="1" si="123"/>
        <v>0</v>
      </c>
      <c r="DP106" s="526">
        <f t="shared" ca="1" si="123"/>
        <v>0</v>
      </c>
      <c r="DQ106" s="526">
        <f t="shared" ca="1" si="123"/>
        <v>0</v>
      </c>
      <c r="DR106" s="526">
        <f t="shared" ca="1" si="123"/>
        <v>0</v>
      </c>
      <c r="DS106" s="526">
        <f t="shared" ca="1" si="123"/>
        <v>0</v>
      </c>
      <c r="DT106" s="526">
        <f t="shared" ca="1" si="123"/>
        <v>0</v>
      </c>
      <c r="DU106" s="526">
        <f t="shared" ca="1" si="123"/>
        <v>0</v>
      </c>
      <c r="DV106" s="526">
        <f t="shared" ca="1" si="123"/>
        <v>0</v>
      </c>
      <c r="DW106" s="526">
        <f t="shared" ca="1" si="123"/>
        <v>0</v>
      </c>
      <c r="DX106" s="526">
        <f t="shared" ca="1" si="123"/>
        <v>0</v>
      </c>
      <c r="DY106" s="526">
        <f t="shared" ca="1" si="123"/>
        <v>0</v>
      </c>
      <c r="DZ106" s="526">
        <f t="shared" ca="1" si="123"/>
        <v>0</v>
      </c>
      <c r="EA106" s="526">
        <f t="shared" ca="1" si="123"/>
        <v>0</v>
      </c>
      <c r="EB106" s="526">
        <f t="shared" ca="1" si="123"/>
        <v>0</v>
      </c>
      <c r="EC106" s="523" t="s">
        <v>557</v>
      </c>
    </row>
    <row r="107" spans="6:133">
      <c r="H107" s="545" t="s">
        <v>1152</v>
      </c>
      <c r="I107" s="547" t="s">
        <v>1153</v>
      </c>
      <c r="J107" s="547">
        <f ca="1">XIRR(L106:EB106,$L$2:$EB$2,)</f>
        <v>0.15229130387306214</v>
      </c>
      <c r="EC107" s="523" t="s">
        <v>557</v>
      </c>
    </row>
    <row r="108" spans="6:133">
      <c r="I108" s="547" t="s">
        <v>1155</v>
      </c>
      <c r="J108" s="1012">
        <f ca="1">ABS((SUMIF(L106:EB106,"&gt;0")/SUMIF(L106:EB106,"&lt;0")))</f>
        <v>1.6699711360130254</v>
      </c>
      <c r="EC108" s="523" t="s">
        <v>557</v>
      </c>
    </row>
    <row r="109" spans="6:133">
      <c r="H109" s="520" t="s">
        <v>1135</v>
      </c>
      <c r="I109" s="533"/>
      <c r="J109" s="533"/>
      <c r="K109" s="521"/>
      <c r="L109" s="521"/>
      <c r="M109" s="521"/>
      <c r="N109" s="521"/>
      <c r="O109" s="521"/>
      <c r="P109" s="521"/>
      <c r="Q109" s="521"/>
      <c r="R109" s="521"/>
      <c r="S109" s="521"/>
      <c r="T109" s="521"/>
      <c r="U109" s="521"/>
      <c r="V109" s="521"/>
      <c r="W109" s="521"/>
      <c r="X109" s="521"/>
      <c r="Y109" s="521"/>
      <c r="Z109" s="521"/>
      <c r="AA109" s="521"/>
      <c r="AB109" s="521"/>
      <c r="AC109" s="521"/>
      <c r="AD109" s="521"/>
      <c r="AE109" s="521"/>
      <c r="AF109" s="521"/>
      <c r="AG109" s="521"/>
      <c r="AH109" s="521"/>
      <c r="AI109" s="521"/>
      <c r="AJ109" s="521"/>
      <c r="AK109" s="521"/>
      <c r="AL109" s="521"/>
      <c r="AM109" s="521"/>
      <c r="AN109" s="521"/>
      <c r="AO109" s="521"/>
      <c r="AP109" s="521"/>
      <c r="AQ109" s="521"/>
      <c r="AR109" s="521"/>
      <c r="AS109" s="521"/>
      <c r="AT109" s="521"/>
      <c r="AU109" s="521"/>
      <c r="AV109" s="521"/>
      <c r="AW109" s="521"/>
      <c r="AX109" s="521"/>
      <c r="AY109" s="521"/>
      <c r="AZ109" s="521"/>
      <c r="BA109" s="521"/>
      <c r="BB109" s="521"/>
      <c r="BC109" s="521"/>
      <c r="BD109" s="521"/>
      <c r="BE109" s="521"/>
      <c r="BF109" s="521"/>
      <c r="BG109" s="521"/>
      <c r="BH109" s="521"/>
      <c r="BI109" s="521"/>
      <c r="BJ109" s="521"/>
      <c r="BK109" s="521"/>
      <c r="BL109" s="521"/>
      <c r="BM109" s="521"/>
      <c r="BN109" s="521"/>
      <c r="BO109" s="521"/>
      <c r="BP109" s="521"/>
      <c r="BQ109" s="521"/>
      <c r="BR109" s="521"/>
      <c r="BS109" s="521"/>
      <c r="BT109" s="521"/>
      <c r="BU109" s="521"/>
      <c r="BV109" s="521"/>
      <c r="BW109" s="521"/>
      <c r="BX109" s="521"/>
      <c r="BY109" s="521"/>
      <c r="BZ109" s="521"/>
      <c r="CA109" s="521"/>
      <c r="CB109" s="521"/>
      <c r="CC109" s="521"/>
      <c r="CD109" s="521"/>
      <c r="CE109" s="521"/>
      <c r="CF109" s="521"/>
      <c r="CG109" s="521"/>
      <c r="CH109" s="521"/>
      <c r="CI109" s="521"/>
      <c r="CJ109" s="521"/>
      <c r="CK109" s="521"/>
      <c r="CL109" s="521"/>
      <c r="CM109" s="521"/>
      <c r="CN109" s="521"/>
      <c r="CO109" s="521"/>
      <c r="CP109" s="521"/>
      <c r="CQ109" s="521"/>
      <c r="CR109" s="521"/>
      <c r="CS109" s="521"/>
      <c r="CT109" s="521"/>
      <c r="CU109" s="521"/>
      <c r="CV109" s="521"/>
      <c r="CW109" s="521"/>
      <c r="CX109" s="521"/>
      <c r="CY109" s="521"/>
      <c r="CZ109" s="521"/>
      <c r="DA109" s="521"/>
      <c r="DB109" s="521"/>
      <c r="DC109" s="521"/>
      <c r="DD109" s="521"/>
      <c r="DE109" s="521"/>
      <c r="DF109" s="521"/>
      <c r="DG109" s="521"/>
      <c r="DH109" s="521"/>
      <c r="DI109" s="521"/>
      <c r="DJ109" s="521"/>
      <c r="DK109" s="521"/>
      <c r="DL109" s="521"/>
      <c r="DM109" s="521"/>
      <c r="DN109" s="521"/>
      <c r="DO109" s="521"/>
      <c r="DP109" s="521"/>
      <c r="DQ109" s="521"/>
      <c r="DR109" s="521"/>
      <c r="DS109" s="521"/>
      <c r="DT109" s="521"/>
      <c r="DU109" s="521"/>
      <c r="DV109" s="521"/>
      <c r="DW109" s="521"/>
      <c r="DX109" s="521"/>
      <c r="DY109" s="521"/>
      <c r="DZ109" s="521"/>
      <c r="EA109" s="521"/>
      <c r="EB109" s="521"/>
      <c r="EC109" s="523" t="s">
        <v>557</v>
      </c>
    </row>
    <row r="110" spans="6:133">
      <c r="H110" s="518" t="s">
        <v>1158</v>
      </c>
      <c r="L110" s="526">
        <f ca="1">L92</f>
        <v>0</v>
      </c>
      <c r="M110" s="526">
        <f t="shared" ref="M110:BX110" si="124">M90</f>
        <v>0</v>
      </c>
      <c r="N110" s="526">
        <f t="shared" si="124"/>
        <v>0</v>
      </c>
      <c r="O110" s="526">
        <f t="shared" si="124"/>
        <v>0</v>
      </c>
      <c r="P110" s="526">
        <f t="shared" si="124"/>
        <v>0</v>
      </c>
      <c r="Q110" s="526">
        <f t="shared" si="124"/>
        <v>0</v>
      </c>
      <c r="R110" s="526">
        <f t="shared" si="124"/>
        <v>0</v>
      </c>
      <c r="S110" s="526">
        <f t="shared" si="124"/>
        <v>0</v>
      </c>
      <c r="T110" s="526">
        <f t="shared" si="124"/>
        <v>0</v>
      </c>
      <c r="U110" s="526">
        <f t="shared" si="124"/>
        <v>0</v>
      </c>
      <c r="V110" s="526">
        <f t="shared" si="124"/>
        <v>0</v>
      </c>
      <c r="W110" s="526">
        <f t="shared" si="124"/>
        <v>0</v>
      </c>
      <c r="X110" s="526">
        <f t="shared" si="124"/>
        <v>0</v>
      </c>
      <c r="Y110" s="526">
        <f t="shared" si="124"/>
        <v>0</v>
      </c>
      <c r="Z110" s="526">
        <f t="shared" si="124"/>
        <v>0</v>
      </c>
      <c r="AA110" s="526">
        <f t="shared" si="124"/>
        <v>0</v>
      </c>
      <c r="AB110" s="526">
        <f t="shared" si="124"/>
        <v>0</v>
      </c>
      <c r="AC110" s="526">
        <f t="shared" si="124"/>
        <v>0</v>
      </c>
      <c r="AD110" s="526">
        <f t="shared" si="124"/>
        <v>0</v>
      </c>
      <c r="AE110" s="526">
        <f t="shared" si="124"/>
        <v>0</v>
      </c>
      <c r="AF110" s="526">
        <f t="shared" si="124"/>
        <v>0</v>
      </c>
      <c r="AG110" s="526">
        <f t="shared" si="124"/>
        <v>0</v>
      </c>
      <c r="AH110" s="526">
        <f t="shared" si="124"/>
        <v>0</v>
      </c>
      <c r="AI110" s="526">
        <f t="shared" si="124"/>
        <v>0</v>
      </c>
      <c r="AJ110" s="526">
        <f t="shared" si="124"/>
        <v>0</v>
      </c>
      <c r="AK110" s="526">
        <f t="shared" si="124"/>
        <v>0</v>
      </c>
      <c r="AL110" s="526">
        <f t="shared" si="124"/>
        <v>0</v>
      </c>
      <c r="AM110" s="526">
        <f t="shared" si="124"/>
        <v>0</v>
      </c>
      <c r="AN110" s="526">
        <f t="shared" si="124"/>
        <v>0</v>
      </c>
      <c r="AO110" s="526">
        <f t="shared" si="124"/>
        <v>0</v>
      </c>
      <c r="AP110" s="526">
        <f t="shared" si="124"/>
        <v>0</v>
      </c>
      <c r="AQ110" s="526">
        <f t="shared" si="124"/>
        <v>0</v>
      </c>
      <c r="AR110" s="526">
        <f t="shared" si="124"/>
        <v>0</v>
      </c>
      <c r="AS110" s="526">
        <f t="shared" si="124"/>
        <v>0</v>
      </c>
      <c r="AT110" s="526">
        <f t="shared" si="124"/>
        <v>0</v>
      </c>
      <c r="AU110" s="526">
        <f t="shared" si="124"/>
        <v>0</v>
      </c>
      <c r="AV110" s="526">
        <f t="shared" si="124"/>
        <v>0</v>
      </c>
      <c r="AW110" s="526">
        <f t="shared" si="124"/>
        <v>0</v>
      </c>
      <c r="AX110" s="526">
        <f t="shared" si="124"/>
        <v>0</v>
      </c>
      <c r="AY110" s="526">
        <f t="shared" si="124"/>
        <v>0</v>
      </c>
      <c r="AZ110" s="526">
        <f t="shared" si="124"/>
        <v>0</v>
      </c>
      <c r="BA110" s="526">
        <f t="shared" si="124"/>
        <v>0</v>
      </c>
      <c r="BB110" s="526">
        <f t="shared" si="124"/>
        <v>0</v>
      </c>
      <c r="BC110" s="526">
        <f t="shared" si="124"/>
        <v>0</v>
      </c>
      <c r="BD110" s="526">
        <f t="shared" si="124"/>
        <v>0</v>
      </c>
      <c r="BE110" s="526">
        <f t="shared" si="124"/>
        <v>0</v>
      </c>
      <c r="BF110" s="526">
        <f t="shared" si="124"/>
        <v>0</v>
      </c>
      <c r="BG110" s="526">
        <f t="shared" si="124"/>
        <v>0</v>
      </c>
      <c r="BH110" s="526">
        <f t="shared" si="124"/>
        <v>0</v>
      </c>
      <c r="BI110" s="526">
        <f t="shared" si="124"/>
        <v>0</v>
      </c>
      <c r="BJ110" s="526">
        <f t="shared" si="124"/>
        <v>0</v>
      </c>
      <c r="BK110" s="526">
        <f t="shared" si="124"/>
        <v>0</v>
      </c>
      <c r="BL110" s="526">
        <f t="shared" si="124"/>
        <v>0</v>
      </c>
      <c r="BM110" s="526">
        <f t="shared" si="124"/>
        <v>0</v>
      </c>
      <c r="BN110" s="526">
        <f t="shared" si="124"/>
        <v>0</v>
      </c>
      <c r="BO110" s="526">
        <f t="shared" si="124"/>
        <v>0</v>
      </c>
      <c r="BP110" s="526">
        <f t="shared" si="124"/>
        <v>0</v>
      </c>
      <c r="BQ110" s="526">
        <f t="shared" si="124"/>
        <v>0</v>
      </c>
      <c r="BR110" s="526">
        <f t="shared" si="124"/>
        <v>0</v>
      </c>
      <c r="BS110" s="526">
        <f t="shared" si="124"/>
        <v>0</v>
      </c>
      <c r="BT110" s="526">
        <f t="shared" si="124"/>
        <v>0</v>
      </c>
      <c r="BU110" s="526">
        <f t="shared" si="124"/>
        <v>0</v>
      </c>
      <c r="BV110" s="526">
        <f t="shared" si="124"/>
        <v>0</v>
      </c>
      <c r="BW110" s="526">
        <f t="shared" si="124"/>
        <v>0</v>
      </c>
      <c r="BX110" s="526">
        <f t="shared" si="124"/>
        <v>0</v>
      </c>
      <c r="BY110" s="526">
        <f t="shared" ref="BY110:EB110" si="125">BY90</f>
        <v>0</v>
      </c>
      <c r="BZ110" s="526">
        <f t="shared" si="125"/>
        <v>0</v>
      </c>
      <c r="CA110" s="526">
        <f t="shared" si="125"/>
        <v>0</v>
      </c>
      <c r="CB110" s="526">
        <f t="shared" si="125"/>
        <v>0</v>
      </c>
      <c r="CC110" s="526">
        <f t="shared" si="125"/>
        <v>0</v>
      </c>
      <c r="CD110" s="526">
        <f t="shared" si="125"/>
        <v>0</v>
      </c>
      <c r="CE110" s="526">
        <f t="shared" si="125"/>
        <v>0</v>
      </c>
      <c r="CF110" s="526">
        <f t="shared" si="125"/>
        <v>0</v>
      </c>
      <c r="CG110" s="526">
        <f t="shared" si="125"/>
        <v>0</v>
      </c>
      <c r="CH110" s="526">
        <f t="shared" si="125"/>
        <v>0</v>
      </c>
      <c r="CI110" s="526">
        <f t="shared" si="125"/>
        <v>0</v>
      </c>
      <c r="CJ110" s="526">
        <f t="shared" si="125"/>
        <v>0</v>
      </c>
      <c r="CK110" s="526">
        <f t="shared" si="125"/>
        <v>0</v>
      </c>
      <c r="CL110" s="526">
        <f t="shared" si="125"/>
        <v>0</v>
      </c>
      <c r="CM110" s="526">
        <f t="shared" si="125"/>
        <v>0</v>
      </c>
      <c r="CN110" s="526">
        <f t="shared" si="125"/>
        <v>0</v>
      </c>
      <c r="CO110" s="526">
        <f t="shared" si="125"/>
        <v>0</v>
      </c>
      <c r="CP110" s="526">
        <f t="shared" si="125"/>
        <v>0</v>
      </c>
      <c r="CQ110" s="526">
        <f t="shared" si="125"/>
        <v>0</v>
      </c>
      <c r="CR110" s="526">
        <f t="shared" si="125"/>
        <v>0</v>
      </c>
      <c r="CS110" s="526">
        <f t="shared" si="125"/>
        <v>0</v>
      </c>
      <c r="CT110" s="526">
        <f t="shared" si="125"/>
        <v>0</v>
      </c>
      <c r="CU110" s="526">
        <f t="shared" si="125"/>
        <v>0</v>
      </c>
      <c r="CV110" s="526">
        <f t="shared" si="125"/>
        <v>0</v>
      </c>
      <c r="CW110" s="526">
        <f t="shared" si="125"/>
        <v>0</v>
      </c>
      <c r="CX110" s="526">
        <f t="shared" si="125"/>
        <v>0</v>
      </c>
      <c r="CY110" s="526">
        <f t="shared" si="125"/>
        <v>0</v>
      </c>
      <c r="CZ110" s="526">
        <f t="shared" si="125"/>
        <v>0</v>
      </c>
      <c r="DA110" s="526">
        <f t="shared" si="125"/>
        <v>0</v>
      </c>
      <c r="DB110" s="526">
        <f t="shared" si="125"/>
        <v>0</v>
      </c>
      <c r="DC110" s="526">
        <f t="shared" si="125"/>
        <v>0</v>
      </c>
      <c r="DD110" s="526">
        <f t="shared" si="125"/>
        <v>0</v>
      </c>
      <c r="DE110" s="526">
        <f t="shared" si="125"/>
        <v>0</v>
      </c>
      <c r="DF110" s="526">
        <f t="shared" si="125"/>
        <v>0</v>
      </c>
      <c r="DG110" s="526">
        <f t="shared" si="125"/>
        <v>0</v>
      </c>
      <c r="DH110" s="526">
        <f t="shared" si="125"/>
        <v>0</v>
      </c>
      <c r="DI110" s="526">
        <f t="shared" si="125"/>
        <v>0</v>
      </c>
      <c r="DJ110" s="526">
        <f t="shared" si="125"/>
        <v>0</v>
      </c>
      <c r="DK110" s="526">
        <f t="shared" si="125"/>
        <v>0</v>
      </c>
      <c r="DL110" s="526">
        <f t="shared" si="125"/>
        <v>0</v>
      </c>
      <c r="DM110" s="526">
        <f t="shared" si="125"/>
        <v>0</v>
      </c>
      <c r="DN110" s="526">
        <f t="shared" si="125"/>
        <v>0</v>
      </c>
      <c r="DO110" s="526">
        <f t="shared" si="125"/>
        <v>0</v>
      </c>
      <c r="DP110" s="526">
        <f t="shared" si="125"/>
        <v>0</v>
      </c>
      <c r="DQ110" s="526">
        <f t="shared" si="125"/>
        <v>0</v>
      </c>
      <c r="DR110" s="526">
        <f t="shared" si="125"/>
        <v>0</v>
      </c>
      <c r="DS110" s="526">
        <f t="shared" si="125"/>
        <v>0</v>
      </c>
      <c r="DT110" s="526">
        <f t="shared" si="125"/>
        <v>0</v>
      </c>
      <c r="DU110" s="526">
        <f t="shared" si="125"/>
        <v>0</v>
      </c>
      <c r="DV110" s="526">
        <f t="shared" si="125"/>
        <v>0</v>
      </c>
      <c r="DW110" s="526">
        <f t="shared" si="125"/>
        <v>0</v>
      </c>
      <c r="DX110" s="526">
        <f t="shared" si="125"/>
        <v>0</v>
      </c>
      <c r="DY110" s="526">
        <f t="shared" si="125"/>
        <v>0</v>
      </c>
      <c r="DZ110" s="526">
        <f t="shared" si="125"/>
        <v>0</v>
      </c>
      <c r="EA110" s="526">
        <f t="shared" si="125"/>
        <v>0</v>
      </c>
      <c r="EB110" s="526">
        <f t="shared" si="125"/>
        <v>0</v>
      </c>
      <c r="EC110" s="523" t="s">
        <v>557</v>
      </c>
    </row>
    <row r="111" spans="6:133">
      <c r="H111" s="518" t="s">
        <v>1160</v>
      </c>
      <c r="I111" s="539">
        <f>D19</f>
        <v>0.35</v>
      </c>
      <c r="L111" s="526">
        <f ca="1">L104/$I104*$I111</f>
        <v>0</v>
      </c>
      <c r="M111" s="526">
        <f t="shared" ref="M111:BX111" ca="1" si="126">M104/$I104*$I111</f>
        <v>0</v>
      </c>
      <c r="N111" s="526">
        <f t="shared" ca="1" si="126"/>
        <v>0</v>
      </c>
      <c r="O111" s="526">
        <f t="shared" ca="1" si="126"/>
        <v>0</v>
      </c>
      <c r="P111" s="526">
        <f t="shared" ca="1" si="126"/>
        <v>0</v>
      </c>
      <c r="Q111" s="526">
        <f t="shared" ca="1" si="126"/>
        <v>0</v>
      </c>
      <c r="R111" s="526">
        <f t="shared" ca="1" si="126"/>
        <v>0</v>
      </c>
      <c r="S111" s="526">
        <f t="shared" ca="1" si="126"/>
        <v>0</v>
      </c>
      <c r="T111" s="526">
        <f t="shared" ca="1" si="126"/>
        <v>0</v>
      </c>
      <c r="U111" s="526">
        <f t="shared" ca="1" si="126"/>
        <v>0</v>
      </c>
      <c r="V111" s="526">
        <f t="shared" ca="1" si="126"/>
        <v>0</v>
      </c>
      <c r="W111" s="526">
        <f t="shared" ca="1" si="126"/>
        <v>0</v>
      </c>
      <c r="X111" s="526">
        <f t="shared" ca="1" si="126"/>
        <v>0</v>
      </c>
      <c r="Y111" s="526">
        <f t="shared" ca="1" si="126"/>
        <v>0</v>
      </c>
      <c r="Z111" s="526">
        <f t="shared" ca="1" si="126"/>
        <v>0</v>
      </c>
      <c r="AA111" s="526">
        <f t="shared" ca="1" si="126"/>
        <v>0</v>
      </c>
      <c r="AB111" s="526">
        <f t="shared" ca="1" si="126"/>
        <v>0</v>
      </c>
      <c r="AC111" s="526">
        <f t="shared" ca="1" si="126"/>
        <v>0</v>
      </c>
      <c r="AD111" s="526">
        <f t="shared" ca="1" si="126"/>
        <v>0</v>
      </c>
      <c r="AE111" s="526">
        <f t="shared" ca="1" si="126"/>
        <v>0</v>
      </c>
      <c r="AF111" s="526">
        <f t="shared" ca="1" si="126"/>
        <v>0</v>
      </c>
      <c r="AG111" s="526">
        <f t="shared" ca="1" si="126"/>
        <v>0</v>
      </c>
      <c r="AH111" s="526">
        <f t="shared" ca="1" si="126"/>
        <v>0</v>
      </c>
      <c r="AI111" s="526">
        <f t="shared" ca="1" si="126"/>
        <v>0</v>
      </c>
      <c r="AJ111" s="526">
        <f t="shared" ca="1" si="126"/>
        <v>0</v>
      </c>
      <c r="AK111" s="526">
        <f t="shared" ca="1" si="126"/>
        <v>0</v>
      </c>
      <c r="AL111" s="526">
        <f t="shared" ca="1" si="126"/>
        <v>0</v>
      </c>
      <c r="AM111" s="526">
        <f t="shared" ca="1" si="126"/>
        <v>0</v>
      </c>
      <c r="AN111" s="526">
        <f t="shared" ca="1" si="126"/>
        <v>0</v>
      </c>
      <c r="AO111" s="526">
        <f t="shared" ca="1" si="126"/>
        <v>0</v>
      </c>
      <c r="AP111" s="526">
        <f t="shared" ca="1" si="126"/>
        <v>0</v>
      </c>
      <c r="AQ111" s="526">
        <f t="shared" ca="1" si="126"/>
        <v>0</v>
      </c>
      <c r="AR111" s="526">
        <f t="shared" ca="1" si="126"/>
        <v>0</v>
      </c>
      <c r="AS111" s="526">
        <f t="shared" ca="1" si="126"/>
        <v>0</v>
      </c>
      <c r="AT111" s="526">
        <f t="shared" ca="1" si="126"/>
        <v>0</v>
      </c>
      <c r="AU111" s="526">
        <f t="shared" ca="1" si="126"/>
        <v>0</v>
      </c>
      <c r="AV111" s="526">
        <f t="shared" ca="1" si="126"/>
        <v>0</v>
      </c>
      <c r="AW111" s="526">
        <f t="shared" ca="1" si="126"/>
        <v>0</v>
      </c>
      <c r="AX111" s="526">
        <f t="shared" ca="1" si="126"/>
        <v>0</v>
      </c>
      <c r="AY111" s="526">
        <f t="shared" ca="1" si="126"/>
        <v>0</v>
      </c>
      <c r="AZ111" s="526">
        <f t="shared" ca="1" si="126"/>
        <v>0</v>
      </c>
      <c r="BA111" s="526">
        <f t="shared" ca="1" si="126"/>
        <v>0</v>
      </c>
      <c r="BB111" s="526">
        <f t="shared" ca="1" si="126"/>
        <v>0</v>
      </c>
      <c r="BC111" s="526">
        <f t="shared" ca="1" si="126"/>
        <v>0</v>
      </c>
      <c r="BD111" s="526">
        <f t="shared" ca="1" si="126"/>
        <v>0</v>
      </c>
      <c r="BE111" s="526">
        <f t="shared" ca="1" si="126"/>
        <v>0</v>
      </c>
      <c r="BF111" s="526">
        <f t="shared" ca="1" si="126"/>
        <v>0</v>
      </c>
      <c r="BG111" s="526">
        <f t="shared" ca="1" si="126"/>
        <v>0</v>
      </c>
      <c r="BH111" s="526">
        <f t="shared" ca="1" si="126"/>
        <v>0</v>
      </c>
      <c r="BI111" s="526">
        <f t="shared" ca="1" si="126"/>
        <v>0</v>
      </c>
      <c r="BJ111" s="526">
        <f t="shared" ca="1" si="126"/>
        <v>0</v>
      </c>
      <c r="BK111" s="526">
        <f t="shared" ca="1" si="126"/>
        <v>0</v>
      </c>
      <c r="BL111" s="526">
        <f t="shared" ca="1" si="126"/>
        <v>0</v>
      </c>
      <c r="BM111" s="526">
        <f t="shared" ca="1" si="126"/>
        <v>0</v>
      </c>
      <c r="BN111" s="526">
        <f t="shared" ca="1" si="126"/>
        <v>0</v>
      </c>
      <c r="BO111" s="526">
        <f t="shared" ca="1" si="126"/>
        <v>0</v>
      </c>
      <c r="BP111" s="526">
        <f t="shared" ca="1" si="126"/>
        <v>0</v>
      </c>
      <c r="BQ111" s="526">
        <f t="shared" ca="1" si="126"/>
        <v>0</v>
      </c>
      <c r="BR111" s="526">
        <f t="shared" ca="1" si="126"/>
        <v>0</v>
      </c>
      <c r="BS111" s="526">
        <f t="shared" ca="1" si="126"/>
        <v>0</v>
      </c>
      <c r="BT111" s="526">
        <f t="shared" ca="1" si="126"/>
        <v>0</v>
      </c>
      <c r="BU111" s="526">
        <f t="shared" ca="1" si="126"/>
        <v>0</v>
      </c>
      <c r="BV111" s="526">
        <f t="shared" ca="1" si="126"/>
        <v>0</v>
      </c>
      <c r="BW111" s="526">
        <f t="shared" ca="1" si="126"/>
        <v>0</v>
      </c>
      <c r="BX111" s="526">
        <f t="shared" ca="1" si="126"/>
        <v>0</v>
      </c>
      <c r="BY111" s="526">
        <f t="shared" ref="BY111:EB111" ca="1" si="127">BY104/$I104*$I111</f>
        <v>0</v>
      </c>
      <c r="BZ111" s="526">
        <f t="shared" ca="1" si="127"/>
        <v>0</v>
      </c>
      <c r="CA111" s="526">
        <f t="shared" ca="1" si="127"/>
        <v>0</v>
      </c>
      <c r="CB111" s="526">
        <f t="shared" ca="1" si="127"/>
        <v>0</v>
      </c>
      <c r="CC111" s="526">
        <f t="shared" ca="1" si="127"/>
        <v>0</v>
      </c>
      <c r="CD111" s="526">
        <f t="shared" ca="1" si="127"/>
        <v>0</v>
      </c>
      <c r="CE111" s="526">
        <f t="shared" ca="1" si="127"/>
        <v>0</v>
      </c>
      <c r="CF111" s="526">
        <f t="shared" ca="1" si="127"/>
        <v>0</v>
      </c>
      <c r="CG111" s="526">
        <f t="shared" ca="1" si="127"/>
        <v>0</v>
      </c>
      <c r="CH111" s="526">
        <f t="shared" ca="1" si="127"/>
        <v>0</v>
      </c>
      <c r="CI111" s="526">
        <f t="shared" ca="1" si="127"/>
        <v>0</v>
      </c>
      <c r="CJ111" s="526">
        <f t="shared" ca="1" si="127"/>
        <v>0</v>
      </c>
      <c r="CK111" s="526">
        <f t="shared" ca="1" si="127"/>
        <v>0</v>
      </c>
      <c r="CL111" s="526">
        <f t="shared" ca="1" si="127"/>
        <v>0</v>
      </c>
      <c r="CM111" s="526">
        <f t="shared" ca="1" si="127"/>
        <v>0</v>
      </c>
      <c r="CN111" s="526">
        <f t="shared" ca="1" si="127"/>
        <v>0</v>
      </c>
      <c r="CO111" s="526">
        <f t="shared" ca="1" si="127"/>
        <v>0</v>
      </c>
      <c r="CP111" s="526">
        <f t="shared" ca="1" si="127"/>
        <v>0</v>
      </c>
      <c r="CQ111" s="526">
        <f t="shared" ca="1" si="127"/>
        <v>0</v>
      </c>
      <c r="CR111" s="526">
        <f t="shared" ca="1" si="127"/>
        <v>0</v>
      </c>
      <c r="CS111" s="526">
        <f t="shared" ca="1" si="127"/>
        <v>0</v>
      </c>
      <c r="CT111" s="526">
        <f t="shared" ca="1" si="127"/>
        <v>0</v>
      </c>
      <c r="CU111" s="526">
        <f t="shared" ca="1" si="127"/>
        <v>0</v>
      </c>
      <c r="CV111" s="526">
        <f t="shared" ca="1" si="127"/>
        <v>0</v>
      </c>
      <c r="CW111" s="526">
        <f t="shared" ca="1" si="127"/>
        <v>0</v>
      </c>
      <c r="CX111" s="526">
        <f t="shared" ca="1" si="127"/>
        <v>0</v>
      </c>
      <c r="CY111" s="526">
        <f t="shared" ca="1" si="127"/>
        <v>0</v>
      </c>
      <c r="CZ111" s="526">
        <f t="shared" ca="1" si="127"/>
        <v>0</v>
      </c>
      <c r="DA111" s="526">
        <f t="shared" ca="1" si="127"/>
        <v>0</v>
      </c>
      <c r="DB111" s="526">
        <f t="shared" ca="1" si="127"/>
        <v>0</v>
      </c>
      <c r="DC111" s="526">
        <f t="shared" ca="1" si="127"/>
        <v>0</v>
      </c>
      <c r="DD111" s="526">
        <f t="shared" ca="1" si="127"/>
        <v>0</v>
      </c>
      <c r="DE111" s="526">
        <f t="shared" ca="1" si="127"/>
        <v>0</v>
      </c>
      <c r="DF111" s="526">
        <f t="shared" ca="1" si="127"/>
        <v>0</v>
      </c>
      <c r="DG111" s="526">
        <f t="shared" ca="1" si="127"/>
        <v>0</v>
      </c>
      <c r="DH111" s="526">
        <f t="shared" ca="1" si="127"/>
        <v>0</v>
      </c>
      <c r="DI111" s="526">
        <f t="shared" ca="1" si="127"/>
        <v>0</v>
      </c>
      <c r="DJ111" s="526">
        <f t="shared" ca="1" si="127"/>
        <v>0</v>
      </c>
      <c r="DK111" s="526">
        <f t="shared" ca="1" si="127"/>
        <v>0</v>
      </c>
      <c r="DL111" s="526">
        <f t="shared" ca="1" si="127"/>
        <v>0</v>
      </c>
      <c r="DM111" s="526">
        <f t="shared" ca="1" si="127"/>
        <v>0</v>
      </c>
      <c r="DN111" s="526">
        <f t="shared" ca="1" si="127"/>
        <v>0</v>
      </c>
      <c r="DO111" s="526">
        <f t="shared" ca="1" si="127"/>
        <v>0</v>
      </c>
      <c r="DP111" s="526">
        <f t="shared" ca="1" si="127"/>
        <v>0</v>
      </c>
      <c r="DQ111" s="526">
        <f t="shared" ca="1" si="127"/>
        <v>0</v>
      </c>
      <c r="DR111" s="526">
        <f t="shared" ca="1" si="127"/>
        <v>0</v>
      </c>
      <c r="DS111" s="526">
        <f t="shared" ca="1" si="127"/>
        <v>0</v>
      </c>
      <c r="DT111" s="526">
        <f t="shared" ca="1" si="127"/>
        <v>0</v>
      </c>
      <c r="DU111" s="526">
        <f t="shared" ca="1" si="127"/>
        <v>0</v>
      </c>
      <c r="DV111" s="526">
        <f t="shared" ca="1" si="127"/>
        <v>0</v>
      </c>
      <c r="DW111" s="526">
        <f t="shared" ca="1" si="127"/>
        <v>0</v>
      </c>
      <c r="DX111" s="526">
        <f t="shared" ca="1" si="127"/>
        <v>0</v>
      </c>
      <c r="DY111" s="526">
        <f t="shared" ca="1" si="127"/>
        <v>0</v>
      </c>
      <c r="DZ111" s="526">
        <f t="shared" ca="1" si="127"/>
        <v>0</v>
      </c>
      <c r="EA111" s="526">
        <f t="shared" ca="1" si="127"/>
        <v>0</v>
      </c>
      <c r="EB111" s="526">
        <f t="shared" ca="1" si="127"/>
        <v>0</v>
      </c>
      <c r="EC111" s="523" t="s">
        <v>557</v>
      </c>
    </row>
    <row r="112" spans="6:133">
      <c r="EC112" s="523" t="s">
        <v>557</v>
      </c>
    </row>
    <row r="113" spans="8:133">
      <c r="H113" s="518" t="s">
        <v>1190</v>
      </c>
      <c r="L113" s="526">
        <f ca="1">L104+L111</f>
        <v>0</v>
      </c>
      <c r="M113" s="526">
        <f t="shared" ref="M113:BX113" ca="1" si="128">M104+M111</f>
        <v>0</v>
      </c>
      <c r="N113" s="526">
        <f t="shared" ca="1" si="128"/>
        <v>0</v>
      </c>
      <c r="O113" s="526">
        <f t="shared" ca="1" si="128"/>
        <v>0</v>
      </c>
      <c r="P113" s="526">
        <f t="shared" ca="1" si="128"/>
        <v>0</v>
      </c>
      <c r="Q113" s="526">
        <f t="shared" ca="1" si="128"/>
        <v>0</v>
      </c>
      <c r="R113" s="526">
        <f t="shared" ca="1" si="128"/>
        <v>0</v>
      </c>
      <c r="S113" s="526">
        <f t="shared" ca="1" si="128"/>
        <v>0</v>
      </c>
      <c r="T113" s="526">
        <f t="shared" ca="1" si="128"/>
        <v>0</v>
      </c>
      <c r="U113" s="526">
        <f t="shared" ca="1" si="128"/>
        <v>0</v>
      </c>
      <c r="V113" s="526">
        <f t="shared" ca="1" si="128"/>
        <v>0</v>
      </c>
      <c r="W113" s="526">
        <f t="shared" ca="1" si="128"/>
        <v>0</v>
      </c>
      <c r="X113" s="526">
        <f t="shared" ca="1" si="128"/>
        <v>0</v>
      </c>
      <c r="Y113" s="526">
        <f t="shared" ca="1" si="128"/>
        <v>0</v>
      </c>
      <c r="Z113" s="526">
        <f t="shared" ca="1" si="128"/>
        <v>0</v>
      </c>
      <c r="AA113" s="526">
        <f t="shared" ca="1" si="128"/>
        <v>0</v>
      </c>
      <c r="AB113" s="526">
        <f t="shared" ca="1" si="128"/>
        <v>0</v>
      </c>
      <c r="AC113" s="526">
        <f t="shared" ca="1" si="128"/>
        <v>0</v>
      </c>
      <c r="AD113" s="526">
        <f t="shared" ca="1" si="128"/>
        <v>0</v>
      </c>
      <c r="AE113" s="526">
        <f t="shared" ca="1" si="128"/>
        <v>0</v>
      </c>
      <c r="AF113" s="526">
        <f t="shared" ca="1" si="128"/>
        <v>0</v>
      </c>
      <c r="AG113" s="526">
        <f t="shared" ca="1" si="128"/>
        <v>0</v>
      </c>
      <c r="AH113" s="526">
        <f t="shared" ca="1" si="128"/>
        <v>0</v>
      </c>
      <c r="AI113" s="526">
        <f t="shared" ca="1" si="128"/>
        <v>0</v>
      </c>
      <c r="AJ113" s="526">
        <f t="shared" ca="1" si="128"/>
        <v>0</v>
      </c>
      <c r="AK113" s="526">
        <f t="shared" ca="1" si="128"/>
        <v>0</v>
      </c>
      <c r="AL113" s="526">
        <f t="shared" ca="1" si="128"/>
        <v>0</v>
      </c>
      <c r="AM113" s="526">
        <f t="shared" ca="1" si="128"/>
        <v>0</v>
      </c>
      <c r="AN113" s="526">
        <f t="shared" ca="1" si="128"/>
        <v>0</v>
      </c>
      <c r="AO113" s="526">
        <f t="shared" ca="1" si="128"/>
        <v>0</v>
      </c>
      <c r="AP113" s="526">
        <f t="shared" ca="1" si="128"/>
        <v>0</v>
      </c>
      <c r="AQ113" s="526">
        <f t="shared" ca="1" si="128"/>
        <v>0</v>
      </c>
      <c r="AR113" s="526">
        <f t="shared" ca="1" si="128"/>
        <v>0</v>
      </c>
      <c r="AS113" s="526">
        <f t="shared" ca="1" si="128"/>
        <v>0</v>
      </c>
      <c r="AT113" s="526">
        <f t="shared" ca="1" si="128"/>
        <v>0</v>
      </c>
      <c r="AU113" s="526">
        <f t="shared" ca="1" si="128"/>
        <v>0</v>
      </c>
      <c r="AV113" s="526">
        <f t="shared" ca="1" si="128"/>
        <v>0</v>
      </c>
      <c r="AW113" s="526">
        <f t="shared" ca="1" si="128"/>
        <v>0</v>
      </c>
      <c r="AX113" s="526">
        <f t="shared" ca="1" si="128"/>
        <v>0</v>
      </c>
      <c r="AY113" s="526">
        <f t="shared" ca="1" si="128"/>
        <v>0</v>
      </c>
      <c r="AZ113" s="526">
        <f t="shared" ca="1" si="128"/>
        <v>0</v>
      </c>
      <c r="BA113" s="526">
        <f t="shared" ca="1" si="128"/>
        <v>0</v>
      </c>
      <c r="BB113" s="526">
        <f t="shared" ca="1" si="128"/>
        <v>0</v>
      </c>
      <c r="BC113" s="526">
        <f t="shared" ca="1" si="128"/>
        <v>0</v>
      </c>
      <c r="BD113" s="526">
        <f t="shared" ca="1" si="128"/>
        <v>0</v>
      </c>
      <c r="BE113" s="526">
        <f t="shared" ca="1" si="128"/>
        <v>0</v>
      </c>
      <c r="BF113" s="526">
        <f t="shared" ca="1" si="128"/>
        <v>0</v>
      </c>
      <c r="BG113" s="526">
        <f t="shared" ca="1" si="128"/>
        <v>0</v>
      </c>
      <c r="BH113" s="526">
        <f t="shared" ca="1" si="128"/>
        <v>0</v>
      </c>
      <c r="BI113" s="526">
        <f t="shared" ca="1" si="128"/>
        <v>0</v>
      </c>
      <c r="BJ113" s="526">
        <f t="shared" ca="1" si="128"/>
        <v>0</v>
      </c>
      <c r="BK113" s="526">
        <f t="shared" ca="1" si="128"/>
        <v>0</v>
      </c>
      <c r="BL113" s="526">
        <f t="shared" ca="1" si="128"/>
        <v>0</v>
      </c>
      <c r="BM113" s="526">
        <f t="shared" ca="1" si="128"/>
        <v>0</v>
      </c>
      <c r="BN113" s="526">
        <f t="shared" ca="1" si="128"/>
        <v>0</v>
      </c>
      <c r="BO113" s="526">
        <f t="shared" ca="1" si="128"/>
        <v>0</v>
      </c>
      <c r="BP113" s="526">
        <f t="shared" ca="1" si="128"/>
        <v>0</v>
      </c>
      <c r="BQ113" s="526">
        <f t="shared" ca="1" si="128"/>
        <v>0</v>
      </c>
      <c r="BR113" s="526">
        <f t="shared" ca="1" si="128"/>
        <v>0</v>
      </c>
      <c r="BS113" s="526">
        <f t="shared" ca="1" si="128"/>
        <v>0</v>
      </c>
      <c r="BT113" s="526">
        <f t="shared" ca="1" si="128"/>
        <v>0</v>
      </c>
      <c r="BU113" s="526">
        <f t="shared" ca="1" si="128"/>
        <v>0</v>
      </c>
      <c r="BV113" s="526">
        <f t="shared" ca="1" si="128"/>
        <v>0</v>
      </c>
      <c r="BW113" s="526">
        <f t="shared" ca="1" si="128"/>
        <v>0</v>
      </c>
      <c r="BX113" s="526">
        <f t="shared" ca="1" si="128"/>
        <v>0</v>
      </c>
      <c r="BY113" s="526">
        <f t="shared" ref="BY113:EB113" ca="1" si="129">BY104+BY111</f>
        <v>0</v>
      </c>
      <c r="BZ113" s="526">
        <f t="shared" ca="1" si="129"/>
        <v>0</v>
      </c>
      <c r="CA113" s="526">
        <f t="shared" ca="1" si="129"/>
        <v>0</v>
      </c>
      <c r="CB113" s="526">
        <f t="shared" ca="1" si="129"/>
        <v>0</v>
      </c>
      <c r="CC113" s="526">
        <f t="shared" ca="1" si="129"/>
        <v>0</v>
      </c>
      <c r="CD113" s="526">
        <f t="shared" ca="1" si="129"/>
        <v>0</v>
      </c>
      <c r="CE113" s="526">
        <f t="shared" ca="1" si="129"/>
        <v>0</v>
      </c>
      <c r="CF113" s="526">
        <f t="shared" ca="1" si="129"/>
        <v>0</v>
      </c>
      <c r="CG113" s="526">
        <f t="shared" ca="1" si="129"/>
        <v>0</v>
      </c>
      <c r="CH113" s="526">
        <f t="shared" ca="1" si="129"/>
        <v>0</v>
      </c>
      <c r="CI113" s="526">
        <f t="shared" ca="1" si="129"/>
        <v>0</v>
      </c>
      <c r="CJ113" s="526">
        <f t="shared" ca="1" si="129"/>
        <v>0</v>
      </c>
      <c r="CK113" s="526">
        <f t="shared" ca="1" si="129"/>
        <v>0</v>
      </c>
      <c r="CL113" s="526">
        <f t="shared" ca="1" si="129"/>
        <v>0</v>
      </c>
      <c r="CM113" s="526">
        <f t="shared" ca="1" si="129"/>
        <v>0</v>
      </c>
      <c r="CN113" s="526">
        <f t="shared" ca="1" si="129"/>
        <v>0</v>
      </c>
      <c r="CO113" s="526">
        <f t="shared" ca="1" si="129"/>
        <v>0</v>
      </c>
      <c r="CP113" s="526">
        <f t="shared" ca="1" si="129"/>
        <v>0</v>
      </c>
      <c r="CQ113" s="526">
        <f t="shared" ca="1" si="129"/>
        <v>0</v>
      </c>
      <c r="CR113" s="526">
        <f t="shared" ca="1" si="129"/>
        <v>0</v>
      </c>
      <c r="CS113" s="526">
        <f t="shared" ca="1" si="129"/>
        <v>0</v>
      </c>
      <c r="CT113" s="526">
        <f t="shared" ca="1" si="129"/>
        <v>0</v>
      </c>
      <c r="CU113" s="526">
        <f t="shared" ca="1" si="129"/>
        <v>0</v>
      </c>
      <c r="CV113" s="526">
        <f t="shared" ca="1" si="129"/>
        <v>0</v>
      </c>
      <c r="CW113" s="526">
        <f t="shared" ca="1" si="129"/>
        <v>0</v>
      </c>
      <c r="CX113" s="526">
        <f t="shared" ca="1" si="129"/>
        <v>0</v>
      </c>
      <c r="CY113" s="526">
        <f t="shared" ca="1" si="129"/>
        <v>0</v>
      </c>
      <c r="CZ113" s="526">
        <f t="shared" ca="1" si="129"/>
        <v>0</v>
      </c>
      <c r="DA113" s="526">
        <f t="shared" ca="1" si="129"/>
        <v>0</v>
      </c>
      <c r="DB113" s="526">
        <f t="shared" ca="1" si="129"/>
        <v>0</v>
      </c>
      <c r="DC113" s="526">
        <f t="shared" ca="1" si="129"/>
        <v>0</v>
      </c>
      <c r="DD113" s="526">
        <f t="shared" ca="1" si="129"/>
        <v>0</v>
      </c>
      <c r="DE113" s="526">
        <f t="shared" ca="1" si="129"/>
        <v>0</v>
      </c>
      <c r="DF113" s="526">
        <f t="shared" ca="1" si="129"/>
        <v>0</v>
      </c>
      <c r="DG113" s="526">
        <f t="shared" ca="1" si="129"/>
        <v>0</v>
      </c>
      <c r="DH113" s="526">
        <f t="shared" ca="1" si="129"/>
        <v>0</v>
      </c>
      <c r="DI113" s="526">
        <f t="shared" ca="1" si="129"/>
        <v>0</v>
      </c>
      <c r="DJ113" s="526">
        <f t="shared" ca="1" si="129"/>
        <v>0</v>
      </c>
      <c r="DK113" s="526">
        <f t="shared" ca="1" si="129"/>
        <v>0</v>
      </c>
      <c r="DL113" s="526">
        <f t="shared" ca="1" si="129"/>
        <v>0</v>
      </c>
      <c r="DM113" s="526">
        <f t="shared" ca="1" si="129"/>
        <v>0</v>
      </c>
      <c r="DN113" s="526">
        <f t="shared" ca="1" si="129"/>
        <v>0</v>
      </c>
      <c r="DO113" s="526">
        <f t="shared" ca="1" si="129"/>
        <v>0</v>
      </c>
      <c r="DP113" s="526">
        <f t="shared" ca="1" si="129"/>
        <v>0</v>
      </c>
      <c r="DQ113" s="526">
        <f t="shared" ca="1" si="129"/>
        <v>0</v>
      </c>
      <c r="DR113" s="526">
        <f t="shared" ca="1" si="129"/>
        <v>0</v>
      </c>
      <c r="DS113" s="526">
        <f t="shared" ca="1" si="129"/>
        <v>0</v>
      </c>
      <c r="DT113" s="526">
        <f t="shared" ca="1" si="129"/>
        <v>0</v>
      </c>
      <c r="DU113" s="526">
        <f t="shared" ca="1" si="129"/>
        <v>0</v>
      </c>
      <c r="DV113" s="526">
        <f t="shared" ca="1" si="129"/>
        <v>0</v>
      </c>
      <c r="DW113" s="526">
        <f t="shared" ca="1" si="129"/>
        <v>0</v>
      </c>
      <c r="DX113" s="526">
        <f t="shared" ca="1" si="129"/>
        <v>0</v>
      </c>
      <c r="DY113" s="526">
        <f t="shared" ca="1" si="129"/>
        <v>0</v>
      </c>
      <c r="DZ113" s="526">
        <f t="shared" ca="1" si="129"/>
        <v>0</v>
      </c>
      <c r="EA113" s="526">
        <f t="shared" ca="1" si="129"/>
        <v>0</v>
      </c>
      <c r="EB113" s="526">
        <f t="shared" ca="1" si="129"/>
        <v>0</v>
      </c>
      <c r="EC113" s="523" t="s">
        <v>557</v>
      </c>
    </row>
    <row r="114" spans="8:133" ht="18" thickBot="1">
      <c r="H114" s="554" t="s">
        <v>1167</v>
      </c>
      <c r="I114" s="555"/>
      <c r="J114" s="555"/>
      <c r="K114" s="555"/>
      <c r="L114" s="556">
        <f ca="1">L96-L113</f>
        <v>0</v>
      </c>
      <c r="M114" s="556">
        <f t="shared" ref="M114:BX114" ca="1" si="130">M96-M113</f>
        <v>0</v>
      </c>
      <c r="N114" s="556">
        <f t="shared" ca="1" si="130"/>
        <v>0</v>
      </c>
      <c r="O114" s="556">
        <f t="shared" ca="1" si="130"/>
        <v>0</v>
      </c>
      <c r="P114" s="556">
        <f t="shared" ca="1" si="130"/>
        <v>0</v>
      </c>
      <c r="Q114" s="556">
        <f t="shared" ca="1" si="130"/>
        <v>0</v>
      </c>
      <c r="R114" s="556">
        <f t="shared" ca="1" si="130"/>
        <v>0</v>
      </c>
      <c r="S114" s="556">
        <f t="shared" ca="1" si="130"/>
        <v>0</v>
      </c>
      <c r="T114" s="556">
        <f t="shared" ca="1" si="130"/>
        <v>0</v>
      </c>
      <c r="U114" s="556">
        <f t="shared" ca="1" si="130"/>
        <v>0</v>
      </c>
      <c r="V114" s="556">
        <f t="shared" ca="1" si="130"/>
        <v>0</v>
      </c>
      <c r="W114" s="556">
        <f t="shared" ca="1" si="130"/>
        <v>0</v>
      </c>
      <c r="X114" s="556">
        <f t="shared" ca="1" si="130"/>
        <v>0</v>
      </c>
      <c r="Y114" s="556">
        <f t="shared" ca="1" si="130"/>
        <v>0</v>
      </c>
      <c r="Z114" s="556">
        <f t="shared" ca="1" si="130"/>
        <v>0</v>
      </c>
      <c r="AA114" s="556">
        <f t="shared" ca="1" si="130"/>
        <v>0</v>
      </c>
      <c r="AB114" s="556">
        <f t="shared" ca="1" si="130"/>
        <v>0</v>
      </c>
      <c r="AC114" s="556">
        <f t="shared" ca="1" si="130"/>
        <v>0</v>
      </c>
      <c r="AD114" s="556">
        <f t="shared" ca="1" si="130"/>
        <v>0</v>
      </c>
      <c r="AE114" s="556">
        <f t="shared" ca="1" si="130"/>
        <v>0</v>
      </c>
      <c r="AF114" s="556">
        <f t="shared" ca="1" si="130"/>
        <v>0</v>
      </c>
      <c r="AG114" s="556">
        <f t="shared" ca="1" si="130"/>
        <v>0</v>
      </c>
      <c r="AH114" s="556">
        <f t="shared" ca="1" si="130"/>
        <v>0</v>
      </c>
      <c r="AI114" s="556">
        <f t="shared" ca="1" si="130"/>
        <v>0</v>
      </c>
      <c r="AJ114" s="556">
        <f t="shared" ca="1" si="130"/>
        <v>0</v>
      </c>
      <c r="AK114" s="556">
        <f t="shared" ca="1" si="130"/>
        <v>0</v>
      </c>
      <c r="AL114" s="556">
        <f t="shared" ca="1" si="130"/>
        <v>0</v>
      </c>
      <c r="AM114" s="556">
        <f t="shared" ca="1" si="130"/>
        <v>0</v>
      </c>
      <c r="AN114" s="556">
        <f t="shared" ca="1" si="130"/>
        <v>0</v>
      </c>
      <c r="AO114" s="556">
        <f t="shared" ca="1" si="130"/>
        <v>0</v>
      </c>
      <c r="AP114" s="556">
        <f t="shared" ca="1" si="130"/>
        <v>0</v>
      </c>
      <c r="AQ114" s="556">
        <f t="shared" ca="1" si="130"/>
        <v>0</v>
      </c>
      <c r="AR114" s="556">
        <f t="shared" ca="1" si="130"/>
        <v>0</v>
      </c>
      <c r="AS114" s="556">
        <f t="shared" ca="1" si="130"/>
        <v>0</v>
      </c>
      <c r="AT114" s="556">
        <f t="shared" ca="1" si="130"/>
        <v>0</v>
      </c>
      <c r="AU114" s="556">
        <f t="shared" ca="1" si="130"/>
        <v>0</v>
      </c>
      <c r="AV114" s="556">
        <f t="shared" ca="1" si="130"/>
        <v>0</v>
      </c>
      <c r="AW114" s="556">
        <f t="shared" ca="1" si="130"/>
        <v>0</v>
      </c>
      <c r="AX114" s="556">
        <f t="shared" ca="1" si="130"/>
        <v>0</v>
      </c>
      <c r="AY114" s="556">
        <f t="shared" ca="1" si="130"/>
        <v>0</v>
      </c>
      <c r="AZ114" s="556">
        <f t="shared" ca="1" si="130"/>
        <v>0</v>
      </c>
      <c r="BA114" s="556">
        <f t="shared" ca="1" si="130"/>
        <v>0</v>
      </c>
      <c r="BB114" s="556">
        <f t="shared" ca="1" si="130"/>
        <v>0</v>
      </c>
      <c r="BC114" s="556">
        <f t="shared" ca="1" si="130"/>
        <v>0</v>
      </c>
      <c r="BD114" s="556">
        <f t="shared" ca="1" si="130"/>
        <v>0</v>
      </c>
      <c r="BE114" s="556">
        <f t="shared" ca="1" si="130"/>
        <v>0</v>
      </c>
      <c r="BF114" s="556">
        <f t="shared" ca="1" si="130"/>
        <v>0</v>
      </c>
      <c r="BG114" s="556">
        <f t="shared" ca="1" si="130"/>
        <v>0</v>
      </c>
      <c r="BH114" s="556">
        <f t="shared" ca="1" si="130"/>
        <v>0</v>
      </c>
      <c r="BI114" s="556">
        <f t="shared" ca="1" si="130"/>
        <v>0</v>
      </c>
      <c r="BJ114" s="556">
        <f t="shared" ca="1" si="130"/>
        <v>0</v>
      </c>
      <c r="BK114" s="556">
        <f t="shared" ca="1" si="130"/>
        <v>0</v>
      </c>
      <c r="BL114" s="556">
        <f t="shared" ca="1" si="130"/>
        <v>0</v>
      </c>
      <c r="BM114" s="556">
        <f t="shared" ca="1" si="130"/>
        <v>0</v>
      </c>
      <c r="BN114" s="556">
        <f t="shared" ca="1" si="130"/>
        <v>0</v>
      </c>
      <c r="BO114" s="556">
        <f t="shared" ca="1" si="130"/>
        <v>0</v>
      </c>
      <c r="BP114" s="556">
        <f t="shared" ca="1" si="130"/>
        <v>0</v>
      </c>
      <c r="BQ114" s="556">
        <f t="shared" ca="1" si="130"/>
        <v>0</v>
      </c>
      <c r="BR114" s="556">
        <f t="shared" ca="1" si="130"/>
        <v>0</v>
      </c>
      <c r="BS114" s="556">
        <f t="shared" ca="1" si="130"/>
        <v>0</v>
      </c>
      <c r="BT114" s="556">
        <f t="shared" ca="1" si="130"/>
        <v>0</v>
      </c>
      <c r="BU114" s="556">
        <f t="shared" ca="1" si="130"/>
        <v>0</v>
      </c>
      <c r="BV114" s="556">
        <f t="shared" ca="1" si="130"/>
        <v>0</v>
      </c>
      <c r="BW114" s="556">
        <f t="shared" ca="1" si="130"/>
        <v>0</v>
      </c>
      <c r="BX114" s="556">
        <f t="shared" ca="1" si="130"/>
        <v>0</v>
      </c>
      <c r="BY114" s="556">
        <f t="shared" ref="BY114:EB114" ca="1" si="131">BY96-BY113</f>
        <v>0</v>
      </c>
      <c r="BZ114" s="556">
        <f t="shared" ca="1" si="131"/>
        <v>0</v>
      </c>
      <c r="CA114" s="556">
        <f t="shared" ca="1" si="131"/>
        <v>0</v>
      </c>
      <c r="CB114" s="556">
        <f t="shared" ca="1" si="131"/>
        <v>0</v>
      </c>
      <c r="CC114" s="556">
        <f t="shared" ca="1" si="131"/>
        <v>0</v>
      </c>
      <c r="CD114" s="556">
        <f t="shared" ca="1" si="131"/>
        <v>0</v>
      </c>
      <c r="CE114" s="556">
        <f t="shared" ca="1" si="131"/>
        <v>0</v>
      </c>
      <c r="CF114" s="556">
        <f t="shared" ca="1" si="131"/>
        <v>0</v>
      </c>
      <c r="CG114" s="556">
        <f t="shared" ca="1" si="131"/>
        <v>0</v>
      </c>
      <c r="CH114" s="556">
        <f t="shared" ca="1" si="131"/>
        <v>0</v>
      </c>
      <c r="CI114" s="556">
        <f t="shared" ca="1" si="131"/>
        <v>0</v>
      </c>
      <c r="CJ114" s="556">
        <f t="shared" ca="1" si="131"/>
        <v>0</v>
      </c>
      <c r="CK114" s="556">
        <f t="shared" ca="1" si="131"/>
        <v>0</v>
      </c>
      <c r="CL114" s="556">
        <f t="shared" ca="1" si="131"/>
        <v>0</v>
      </c>
      <c r="CM114" s="556">
        <f t="shared" ca="1" si="131"/>
        <v>0</v>
      </c>
      <c r="CN114" s="556">
        <f t="shared" ca="1" si="131"/>
        <v>0</v>
      </c>
      <c r="CO114" s="556">
        <f t="shared" ca="1" si="131"/>
        <v>0</v>
      </c>
      <c r="CP114" s="556">
        <f t="shared" ca="1" si="131"/>
        <v>0</v>
      </c>
      <c r="CQ114" s="556">
        <f t="shared" ca="1" si="131"/>
        <v>0</v>
      </c>
      <c r="CR114" s="556">
        <f t="shared" ca="1" si="131"/>
        <v>0</v>
      </c>
      <c r="CS114" s="556">
        <f t="shared" ca="1" si="131"/>
        <v>0</v>
      </c>
      <c r="CT114" s="556">
        <f t="shared" ca="1" si="131"/>
        <v>0</v>
      </c>
      <c r="CU114" s="556">
        <f t="shared" ca="1" si="131"/>
        <v>0</v>
      </c>
      <c r="CV114" s="556">
        <f t="shared" ca="1" si="131"/>
        <v>0</v>
      </c>
      <c r="CW114" s="556">
        <f t="shared" ca="1" si="131"/>
        <v>0</v>
      </c>
      <c r="CX114" s="556">
        <f t="shared" ca="1" si="131"/>
        <v>0</v>
      </c>
      <c r="CY114" s="556">
        <f t="shared" ca="1" si="131"/>
        <v>0</v>
      </c>
      <c r="CZ114" s="556">
        <f t="shared" ca="1" si="131"/>
        <v>0</v>
      </c>
      <c r="DA114" s="556">
        <f t="shared" ca="1" si="131"/>
        <v>0</v>
      </c>
      <c r="DB114" s="556">
        <f t="shared" ca="1" si="131"/>
        <v>0</v>
      </c>
      <c r="DC114" s="556">
        <f t="shared" ca="1" si="131"/>
        <v>0</v>
      </c>
      <c r="DD114" s="556">
        <f t="shared" ca="1" si="131"/>
        <v>0</v>
      </c>
      <c r="DE114" s="556">
        <f t="shared" ca="1" si="131"/>
        <v>0</v>
      </c>
      <c r="DF114" s="556">
        <f t="shared" ca="1" si="131"/>
        <v>0</v>
      </c>
      <c r="DG114" s="556">
        <f t="shared" ca="1" si="131"/>
        <v>0</v>
      </c>
      <c r="DH114" s="556">
        <f t="shared" ca="1" si="131"/>
        <v>0</v>
      </c>
      <c r="DI114" s="556">
        <f t="shared" ca="1" si="131"/>
        <v>0</v>
      </c>
      <c r="DJ114" s="556">
        <f t="shared" ca="1" si="131"/>
        <v>0</v>
      </c>
      <c r="DK114" s="556">
        <f t="shared" ca="1" si="131"/>
        <v>0</v>
      </c>
      <c r="DL114" s="556">
        <f t="shared" ca="1" si="131"/>
        <v>0</v>
      </c>
      <c r="DM114" s="556">
        <f t="shared" ca="1" si="131"/>
        <v>0</v>
      </c>
      <c r="DN114" s="556">
        <f t="shared" ca="1" si="131"/>
        <v>0</v>
      </c>
      <c r="DO114" s="556">
        <f t="shared" ca="1" si="131"/>
        <v>0</v>
      </c>
      <c r="DP114" s="556">
        <f t="shared" ca="1" si="131"/>
        <v>0</v>
      </c>
      <c r="DQ114" s="556">
        <f t="shared" ca="1" si="131"/>
        <v>0</v>
      </c>
      <c r="DR114" s="556">
        <f t="shared" ca="1" si="131"/>
        <v>0</v>
      </c>
      <c r="DS114" s="556">
        <f t="shared" ca="1" si="131"/>
        <v>0</v>
      </c>
      <c r="DT114" s="556">
        <f t="shared" ca="1" si="131"/>
        <v>0</v>
      </c>
      <c r="DU114" s="556">
        <f t="shared" ca="1" si="131"/>
        <v>0</v>
      </c>
      <c r="DV114" s="556">
        <f t="shared" ca="1" si="131"/>
        <v>0</v>
      </c>
      <c r="DW114" s="556">
        <f t="shared" ca="1" si="131"/>
        <v>0</v>
      </c>
      <c r="DX114" s="556">
        <f t="shared" ca="1" si="131"/>
        <v>0</v>
      </c>
      <c r="DY114" s="556">
        <f t="shared" ca="1" si="131"/>
        <v>0</v>
      </c>
      <c r="DZ114" s="556">
        <f t="shared" ca="1" si="131"/>
        <v>0</v>
      </c>
      <c r="EA114" s="556">
        <f t="shared" ca="1" si="131"/>
        <v>0</v>
      </c>
      <c r="EB114" s="556">
        <f t="shared" ca="1" si="131"/>
        <v>0</v>
      </c>
      <c r="EC114" s="523" t="s">
        <v>557</v>
      </c>
    </row>
    <row r="115" spans="8:133">
      <c r="L115" s="526"/>
      <c r="M115" s="526"/>
      <c r="N115" s="526"/>
      <c r="O115" s="526"/>
      <c r="P115" s="526"/>
      <c r="Q115" s="526"/>
      <c r="R115" s="526"/>
      <c r="S115" s="526"/>
      <c r="T115" s="526"/>
      <c r="U115" s="526"/>
      <c r="V115" s="526"/>
      <c r="W115" s="526"/>
      <c r="X115" s="526"/>
      <c r="Y115" s="526"/>
      <c r="Z115" s="526"/>
      <c r="AA115" s="526"/>
      <c r="AB115" s="526"/>
      <c r="AC115" s="526"/>
      <c r="AD115" s="526"/>
      <c r="AE115" s="526"/>
      <c r="AF115" s="526"/>
      <c r="AG115" s="526"/>
      <c r="AH115" s="526"/>
      <c r="AI115" s="526"/>
      <c r="AJ115" s="526"/>
      <c r="AK115" s="526"/>
      <c r="AL115" s="526"/>
      <c r="AM115" s="526"/>
      <c r="AN115" s="526"/>
      <c r="AO115" s="526"/>
      <c r="AP115" s="526"/>
      <c r="AQ115" s="526"/>
      <c r="AR115" s="526"/>
      <c r="AS115" s="526"/>
      <c r="AT115" s="526"/>
      <c r="AU115" s="526"/>
      <c r="AV115" s="526"/>
      <c r="AW115" s="526"/>
      <c r="AX115" s="526"/>
      <c r="AY115" s="526"/>
      <c r="AZ115" s="526"/>
      <c r="BA115" s="526"/>
      <c r="BB115" s="526"/>
      <c r="BC115" s="526"/>
      <c r="BD115" s="526"/>
      <c r="BE115" s="526"/>
      <c r="BF115" s="526"/>
      <c r="BG115" s="526"/>
      <c r="BH115" s="526"/>
      <c r="BI115" s="526"/>
      <c r="BJ115" s="526"/>
      <c r="BK115" s="526"/>
      <c r="BL115" s="526"/>
      <c r="BM115" s="526"/>
      <c r="BN115" s="526"/>
      <c r="BO115" s="526"/>
      <c r="BP115" s="526"/>
      <c r="BQ115" s="526"/>
      <c r="BR115" s="526"/>
      <c r="BS115" s="526"/>
      <c r="BT115" s="526"/>
      <c r="BU115" s="526"/>
      <c r="BV115" s="526"/>
      <c r="BW115" s="526"/>
      <c r="BX115" s="526"/>
      <c r="BY115" s="526"/>
      <c r="BZ115" s="526"/>
      <c r="CA115" s="526"/>
      <c r="CB115" s="526"/>
      <c r="CC115" s="526"/>
      <c r="CD115" s="526"/>
      <c r="CE115" s="526"/>
      <c r="CF115" s="526"/>
      <c r="CG115" s="526"/>
      <c r="CH115" s="526"/>
      <c r="CI115" s="526"/>
      <c r="CJ115" s="526"/>
      <c r="CK115" s="526"/>
      <c r="CL115" s="526"/>
      <c r="CM115" s="526"/>
      <c r="CN115" s="526"/>
      <c r="CO115" s="526"/>
      <c r="CP115" s="526"/>
      <c r="CQ115" s="526"/>
      <c r="CR115" s="526"/>
      <c r="CS115" s="526"/>
      <c r="CT115" s="526"/>
      <c r="CU115" s="526"/>
      <c r="CV115" s="526"/>
      <c r="CW115" s="526"/>
      <c r="CX115" s="526"/>
      <c r="CY115" s="526"/>
      <c r="CZ115" s="526"/>
      <c r="DA115" s="526"/>
      <c r="DB115" s="526"/>
      <c r="DC115" s="526"/>
      <c r="DD115" s="526"/>
      <c r="DE115" s="526"/>
      <c r="DF115" s="526"/>
      <c r="DG115" s="526"/>
      <c r="DH115" s="526"/>
      <c r="DI115" s="526"/>
      <c r="DJ115" s="526"/>
      <c r="DK115" s="526"/>
      <c r="DL115" s="526"/>
      <c r="DM115" s="526"/>
      <c r="DN115" s="526"/>
      <c r="DO115" s="526"/>
      <c r="DP115" s="526"/>
      <c r="DQ115" s="526"/>
      <c r="DR115" s="526"/>
      <c r="DS115" s="526"/>
      <c r="DT115" s="526"/>
      <c r="DU115" s="526"/>
      <c r="DV115" s="526"/>
      <c r="DW115" s="526"/>
      <c r="DX115" s="526"/>
      <c r="DY115" s="526"/>
      <c r="DZ115" s="526"/>
      <c r="EA115" s="526"/>
      <c r="EB115" s="526"/>
      <c r="EC115" s="523"/>
    </row>
    <row r="116" spans="8:133" ht="19">
      <c r="H116" s="173" t="s">
        <v>1161</v>
      </c>
      <c r="I116" s="529"/>
      <c r="J116" s="529"/>
      <c r="K116" s="530"/>
      <c r="L116" s="530"/>
      <c r="M116" s="530"/>
      <c r="N116" s="530"/>
      <c r="O116" s="530"/>
      <c r="P116" s="530"/>
      <c r="Q116" s="530"/>
      <c r="R116" s="530"/>
      <c r="S116" s="530"/>
      <c r="T116" s="530"/>
      <c r="U116" s="530"/>
      <c r="V116" s="530"/>
      <c r="W116" s="530"/>
      <c r="X116" s="530"/>
      <c r="Y116" s="530"/>
      <c r="Z116" s="530"/>
      <c r="AA116" s="530"/>
      <c r="AB116" s="530"/>
      <c r="AC116" s="530"/>
      <c r="AD116" s="530"/>
      <c r="AE116" s="530"/>
      <c r="AF116" s="530"/>
      <c r="AG116" s="530"/>
      <c r="AH116" s="530"/>
      <c r="AI116" s="530"/>
      <c r="AJ116" s="530"/>
      <c r="AK116" s="530"/>
      <c r="AL116" s="530"/>
      <c r="AM116" s="530"/>
      <c r="AN116" s="530"/>
      <c r="AO116" s="530"/>
      <c r="AP116" s="530"/>
      <c r="AQ116" s="530"/>
      <c r="AR116" s="530"/>
      <c r="AS116" s="530"/>
      <c r="AT116" s="530"/>
      <c r="AU116" s="530"/>
      <c r="AV116" s="530"/>
      <c r="AW116" s="530"/>
      <c r="AX116" s="530"/>
      <c r="AY116" s="530"/>
      <c r="AZ116" s="530"/>
      <c r="BA116" s="530"/>
      <c r="BB116" s="530"/>
      <c r="BC116" s="530"/>
      <c r="BD116" s="530"/>
      <c r="BE116" s="530"/>
      <c r="BF116" s="530"/>
      <c r="BG116" s="530"/>
      <c r="BH116" s="530"/>
      <c r="BI116" s="530"/>
      <c r="BJ116" s="530"/>
      <c r="BK116" s="530"/>
      <c r="BL116" s="530"/>
      <c r="BM116" s="530"/>
      <c r="BN116" s="530"/>
      <c r="BO116" s="530"/>
      <c r="BP116" s="530"/>
      <c r="BQ116" s="530"/>
      <c r="BR116" s="530"/>
      <c r="BS116" s="530"/>
      <c r="BT116" s="530"/>
      <c r="BU116" s="530"/>
      <c r="BV116" s="530"/>
      <c r="BW116" s="530"/>
      <c r="BX116" s="530"/>
      <c r="BY116" s="530"/>
      <c r="BZ116" s="530"/>
      <c r="CA116" s="530"/>
      <c r="CB116" s="530"/>
      <c r="CC116" s="530"/>
      <c r="CD116" s="530"/>
      <c r="CE116" s="530"/>
      <c r="CF116" s="530"/>
      <c r="CG116" s="530"/>
      <c r="CH116" s="530"/>
      <c r="CI116" s="530"/>
      <c r="CJ116" s="530"/>
      <c r="CK116" s="530"/>
      <c r="CL116" s="530"/>
      <c r="CM116" s="530"/>
      <c r="CN116" s="530"/>
      <c r="CO116" s="530"/>
      <c r="CP116" s="530"/>
      <c r="CQ116" s="530"/>
      <c r="CR116" s="530"/>
      <c r="CS116" s="530"/>
      <c r="CT116" s="530"/>
      <c r="CU116" s="530"/>
      <c r="CV116" s="530"/>
      <c r="CW116" s="530"/>
      <c r="CX116" s="530"/>
      <c r="CY116" s="530"/>
      <c r="CZ116" s="530"/>
      <c r="DA116" s="530"/>
      <c r="DB116" s="530"/>
      <c r="DC116" s="530"/>
      <c r="DD116" s="530"/>
      <c r="DE116" s="530"/>
      <c r="DF116" s="530"/>
      <c r="DG116" s="530"/>
      <c r="DH116" s="530"/>
      <c r="DI116" s="530"/>
      <c r="DJ116" s="530"/>
      <c r="DK116" s="530"/>
      <c r="DL116" s="530"/>
      <c r="DM116" s="530"/>
      <c r="DN116" s="530"/>
      <c r="DO116" s="530"/>
      <c r="DP116" s="530"/>
      <c r="DQ116" s="530"/>
      <c r="DR116" s="530"/>
      <c r="DS116" s="530"/>
      <c r="DT116" s="530"/>
      <c r="DU116" s="530"/>
      <c r="DV116" s="530"/>
      <c r="DW116" s="530"/>
      <c r="DX116" s="530"/>
      <c r="DY116" s="530"/>
      <c r="DZ116" s="530"/>
      <c r="EA116" s="530"/>
      <c r="EB116" s="530"/>
      <c r="EC116" s="523" t="s">
        <v>557</v>
      </c>
    </row>
    <row r="117" spans="8:133">
      <c r="H117" s="518" t="s">
        <v>1188</v>
      </c>
      <c r="I117" s="539">
        <f>E20</f>
        <v>0.6</v>
      </c>
      <c r="L117" s="526">
        <f ca="1">L$114*$I117</f>
        <v>0</v>
      </c>
      <c r="M117" s="526">
        <f t="shared" ref="M117:BX118" ca="1" si="132">M$114*$I117</f>
        <v>0</v>
      </c>
      <c r="N117" s="526">
        <f t="shared" ca="1" si="132"/>
        <v>0</v>
      </c>
      <c r="O117" s="526">
        <f t="shared" ca="1" si="132"/>
        <v>0</v>
      </c>
      <c r="P117" s="526">
        <f t="shared" ca="1" si="132"/>
        <v>0</v>
      </c>
      <c r="Q117" s="526">
        <f t="shared" ca="1" si="132"/>
        <v>0</v>
      </c>
      <c r="R117" s="526">
        <f t="shared" ca="1" si="132"/>
        <v>0</v>
      </c>
      <c r="S117" s="526">
        <f t="shared" ca="1" si="132"/>
        <v>0</v>
      </c>
      <c r="T117" s="526">
        <f t="shared" ca="1" si="132"/>
        <v>0</v>
      </c>
      <c r="U117" s="526">
        <f t="shared" ca="1" si="132"/>
        <v>0</v>
      </c>
      <c r="V117" s="526">
        <f t="shared" ca="1" si="132"/>
        <v>0</v>
      </c>
      <c r="W117" s="526">
        <f t="shared" ca="1" si="132"/>
        <v>0</v>
      </c>
      <c r="X117" s="526">
        <f t="shared" ca="1" si="132"/>
        <v>0</v>
      </c>
      <c r="Y117" s="526">
        <f t="shared" ca="1" si="132"/>
        <v>0</v>
      </c>
      <c r="Z117" s="526">
        <f t="shared" ca="1" si="132"/>
        <v>0</v>
      </c>
      <c r="AA117" s="526">
        <f t="shared" ca="1" si="132"/>
        <v>0</v>
      </c>
      <c r="AB117" s="526">
        <f t="shared" ca="1" si="132"/>
        <v>0</v>
      </c>
      <c r="AC117" s="526">
        <f t="shared" ca="1" si="132"/>
        <v>0</v>
      </c>
      <c r="AD117" s="526">
        <f t="shared" ca="1" si="132"/>
        <v>0</v>
      </c>
      <c r="AE117" s="526">
        <f t="shared" ca="1" si="132"/>
        <v>0</v>
      </c>
      <c r="AF117" s="526">
        <f t="shared" ca="1" si="132"/>
        <v>0</v>
      </c>
      <c r="AG117" s="526">
        <f t="shared" ca="1" si="132"/>
        <v>0</v>
      </c>
      <c r="AH117" s="526">
        <f t="shared" ca="1" si="132"/>
        <v>0</v>
      </c>
      <c r="AI117" s="526">
        <f t="shared" ca="1" si="132"/>
        <v>0</v>
      </c>
      <c r="AJ117" s="526">
        <f t="shared" ca="1" si="132"/>
        <v>0</v>
      </c>
      <c r="AK117" s="526">
        <f t="shared" ca="1" si="132"/>
        <v>0</v>
      </c>
      <c r="AL117" s="526">
        <f t="shared" ca="1" si="132"/>
        <v>0</v>
      </c>
      <c r="AM117" s="526">
        <f t="shared" ca="1" si="132"/>
        <v>0</v>
      </c>
      <c r="AN117" s="526">
        <f t="shared" ca="1" si="132"/>
        <v>0</v>
      </c>
      <c r="AO117" s="526">
        <f t="shared" ca="1" si="132"/>
        <v>0</v>
      </c>
      <c r="AP117" s="526">
        <f t="shared" ca="1" si="132"/>
        <v>0</v>
      </c>
      <c r="AQ117" s="526">
        <f t="shared" ca="1" si="132"/>
        <v>0</v>
      </c>
      <c r="AR117" s="526">
        <f t="shared" ca="1" si="132"/>
        <v>0</v>
      </c>
      <c r="AS117" s="526">
        <f t="shared" ca="1" si="132"/>
        <v>0</v>
      </c>
      <c r="AT117" s="526">
        <f t="shared" ca="1" si="132"/>
        <v>0</v>
      </c>
      <c r="AU117" s="526">
        <f t="shared" ca="1" si="132"/>
        <v>0</v>
      </c>
      <c r="AV117" s="526">
        <f t="shared" ca="1" si="132"/>
        <v>0</v>
      </c>
      <c r="AW117" s="526">
        <f t="shared" ca="1" si="132"/>
        <v>0</v>
      </c>
      <c r="AX117" s="526">
        <f t="shared" ca="1" si="132"/>
        <v>0</v>
      </c>
      <c r="AY117" s="526">
        <f t="shared" ca="1" si="132"/>
        <v>0</v>
      </c>
      <c r="AZ117" s="526">
        <f t="shared" ca="1" si="132"/>
        <v>0</v>
      </c>
      <c r="BA117" s="526">
        <f t="shared" ca="1" si="132"/>
        <v>0</v>
      </c>
      <c r="BB117" s="526">
        <f t="shared" ca="1" si="132"/>
        <v>0</v>
      </c>
      <c r="BC117" s="526">
        <f t="shared" ca="1" si="132"/>
        <v>0</v>
      </c>
      <c r="BD117" s="526">
        <f t="shared" ca="1" si="132"/>
        <v>0</v>
      </c>
      <c r="BE117" s="526">
        <f t="shared" ca="1" si="132"/>
        <v>0</v>
      </c>
      <c r="BF117" s="526">
        <f t="shared" ca="1" si="132"/>
        <v>0</v>
      </c>
      <c r="BG117" s="526">
        <f t="shared" ca="1" si="132"/>
        <v>0</v>
      </c>
      <c r="BH117" s="526">
        <f t="shared" ca="1" si="132"/>
        <v>0</v>
      </c>
      <c r="BI117" s="526">
        <f t="shared" ca="1" si="132"/>
        <v>0</v>
      </c>
      <c r="BJ117" s="526">
        <f t="shared" ca="1" si="132"/>
        <v>0</v>
      </c>
      <c r="BK117" s="526">
        <f t="shared" ca="1" si="132"/>
        <v>0</v>
      </c>
      <c r="BL117" s="526">
        <f t="shared" ca="1" si="132"/>
        <v>0</v>
      </c>
      <c r="BM117" s="526">
        <f t="shared" ca="1" si="132"/>
        <v>0</v>
      </c>
      <c r="BN117" s="526">
        <f t="shared" ca="1" si="132"/>
        <v>0</v>
      </c>
      <c r="BO117" s="526">
        <f t="shared" ca="1" si="132"/>
        <v>0</v>
      </c>
      <c r="BP117" s="526">
        <f t="shared" ca="1" si="132"/>
        <v>0</v>
      </c>
      <c r="BQ117" s="526">
        <f t="shared" ca="1" si="132"/>
        <v>0</v>
      </c>
      <c r="BR117" s="526">
        <f t="shared" ca="1" si="132"/>
        <v>0</v>
      </c>
      <c r="BS117" s="526">
        <f t="shared" ca="1" si="132"/>
        <v>0</v>
      </c>
      <c r="BT117" s="526">
        <f t="shared" ca="1" si="132"/>
        <v>0</v>
      </c>
      <c r="BU117" s="526">
        <f t="shared" ca="1" si="132"/>
        <v>0</v>
      </c>
      <c r="BV117" s="526">
        <f t="shared" ca="1" si="132"/>
        <v>0</v>
      </c>
      <c r="BW117" s="526">
        <f t="shared" ca="1" si="132"/>
        <v>0</v>
      </c>
      <c r="BX117" s="526">
        <f t="shared" ca="1" si="132"/>
        <v>0</v>
      </c>
      <c r="BY117" s="526">
        <f t="shared" ref="BY117:EB118" ca="1" si="133">BY$114*$I117</f>
        <v>0</v>
      </c>
      <c r="BZ117" s="526">
        <f t="shared" ca="1" si="133"/>
        <v>0</v>
      </c>
      <c r="CA117" s="526">
        <f t="shared" ca="1" si="133"/>
        <v>0</v>
      </c>
      <c r="CB117" s="526">
        <f t="shared" ca="1" si="133"/>
        <v>0</v>
      </c>
      <c r="CC117" s="526">
        <f t="shared" ca="1" si="133"/>
        <v>0</v>
      </c>
      <c r="CD117" s="526">
        <f t="shared" ca="1" si="133"/>
        <v>0</v>
      </c>
      <c r="CE117" s="526">
        <f t="shared" ca="1" si="133"/>
        <v>0</v>
      </c>
      <c r="CF117" s="526">
        <f t="shared" ca="1" si="133"/>
        <v>0</v>
      </c>
      <c r="CG117" s="526">
        <f t="shared" ca="1" si="133"/>
        <v>0</v>
      </c>
      <c r="CH117" s="526">
        <f t="shared" ca="1" si="133"/>
        <v>0</v>
      </c>
      <c r="CI117" s="526">
        <f t="shared" ca="1" si="133"/>
        <v>0</v>
      </c>
      <c r="CJ117" s="526">
        <f t="shared" ca="1" si="133"/>
        <v>0</v>
      </c>
      <c r="CK117" s="526">
        <f t="shared" ca="1" si="133"/>
        <v>0</v>
      </c>
      <c r="CL117" s="526">
        <f t="shared" ca="1" si="133"/>
        <v>0</v>
      </c>
      <c r="CM117" s="526">
        <f t="shared" ca="1" si="133"/>
        <v>0</v>
      </c>
      <c r="CN117" s="526">
        <f t="shared" ca="1" si="133"/>
        <v>0</v>
      </c>
      <c r="CO117" s="526">
        <f t="shared" ca="1" si="133"/>
        <v>0</v>
      </c>
      <c r="CP117" s="526">
        <f t="shared" ca="1" si="133"/>
        <v>0</v>
      </c>
      <c r="CQ117" s="526">
        <f t="shared" ca="1" si="133"/>
        <v>0</v>
      </c>
      <c r="CR117" s="526">
        <f t="shared" ca="1" si="133"/>
        <v>0</v>
      </c>
      <c r="CS117" s="526">
        <f t="shared" ca="1" si="133"/>
        <v>0</v>
      </c>
      <c r="CT117" s="526">
        <f t="shared" ca="1" si="133"/>
        <v>0</v>
      </c>
      <c r="CU117" s="526">
        <f t="shared" ca="1" si="133"/>
        <v>0</v>
      </c>
      <c r="CV117" s="526">
        <f t="shared" ca="1" si="133"/>
        <v>0</v>
      </c>
      <c r="CW117" s="526">
        <f t="shared" ca="1" si="133"/>
        <v>0</v>
      </c>
      <c r="CX117" s="526">
        <f t="shared" ca="1" si="133"/>
        <v>0</v>
      </c>
      <c r="CY117" s="526">
        <f t="shared" ca="1" si="133"/>
        <v>0</v>
      </c>
      <c r="CZ117" s="526">
        <f t="shared" ca="1" si="133"/>
        <v>0</v>
      </c>
      <c r="DA117" s="526">
        <f t="shared" ca="1" si="133"/>
        <v>0</v>
      </c>
      <c r="DB117" s="526">
        <f t="shared" ca="1" si="133"/>
        <v>0</v>
      </c>
      <c r="DC117" s="526">
        <f t="shared" ca="1" si="133"/>
        <v>0</v>
      </c>
      <c r="DD117" s="526">
        <f t="shared" ca="1" si="133"/>
        <v>0</v>
      </c>
      <c r="DE117" s="526">
        <f t="shared" ca="1" si="133"/>
        <v>0</v>
      </c>
      <c r="DF117" s="526">
        <f t="shared" ca="1" si="133"/>
        <v>0</v>
      </c>
      <c r="DG117" s="526">
        <f t="shared" ca="1" si="133"/>
        <v>0</v>
      </c>
      <c r="DH117" s="526">
        <f t="shared" ca="1" si="133"/>
        <v>0</v>
      </c>
      <c r="DI117" s="526">
        <f t="shared" ca="1" si="133"/>
        <v>0</v>
      </c>
      <c r="DJ117" s="526">
        <f t="shared" ca="1" si="133"/>
        <v>0</v>
      </c>
      <c r="DK117" s="526">
        <f t="shared" ca="1" si="133"/>
        <v>0</v>
      </c>
      <c r="DL117" s="526">
        <f t="shared" ca="1" si="133"/>
        <v>0</v>
      </c>
      <c r="DM117" s="526">
        <f t="shared" ca="1" si="133"/>
        <v>0</v>
      </c>
      <c r="DN117" s="526">
        <f t="shared" ca="1" si="133"/>
        <v>0</v>
      </c>
      <c r="DO117" s="526">
        <f t="shared" ca="1" si="133"/>
        <v>0</v>
      </c>
      <c r="DP117" s="526">
        <f t="shared" ca="1" si="133"/>
        <v>0</v>
      </c>
      <c r="DQ117" s="526">
        <f t="shared" ca="1" si="133"/>
        <v>0</v>
      </c>
      <c r="DR117" s="526">
        <f t="shared" ca="1" si="133"/>
        <v>0</v>
      </c>
      <c r="DS117" s="526">
        <f t="shared" ca="1" si="133"/>
        <v>0</v>
      </c>
      <c r="DT117" s="526">
        <f t="shared" ca="1" si="133"/>
        <v>0</v>
      </c>
      <c r="DU117" s="526">
        <f t="shared" ca="1" si="133"/>
        <v>0</v>
      </c>
      <c r="DV117" s="526">
        <f t="shared" ca="1" si="133"/>
        <v>0</v>
      </c>
      <c r="DW117" s="526">
        <f t="shared" ca="1" si="133"/>
        <v>0</v>
      </c>
      <c r="DX117" s="526">
        <f t="shared" ca="1" si="133"/>
        <v>0</v>
      </c>
      <c r="DY117" s="526">
        <f t="shared" ca="1" si="133"/>
        <v>0</v>
      </c>
      <c r="DZ117" s="526">
        <f t="shared" ca="1" si="133"/>
        <v>0</v>
      </c>
      <c r="EA117" s="526">
        <f t="shared" ca="1" si="133"/>
        <v>0</v>
      </c>
      <c r="EB117" s="526">
        <f t="shared" ca="1" si="133"/>
        <v>0</v>
      </c>
      <c r="EC117" s="523" t="s">
        <v>557</v>
      </c>
    </row>
    <row r="118" spans="8:133">
      <c r="H118" s="518" t="s">
        <v>1189</v>
      </c>
      <c r="I118" s="539">
        <f>D20</f>
        <v>0.4</v>
      </c>
      <c r="L118" s="526">
        <f ca="1">L$114*$I118</f>
        <v>0</v>
      </c>
      <c r="M118" s="526">
        <f t="shared" ca="1" si="132"/>
        <v>0</v>
      </c>
      <c r="N118" s="526">
        <f t="shared" ca="1" si="132"/>
        <v>0</v>
      </c>
      <c r="O118" s="526">
        <f t="shared" ca="1" si="132"/>
        <v>0</v>
      </c>
      <c r="P118" s="526">
        <f t="shared" ca="1" si="132"/>
        <v>0</v>
      </c>
      <c r="Q118" s="526">
        <f t="shared" ca="1" si="132"/>
        <v>0</v>
      </c>
      <c r="R118" s="526">
        <f t="shared" ca="1" si="132"/>
        <v>0</v>
      </c>
      <c r="S118" s="526">
        <f t="shared" ca="1" si="132"/>
        <v>0</v>
      </c>
      <c r="T118" s="526">
        <f t="shared" ca="1" si="132"/>
        <v>0</v>
      </c>
      <c r="U118" s="526">
        <f t="shared" ca="1" si="132"/>
        <v>0</v>
      </c>
      <c r="V118" s="526">
        <f t="shared" ca="1" si="132"/>
        <v>0</v>
      </c>
      <c r="W118" s="526">
        <f t="shared" ca="1" si="132"/>
        <v>0</v>
      </c>
      <c r="X118" s="526">
        <f t="shared" ca="1" si="132"/>
        <v>0</v>
      </c>
      <c r="Y118" s="526">
        <f t="shared" ca="1" si="132"/>
        <v>0</v>
      </c>
      <c r="Z118" s="526">
        <f t="shared" ca="1" si="132"/>
        <v>0</v>
      </c>
      <c r="AA118" s="526">
        <f t="shared" ca="1" si="132"/>
        <v>0</v>
      </c>
      <c r="AB118" s="526">
        <f t="shared" ca="1" si="132"/>
        <v>0</v>
      </c>
      <c r="AC118" s="526">
        <f t="shared" ca="1" si="132"/>
        <v>0</v>
      </c>
      <c r="AD118" s="526">
        <f t="shared" ca="1" si="132"/>
        <v>0</v>
      </c>
      <c r="AE118" s="526">
        <f t="shared" ca="1" si="132"/>
        <v>0</v>
      </c>
      <c r="AF118" s="526">
        <f t="shared" ca="1" si="132"/>
        <v>0</v>
      </c>
      <c r="AG118" s="526">
        <f t="shared" ca="1" si="132"/>
        <v>0</v>
      </c>
      <c r="AH118" s="526">
        <f t="shared" ca="1" si="132"/>
        <v>0</v>
      </c>
      <c r="AI118" s="526">
        <f t="shared" ca="1" si="132"/>
        <v>0</v>
      </c>
      <c r="AJ118" s="526">
        <f t="shared" ca="1" si="132"/>
        <v>0</v>
      </c>
      <c r="AK118" s="526">
        <f t="shared" ca="1" si="132"/>
        <v>0</v>
      </c>
      <c r="AL118" s="526">
        <f t="shared" ca="1" si="132"/>
        <v>0</v>
      </c>
      <c r="AM118" s="526">
        <f t="shared" ca="1" si="132"/>
        <v>0</v>
      </c>
      <c r="AN118" s="526">
        <f t="shared" ca="1" si="132"/>
        <v>0</v>
      </c>
      <c r="AO118" s="526">
        <f t="shared" ca="1" si="132"/>
        <v>0</v>
      </c>
      <c r="AP118" s="526">
        <f t="shared" ca="1" si="132"/>
        <v>0</v>
      </c>
      <c r="AQ118" s="526">
        <f t="shared" ca="1" si="132"/>
        <v>0</v>
      </c>
      <c r="AR118" s="526">
        <f t="shared" ca="1" si="132"/>
        <v>0</v>
      </c>
      <c r="AS118" s="526">
        <f t="shared" ca="1" si="132"/>
        <v>0</v>
      </c>
      <c r="AT118" s="526">
        <f t="shared" ca="1" si="132"/>
        <v>0</v>
      </c>
      <c r="AU118" s="526">
        <f t="shared" ca="1" si="132"/>
        <v>0</v>
      </c>
      <c r="AV118" s="526">
        <f t="shared" ca="1" si="132"/>
        <v>0</v>
      </c>
      <c r="AW118" s="526">
        <f t="shared" ca="1" si="132"/>
        <v>0</v>
      </c>
      <c r="AX118" s="526">
        <f t="shared" ca="1" si="132"/>
        <v>0</v>
      </c>
      <c r="AY118" s="526">
        <f t="shared" ca="1" si="132"/>
        <v>0</v>
      </c>
      <c r="AZ118" s="526">
        <f t="shared" ca="1" si="132"/>
        <v>0</v>
      </c>
      <c r="BA118" s="526">
        <f t="shared" ca="1" si="132"/>
        <v>0</v>
      </c>
      <c r="BB118" s="526">
        <f t="shared" ca="1" si="132"/>
        <v>0</v>
      </c>
      <c r="BC118" s="526">
        <f t="shared" ca="1" si="132"/>
        <v>0</v>
      </c>
      <c r="BD118" s="526">
        <f t="shared" ca="1" si="132"/>
        <v>0</v>
      </c>
      <c r="BE118" s="526">
        <f t="shared" ca="1" si="132"/>
        <v>0</v>
      </c>
      <c r="BF118" s="526">
        <f t="shared" ca="1" si="132"/>
        <v>0</v>
      </c>
      <c r="BG118" s="526">
        <f t="shared" ca="1" si="132"/>
        <v>0</v>
      </c>
      <c r="BH118" s="526">
        <f t="shared" ca="1" si="132"/>
        <v>0</v>
      </c>
      <c r="BI118" s="526">
        <f t="shared" ca="1" si="132"/>
        <v>0</v>
      </c>
      <c r="BJ118" s="526">
        <f t="shared" ca="1" si="132"/>
        <v>0</v>
      </c>
      <c r="BK118" s="526">
        <f t="shared" ca="1" si="132"/>
        <v>0</v>
      </c>
      <c r="BL118" s="526">
        <f t="shared" ca="1" si="132"/>
        <v>0</v>
      </c>
      <c r="BM118" s="526">
        <f t="shared" ca="1" si="132"/>
        <v>0</v>
      </c>
      <c r="BN118" s="526">
        <f t="shared" ca="1" si="132"/>
        <v>0</v>
      </c>
      <c r="BO118" s="526">
        <f t="shared" ca="1" si="132"/>
        <v>0</v>
      </c>
      <c r="BP118" s="526">
        <f t="shared" ca="1" si="132"/>
        <v>0</v>
      </c>
      <c r="BQ118" s="526">
        <f t="shared" ca="1" si="132"/>
        <v>0</v>
      </c>
      <c r="BR118" s="526">
        <f t="shared" ca="1" si="132"/>
        <v>0</v>
      </c>
      <c r="BS118" s="526">
        <f t="shared" ca="1" si="132"/>
        <v>0</v>
      </c>
      <c r="BT118" s="526">
        <f t="shared" ca="1" si="132"/>
        <v>0</v>
      </c>
      <c r="BU118" s="526">
        <f t="shared" ca="1" si="132"/>
        <v>0</v>
      </c>
      <c r="BV118" s="526">
        <f t="shared" ca="1" si="132"/>
        <v>0</v>
      </c>
      <c r="BW118" s="526">
        <f t="shared" ca="1" si="132"/>
        <v>0</v>
      </c>
      <c r="BX118" s="526">
        <f t="shared" ca="1" si="132"/>
        <v>0</v>
      </c>
      <c r="BY118" s="526">
        <f t="shared" ca="1" si="133"/>
        <v>0</v>
      </c>
      <c r="BZ118" s="526">
        <f t="shared" ca="1" si="133"/>
        <v>0</v>
      </c>
      <c r="CA118" s="526">
        <f t="shared" ca="1" si="133"/>
        <v>0</v>
      </c>
      <c r="CB118" s="526">
        <f t="shared" ca="1" si="133"/>
        <v>0</v>
      </c>
      <c r="CC118" s="526">
        <f t="shared" ca="1" si="133"/>
        <v>0</v>
      </c>
      <c r="CD118" s="526">
        <f t="shared" ca="1" si="133"/>
        <v>0</v>
      </c>
      <c r="CE118" s="526">
        <f t="shared" ca="1" si="133"/>
        <v>0</v>
      </c>
      <c r="CF118" s="526">
        <f t="shared" ca="1" si="133"/>
        <v>0</v>
      </c>
      <c r="CG118" s="526">
        <f t="shared" ca="1" si="133"/>
        <v>0</v>
      </c>
      <c r="CH118" s="526">
        <f t="shared" ca="1" si="133"/>
        <v>0</v>
      </c>
      <c r="CI118" s="526">
        <f t="shared" ca="1" si="133"/>
        <v>0</v>
      </c>
      <c r="CJ118" s="526">
        <f t="shared" ca="1" si="133"/>
        <v>0</v>
      </c>
      <c r="CK118" s="526">
        <f t="shared" ca="1" si="133"/>
        <v>0</v>
      </c>
      <c r="CL118" s="526">
        <f t="shared" ca="1" si="133"/>
        <v>0</v>
      </c>
      <c r="CM118" s="526">
        <f t="shared" ca="1" si="133"/>
        <v>0</v>
      </c>
      <c r="CN118" s="526">
        <f t="shared" ca="1" si="133"/>
        <v>0</v>
      </c>
      <c r="CO118" s="526">
        <f t="shared" ca="1" si="133"/>
        <v>0</v>
      </c>
      <c r="CP118" s="526">
        <f t="shared" ca="1" si="133"/>
        <v>0</v>
      </c>
      <c r="CQ118" s="526">
        <f t="shared" ca="1" si="133"/>
        <v>0</v>
      </c>
      <c r="CR118" s="526">
        <f t="shared" ca="1" si="133"/>
        <v>0</v>
      </c>
      <c r="CS118" s="526">
        <f t="shared" ca="1" si="133"/>
        <v>0</v>
      </c>
      <c r="CT118" s="526">
        <f t="shared" ca="1" si="133"/>
        <v>0</v>
      </c>
      <c r="CU118" s="526">
        <f t="shared" ca="1" si="133"/>
        <v>0</v>
      </c>
      <c r="CV118" s="526">
        <f t="shared" ca="1" si="133"/>
        <v>0</v>
      </c>
      <c r="CW118" s="526">
        <f t="shared" ca="1" si="133"/>
        <v>0</v>
      </c>
      <c r="CX118" s="526">
        <f t="shared" ca="1" si="133"/>
        <v>0</v>
      </c>
      <c r="CY118" s="526">
        <f t="shared" ca="1" si="133"/>
        <v>0</v>
      </c>
      <c r="CZ118" s="526">
        <f t="shared" ca="1" si="133"/>
        <v>0</v>
      </c>
      <c r="DA118" s="526">
        <f t="shared" ca="1" si="133"/>
        <v>0</v>
      </c>
      <c r="DB118" s="526">
        <f t="shared" ca="1" si="133"/>
        <v>0</v>
      </c>
      <c r="DC118" s="526">
        <f t="shared" ca="1" si="133"/>
        <v>0</v>
      </c>
      <c r="DD118" s="526">
        <f t="shared" ca="1" si="133"/>
        <v>0</v>
      </c>
      <c r="DE118" s="526">
        <f t="shared" ca="1" si="133"/>
        <v>0</v>
      </c>
      <c r="DF118" s="526">
        <f t="shared" ca="1" si="133"/>
        <v>0</v>
      </c>
      <c r="DG118" s="526">
        <f t="shared" ca="1" si="133"/>
        <v>0</v>
      </c>
      <c r="DH118" s="526">
        <f t="shared" ca="1" si="133"/>
        <v>0</v>
      </c>
      <c r="DI118" s="526">
        <f t="shared" ca="1" si="133"/>
        <v>0</v>
      </c>
      <c r="DJ118" s="526">
        <f t="shared" ca="1" si="133"/>
        <v>0</v>
      </c>
      <c r="DK118" s="526">
        <f t="shared" ca="1" si="133"/>
        <v>0</v>
      </c>
      <c r="DL118" s="526">
        <f t="shared" ca="1" si="133"/>
        <v>0</v>
      </c>
      <c r="DM118" s="526">
        <f t="shared" ca="1" si="133"/>
        <v>0</v>
      </c>
      <c r="DN118" s="526">
        <f t="shared" ca="1" si="133"/>
        <v>0</v>
      </c>
      <c r="DO118" s="526">
        <f t="shared" ca="1" si="133"/>
        <v>0</v>
      </c>
      <c r="DP118" s="526">
        <f t="shared" ca="1" si="133"/>
        <v>0</v>
      </c>
      <c r="DQ118" s="526">
        <f t="shared" ca="1" si="133"/>
        <v>0</v>
      </c>
      <c r="DR118" s="526">
        <f t="shared" ca="1" si="133"/>
        <v>0</v>
      </c>
      <c r="DS118" s="526">
        <f t="shared" ca="1" si="133"/>
        <v>0</v>
      </c>
      <c r="DT118" s="526">
        <f t="shared" ca="1" si="133"/>
        <v>0</v>
      </c>
      <c r="DU118" s="526">
        <f t="shared" ca="1" si="133"/>
        <v>0</v>
      </c>
      <c r="DV118" s="526">
        <f t="shared" ca="1" si="133"/>
        <v>0</v>
      </c>
      <c r="DW118" s="526">
        <f t="shared" ca="1" si="133"/>
        <v>0</v>
      </c>
      <c r="DX118" s="526">
        <f t="shared" ca="1" si="133"/>
        <v>0</v>
      </c>
      <c r="DY118" s="526">
        <f t="shared" ca="1" si="133"/>
        <v>0</v>
      </c>
      <c r="DZ118" s="526">
        <f t="shared" ca="1" si="133"/>
        <v>0</v>
      </c>
      <c r="EA118" s="526">
        <f t="shared" ca="1" si="133"/>
        <v>0</v>
      </c>
      <c r="EB118" s="526">
        <f t="shared" ca="1" si="133"/>
        <v>0</v>
      </c>
      <c r="EC118" s="523" t="s">
        <v>557</v>
      </c>
    </row>
    <row r="119" spans="8:133" ht="18" thickBot="1">
      <c r="H119" s="554" t="s">
        <v>1190</v>
      </c>
      <c r="I119" s="555"/>
      <c r="J119" s="555"/>
      <c r="K119" s="555"/>
      <c r="L119" s="556">
        <f ca="1">L117+L118</f>
        <v>0</v>
      </c>
      <c r="M119" s="556">
        <f t="shared" ref="M119:BX119" ca="1" si="134">M117+M118</f>
        <v>0</v>
      </c>
      <c r="N119" s="556">
        <f t="shared" ca="1" si="134"/>
        <v>0</v>
      </c>
      <c r="O119" s="556">
        <f t="shared" ca="1" si="134"/>
        <v>0</v>
      </c>
      <c r="P119" s="556">
        <f t="shared" ca="1" si="134"/>
        <v>0</v>
      </c>
      <c r="Q119" s="556">
        <f t="shared" ca="1" si="134"/>
        <v>0</v>
      </c>
      <c r="R119" s="556">
        <f t="shared" ca="1" si="134"/>
        <v>0</v>
      </c>
      <c r="S119" s="556">
        <f t="shared" ca="1" si="134"/>
        <v>0</v>
      </c>
      <c r="T119" s="556">
        <f t="shared" ca="1" si="134"/>
        <v>0</v>
      </c>
      <c r="U119" s="556">
        <f t="shared" ca="1" si="134"/>
        <v>0</v>
      </c>
      <c r="V119" s="556">
        <f t="shared" ca="1" si="134"/>
        <v>0</v>
      </c>
      <c r="W119" s="556">
        <f t="shared" ca="1" si="134"/>
        <v>0</v>
      </c>
      <c r="X119" s="556">
        <f t="shared" ca="1" si="134"/>
        <v>0</v>
      </c>
      <c r="Y119" s="556">
        <f t="shared" ca="1" si="134"/>
        <v>0</v>
      </c>
      <c r="Z119" s="556">
        <f t="shared" ca="1" si="134"/>
        <v>0</v>
      </c>
      <c r="AA119" s="556">
        <f t="shared" ca="1" si="134"/>
        <v>0</v>
      </c>
      <c r="AB119" s="556">
        <f t="shared" ca="1" si="134"/>
        <v>0</v>
      </c>
      <c r="AC119" s="556">
        <f t="shared" ca="1" si="134"/>
        <v>0</v>
      </c>
      <c r="AD119" s="556">
        <f t="shared" ca="1" si="134"/>
        <v>0</v>
      </c>
      <c r="AE119" s="556">
        <f t="shared" ca="1" si="134"/>
        <v>0</v>
      </c>
      <c r="AF119" s="556">
        <f t="shared" ca="1" si="134"/>
        <v>0</v>
      </c>
      <c r="AG119" s="556">
        <f t="shared" ca="1" si="134"/>
        <v>0</v>
      </c>
      <c r="AH119" s="556">
        <f t="shared" ca="1" si="134"/>
        <v>0</v>
      </c>
      <c r="AI119" s="556">
        <f t="shared" ca="1" si="134"/>
        <v>0</v>
      </c>
      <c r="AJ119" s="556">
        <f t="shared" ca="1" si="134"/>
        <v>0</v>
      </c>
      <c r="AK119" s="556">
        <f t="shared" ca="1" si="134"/>
        <v>0</v>
      </c>
      <c r="AL119" s="556">
        <f t="shared" ca="1" si="134"/>
        <v>0</v>
      </c>
      <c r="AM119" s="556">
        <f t="shared" ca="1" si="134"/>
        <v>0</v>
      </c>
      <c r="AN119" s="556">
        <f t="shared" ca="1" si="134"/>
        <v>0</v>
      </c>
      <c r="AO119" s="556">
        <f t="shared" ca="1" si="134"/>
        <v>0</v>
      </c>
      <c r="AP119" s="556">
        <f t="shared" ca="1" si="134"/>
        <v>0</v>
      </c>
      <c r="AQ119" s="556">
        <f t="shared" ca="1" si="134"/>
        <v>0</v>
      </c>
      <c r="AR119" s="556">
        <f t="shared" ca="1" si="134"/>
        <v>0</v>
      </c>
      <c r="AS119" s="556">
        <f t="shared" ca="1" si="134"/>
        <v>0</v>
      </c>
      <c r="AT119" s="556">
        <f t="shared" ca="1" si="134"/>
        <v>0</v>
      </c>
      <c r="AU119" s="556">
        <f t="shared" ca="1" si="134"/>
        <v>0</v>
      </c>
      <c r="AV119" s="556">
        <f t="shared" ca="1" si="134"/>
        <v>0</v>
      </c>
      <c r="AW119" s="556">
        <f t="shared" ca="1" si="134"/>
        <v>0</v>
      </c>
      <c r="AX119" s="556">
        <f t="shared" ca="1" si="134"/>
        <v>0</v>
      </c>
      <c r="AY119" s="556">
        <f t="shared" ca="1" si="134"/>
        <v>0</v>
      </c>
      <c r="AZ119" s="556">
        <f t="shared" ca="1" si="134"/>
        <v>0</v>
      </c>
      <c r="BA119" s="556">
        <f t="shared" ca="1" si="134"/>
        <v>0</v>
      </c>
      <c r="BB119" s="556">
        <f t="shared" ca="1" si="134"/>
        <v>0</v>
      </c>
      <c r="BC119" s="556">
        <f t="shared" ca="1" si="134"/>
        <v>0</v>
      </c>
      <c r="BD119" s="556">
        <f t="shared" ca="1" si="134"/>
        <v>0</v>
      </c>
      <c r="BE119" s="556">
        <f t="shared" ca="1" si="134"/>
        <v>0</v>
      </c>
      <c r="BF119" s="556">
        <f t="shared" ca="1" si="134"/>
        <v>0</v>
      </c>
      <c r="BG119" s="556">
        <f t="shared" ca="1" si="134"/>
        <v>0</v>
      </c>
      <c r="BH119" s="556">
        <f t="shared" ca="1" si="134"/>
        <v>0</v>
      </c>
      <c r="BI119" s="556">
        <f t="shared" ca="1" si="134"/>
        <v>0</v>
      </c>
      <c r="BJ119" s="556">
        <f t="shared" ca="1" si="134"/>
        <v>0</v>
      </c>
      <c r="BK119" s="556">
        <f t="shared" ca="1" si="134"/>
        <v>0</v>
      </c>
      <c r="BL119" s="556">
        <f t="shared" ca="1" si="134"/>
        <v>0</v>
      </c>
      <c r="BM119" s="556">
        <f t="shared" ca="1" si="134"/>
        <v>0</v>
      </c>
      <c r="BN119" s="556">
        <f t="shared" ca="1" si="134"/>
        <v>0</v>
      </c>
      <c r="BO119" s="556">
        <f t="shared" ca="1" si="134"/>
        <v>0</v>
      </c>
      <c r="BP119" s="556">
        <f t="shared" ca="1" si="134"/>
        <v>0</v>
      </c>
      <c r="BQ119" s="556">
        <f t="shared" ca="1" si="134"/>
        <v>0</v>
      </c>
      <c r="BR119" s="556">
        <f t="shared" ca="1" si="134"/>
        <v>0</v>
      </c>
      <c r="BS119" s="556">
        <f t="shared" ca="1" si="134"/>
        <v>0</v>
      </c>
      <c r="BT119" s="556">
        <f t="shared" ca="1" si="134"/>
        <v>0</v>
      </c>
      <c r="BU119" s="556">
        <f t="shared" ca="1" si="134"/>
        <v>0</v>
      </c>
      <c r="BV119" s="556">
        <f t="shared" ca="1" si="134"/>
        <v>0</v>
      </c>
      <c r="BW119" s="556">
        <f t="shared" ca="1" si="134"/>
        <v>0</v>
      </c>
      <c r="BX119" s="556">
        <f t="shared" ca="1" si="134"/>
        <v>0</v>
      </c>
      <c r="BY119" s="556">
        <f t="shared" ref="BY119:EB119" ca="1" si="135">BY117+BY118</f>
        <v>0</v>
      </c>
      <c r="BZ119" s="556">
        <f t="shared" ca="1" si="135"/>
        <v>0</v>
      </c>
      <c r="CA119" s="556">
        <f t="shared" ca="1" si="135"/>
        <v>0</v>
      </c>
      <c r="CB119" s="556">
        <f t="shared" ca="1" si="135"/>
        <v>0</v>
      </c>
      <c r="CC119" s="556">
        <f t="shared" ca="1" si="135"/>
        <v>0</v>
      </c>
      <c r="CD119" s="556">
        <f t="shared" ca="1" si="135"/>
        <v>0</v>
      </c>
      <c r="CE119" s="556">
        <f t="shared" ca="1" si="135"/>
        <v>0</v>
      </c>
      <c r="CF119" s="556">
        <f t="shared" ca="1" si="135"/>
        <v>0</v>
      </c>
      <c r="CG119" s="556">
        <f t="shared" ca="1" si="135"/>
        <v>0</v>
      </c>
      <c r="CH119" s="556">
        <f t="shared" ca="1" si="135"/>
        <v>0</v>
      </c>
      <c r="CI119" s="556">
        <f t="shared" ca="1" si="135"/>
        <v>0</v>
      </c>
      <c r="CJ119" s="556">
        <f t="shared" ca="1" si="135"/>
        <v>0</v>
      </c>
      <c r="CK119" s="556">
        <f t="shared" ca="1" si="135"/>
        <v>0</v>
      </c>
      <c r="CL119" s="556">
        <f t="shared" ca="1" si="135"/>
        <v>0</v>
      </c>
      <c r="CM119" s="556">
        <f t="shared" ca="1" si="135"/>
        <v>0</v>
      </c>
      <c r="CN119" s="556">
        <f t="shared" ca="1" si="135"/>
        <v>0</v>
      </c>
      <c r="CO119" s="556">
        <f t="shared" ca="1" si="135"/>
        <v>0</v>
      </c>
      <c r="CP119" s="556">
        <f t="shared" ca="1" si="135"/>
        <v>0</v>
      </c>
      <c r="CQ119" s="556">
        <f t="shared" ca="1" si="135"/>
        <v>0</v>
      </c>
      <c r="CR119" s="556">
        <f t="shared" ca="1" si="135"/>
        <v>0</v>
      </c>
      <c r="CS119" s="556">
        <f t="shared" ca="1" si="135"/>
        <v>0</v>
      </c>
      <c r="CT119" s="556">
        <f t="shared" ca="1" si="135"/>
        <v>0</v>
      </c>
      <c r="CU119" s="556">
        <f t="shared" ca="1" si="135"/>
        <v>0</v>
      </c>
      <c r="CV119" s="556">
        <f t="shared" ca="1" si="135"/>
        <v>0</v>
      </c>
      <c r="CW119" s="556">
        <f t="shared" ca="1" si="135"/>
        <v>0</v>
      </c>
      <c r="CX119" s="556">
        <f t="shared" ca="1" si="135"/>
        <v>0</v>
      </c>
      <c r="CY119" s="556">
        <f t="shared" ca="1" si="135"/>
        <v>0</v>
      </c>
      <c r="CZ119" s="556">
        <f t="shared" ca="1" si="135"/>
        <v>0</v>
      </c>
      <c r="DA119" s="556">
        <f t="shared" ca="1" si="135"/>
        <v>0</v>
      </c>
      <c r="DB119" s="556">
        <f t="shared" ca="1" si="135"/>
        <v>0</v>
      </c>
      <c r="DC119" s="556">
        <f t="shared" ca="1" si="135"/>
        <v>0</v>
      </c>
      <c r="DD119" s="556">
        <f t="shared" ca="1" si="135"/>
        <v>0</v>
      </c>
      <c r="DE119" s="556">
        <f t="shared" ca="1" si="135"/>
        <v>0</v>
      </c>
      <c r="DF119" s="556">
        <f t="shared" ca="1" si="135"/>
        <v>0</v>
      </c>
      <c r="DG119" s="556">
        <f t="shared" ca="1" si="135"/>
        <v>0</v>
      </c>
      <c r="DH119" s="556">
        <f t="shared" ca="1" si="135"/>
        <v>0</v>
      </c>
      <c r="DI119" s="556">
        <f t="shared" ca="1" si="135"/>
        <v>0</v>
      </c>
      <c r="DJ119" s="556">
        <f t="shared" ca="1" si="135"/>
        <v>0</v>
      </c>
      <c r="DK119" s="556">
        <f t="shared" ca="1" si="135"/>
        <v>0</v>
      </c>
      <c r="DL119" s="556">
        <f t="shared" ca="1" si="135"/>
        <v>0</v>
      </c>
      <c r="DM119" s="556">
        <f t="shared" ca="1" si="135"/>
        <v>0</v>
      </c>
      <c r="DN119" s="556">
        <f t="shared" ca="1" si="135"/>
        <v>0</v>
      </c>
      <c r="DO119" s="556">
        <f t="shared" ca="1" si="135"/>
        <v>0</v>
      </c>
      <c r="DP119" s="556">
        <f t="shared" ca="1" si="135"/>
        <v>0</v>
      </c>
      <c r="DQ119" s="556">
        <f t="shared" ca="1" si="135"/>
        <v>0</v>
      </c>
      <c r="DR119" s="556">
        <f t="shared" ca="1" si="135"/>
        <v>0</v>
      </c>
      <c r="DS119" s="556">
        <f t="shared" ca="1" si="135"/>
        <v>0</v>
      </c>
      <c r="DT119" s="556">
        <f t="shared" ca="1" si="135"/>
        <v>0</v>
      </c>
      <c r="DU119" s="556">
        <f t="shared" ca="1" si="135"/>
        <v>0</v>
      </c>
      <c r="DV119" s="556">
        <f t="shared" ca="1" si="135"/>
        <v>0</v>
      </c>
      <c r="DW119" s="556">
        <f t="shared" ca="1" si="135"/>
        <v>0</v>
      </c>
      <c r="DX119" s="556">
        <f t="shared" ca="1" si="135"/>
        <v>0</v>
      </c>
      <c r="DY119" s="556">
        <f t="shared" ca="1" si="135"/>
        <v>0</v>
      </c>
      <c r="DZ119" s="556">
        <f t="shared" ca="1" si="135"/>
        <v>0</v>
      </c>
      <c r="EA119" s="556">
        <f t="shared" ca="1" si="135"/>
        <v>0</v>
      </c>
      <c r="EB119" s="556">
        <f t="shared" ca="1" si="135"/>
        <v>0</v>
      </c>
      <c r="EC119" s="523" t="s">
        <v>557</v>
      </c>
    </row>
    <row r="120" spans="8:133">
      <c r="L120" s="526"/>
      <c r="M120" s="526"/>
      <c r="N120" s="526"/>
      <c r="O120" s="526"/>
      <c r="P120" s="526"/>
      <c r="Q120" s="526"/>
      <c r="R120" s="526"/>
      <c r="S120" s="526"/>
      <c r="T120" s="526"/>
      <c r="U120" s="526"/>
      <c r="V120" s="526"/>
      <c r="W120" s="526"/>
      <c r="X120" s="526"/>
      <c r="Y120" s="526"/>
      <c r="Z120" s="526"/>
      <c r="AA120" s="526"/>
      <c r="AB120" s="526"/>
      <c r="AC120" s="526"/>
      <c r="AD120" s="526"/>
      <c r="AE120" s="526"/>
      <c r="AF120" s="526"/>
      <c r="AG120" s="526"/>
      <c r="AH120" s="526"/>
      <c r="AI120" s="526"/>
      <c r="AJ120" s="526"/>
      <c r="AK120" s="526"/>
      <c r="AL120" s="526"/>
      <c r="AM120" s="526"/>
      <c r="AN120" s="526"/>
      <c r="AO120" s="526"/>
      <c r="AP120" s="526"/>
      <c r="AQ120" s="526"/>
      <c r="AR120" s="526"/>
      <c r="AS120" s="526"/>
      <c r="AT120" s="526"/>
      <c r="AU120" s="526"/>
      <c r="AV120" s="526"/>
      <c r="AW120" s="526"/>
      <c r="AX120" s="526"/>
      <c r="AY120" s="526"/>
      <c r="AZ120" s="526"/>
      <c r="BA120" s="526"/>
      <c r="BB120" s="526"/>
      <c r="BC120" s="526"/>
      <c r="BD120" s="526"/>
      <c r="BE120" s="526"/>
      <c r="BF120" s="526"/>
      <c r="BG120" s="526"/>
      <c r="BH120" s="526"/>
      <c r="BI120" s="526"/>
      <c r="BJ120" s="526"/>
      <c r="BK120" s="526"/>
      <c r="BL120" s="526"/>
      <c r="BM120" s="526"/>
      <c r="BN120" s="526"/>
      <c r="BO120" s="526"/>
      <c r="BP120" s="526"/>
      <c r="BQ120" s="526"/>
      <c r="BR120" s="526"/>
      <c r="BS120" s="526"/>
      <c r="BT120" s="526"/>
      <c r="BU120" s="526"/>
      <c r="BV120" s="526"/>
      <c r="BW120" s="526"/>
      <c r="BX120" s="526"/>
      <c r="BY120" s="526"/>
      <c r="BZ120" s="526"/>
      <c r="CA120" s="526"/>
      <c r="CB120" s="526"/>
      <c r="CC120" s="526"/>
      <c r="CD120" s="526"/>
      <c r="CE120" s="526"/>
      <c r="CF120" s="526"/>
      <c r="CG120" s="526"/>
      <c r="CH120" s="526"/>
      <c r="CI120" s="526"/>
      <c r="CJ120" s="526"/>
      <c r="CK120" s="526"/>
      <c r="CL120" s="526"/>
      <c r="CM120" s="526"/>
      <c r="CN120" s="526"/>
      <c r="CO120" s="526"/>
      <c r="CP120" s="526"/>
      <c r="CQ120" s="526"/>
      <c r="CR120" s="526"/>
      <c r="CS120" s="526"/>
      <c r="CT120" s="526"/>
      <c r="CU120" s="526"/>
      <c r="CV120" s="526"/>
      <c r="CW120" s="526"/>
      <c r="CX120" s="526"/>
      <c r="CY120" s="526"/>
      <c r="CZ120" s="526"/>
      <c r="DA120" s="526"/>
      <c r="DB120" s="526"/>
      <c r="DC120" s="526"/>
      <c r="DD120" s="526"/>
      <c r="DE120" s="526"/>
      <c r="DF120" s="526"/>
      <c r="DG120" s="526"/>
      <c r="DH120" s="526"/>
      <c r="DI120" s="526"/>
      <c r="DJ120" s="526"/>
      <c r="DK120" s="526"/>
      <c r="DL120" s="526"/>
      <c r="DM120" s="526"/>
      <c r="DN120" s="526"/>
      <c r="DO120" s="526"/>
      <c r="DP120" s="526"/>
      <c r="DQ120" s="526"/>
      <c r="DR120" s="526"/>
      <c r="DS120" s="526"/>
      <c r="DT120" s="526"/>
      <c r="DU120" s="526"/>
      <c r="DV120" s="526"/>
      <c r="DW120" s="526"/>
      <c r="DX120" s="526"/>
      <c r="DY120" s="526"/>
      <c r="DZ120" s="526"/>
      <c r="EA120" s="526"/>
      <c r="EB120" s="526"/>
      <c r="EC120" s="523"/>
    </row>
    <row r="121" spans="8:133">
      <c r="L121" s="526"/>
      <c r="M121" s="526"/>
      <c r="N121" s="526"/>
      <c r="O121" s="526"/>
      <c r="P121" s="526"/>
      <c r="Q121" s="526"/>
      <c r="R121" s="526"/>
      <c r="S121" s="526"/>
      <c r="T121" s="526"/>
      <c r="U121" s="526"/>
      <c r="V121" s="526"/>
      <c r="W121" s="526"/>
      <c r="X121" s="526"/>
      <c r="Y121" s="526"/>
      <c r="Z121" s="526"/>
      <c r="AA121" s="526"/>
      <c r="AB121" s="526"/>
      <c r="AC121" s="526"/>
      <c r="AD121" s="526"/>
      <c r="AE121" s="526"/>
      <c r="AF121" s="526"/>
      <c r="AG121" s="526"/>
      <c r="AH121" s="526"/>
      <c r="AI121" s="526"/>
      <c r="AJ121" s="526"/>
      <c r="AK121" s="526"/>
      <c r="AL121" s="526"/>
      <c r="AM121" s="526"/>
      <c r="AN121" s="526"/>
      <c r="AO121" s="526"/>
      <c r="AP121" s="526"/>
      <c r="AQ121" s="526"/>
      <c r="AR121" s="526"/>
      <c r="AS121" s="526"/>
      <c r="AT121" s="526"/>
      <c r="AU121" s="526"/>
      <c r="AV121" s="526"/>
      <c r="AW121" s="526"/>
      <c r="AX121" s="526"/>
      <c r="AY121" s="526"/>
      <c r="AZ121" s="526"/>
      <c r="BA121" s="526"/>
      <c r="BB121" s="526"/>
      <c r="BC121" s="526"/>
      <c r="BD121" s="526"/>
      <c r="BE121" s="526"/>
      <c r="BF121" s="526"/>
      <c r="BG121" s="526"/>
      <c r="BH121" s="526"/>
      <c r="BI121" s="526"/>
      <c r="BJ121" s="526"/>
      <c r="BK121" s="526"/>
      <c r="BL121" s="526"/>
      <c r="BM121" s="526"/>
      <c r="BN121" s="526"/>
      <c r="BO121" s="526"/>
      <c r="BP121" s="526"/>
      <c r="BQ121" s="526"/>
      <c r="BR121" s="526"/>
      <c r="BS121" s="526"/>
      <c r="BT121" s="526"/>
      <c r="BU121" s="526"/>
      <c r="BV121" s="526"/>
      <c r="BW121" s="526"/>
      <c r="BX121" s="526"/>
      <c r="BY121" s="526"/>
      <c r="BZ121" s="526"/>
      <c r="CA121" s="526"/>
      <c r="CB121" s="526"/>
      <c r="CC121" s="526"/>
      <c r="CD121" s="526"/>
      <c r="CE121" s="526"/>
      <c r="CF121" s="526"/>
      <c r="CG121" s="526"/>
      <c r="CH121" s="526"/>
      <c r="CI121" s="526"/>
      <c r="CJ121" s="526"/>
      <c r="CK121" s="526"/>
      <c r="CL121" s="526"/>
      <c r="CM121" s="526"/>
      <c r="CN121" s="526"/>
      <c r="CO121" s="526"/>
      <c r="CP121" s="526"/>
      <c r="CQ121" s="526"/>
      <c r="CR121" s="526"/>
      <c r="CS121" s="526"/>
      <c r="CT121" s="526"/>
      <c r="CU121" s="526"/>
      <c r="CV121" s="526"/>
      <c r="CW121" s="526"/>
      <c r="CX121" s="526"/>
      <c r="CY121" s="526"/>
      <c r="CZ121" s="526"/>
      <c r="DA121" s="526"/>
      <c r="DB121" s="526"/>
      <c r="DC121" s="526"/>
      <c r="DD121" s="526"/>
      <c r="DE121" s="526"/>
      <c r="DF121" s="526"/>
      <c r="DG121" s="526"/>
      <c r="DH121" s="526"/>
      <c r="DI121" s="526"/>
      <c r="DJ121" s="526"/>
      <c r="DK121" s="526"/>
      <c r="DL121" s="526"/>
      <c r="DM121" s="526"/>
      <c r="DN121" s="526"/>
      <c r="DO121" s="526"/>
      <c r="DP121" s="526"/>
      <c r="DQ121" s="526"/>
      <c r="DR121" s="526"/>
      <c r="DS121" s="526"/>
      <c r="DT121" s="526"/>
      <c r="DU121" s="526"/>
      <c r="DV121" s="526"/>
      <c r="DW121" s="526"/>
      <c r="DX121" s="526"/>
      <c r="DY121" s="526"/>
      <c r="DZ121" s="526"/>
      <c r="EA121" s="526"/>
      <c r="EB121" s="526"/>
      <c r="EC121" s="523"/>
    </row>
    <row r="122" spans="8:133">
      <c r="EC122" s="523" t="s">
        <v>557</v>
      </c>
    </row>
    <row r="123" spans="8:133" ht="19">
      <c r="H123" s="173" t="s">
        <v>1191</v>
      </c>
      <c r="I123" s="529"/>
      <c r="J123" s="529"/>
      <c r="K123" s="530"/>
      <c r="L123" s="530"/>
      <c r="M123" s="530"/>
      <c r="N123" s="530"/>
      <c r="O123" s="530"/>
      <c r="P123" s="530"/>
      <c r="Q123" s="530"/>
      <c r="R123" s="530"/>
      <c r="S123" s="530"/>
      <c r="T123" s="530"/>
      <c r="U123" s="530"/>
      <c r="V123" s="530"/>
      <c r="W123" s="530"/>
      <c r="X123" s="530"/>
      <c r="Y123" s="530"/>
      <c r="Z123" s="530"/>
      <c r="AA123" s="530"/>
      <c r="AB123" s="530"/>
      <c r="AC123" s="530"/>
      <c r="AD123" s="530"/>
      <c r="AE123" s="530"/>
      <c r="AF123" s="530"/>
      <c r="AG123" s="530"/>
      <c r="AH123" s="530"/>
      <c r="AI123" s="530"/>
      <c r="AJ123" s="530"/>
      <c r="AK123" s="530"/>
      <c r="AL123" s="530"/>
      <c r="AM123" s="530"/>
      <c r="AN123" s="530"/>
      <c r="AO123" s="530"/>
      <c r="AP123" s="530"/>
      <c r="AQ123" s="530"/>
      <c r="AR123" s="530"/>
      <c r="AS123" s="530"/>
      <c r="AT123" s="530"/>
      <c r="AU123" s="530"/>
      <c r="AV123" s="530"/>
      <c r="AW123" s="530"/>
      <c r="AX123" s="530"/>
      <c r="AY123" s="530"/>
      <c r="AZ123" s="530"/>
      <c r="BA123" s="530"/>
      <c r="BB123" s="530"/>
      <c r="BC123" s="530"/>
      <c r="BD123" s="530"/>
      <c r="BE123" s="530"/>
      <c r="BF123" s="530"/>
      <c r="BG123" s="530"/>
      <c r="BH123" s="530"/>
      <c r="BI123" s="530"/>
      <c r="BJ123" s="530"/>
      <c r="BK123" s="530"/>
      <c r="BL123" s="530"/>
      <c r="BM123" s="530"/>
      <c r="BN123" s="530"/>
      <c r="BO123" s="530"/>
      <c r="BP123" s="530"/>
      <c r="BQ123" s="530"/>
      <c r="BR123" s="530"/>
      <c r="BS123" s="530"/>
      <c r="BT123" s="530"/>
      <c r="BU123" s="530"/>
      <c r="BV123" s="530"/>
      <c r="BW123" s="530"/>
      <c r="BX123" s="530"/>
      <c r="BY123" s="530"/>
      <c r="BZ123" s="530"/>
      <c r="CA123" s="530"/>
      <c r="CB123" s="530"/>
      <c r="CC123" s="530"/>
      <c r="CD123" s="530"/>
      <c r="CE123" s="530"/>
      <c r="CF123" s="530"/>
      <c r="CG123" s="530"/>
      <c r="CH123" s="530"/>
      <c r="CI123" s="530"/>
      <c r="CJ123" s="530"/>
      <c r="CK123" s="530"/>
      <c r="CL123" s="530"/>
      <c r="CM123" s="530"/>
      <c r="CN123" s="530"/>
      <c r="CO123" s="530"/>
      <c r="CP123" s="530"/>
      <c r="CQ123" s="530"/>
      <c r="CR123" s="530"/>
      <c r="CS123" s="530"/>
      <c r="CT123" s="530"/>
      <c r="CU123" s="530"/>
      <c r="CV123" s="530"/>
      <c r="CW123" s="530"/>
      <c r="CX123" s="530"/>
      <c r="CY123" s="530"/>
      <c r="CZ123" s="530"/>
      <c r="DA123" s="530"/>
      <c r="DB123" s="530"/>
      <c r="DC123" s="530"/>
      <c r="DD123" s="530"/>
      <c r="DE123" s="530"/>
      <c r="DF123" s="530"/>
      <c r="DG123" s="530"/>
      <c r="DH123" s="530"/>
      <c r="DI123" s="530"/>
      <c r="DJ123" s="530"/>
      <c r="DK123" s="530"/>
      <c r="DL123" s="530"/>
      <c r="DM123" s="530"/>
      <c r="DN123" s="530"/>
      <c r="DO123" s="530"/>
      <c r="DP123" s="530"/>
      <c r="DQ123" s="530"/>
      <c r="DR123" s="530"/>
      <c r="DS123" s="530"/>
      <c r="DT123" s="530"/>
      <c r="DU123" s="530"/>
      <c r="DV123" s="530"/>
      <c r="DW123" s="530"/>
      <c r="DX123" s="530"/>
      <c r="DY123" s="530"/>
      <c r="DZ123" s="530"/>
      <c r="EA123" s="530"/>
      <c r="EB123" s="530"/>
      <c r="EC123" s="523" t="s">
        <v>557</v>
      </c>
    </row>
    <row r="124" spans="8:133">
      <c r="H124" s="518" t="s">
        <v>1192</v>
      </c>
      <c r="I124" s="539"/>
      <c r="J124" s="526">
        <f ca="1">SUM(L124:EB124)</f>
        <v>33893734.176520362</v>
      </c>
      <c r="L124" s="526">
        <f ca="1">L12+L32+L50+L68+L86+L104+L117</f>
        <v>0</v>
      </c>
      <c r="M124" s="526">
        <f t="shared" ref="M124:BX124" ca="1" si="136">M12+M32+M50+M68+M86+M104+M117</f>
        <v>75142.199419975848</v>
      </c>
      <c r="N124" s="526">
        <f t="shared" ca="1" si="136"/>
        <v>77255.772749442272</v>
      </c>
      <c r="O124" s="526">
        <f t="shared" ca="1" si="136"/>
        <v>79383.436567771874</v>
      </c>
      <c r="P124" s="526">
        <f t="shared" ca="1" si="136"/>
        <v>81525.284811557081</v>
      </c>
      <c r="Q124" s="526">
        <f t="shared" ca="1" si="136"/>
        <v>83681.412043634118</v>
      </c>
      <c r="R124" s="526">
        <f t="shared" ca="1" si="136"/>
        <v>85851.913457258299</v>
      </c>
      <c r="S124" s="526">
        <f t="shared" ca="1" si="136"/>
        <v>88036.884880306709</v>
      </c>
      <c r="T124" s="526">
        <f t="shared" ca="1" si="136"/>
        <v>90236.422779508677</v>
      </c>
      <c r="U124" s="526">
        <f t="shared" ca="1" si="136"/>
        <v>92450.624264705359</v>
      </c>
      <c r="V124" s="526">
        <f t="shared" ca="1" si="136"/>
        <v>94679.587093136754</v>
      </c>
      <c r="W124" s="526">
        <f t="shared" ca="1" si="136"/>
        <v>96923.409673757662</v>
      </c>
      <c r="X124" s="526">
        <f t="shared" ca="1" si="136"/>
        <v>99182.191071582594</v>
      </c>
      <c r="Y124" s="526">
        <f t="shared" ca="1" si="136"/>
        <v>99132.252015780003</v>
      </c>
      <c r="Z124" s="526">
        <f t="shared" ca="1" si="136"/>
        <v>101277.30024087873</v>
      </c>
      <c r="AA124" s="526">
        <f t="shared" ca="1" si="136"/>
        <v>103435.75501738423</v>
      </c>
      <c r="AB124" s="526">
        <f t="shared" ca="1" si="136"/>
        <v>105607.70013624289</v>
      </c>
      <c r="AC124" s="526">
        <f t="shared" ca="1" si="136"/>
        <v>107793.2199120944</v>
      </c>
      <c r="AD124" s="526">
        <f t="shared" ca="1" si="136"/>
        <v>109992.39918654515</v>
      </c>
      <c r="AE124" s="526">
        <f t="shared" ca="1" si="136"/>
        <v>112205.32333146107</v>
      </c>
      <c r="AF124" s="526">
        <f t="shared" ca="1" si="136"/>
        <v>114432.07825228265</v>
      </c>
      <c r="AG124" s="526">
        <f t="shared" ca="1" si="136"/>
        <v>116672.75039135954</v>
      </c>
      <c r="AH124" s="526">
        <f t="shared" ca="1" si="136"/>
        <v>118927.4267313055</v>
      </c>
      <c r="AI124" s="526">
        <f t="shared" ca="1" si="136"/>
        <v>121196.19479837616</v>
      </c>
      <c r="AJ124" s="526">
        <f t="shared" ca="1" si="136"/>
        <v>123479.14266586611</v>
      </c>
      <c r="AK124" s="526">
        <f t="shared" ca="1" si="136"/>
        <v>122481.38876808564</v>
      </c>
      <c r="AL124" s="526">
        <f t="shared" ca="1" si="136"/>
        <v>123710.65473037933</v>
      </c>
      <c r="AM124" s="526">
        <f t="shared" ca="1" si="136"/>
        <v>124944.01824588062</v>
      </c>
      <c r="AN124" s="526">
        <f t="shared" ca="1" si="136"/>
        <v>126181.4929731002</v>
      </c>
      <c r="AO124" s="526">
        <f t="shared" ca="1" si="136"/>
        <v>127423.09261607715</v>
      </c>
      <c r="AP124" s="526">
        <f t="shared" ca="1" si="136"/>
        <v>128668.83092453091</v>
      </c>
      <c r="AQ124" s="526">
        <f t="shared" ca="1" si="136"/>
        <v>129918.72169401268</v>
      </c>
      <c r="AR124" s="526">
        <f t="shared" ca="1" si="136"/>
        <v>131172.77876605943</v>
      </c>
      <c r="AS124" s="526">
        <f t="shared" ca="1" si="136"/>
        <v>132431.01602834626</v>
      </c>
      <c r="AT124" s="526">
        <f t="shared" ca="1" si="136"/>
        <v>133693.44741484086</v>
      </c>
      <c r="AU124" s="526">
        <f t="shared" ca="1" si="136"/>
        <v>134960.08690595691</v>
      </c>
      <c r="AV124" s="526">
        <f t="shared" ca="1" si="136"/>
        <v>136230.94852871029</v>
      </c>
      <c r="AW124" s="526">
        <f t="shared" ca="1" si="136"/>
        <v>135241.08391927258</v>
      </c>
      <c r="AX124" s="526">
        <f t="shared" ca="1" si="136"/>
        <v>136520.43207352899</v>
      </c>
      <c r="AY124" s="526">
        <f t="shared" ca="1" si="136"/>
        <v>137804.04472163261</v>
      </c>
      <c r="AZ124" s="526">
        <f t="shared" ca="1" si="136"/>
        <v>139091.93607856351</v>
      </c>
      <c r="BA124" s="526">
        <f t="shared" ca="1" si="136"/>
        <v>140384.12040668412</v>
      </c>
      <c r="BB124" s="526">
        <f t="shared" ca="1" si="136"/>
        <v>141680.61201589828</v>
      </c>
      <c r="BC124" s="526">
        <f t="shared" ca="1" si="136"/>
        <v>142981.42526381009</v>
      </c>
      <c r="BD124" s="526">
        <f t="shared" ca="1" si="136"/>
        <v>144286.57455588144</v>
      </c>
      <c r="BE124" s="526">
        <f t="shared" ca="1" si="136"/>
        <v>145596.07434559317</v>
      </c>
      <c r="BF124" s="526">
        <f t="shared" ca="1" si="136"/>
        <v>146909.93913460377</v>
      </c>
      <c r="BG124" s="526">
        <f t="shared" ca="1" si="136"/>
        <v>148228.18347291125</v>
      </c>
      <c r="BH124" s="526">
        <f t="shared" ca="1" si="136"/>
        <v>28404692.591443792</v>
      </c>
      <c r="BI124" s="526">
        <f t="shared" ca="1" si="136"/>
        <v>0</v>
      </c>
      <c r="BJ124" s="526">
        <f t="shared" ca="1" si="136"/>
        <v>0</v>
      </c>
      <c r="BK124" s="526">
        <f t="shared" ca="1" si="136"/>
        <v>0</v>
      </c>
      <c r="BL124" s="526">
        <f t="shared" ca="1" si="136"/>
        <v>0</v>
      </c>
      <c r="BM124" s="526">
        <f t="shared" ca="1" si="136"/>
        <v>0</v>
      </c>
      <c r="BN124" s="526">
        <f t="shared" ca="1" si="136"/>
        <v>0</v>
      </c>
      <c r="BO124" s="526">
        <f t="shared" ca="1" si="136"/>
        <v>0</v>
      </c>
      <c r="BP124" s="526">
        <f t="shared" ca="1" si="136"/>
        <v>0</v>
      </c>
      <c r="BQ124" s="526">
        <f t="shared" ca="1" si="136"/>
        <v>0</v>
      </c>
      <c r="BR124" s="526">
        <f t="shared" ca="1" si="136"/>
        <v>0</v>
      </c>
      <c r="BS124" s="526">
        <f t="shared" ca="1" si="136"/>
        <v>0</v>
      </c>
      <c r="BT124" s="526">
        <f t="shared" ca="1" si="136"/>
        <v>0</v>
      </c>
      <c r="BU124" s="526">
        <f t="shared" ca="1" si="136"/>
        <v>0</v>
      </c>
      <c r="BV124" s="526">
        <f t="shared" ca="1" si="136"/>
        <v>0</v>
      </c>
      <c r="BW124" s="526">
        <f t="shared" ca="1" si="136"/>
        <v>0</v>
      </c>
      <c r="BX124" s="526">
        <f t="shared" ca="1" si="136"/>
        <v>0</v>
      </c>
      <c r="BY124" s="526">
        <f t="shared" ref="BY124:EB124" ca="1" si="137">BY12+BY32+BY50+BY68+BY86+BY104+BY117</f>
        <v>0</v>
      </c>
      <c r="BZ124" s="526">
        <f t="shared" ca="1" si="137"/>
        <v>0</v>
      </c>
      <c r="CA124" s="526">
        <f t="shared" ca="1" si="137"/>
        <v>0</v>
      </c>
      <c r="CB124" s="526">
        <f t="shared" ca="1" si="137"/>
        <v>0</v>
      </c>
      <c r="CC124" s="526">
        <f t="shared" ca="1" si="137"/>
        <v>0</v>
      </c>
      <c r="CD124" s="526">
        <f t="shared" ca="1" si="137"/>
        <v>0</v>
      </c>
      <c r="CE124" s="526">
        <f t="shared" ca="1" si="137"/>
        <v>0</v>
      </c>
      <c r="CF124" s="526">
        <f t="shared" ca="1" si="137"/>
        <v>0</v>
      </c>
      <c r="CG124" s="526">
        <f t="shared" ca="1" si="137"/>
        <v>0</v>
      </c>
      <c r="CH124" s="526">
        <f t="shared" ca="1" si="137"/>
        <v>0</v>
      </c>
      <c r="CI124" s="526">
        <f t="shared" ca="1" si="137"/>
        <v>0</v>
      </c>
      <c r="CJ124" s="526">
        <f t="shared" ca="1" si="137"/>
        <v>0</v>
      </c>
      <c r="CK124" s="526">
        <f t="shared" ca="1" si="137"/>
        <v>0</v>
      </c>
      <c r="CL124" s="526">
        <f t="shared" ca="1" si="137"/>
        <v>0</v>
      </c>
      <c r="CM124" s="526">
        <f t="shared" ca="1" si="137"/>
        <v>0</v>
      </c>
      <c r="CN124" s="526">
        <f t="shared" ca="1" si="137"/>
        <v>0</v>
      </c>
      <c r="CO124" s="526">
        <f t="shared" ca="1" si="137"/>
        <v>0</v>
      </c>
      <c r="CP124" s="526">
        <f t="shared" ca="1" si="137"/>
        <v>0</v>
      </c>
      <c r="CQ124" s="526">
        <f t="shared" ca="1" si="137"/>
        <v>0</v>
      </c>
      <c r="CR124" s="526">
        <f t="shared" ca="1" si="137"/>
        <v>0</v>
      </c>
      <c r="CS124" s="526">
        <f t="shared" ca="1" si="137"/>
        <v>0</v>
      </c>
      <c r="CT124" s="526">
        <f t="shared" ca="1" si="137"/>
        <v>0</v>
      </c>
      <c r="CU124" s="526">
        <f t="shared" ca="1" si="137"/>
        <v>0</v>
      </c>
      <c r="CV124" s="526">
        <f t="shared" ca="1" si="137"/>
        <v>0</v>
      </c>
      <c r="CW124" s="526">
        <f t="shared" ca="1" si="137"/>
        <v>0</v>
      </c>
      <c r="CX124" s="526">
        <f t="shared" ca="1" si="137"/>
        <v>0</v>
      </c>
      <c r="CY124" s="526">
        <f t="shared" ca="1" si="137"/>
        <v>0</v>
      </c>
      <c r="CZ124" s="526">
        <f t="shared" ca="1" si="137"/>
        <v>0</v>
      </c>
      <c r="DA124" s="526">
        <f t="shared" ca="1" si="137"/>
        <v>0</v>
      </c>
      <c r="DB124" s="526">
        <f t="shared" ca="1" si="137"/>
        <v>0</v>
      </c>
      <c r="DC124" s="526">
        <f t="shared" ca="1" si="137"/>
        <v>0</v>
      </c>
      <c r="DD124" s="526">
        <f t="shared" ca="1" si="137"/>
        <v>0</v>
      </c>
      <c r="DE124" s="526">
        <f t="shared" ca="1" si="137"/>
        <v>0</v>
      </c>
      <c r="DF124" s="526">
        <f t="shared" ca="1" si="137"/>
        <v>0</v>
      </c>
      <c r="DG124" s="526">
        <f t="shared" ca="1" si="137"/>
        <v>0</v>
      </c>
      <c r="DH124" s="526">
        <f t="shared" ca="1" si="137"/>
        <v>0</v>
      </c>
      <c r="DI124" s="526">
        <f t="shared" ca="1" si="137"/>
        <v>0</v>
      </c>
      <c r="DJ124" s="526">
        <f t="shared" ca="1" si="137"/>
        <v>0</v>
      </c>
      <c r="DK124" s="526">
        <f t="shared" ca="1" si="137"/>
        <v>0</v>
      </c>
      <c r="DL124" s="526">
        <f t="shared" ca="1" si="137"/>
        <v>0</v>
      </c>
      <c r="DM124" s="526">
        <f t="shared" ca="1" si="137"/>
        <v>0</v>
      </c>
      <c r="DN124" s="526">
        <f t="shared" ca="1" si="137"/>
        <v>0</v>
      </c>
      <c r="DO124" s="526">
        <f t="shared" ca="1" si="137"/>
        <v>0</v>
      </c>
      <c r="DP124" s="526">
        <f t="shared" ca="1" si="137"/>
        <v>0</v>
      </c>
      <c r="DQ124" s="526">
        <f t="shared" ca="1" si="137"/>
        <v>0</v>
      </c>
      <c r="DR124" s="526">
        <f t="shared" ca="1" si="137"/>
        <v>0</v>
      </c>
      <c r="DS124" s="526">
        <f t="shared" ca="1" si="137"/>
        <v>0</v>
      </c>
      <c r="DT124" s="526">
        <f t="shared" ca="1" si="137"/>
        <v>0</v>
      </c>
      <c r="DU124" s="526">
        <f t="shared" ca="1" si="137"/>
        <v>0</v>
      </c>
      <c r="DV124" s="526">
        <f t="shared" ca="1" si="137"/>
        <v>0</v>
      </c>
      <c r="DW124" s="526">
        <f t="shared" ca="1" si="137"/>
        <v>0</v>
      </c>
      <c r="DX124" s="526">
        <f t="shared" ca="1" si="137"/>
        <v>0</v>
      </c>
      <c r="DY124" s="526">
        <f t="shared" ca="1" si="137"/>
        <v>0</v>
      </c>
      <c r="DZ124" s="526">
        <f t="shared" ca="1" si="137"/>
        <v>0</v>
      </c>
      <c r="EA124" s="526">
        <f t="shared" ca="1" si="137"/>
        <v>0</v>
      </c>
      <c r="EB124" s="526">
        <f t="shared" ca="1" si="137"/>
        <v>0</v>
      </c>
      <c r="EC124" s="523" t="s">
        <v>557</v>
      </c>
    </row>
    <row r="125" spans="8:133">
      <c r="H125" s="518" t="s">
        <v>1193</v>
      </c>
      <c r="I125" s="539"/>
      <c r="J125" s="526">
        <f ca="1">SUM(L125:EB125)</f>
        <v>20296000</v>
      </c>
      <c r="L125" s="526">
        <f t="shared" ref="L125:BW125" ca="1" si="138">L11</f>
        <v>20296000</v>
      </c>
      <c r="M125" s="526">
        <f t="shared" si="138"/>
        <v>0</v>
      </c>
      <c r="N125" s="526">
        <f t="shared" si="138"/>
        <v>0</v>
      </c>
      <c r="O125" s="526">
        <f t="shared" si="138"/>
        <v>0</v>
      </c>
      <c r="P125" s="526">
        <f t="shared" si="138"/>
        <v>0</v>
      </c>
      <c r="Q125" s="526">
        <f t="shared" si="138"/>
        <v>0</v>
      </c>
      <c r="R125" s="526">
        <f t="shared" si="138"/>
        <v>0</v>
      </c>
      <c r="S125" s="526">
        <f t="shared" si="138"/>
        <v>0</v>
      </c>
      <c r="T125" s="526">
        <f t="shared" si="138"/>
        <v>0</v>
      </c>
      <c r="U125" s="526">
        <f t="shared" si="138"/>
        <v>0</v>
      </c>
      <c r="V125" s="526">
        <f t="shared" si="138"/>
        <v>0</v>
      </c>
      <c r="W125" s="526">
        <f t="shared" si="138"/>
        <v>0</v>
      </c>
      <c r="X125" s="526">
        <f t="shared" si="138"/>
        <v>0</v>
      </c>
      <c r="Y125" s="526">
        <f t="shared" si="138"/>
        <v>0</v>
      </c>
      <c r="Z125" s="526">
        <f t="shared" si="138"/>
        <v>0</v>
      </c>
      <c r="AA125" s="526">
        <f t="shared" si="138"/>
        <v>0</v>
      </c>
      <c r="AB125" s="526">
        <f t="shared" si="138"/>
        <v>0</v>
      </c>
      <c r="AC125" s="526">
        <f t="shared" si="138"/>
        <v>0</v>
      </c>
      <c r="AD125" s="526">
        <f t="shared" si="138"/>
        <v>0</v>
      </c>
      <c r="AE125" s="526">
        <f t="shared" si="138"/>
        <v>0</v>
      </c>
      <c r="AF125" s="526">
        <f t="shared" si="138"/>
        <v>0</v>
      </c>
      <c r="AG125" s="526">
        <f t="shared" si="138"/>
        <v>0</v>
      </c>
      <c r="AH125" s="526">
        <f t="shared" si="138"/>
        <v>0</v>
      </c>
      <c r="AI125" s="526">
        <f t="shared" si="138"/>
        <v>0</v>
      </c>
      <c r="AJ125" s="526">
        <f t="shared" si="138"/>
        <v>0</v>
      </c>
      <c r="AK125" s="526">
        <f t="shared" si="138"/>
        <v>0</v>
      </c>
      <c r="AL125" s="526">
        <f t="shared" si="138"/>
        <v>0</v>
      </c>
      <c r="AM125" s="526">
        <f t="shared" si="138"/>
        <v>0</v>
      </c>
      <c r="AN125" s="526">
        <f t="shared" si="138"/>
        <v>0</v>
      </c>
      <c r="AO125" s="526">
        <f t="shared" si="138"/>
        <v>0</v>
      </c>
      <c r="AP125" s="526">
        <f t="shared" si="138"/>
        <v>0</v>
      </c>
      <c r="AQ125" s="526">
        <f t="shared" si="138"/>
        <v>0</v>
      </c>
      <c r="AR125" s="526">
        <f t="shared" si="138"/>
        <v>0</v>
      </c>
      <c r="AS125" s="526">
        <f t="shared" si="138"/>
        <v>0</v>
      </c>
      <c r="AT125" s="526">
        <f t="shared" si="138"/>
        <v>0</v>
      </c>
      <c r="AU125" s="526">
        <f t="shared" si="138"/>
        <v>0</v>
      </c>
      <c r="AV125" s="526">
        <f t="shared" si="138"/>
        <v>0</v>
      </c>
      <c r="AW125" s="526">
        <f t="shared" si="138"/>
        <v>0</v>
      </c>
      <c r="AX125" s="526">
        <f t="shared" si="138"/>
        <v>0</v>
      </c>
      <c r="AY125" s="526">
        <f t="shared" si="138"/>
        <v>0</v>
      </c>
      <c r="AZ125" s="526">
        <f t="shared" si="138"/>
        <v>0</v>
      </c>
      <c r="BA125" s="526">
        <f t="shared" si="138"/>
        <v>0</v>
      </c>
      <c r="BB125" s="526">
        <f t="shared" si="138"/>
        <v>0</v>
      </c>
      <c r="BC125" s="526">
        <f t="shared" si="138"/>
        <v>0</v>
      </c>
      <c r="BD125" s="526">
        <f t="shared" si="138"/>
        <v>0</v>
      </c>
      <c r="BE125" s="526">
        <f t="shared" si="138"/>
        <v>0</v>
      </c>
      <c r="BF125" s="526">
        <f t="shared" si="138"/>
        <v>0</v>
      </c>
      <c r="BG125" s="526">
        <f t="shared" si="138"/>
        <v>0</v>
      </c>
      <c r="BH125" s="526">
        <f t="shared" si="138"/>
        <v>0</v>
      </c>
      <c r="BI125" s="526">
        <f t="shared" si="138"/>
        <v>0</v>
      </c>
      <c r="BJ125" s="526">
        <f t="shared" si="138"/>
        <v>0</v>
      </c>
      <c r="BK125" s="526">
        <f t="shared" si="138"/>
        <v>0</v>
      </c>
      <c r="BL125" s="526">
        <f t="shared" si="138"/>
        <v>0</v>
      </c>
      <c r="BM125" s="526">
        <f t="shared" si="138"/>
        <v>0</v>
      </c>
      <c r="BN125" s="526">
        <f t="shared" si="138"/>
        <v>0</v>
      </c>
      <c r="BO125" s="526">
        <f t="shared" si="138"/>
        <v>0</v>
      </c>
      <c r="BP125" s="526">
        <f t="shared" si="138"/>
        <v>0</v>
      </c>
      <c r="BQ125" s="526">
        <f t="shared" si="138"/>
        <v>0</v>
      </c>
      <c r="BR125" s="526">
        <f t="shared" si="138"/>
        <v>0</v>
      </c>
      <c r="BS125" s="526">
        <f t="shared" si="138"/>
        <v>0</v>
      </c>
      <c r="BT125" s="526">
        <f t="shared" si="138"/>
        <v>0</v>
      </c>
      <c r="BU125" s="526">
        <f t="shared" si="138"/>
        <v>0</v>
      </c>
      <c r="BV125" s="526">
        <f t="shared" si="138"/>
        <v>0</v>
      </c>
      <c r="BW125" s="526">
        <f t="shared" si="138"/>
        <v>0</v>
      </c>
      <c r="BX125" s="526">
        <f t="shared" ref="BX125:EB125" si="139">BX11</f>
        <v>0</v>
      </c>
      <c r="BY125" s="526">
        <f t="shared" si="139"/>
        <v>0</v>
      </c>
      <c r="BZ125" s="526">
        <f t="shared" si="139"/>
        <v>0</v>
      </c>
      <c r="CA125" s="526">
        <f t="shared" si="139"/>
        <v>0</v>
      </c>
      <c r="CB125" s="526">
        <f t="shared" si="139"/>
        <v>0</v>
      </c>
      <c r="CC125" s="526">
        <f t="shared" si="139"/>
        <v>0</v>
      </c>
      <c r="CD125" s="526">
        <f t="shared" si="139"/>
        <v>0</v>
      </c>
      <c r="CE125" s="526">
        <f t="shared" si="139"/>
        <v>0</v>
      </c>
      <c r="CF125" s="526">
        <f t="shared" si="139"/>
        <v>0</v>
      </c>
      <c r="CG125" s="526">
        <f t="shared" si="139"/>
        <v>0</v>
      </c>
      <c r="CH125" s="526">
        <f t="shared" si="139"/>
        <v>0</v>
      </c>
      <c r="CI125" s="526">
        <f t="shared" si="139"/>
        <v>0</v>
      </c>
      <c r="CJ125" s="526">
        <f t="shared" si="139"/>
        <v>0</v>
      </c>
      <c r="CK125" s="526">
        <f t="shared" si="139"/>
        <v>0</v>
      </c>
      <c r="CL125" s="526">
        <f t="shared" si="139"/>
        <v>0</v>
      </c>
      <c r="CM125" s="526">
        <f t="shared" si="139"/>
        <v>0</v>
      </c>
      <c r="CN125" s="526">
        <f t="shared" si="139"/>
        <v>0</v>
      </c>
      <c r="CO125" s="526">
        <f t="shared" si="139"/>
        <v>0</v>
      </c>
      <c r="CP125" s="526">
        <f t="shared" si="139"/>
        <v>0</v>
      </c>
      <c r="CQ125" s="526">
        <f t="shared" si="139"/>
        <v>0</v>
      </c>
      <c r="CR125" s="526">
        <f t="shared" si="139"/>
        <v>0</v>
      </c>
      <c r="CS125" s="526">
        <f t="shared" si="139"/>
        <v>0</v>
      </c>
      <c r="CT125" s="526">
        <f t="shared" si="139"/>
        <v>0</v>
      </c>
      <c r="CU125" s="526">
        <f t="shared" si="139"/>
        <v>0</v>
      </c>
      <c r="CV125" s="526">
        <f t="shared" si="139"/>
        <v>0</v>
      </c>
      <c r="CW125" s="526">
        <f t="shared" si="139"/>
        <v>0</v>
      </c>
      <c r="CX125" s="526">
        <f t="shared" si="139"/>
        <v>0</v>
      </c>
      <c r="CY125" s="526">
        <f t="shared" si="139"/>
        <v>0</v>
      </c>
      <c r="CZ125" s="526">
        <f t="shared" si="139"/>
        <v>0</v>
      </c>
      <c r="DA125" s="526">
        <f t="shared" si="139"/>
        <v>0</v>
      </c>
      <c r="DB125" s="526">
        <f t="shared" si="139"/>
        <v>0</v>
      </c>
      <c r="DC125" s="526">
        <f t="shared" si="139"/>
        <v>0</v>
      </c>
      <c r="DD125" s="526">
        <f t="shared" si="139"/>
        <v>0</v>
      </c>
      <c r="DE125" s="526">
        <f t="shared" si="139"/>
        <v>0</v>
      </c>
      <c r="DF125" s="526">
        <f t="shared" si="139"/>
        <v>0</v>
      </c>
      <c r="DG125" s="526">
        <f t="shared" si="139"/>
        <v>0</v>
      </c>
      <c r="DH125" s="526">
        <f t="shared" si="139"/>
        <v>0</v>
      </c>
      <c r="DI125" s="526">
        <f t="shared" si="139"/>
        <v>0</v>
      </c>
      <c r="DJ125" s="526">
        <f t="shared" si="139"/>
        <v>0</v>
      </c>
      <c r="DK125" s="526">
        <f t="shared" si="139"/>
        <v>0</v>
      </c>
      <c r="DL125" s="526">
        <f t="shared" si="139"/>
        <v>0</v>
      </c>
      <c r="DM125" s="526">
        <f t="shared" si="139"/>
        <v>0</v>
      </c>
      <c r="DN125" s="526">
        <f t="shared" si="139"/>
        <v>0</v>
      </c>
      <c r="DO125" s="526">
        <f t="shared" si="139"/>
        <v>0</v>
      </c>
      <c r="DP125" s="526">
        <f t="shared" si="139"/>
        <v>0</v>
      </c>
      <c r="DQ125" s="526">
        <f t="shared" si="139"/>
        <v>0</v>
      </c>
      <c r="DR125" s="526">
        <f t="shared" si="139"/>
        <v>0</v>
      </c>
      <c r="DS125" s="526">
        <f t="shared" si="139"/>
        <v>0</v>
      </c>
      <c r="DT125" s="526">
        <f t="shared" si="139"/>
        <v>0</v>
      </c>
      <c r="DU125" s="526">
        <f t="shared" si="139"/>
        <v>0</v>
      </c>
      <c r="DV125" s="526">
        <f t="shared" si="139"/>
        <v>0</v>
      </c>
      <c r="DW125" s="526">
        <f t="shared" si="139"/>
        <v>0</v>
      </c>
      <c r="DX125" s="526">
        <f t="shared" si="139"/>
        <v>0</v>
      </c>
      <c r="DY125" s="526">
        <f t="shared" si="139"/>
        <v>0</v>
      </c>
      <c r="DZ125" s="526">
        <f t="shared" si="139"/>
        <v>0</v>
      </c>
      <c r="EA125" s="526">
        <f t="shared" si="139"/>
        <v>0</v>
      </c>
      <c r="EB125" s="526">
        <f t="shared" si="139"/>
        <v>0</v>
      </c>
      <c r="EC125" s="523"/>
    </row>
    <row r="126" spans="8:133">
      <c r="H126" s="518" t="s">
        <v>1194</v>
      </c>
      <c r="I126" s="539"/>
      <c r="J126" s="557">
        <f ca="1">-J125+J124</f>
        <v>13597734.176520362</v>
      </c>
      <c r="L126" s="526">
        <f ca="1">-L125+L124</f>
        <v>-20296000</v>
      </c>
      <c r="M126" s="526">
        <f t="shared" ref="M126:BX126" ca="1" si="140">-M125+M124</f>
        <v>75142.199419975848</v>
      </c>
      <c r="N126" s="526">
        <f t="shared" ca="1" si="140"/>
        <v>77255.772749442272</v>
      </c>
      <c r="O126" s="526">
        <f t="shared" ca="1" si="140"/>
        <v>79383.436567771874</v>
      </c>
      <c r="P126" s="526">
        <f t="shared" ca="1" si="140"/>
        <v>81525.284811557081</v>
      </c>
      <c r="Q126" s="526">
        <f t="shared" ca="1" si="140"/>
        <v>83681.412043634118</v>
      </c>
      <c r="R126" s="526">
        <f t="shared" ca="1" si="140"/>
        <v>85851.913457258299</v>
      </c>
      <c r="S126" s="526">
        <f t="shared" ca="1" si="140"/>
        <v>88036.884880306709</v>
      </c>
      <c r="T126" s="526">
        <f t="shared" ca="1" si="140"/>
        <v>90236.422779508677</v>
      </c>
      <c r="U126" s="526">
        <f t="shared" ca="1" si="140"/>
        <v>92450.624264705359</v>
      </c>
      <c r="V126" s="526">
        <f t="shared" ca="1" si="140"/>
        <v>94679.587093136754</v>
      </c>
      <c r="W126" s="526">
        <f t="shared" ca="1" si="140"/>
        <v>96923.409673757662</v>
      </c>
      <c r="X126" s="526">
        <f t="shared" ca="1" si="140"/>
        <v>99182.191071582594</v>
      </c>
      <c r="Y126" s="526">
        <f t="shared" ca="1" si="140"/>
        <v>99132.252015780003</v>
      </c>
      <c r="Z126" s="526">
        <f t="shared" ca="1" si="140"/>
        <v>101277.30024087873</v>
      </c>
      <c r="AA126" s="526">
        <f t="shared" ca="1" si="140"/>
        <v>103435.75501738423</v>
      </c>
      <c r="AB126" s="526">
        <f t="shared" ca="1" si="140"/>
        <v>105607.70013624289</v>
      </c>
      <c r="AC126" s="526">
        <f t="shared" ca="1" si="140"/>
        <v>107793.2199120944</v>
      </c>
      <c r="AD126" s="526">
        <f t="shared" ca="1" si="140"/>
        <v>109992.39918654515</v>
      </c>
      <c r="AE126" s="526">
        <f t="shared" ca="1" si="140"/>
        <v>112205.32333146107</v>
      </c>
      <c r="AF126" s="526">
        <f t="shared" ca="1" si="140"/>
        <v>114432.07825228265</v>
      </c>
      <c r="AG126" s="526">
        <f t="shared" ca="1" si="140"/>
        <v>116672.75039135954</v>
      </c>
      <c r="AH126" s="526">
        <f t="shared" ca="1" si="140"/>
        <v>118927.4267313055</v>
      </c>
      <c r="AI126" s="526">
        <f t="shared" ca="1" si="140"/>
        <v>121196.19479837616</v>
      </c>
      <c r="AJ126" s="526">
        <f t="shared" ca="1" si="140"/>
        <v>123479.14266586611</v>
      </c>
      <c r="AK126" s="526">
        <f t="shared" ca="1" si="140"/>
        <v>122481.38876808564</v>
      </c>
      <c r="AL126" s="526">
        <f t="shared" ca="1" si="140"/>
        <v>123710.65473037933</v>
      </c>
      <c r="AM126" s="526">
        <f t="shared" ca="1" si="140"/>
        <v>124944.01824588062</v>
      </c>
      <c r="AN126" s="526">
        <f t="shared" ca="1" si="140"/>
        <v>126181.4929731002</v>
      </c>
      <c r="AO126" s="526">
        <f t="shared" ca="1" si="140"/>
        <v>127423.09261607715</v>
      </c>
      <c r="AP126" s="526">
        <f t="shared" ca="1" si="140"/>
        <v>128668.83092453091</v>
      </c>
      <c r="AQ126" s="526">
        <f t="shared" ca="1" si="140"/>
        <v>129918.72169401268</v>
      </c>
      <c r="AR126" s="526">
        <f t="shared" ca="1" si="140"/>
        <v>131172.77876605943</v>
      </c>
      <c r="AS126" s="526">
        <f t="shared" ca="1" si="140"/>
        <v>132431.01602834626</v>
      </c>
      <c r="AT126" s="526">
        <f t="shared" ca="1" si="140"/>
        <v>133693.44741484086</v>
      </c>
      <c r="AU126" s="526">
        <f t="shared" ca="1" si="140"/>
        <v>134960.08690595691</v>
      </c>
      <c r="AV126" s="526">
        <f t="shared" ca="1" si="140"/>
        <v>136230.94852871029</v>
      </c>
      <c r="AW126" s="526">
        <f t="shared" ca="1" si="140"/>
        <v>135241.08391927258</v>
      </c>
      <c r="AX126" s="526">
        <f t="shared" ca="1" si="140"/>
        <v>136520.43207352899</v>
      </c>
      <c r="AY126" s="526">
        <f t="shared" ca="1" si="140"/>
        <v>137804.04472163261</v>
      </c>
      <c r="AZ126" s="526">
        <f t="shared" ca="1" si="140"/>
        <v>139091.93607856351</v>
      </c>
      <c r="BA126" s="526">
        <f t="shared" ca="1" si="140"/>
        <v>140384.12040668412</v>
      </c>
      <c r="BB126" s="526">
        <f t="shared" ca="1" si="140"/>
        <v>141680.61201589828</v>
      </c>
      <c r="BC126" s="526">
        <f t="shared" ca="1" si="140"/>
        <v>142981.42526381009</v>
      </c>
      <c r="BD126" s="526">
        <f t="shared" ca="1" si="140"/>
        <v>144286.57455588144</v>
      </c>
      <c r="BE126" s="526">
        <f t="shared" ca="1" si="140"/>
        <v>145596.07434559317</v>
      </c>
      <c r="BF126" s="526">
        <f t="shared" ca="1" si="140"/>
        <v>146909.93913460377</v>
      </c>
      <c r="BG126" s="526">
        <f t="shared" ca="1" si="140"/>
        <v>148228.18347291125</v>
      </c>
      <c r="BH126" s="526">
        <f t="shared" ca="1" si="140"/>
        <v>28404692.591443792</v>
      </c>
      <c r="BI126" s="526">
        <f t="shared" ca="1" si="140"/>
        <v>0</v>
      </c>
      <c r="BJ126" s="526">
        <f t="shared" ca="1" si="140"/>
        <v>0</v>
      </c>
      <c r="BK126" s="526">
        <f t="shared" ca="1" si="140"/>
        <v>0</v>
      </c>
      <c r="BL126" s="526">
        <f t="shared" ca="1" si="140"/>
        <v>0</v>
      </c>
      <c r="BM126" s="526">
        <f t="shared" ca="1" si="140"/>
        <v>0</v>
      </c>
      <c r="BN126" s="526">
        <f t="shared" ca="1" si="140"/>
        <v>0</v>
      </c>
      <c r="BO126" s="526">
        <f t="shared" ca="1" si="140"/>
        <v>0</v>
      </c>
      <c r="BP126" s="526">
        <f t="shared" ca="1" si="140"/>
        <v>0</v>
      </c>
      <c r="BQ126" s="526">
        <f t="shared" ca="1" si="140"/>
        <v>0</v>
      </c>
      <c r="BR126" s="526">
        <f t="shared" ca="1" si="140"/>
        <v>0</v>
      </c>
      <c r="BS126" s="526">
        <f t="shared" ca="1" si="140"/>
        <v>0</v>
      </c>
      <c r="BT126" s="526">
        <f t="shared" ca="1" si="140"/>
        <v>0</v>
      </c>
      <c r="BU126" s="526">
        <f t="shared" ca="1" si="140"/>
        <v>0</v>
      </c>
      <c r="BV126" s="526">
        <f t="shared" ca="1" si="140"/>
        <v>0</v>
      </c>
      <c r="BW126" s="526">
        <f t="shared" ca="1" si="140"/>
        <v>0</v>
      </c>
      <c r="BX126" s="526">
        <f t="shared" ca="1" si="140"/>
        <v>0</v>
      </c>
      <c r="BY126" s="526">
        <f t="shared" ref="BY126:EB126" ca="1" si="141">-BY125+BY124</f>
        <v>0</v>
      </c>
      <c r="BZ126" s="526">
        <f t="shared" ca="1" si="141"/>
        <v>0</v>
      </c>
      <c r="CA126" s="526">
        <f t="shared" ca="1" si="141"/>
        <v>0</v>
      </c>
      <c r="CB126" s="526">
        <f t="shared" ca="1" si="141"/>
        <v>0</v>
      </c>
      <c r="CC126" s="526">
        <f t="shared" ca="1" si="141"/>
        <v>0</v>
      </c>
      <c r="CD126" s="526">
        <f t="shared" ca="1" si="141"/>
        <v>0</v>
      </c>
      <c r="CE126" s="526">
        <f t="shared" ca="1" si="141"/>
        <v>0</v>
      </c>
      <c r="CF126" s="526">
        <f t="shared" ca="1" si="141"/>
        <v>0</v>
      </c>
      <c r="CG126" s="526">
        <f t="shared" ca="1" si="141"/>
        <v>0</v>
      </c>
      <c r="CH126" s="526">
        <f t="shared" ca="1" si="141"/>
        <v>0</v>
      </c>
      <c r="CI126" s="526">
        <f t="shared" ca="1" si="141"/>
        <v>0</v>
      </c>
      <c r="CJ126" s="526">
        <f t="shared" ca="1" si="141"/>
        <v>0</v>
      </c>
      <c r="CK126" s="526">
        <f t="shared" ca="1" si="141"/>
        <v>0</v>
      </c>
      <c r="CL126" s="526">
        <f t="shared" ca="1" si="141"/>
        <v>0</v>
      </c>
      <c r="CM126" s="526">
        <f t="shared" ca="1" si="141"/>
        <v>0</v>
      </c>
      <c r="CN126" s="526">
        <f t="shared" ca="1" si="141"/>
        <v>0</v>
      </c>
      <c r="CO126" s="526">
        <f t="shared" ca="1" si="141"/>
        <v>0</v>
      </c>
      <c r="CP126" s="526">
        <f t="shared" ca="1" si="141"/>
        <v>0</v>
      </c>
      <c r="CQ126" s="526">
        <f t="shared" ca="1" si="141"/>
        <v>0</v>
      </c>
      <c r="CR126" s="526">
        <f t="shared" ca="1" si="141"/>
        <v>0</v>
      </c>
      <c r="CS126" s="526">
        <f t="shared" ca="1" si="141"/>
        <v>0</v>
      </c>
      <c r="CT126" s="526">
        <f t="shared" ca="1" si="141"/>
        <v>0</v>
      </c>
      <c r="CU126" s="526">
        <f t="shared" ca="1" si="141"/>
        <v>0</v>
      </c>
      <c r="CV126" s="526">
        <f t="shared" ca="1" si="141"/>
        <v>0</v>
      </c>
      <c r="CW126" s="526">
        <f t="shared" ca="1" si="141"/>
        <v>0</v>
      </c>
      <c r="CX126" s="526">
        <f t="shared" ca="1" si="141"/>
        <v>0</v>
      </c>
      <c r="CY126" s="526">
        <f t="shared" ca="1" si="141"/>
        <v>0</v>
      </c>
      <c r="CZ126" s="526">
        <f t="shared" ca="1" si="141"/>
        <v>0</v>
      </c>
      <c r="DA126" s="526">
        <f t="shared" ca="1" si="141"/>
        <v>0</v>
      </c>
      <c r="DB126" s="526">
        <f t="shared" ca="1" si="141"/>
        <v>0</v>
      </c>
      <c r="DC126" s="526">
        <f t="shared" ca="1" si="141"/>
        <v>0</v>
      </c>
      <c r="DD126" s="526">
        <f t="shared" ca="1" si="141"/>
        <v>0</v>
      </c>
      <c r="DE126" s="526">
        <f t="shared" ca="1" si="141"/>
        <v>0</v>
      </c>
      <c r="DF126" s="526">
        <f t="shared" ca="1" si="141"/>
        <v>0</v>
      </c>
      <c r="DG126" s="526">
        <f t="shared" ca="1" si="141"/>
        <v>0</v>
      </c>
      <c r="DH126" s="526">
        <f t="shared" ca="1" si="141"/>
        <v>0</v>
      </c>
      <c r="DI126" s="526">
        <f t="shared" ca="1" si="141"/>
        <v>0</v>
      </c>
      <c r="DJ126" s="526">
        <f t="shared" ca="1" si="141"/>
        <v>0</v>
      </c>
      <c r="DK126" s="526">
        <f t="shared" ca="1" si="141"/>
        <v>0</v>
      </c>
      <c r="DL126" s="526">
        <f t="shared" ca="1" si="141"/>
        <v>0</v>
      </c>
      <c r="DM126" s="526">
        <f t="shared" ca="1" si="141"/>
        <v>0</v>
      </c>
      <c r="DN126" s="526">
        <f t="shared" ca="1" si="141"/>
        <v>0</v>
      </c>
      <c r="DO126" s="526">
        <f t="shared" ca="1" si="141"/>
        <v>0</v>
      </c>
      <c r="DP126" s="526">
        <f t="shared" ca="1" si="141"/>
        <v>0</v>
      </c>
      <c r="DQ126" s="526">
        <f t="shared" ca="1" si="141"/>
        <v>0</v>
      </c>
      <c r="DR126" s="526">
        <f t="shared" ca="1" si="141"/>
        <v>0</v>
      </c>
      <c r="DS126" s="526">
        <f t="shared" ca="1" si="141"/>
        <v>0</v>
      </c>
      <c r="DT126" s="526">
        <f t="shared" ca="1" si="141"/>
        <v>0</v>
      </c>
      <c r="DU126" s="526">
        <f t="shared" ca="1" si="141"/>
        <v>0</v>
      </c>
      <c r="DV126" s="526">
        <f t="shared" ca="1" si="141"/>
        <v>0</v>
      </c>
      <c r="DW126" s="526">
        <f t="shared" ca="1" si="141"/>
        <v>0</v>
      </c>
      <c r="DX126" s="526">
        <f t="shared" ca="1" si="141"/>
        <v>0</v>
      </c>
      <c r="DY126" s="526">
        <f t="shared" ca="1" si="141"/>
        <v>0</v>
      </c>
      <c r="DZ126" s="526">
        <f t="shared" ca="1" si="141"/>
        <v>0</v>
      </c>
      <c r="EA126" s="526">
        <f t="shared" ca="1" si="141"/>
        <v>0</v>
      </c>
      <c r="EB126" s="526">
        <f t="shared" ca="1" si="141"/>
        <v>0</v>
      </c>
      <c r="EC126" s="523"/>
    </row>
    <row r="127" spans="8:133">
      <c r="H127" s="518" t="s">
        <v>1140</v>
      </c>
      <c r="I127" s="558">
        <f ca="1">XIRR(L126:EB126,$L$2:$EB$2,)</f>
        <v>0.15229130387306214</v>
      </c>
      <c r="L127" s="526"/>
      <c r="M127" s="526"/>
      <c r="N127" s="526"/>
      <c r="O127" s="526"/>
      <c r="P127" s="526"/>
      <c r="Q127" s="526"/>
      <c r="R127" s="526"/>
      <c r="S127" s="526"/>
      <c r="T127" s="526"/>
      <c r="U127" s="526"/>
      <c r="V127" s="526"/>
      <c r="W127" s="526"/>
      <c r="X127" s="526"/>
      <c r="Y127" s="526"/>
      <c r="Z127" s="526"/>
      <c r="AA127" s="526"/>
      <c r="AB127" s="526"/>
      <c r="AC127" s="526"/>
      <c r="AD127" s="526"/>
      <c r="AE127" s="526"/>
      <c r="AF127" s="526"/>
      <c r="AG127" s="526"/>
      <c r="AH127" s="526"/>
      <c r="AI127" s="526"/>
      <c r="AJ127" s="526"/>
      <c r="AK127" s="526"/>
      <c r="AL127" s="526"/>
      <c r="AM127" s="526"/>
      <c r="AN127" s="526"/>
      <c r="AO127" s="526"/>
      <c r="AP127" s="526"/>
      <c r="AQ127" s="526"/>
      <c r="AR127" s="526"/>
      <c r="AS127" s="526"/>
      <c r="AT127" s="526"/>
      <c r="AU127" s="526"/>
      <c r="AV127" s="526"/>
      <c r="AW127" s="526"/>
      <c r="AX127" s="526"/>
      <c r="AY127" s="526"/>
      <c r="AZ127" s="526"/>
      <c r="BA127" s="526"/>
      <c r="BB127" s="526"/>
      <c r="BC127" s="526"/>
      <c r="BD127" s="526"/>
      <c r="BE127" s="526"/>
      <c r="BF127" s="526"/>
      <c r="BG127" s="526"/>
      <c r="BH127" s="526"/>
      <c r="BI127" s="526"/>
      <c r="BJ127" s="526"/>
      <c r="BK127" s="526"/>
      <c r="BL127" s="526"/>
      <c r="BM127" s="526"/>
      <c r="BN127" s="526"/>
      <c r="BO127" s="526"/>
      <c r="BP127" s="526"/>
      <c r="BQ127" s="526"/>
      <c r="BR127" s="526"/>
      <c r="BS127" s="526"/>
      <c r="BT127" s="526"/>
      <c r="BU127" s="526"/>
      <c r="BV127" s="526"/>
      <c r="BW127" s="526"/>
      <c r="BX127" s="526"/>
      <c r="BY127" s="526"/>
      <c r="BZ127" s="526"/>
      <c r="CA127" s="526"/>
      <c r="CB127" s="526"/>
      <c r="CC127" s="526"/>
      <c r="CD127" s="526"/>
      <c r="CE127" s="526"/>
      <c r="CF127" s="526"/>
      <c r="CG127" s="526"/>
      <c r="CH127" s="526"/>
      <c r="CI127" s="526"/>
      <c r="CJ127" s="526"/>
      <c r="CK127" s="526"/>
      <c r="CL127" s="526"/>
      <c r="CM127" s="526"/>
      <c r="CN127" s="526"/>
      <c r="CO127" s="526"/>
      <c r="CP127" s="526"/>
      <c r="CQ127" s="526"/>
      <c r="CR127" s="526"/>
      <c r="CS127" s="526"/>
      <c r="CT127" s="526"/>
      <c r="CU127" s="526"/>
      <c r="CV127" s="526"/>
      <c r="CW127" s="526"/>
      <c r="CX127" s="526"/>
      <c r="CY127" s="526"/>
      <c r="CZ127" s="526"/>
      <c r="DA127" s="526"/>
      <c r="DB127" s="526"/>
      <c r="DC127" s="526"/>
      <c r="DD127" s="526"/>
      <c r="DE127" s="526"/>
      <c r="DF127" s="526"/>
      <c r="DG127" s="526"/>
      <c r="DH127" s="526"/>
      <c r="DI127" s="526"/>
      <c r="DJ127" s="526"/>
      <c r="DK127" s="526"/>
      <c r="DL127" s="526"/>
      <c r="DM127" s="526"/>
      <c r="DN127" s="526"/>
      <c r="DO127" s="526"/>
      <c r="DP127" s="526"/>
      <c r="DQ127" s="526"/>
      <c r="DR127" s="526"/>
      <c r="DS127" s="526"/>
      <c r="DT127" s="526"/>
      <c r="DU127" s="526"/>
      <c r="DV127" s="526"/>
      <c r="DW127" s="526"/>
      <c r="DX127" s="526"/>
      <c r="DY127" s="526"/>
      <c r="DZ127" s="526"/>
      <c r="EA127" s="526"/>
      <c r="EB127" s="526"/>
      <c r="EC127" s="523" t="s">
        <v>557</v>
      </c>
    </row>
    <row r="128" spans="8:133" ht="18" thickBot="1">
      <c r="H128" s="554" t="s">
        <v>1143</v>
      </c>
      <c r="I128" s="559">
        <f ca="1">J124/J125</f>
        <v>1.6699711360130254</v>
      </c>
      <c r="J128" s="555"/>
      <c r="K128" s="555"/>
      <c r="L128" s="556"/>
      <c r="M128" s="556"/>
      <c r="N128" s="556"/>
      <c r="O128" s="556"/>
      <c r="P128" s="556"/>
      <c r="Q128" s="556"/>
      <c r="R128" s="556"/>
      <c r="S128" s="556"/>
      <c r="T128" s="556"/>
      <c r="U128" s="556"/>
      <c r="V128" s="556"/>
      <c r="W128" s="556"/>
      <c r="X128" s="556"/>
      <c r="Y128" s="556"/>
      <c r="Z128" s="556"/>
      <c r="AA128" s="556"/>
      <c r="AB128" s="556"/>
      <c r="AC128" s="556"/>
      <c r="AD128" s="556"/>
      <c r="AE128" s="556"/>
      <c r="AF128" s="556"/>
      <c r="AG128" s="556"/>
      <c r="AH128" s="556"/>
      <c r="AI128" s="556"/>
      <c r="AJ128" s="556"/>
      <c r="AK128" s="556"/>
      <c r="AL128" s="556"/>
      <c r="AM128" s="556"/>
      <c r="AN128" s="556"/>
      <c r="AO128" s="556"/>
      <c r="AP128" s="556"/>
      <c r="AQ128" s="556"/>
      <c r="AR128" s="556"/>
      <c r="AS128" s="556"/>
      <c r="AT128" s="556"/>
      <c r="AU128" s="556"/>
      <c r="AV128" s="556"/>
      <c r="AW128" s="556"/>
      <c r="AX128" s="556"/>
      <c r="AY128" s="556"/>
      <c r="AZ128" s="556"/>
      <c r="BA128" s="556"/>
      <c r="BB128" s="556"/>
      <c r="BC128" s="556"/>
      <c r="BD128" s="556"/>
      <c r="BE128" s="556"/>
      <c r="BF128" s="556"/>
      <c r="BG128" s="556"/>
      <c r="BH128" s="556"/>
      <c r="BI128" s="556"/>
      <c r="BJ128" s="556"/>
      <c r="BK128" s="556"/>
      <c r="BL128" s="556"/>
      <c r="BM128" s="556"/>
      <c r="BN128" s="556"/>
      <c r="BO128" s="556"/>
      <c r="BP128" s="556"/>
      <c r="BQ128" s="556"/>
      <c r="BR128" s="556"/>
      <c r="BS128" s="556"/>
      <c r="BT128" s="556"/>
      <c r="BU128" s="556"/>
      <c r="BV128" s="556"/>
      <c r="BW128" s="556"/>
      <c r="BX128" s="556"/>
      <c r="BY128" s="556"/>
      <c r="BZ128" s="556"/>
      <c r="CA128" s="556"/>
      <c r="CB128" s="556"/>
      <c r="CC128" s="556"/>
      <c r="CD128" s="556"/>
      <c r="CE128" s="556"/>
      <c r="CF128" s="556"/>
      <c r="CG128" s="556"/>
      <c r="CH128" s="556"/>
      <c r="CI128" s="556"/>
      <c r="CJ128" s="556"/>
      <c r="CK128" s="556"/>
      <c r="CL128" s="556"/>
      <c r="CM128" s="556"/>
      <c r="CN128" s="556"/>
      <c r="CO128" s="556"/>
      <c r="CP128" s="556"/>
      <c r="CQ128" s="556"/>
      <c r="CR128" s="556"/>
      <c r="CS128" s="556"/>
      <c r="CT128" s="556"/>
      <c r="CU128" s="556"/>
      <c r="CV128" s="556"/>
      <c r="CW128" s="556"/>
      <c r="CX128" s="556"/>
      <c r="CY128" s="556"/>
      <c r="CZ128" s="556"/>
      <c r="DA128" s="556"/>
      <c r="DB128" s="556"/>
      <c r="DC128" s="556"/>
      <c r="DD128" s="556"/>
      <c r="DE128" s="556"/>
      <c r="DF128" s="556"/>
      <c r="DG128" s="556"/>
      <c r="DH128" s="556"/>
      <c r="DI128" s="556"/>
      <c r="DJ128" s="556"/>
      <c r="DK128" s="556"/>
      <c r="DL128" s="556"/>
      <c r="DM128" s="556"/>
      <c r="DN128" s="556"/>
      <c r="DO128" s="556"/>
      <c r="DP128" s="556"/>
      <c r="DQ128" s="556"/>
      <c r="DR128" s="556"/>
      <c r="DS128" s="556"/>
      <c r="DT128" s="556"/>
      <c r="DU128" s="556"/>
      <c r="DV128" s="556"/>
      <c r="DW128" s="556"/>
      <c r="DX128" s="556"/>
      <c r="DY128" s="556"/>
      <c r="DZ128" s="556"/>
      <c r="EA128" s="556"/>
      <c r="EB128" s="556"/>
      <c r="EC128" s="523" t="s">
        <v>557</v>
      </c>
    </row>
    <row r="130" spans="8:133" ht="19">
      <c r="H130" s="173" t="s">
        <v>1195</v>
      </c>
      <c r="I130" s="529"/>
      <c r="J130" s="529"/>
      <c r="K130" s="530"/>
      <c r="L130" s="530"/>
      <c r="M130" s="530"/>
      <c r="N130" s="530"/>
      <c r="O130" s="530"/>
      <c r="P130" s="530"/>
      <c r="Q130" s="530"/>
      <c r="R130" s="530"/>
      <c r="S130" s="530"/>
      <c r="T130" s="530"/>
      <c r="U130" s="530"/>
      <c r="V130" s="530"/>
      <c r="W130" s="530"/>
      <c r="X130" s="530"/>
      <c r="Y130" s="530"/>
      <c r="Z130" s="530"/>
      <c r="AA130" s="530"/>
      <c r="AB130" s="530"/>
      <c r="AC130" s="530"/>
      <c r="AD130" s="530"/>
      <c r="AE130" s="530"/>
      <c r="AF130" s="530"/>
      <c r="AG130" s="530"/>
      <c r="AH130" s="530"/>
      <c r="AI130" s="530"/>
      <c r="AJ130" s="530"/>
      <c r="AK130" s="530"/>
      <c r="AL130" s="530"/>
      <c r="AM130" s="530"/>
      <c r="AN130" s="530"/>
      <c r="AO130" s="530"/>
      <c r="AP130" s="530"/>
      <c r="AQ130" s="530"/>
      <c r="AR130" s="530"/>
      <c r="AS130" s="530"/>
      <c r="AT130" s="530"/>
      <c r="AU130" s="530"/>
      <c r="AV130" s="530"/>
      <c r="AW130" s="530"/>
      <c r="AX130" s="530"/>
      <c r="AY130" s="530"/>
      <c r="AZ130" s="530"/>
      <c r="BA130" s="530"/>
      <c r="BB130" s="530"/>
      <c r="BC130" s="530"/>
      <c r="BD130" s="530"/>
      <c r="BE130" s="530"/>
      <c r="BF130" s="530"/>
      <c r="BG130" s="530"/>
      <c r="BH130" s="530"/>
      <c r="BI130" s="530"/>
      <c r="BJ130" s="530"/>
      <c r="BK130" s="530"/>
      <c r="BL130" s="530"/>
      <c r="BM130" s="530"/>
      <c r="BN130" s="530"/>
      <c r="BO130" s="530"/>
      <c r="BP130" s="530"/>
      <c r="BQ130" s="530"/>
      <c r="BR130" s="530"/>
      <c r="BS130" s="530"/>
      <c r="BT130" s="530"/>
      <c r="BU130" s="530"/>
      <c r="BV130" s="530"/>
      <c r="BW130" s="530"/>
      <c r="BX130" s="530"/>
      <c r="BY130" s="530"/>
      <c r="BZ130" s="530"/>
      <c r="CA130" s="530"/>
      <c r="CB130" s="530"/>
      <c r="CC130" s="530"/>
      <c r="CD130" s="530"/>
      <c r="CE130" s="530"/>
      <c r="CF130" s="530"/>
      <c r="CG130" s="530"/>
      <c r="CH130" s="530"/>
      <c r="CI130" s="530"/>
      <c r="CJ130" s="530"/>
      <c r="CK130" s="530"/>
      <c r="CL130" s="530"/>
      <c r="CM130" s="530"/>
      <c r="CN130" s="530"/>
      <c r="CO130" s="530"/>
      <c r="CP130" s="530"/>
      <c r="CQ130" s="530"/>
      <c r="CR130" s="530"/>
      <c r="CS130" s="530"/>
      <c r="CT130" s="530"/>
      <c r="CU130" s="530"/>
      <c r="CV130" s="530"/>
      <c r="CW130" s="530"/>
      <c r="CX130" s="530"/>
      <c r="CY130" s="530"/>
      <c r="CZ130" s="530"/>
      <c r="DA130" s="530"/>
      <c r="DB130" s="530"/>
      <c r="DC130" s="530"/>
      <c r="DD130" s="530"/>
      <c r="DE130" s="530"/>
      <c r="DF130" s="530"/>
      <c r="DG130" s="530"/>
      <c r="DH130" s="530"/>
      <c r="DI130" s="530"/>
      <c r="DJ130" s="530"/>
      <c r="DK130" s="530"/>
      <c r="DL130" s="530"/>
      <c r="DM130" s="530"/>
      <c r="DN130" s="530"/>
      <c r="DO130" s="530"/>
      <c r="DP130" s="530"/>
      <c r="DQ130" s="530"/>
      <c r="DR130" s="530"/>
      <c r="DS130" s="530"/>
      <c r="DT130" s="530"/>
      <c r="DU130" s="530"/>
      <c r="DV130" s="530"/>
      <c r="DW130" s="530"/>
      <c r="DX130" s="530"/>
      <c r="DY130" s="530"/>
      <c r="DZ130" s="530"/>
      <c r="EA130" s="530"/>
      <c r="EB130" s="530"/>
      <c r="EC130" s="523" t="s">
        <v>557</v>
      </c>
    </row>
    <row r="131" spans="8:133">
      <c r="H131" s="518" t="s">
        <v>1192</v>
      </c>
      <c r="I131" s="539"/>
      <c r="J131" s="526">
        <f ca="1">SUM(L131:EB131)</f>
        <v>965535.8613824707</v>
      </c>
      <c r="L131" s="526">
        <f ca="1">L19+L39+L57+L75+L93+L111+L118</f>
        <v>0</v>
      </c>
      <c r="M131" s="526">
        <f t="shared" ref="M131:BX131" ca="1" si="142">M19+M39+M57+M75+M93+M111+M118</f>
        <v>0</v>
      </c>
      <c r="N131" s="526">
        <f t="shared" ca="1" si="142"/>
        <v>0</v>
      </c>
      <c r="O131" s="526">
        <f t="shared" ca="1" si="142"/>
        <v>0</v>
      </c>
      <c r="P131" s="526">
        <f t="shared" ca="1" si="142"/>
        <v>0</v>
      </c>
      <c r="Q131" s="526">
        <f t="shared" ca="1" si="142"/>
        <v>0</v>
      </c>
      <c r="R131" s="526">
        <f t="shared" ca="1" si="142"/>
        <v>0</v>
      </c>
      <c r="S131" s="526">
        <f t="shared" ca="1" si="142"/>
        <v>0</v>
      </c>
      <c r="T131" s="526">
        <f t="shared" ca="1" si="142"/>
        <v>0</v>
      </c>
      <c r="U131" s="526">
        <f t="shared" ca="1" si="142"/>
        <v>0</v>
      </c>
      <c r="V131" s="526">
        <f t="shared" ca="1" si="142"/>
        <v>0</v>
      </c>
      <c r="W131" s="526">
        <f t="shared" ca="1" si="142"/>
        <v>0</v>
      </c>
      <c r="X131" s="526">
        <f t="shared" ca="1" si="142"/>
        <v>0</v>
      </c>
      <c r="Y131" s="526">
        <f t="shared" ca="1" si="142"/>
        <v>0</v>
      </c>
      <c r="Z131" s="526">
        <f t="shared" ca="1" si="142"/>
        <v>0</v>
      </c>
      <c r="AA131" s="526">
        <f t="shared" ca="1" si="142"/>
        <v>0</v>
      </c>
      <c r="AB131" s="526">
        <f t="shared" ca="1" si="142"/>
        <v>0</v>
      </c>
      <c r="AC131" s="526">
        <f t="shared" ca="1" si="142"/>
        <v>0</v>
      </c>
      <c r="AD131" s="526">
        <f t="shared" ca="1" si="142"/>
        <v>0</v>
      </c>
      <c r="AE131" s="526">
        <f t="shared" ca="1" si="142"/>
        <v>0</v>
      </c>
      <c r="AF131" s="526">
        <f t="shared" ca="1" si="142"/>
        <v>0</v>
      </c>
      <c r="AG131" s="526">
        <f t="shared" ca="1" si="142"/>
        <v>0</v>
      </c>
      <c r="AH131" s="526">
        <f t="shared" ca="1" si="142"/>
        <v>0</v>
      </c>
      <c r="AI131" s="526">
        <f t="shared" ca="1" si="142"/>
        <v>0</v>
      </c>
      <c r="AJ131" s="526">
        <f t="shared" ca="1" si="142"/>
        <v>0</v>
      </c>
      <c r="AK131" s="526">
        <f t="shared" ca="1" si="142"/>
        <v>0</v>
      </c>
      <c r="AL131" s="526">
        <f t="shared" ca="1" si="142"/>
        <v>0</v>
      </c>
      <c r="AM131" s="526">
        <f t="shared" ca="1" si="142"/>
        <v>0</v>
      </c>
      <c r="AN131" s="526">
        <f t="shared" ca="1" si="142"/>
        <v>0</v>
      </c>
      <c r="AO131" s="526">
        <f t="shared" ca="1" si="142"/>
        <v>0</v>
      </c>
      <c r="AP131" s="526">
        <f t="shared" ca="1" si="142"/>
        <v>0</v>
      </c>
      <c r="AQ131" s="526">
        <f t="shared" ca="1" si="142"/>
        <v>0</v>
      </c>
      <c r="AR131" s="526">
        <f t="shared" ca="1" si="142"/>
        <v>0</v>
      </c>
      <c r="AS131" s="526">
        <f t="shared" ca="1" si="142"/>
        <v>0</v>
      </c>
      <c r="AT131" s="526">
        <f t="shared" ca="1" si="142"/>
        <v>0</v>
      </c>
      <c r="AU131" s="526">
        <f t="shared" ca="1" si="142"/>
        <v>0</v>
      </c>
      <c r="AV131" s="526">
        <f t="shared" ca="1" si="142"/>
        <v>0</v>
      </c>
      <c r="AW131" s="526">
        <f t="shared" ca="1" si="142"/>
        <v>0</v>
      </c>
      <c r="AX131" s="526">
        <f t="shared" ca="1" si="142"/>
        <v>0</v>
      </c>
      <c r="AY131" s="526">
        <f t="shared" ca="1" si="142"/>
        <v>0</v>
      </c>
      <c r="AZ131" s="526">
        <f t="shared" ca="1" si="142"/>
        <v>0</v>
      </c>
      <c r="BA131" s="526">
        <f t="shared" ca="1" si="142"/>
        <v>0</v>
      </c>
      <c r="BB131" s="526">
        <f t="shared" ca="1" si="142"/>
        <v>0</v>
      </c>
      <c r="BC131" s="526">
        <f t="shared" ca="1" si="142"/>
        <v>0</v>
      </c>
      <c r="BD131" s="526">
        <f t="shared" ca="1" si="142"/>
        <v>0</v>
      </c>
      <c r="BE131" s="526">
        <f t="shared" ca="1" si="142"/>
        <v>0</v>
      </c>
      <c r="BF131" s="526">
        <f t="shared" ca="1" si="142"/>
        <v>0</v>
      </c>
      <c r="BG131" s="526">
        <f t="shared" ca="1" si="142"/>
        <v>0</v>
      </c>
      <c r="BH131" s="526">
        <f t="shared" ca="1" si="142"/>
        <v>965535.8613824707</v>
      </c>
      <c r="BI131" s="526">
        <f t="shared" ca="1" si="142"/>
        <v>0</v>
      </c>
      <c r="BJ131" s="526">
        <f t="shared" ca="1" si="142"/>
        <v>0</v>
      </c>
      <c r="BK131" s="526">
        <f t="shared" ca="1" si="142"/>
        <v>0</v>
      </c>
      <c r="BL131" s="526">
        <f t="shared" ca="1" si="142"/>
        <v>0</v>
      </c>
      <c r="BM131" s="526">
        <f t="shared" ca="1" si="142"/>
        <v>0</v>
      </c>
      <c r="BN131" s="526">
        <f t="shared" ca="1" si="142"/>
        <v>0</v>
      </c>
      <c r="BO131" s="526">
        <f t="shared" ca="1" si="142"/>
        <v>0</v>
      </c>
      <c r="BP131" s="526">
        <f t="shared" ca="1" si="142"/>
        <v>0</v>
      </c>
      <c r="BQ131" s="526">
        <f t="shared" ca="1" si="142"/>
        <v>0</v>
      </c>
      <c r="BR131" s="526">
        <f t="shared" ca="1" si="142"/>
        <v>0</v>
      </c>
      <c r="BS131" s="526">
        <f t="shared" ca="1" si="142"/>
        <v>0</v>
      </c>
      <c r="BT131" s="526">
        <f t="shared" ca="1" si="142"/>
        <v>0</v>
      </c>
      <c r="BU131" s="526">
        <f t="shared" ca="1" si="142"/>
        <v>0</v>
      </c>
      <c r="BV131" s="526">
        <f t="shared" ca="1" si="142"/>
        <v>0</v>
      </c>
      <c r="BW131" s="526">
        <f t="shared" ca="1" si="142"/>
        <v>0</v>
      </c>
      <c r="BX131" s="526">
        <f t="shared" ca="1" si="142"/>
        <v>0</v>
      </c>
      <c r="BY131" s="526">
        <f t="shared" ref="BY131:EB131" ca="1" si="143">BY19+BY39+BY57+BY75+BY93+BY111+BY118</f>
        <v>0</v>
      </c>
      <c r="BZ131" s="526">
        <f t="shared" ca="1" si="143"/>
        <v>0</v>
      </c>
      <c r="CA131" s="526">
        <f t="shared" ca="1" si="143"/>
        <v>0</v>
      </c>
      <c r="CB131" s="526">
        <f t="shared" ca="1" si="143"/>
        <v>0</v>
      </c>
      <c r="CC131" s="526">
        <f t="shared" ca="1" si="143"/>
        <v>0</v>
      </c>
      <c r="CD131" s="526">
        <f t="shared" ca="1" si="143"/>
        <v>0</v>
      </c>
      <c r="CE131" s="526">
        <f t="shared" ca="1" si="143"/>
        <v>0</v>
      </c>
      <c r="CF131" s="526">
        <f t="shared" ca="1" si="143"/>
        <v>0</v>
      </c>
      <c r="CG131" s="526">
        <f t="shared" ca="1" si="143"/>
        <v>0</v>
      </c>
      <c r="CH131" s="526">
        <f t="shared" ca="1" si="143"/>
        <v>0</v>
      </c>
      <c r="CI131" s="526">
        <f t="shared" ca="1" si="143"/>
        <v>0</v>
      </c>
      <c r="CJ131" s="526">
        <f t="shared" ca="1" si="143"/>
        <v>0</v>
      </c>
      <c r="CK131" s="526">
        <f t="shared" ca="1" si="143"/>
        <v>0</v>
      </c>
      <c r="CL131" s="526">
        <f t="shared" ca="1" si="143"/>
        <v>0</v>
      </c>
      <c r="CM131" s="526">
        <f t="shared" ca="1" si="143"/>
        <v>0</v>
      </c>
      <c r="CN131" s="526">
        <f t="shared" ca="1" si="143"/>
        <v>0</v>
      </c>
      <c r="CO131" s="526">
        <f t="shared" ca="1" si="143"/>
        <v>0</v>
      </c>
      <c r="CP131" s="526">
        <f t="shared" ca="1" si="143"/>
        <v>0</v>
      </c>
      <c r="CQ131" s="526">
        <f t="shared" ca="1" si="143"/>
        <v>0</v>
      </c>
      <c r="CR131" s="526">
        <f t="shared" ca="1" si="143"/>
        <v>0</v>
      </c>
      <c r="CS131" s="526">
        <f t="shared" ca="1" si="143"/>
        <v>0</v>
      </c>
      <c r="CT131" s="526">
        <f t="shared" ca="1" si="143"/>
        <v>0</v>
      </c>
      <c r="CU131" s="526">
        <f t="shared" ca="1" si="143"/>
        <v>0</v>
      </c>
      <c r="CV131" s="526">
        <f t="shared" ca="1" si="143"/>
        <v>0</v>
      </c>
      <c r="CW131" s="526">
        <f t="shared" ca="1" si="143"/>
        <v>0</v>
      </c>
      <c r="CX131" s="526">
        <f t="shared" ca="1" si="143"/>
        <v>0</v>
      </c>
      <c r="CY131" s="526">
        <f t="shared" ca="1" si="143"/>
        <v>0</v>
      </c>
      <c r="CZ131" s="526">
        <f t="shared" ca="1" si="143"/>
        <v>0</v>
      </c>
      <c r="DA131" s="526">
        <f t="shared" ca="1" si="143"/>
        <v>0</v>
      </c>
      <c r="DB131" s="526">
        <f t="shared" ca="1" si="143"/>
        <v>0</v>
      </c>
      <c r="DC131" s="526">
        <f t="shared" ca="1" si="143"/>
        <v>0</v>
      </c>
      <c r="DD131" s="526">
        <f t="shared" ca="1" si="143"/>
        <v>0</v>
      </c>
      <c r="DE131" s="526">
        <f t="shared" ca="1" si="143"/>
        <v>0</v>
      </c>
      <c r="DF131" s="526">
        <f t="shared" ca="1" si="143"/>
        <v>0</v>
      </c>
      <c r="DG131" s="526">
        <f t="shared" ca="1" si="143"/>
        <v>0</v>
      </c>
      <c r="DH131" s="526">
        <f t="shared" ca="1" si="143"/>
        <v>0</v>
      </c>
      <c r="DI131" s="526">
        <f t="shared" ca="1" si="143"/>
        <v>0</v>
      </c>
      <c r="DJ131" s="526">
        <f t="shared" ca="1" si="143"/>
        <v>0</v>
      </c>
      <c r="DK131" s="526">
        <f t="shared" ca="1" si="143"/>
        <v>0</v>
      </c>
      <c r="DL131" s="526">
        <f t="shared" ca="1" si="143"/>
        <v>0</v>
      </c>
      <c r="DM131" s="526">
        <f t="shared" ca="1" si="143"/>
        <v>0</v>
      </c>
      <c r="DN131" s="526">
        <f t="shared" ca="1" si="143"/>
        <v>0</v>
      </c>
      <c r="DO131" s="526">
        <f t="shared" ca="1" si="143"/>
        <v>0</v>
      </c>
      <c r="DP131" s="526">
        <f t="shared" ca="1" si="143"/>
        <v>0</v>
      </c>
      <c r="DQ131" s="526">
        <f t="shared" ca="1" si="143"/>
        <v>0</v>
      </c>
      <c r="DR131" s="526">
        <f t="shared" ca="1" si="143"/>
        <v>0</v>
      </c>
      <c r="DS131" s="526">
        <f t="shared" ca="1" si="143"/>
        <v>0</v>
      </c>
      <c r="DT131" s="526">
        <f t="shared" ca="1" si="143"/>
        <v>0</v>
      </c>
      <c r="DU131" s="526">
        <f t="shared" ca="1" si="143"/>
        <v>0</v>
      </c>
      <c r="DV131" s="526">
        <f t="shared" ca="1" si="143"/>
        <v>0</v>
      </c>
      <c r="DW131" s="526">
        <f t="shared" ca="1" si="143"/>
        <v>0</v>
      </c>
      <c r="DX131" s="526">
        <f t="shared" ca="1" si="143"/>
        <v>0</v>
      </c>
      <c r="DY131" s="526">
        <f t="shared" ca="1" si="143"/>
        <v>0</v>
      </c>
      <c r="DZ131" s="526">
        <f t="shared" ca="1" si="143"/>
        <v>0</v>
      </c>
      <c r="EA131" s="526">
        <f t="shared" ca="1" si="143"/>
        <v>0</v>
      </c>
      <c r="EB131" s="526">
        <f t="shared" ca="1" si="143"/>
        <v>0</v>
      </c>
      <c r="EC131" s="523" t="s">
        <v>557</v>
      </c>
    </row>
    <row r="132" spans="8:133">
      <c r="H132" s="518" t="s">
        <v>1193</v>
      </c>
      <c r="I132" s="539"/>
      <c r="J132" s="526">
        <f ca="1">SUM(L132:EB132)</f>
        <v>0</v>
      </c>
      <c r="L132" s="526">
        <f t="shared" ref="L132:BW132" ca="1" si="144">L18</f>
        <v>0</v>
      </c>
      <c r="M132" s="526">
        <f t="shared" si="144"/>
        <v>0</v>
      </c>
      <c r="N132" s="526">
        <f t="shared" si="144"/>
        <v>0</v>
      </c>
      <c r="O132" s="526">
        <f t="shared" si="144"/>
        <v>0</v>
      </c>
      <c r="P132" s="526">
        <f t="shared" si="144"/>
        <v>0</v>
      </c>
      <c r="Q132" s="526">
        <f t="shared" si="144"/>
        <v>0</v>
      </c>
      <c r="R132" s="526">
        <f t="shared" si="144"/>
        <v>0</v>
      </c>
      <c r="S132" s="526">
        <f t="shared" si="144"/>
        <v>0</v>
      </c>
      <c r="T132" s="526">
        <f t="shared" si="144"/>
        <v>0</v>
      </c>
      <c r="U132" s="526">
        <f t="shared" si="144"/>
        <v>0</v>
      </c>
      <c r="V132" s="526">
        <f t="shared" si="144"/>
        <v>0</v>
      </c>
      <c r="W132" s="526">
        <f t="shared" si="144"/>
        <v>0</v>
      </c>
      <c r="X132" s="526">
        <f t="shared" si="144"/>
        <v>0</v>
      </c>
      <c r="Y132" s="526">
        <f t="shared" si="144"/>
        <v>0</v>
      </c>
      <c r="Z132" s="526">
        <f t="shared" si="144"/>
        <v>0</v>
      </c>
      <c r="AA132" s="526">
        <f t="shared" si="144"/>
        <v>0</v>
      </c>
      <c r="AB132" s="526">
        <f t="shared" si="144"/>
        <v>0</v>
      </c>
      <c r="AC132" s="526">
        <f t="shared" si="144"/>
        <v>0</v>
      </c>
      <c r="AD132" s="526">
        <f t="shared" si="144"/>
        <v>0</v>
      </c>
      <c r="AE132" s="526">
        <f t="shared" si="144"/>
        <v>0</v>
      </c>
      <c r="AF132" s="526">
        <f t="shared" si="144"/>
        <v>0</v>
      </c>
      <c r="AG132" s="526">
        <f t="shared" si="144"/>
        <v>0</v>
      </c>
      <c r="AH132" s="526">
        <f t="shared" si="144"/>
        <v>0</v>
      </c>
      <c r="AI132" s="526">
        <f t="shared" si="144"/>
        <v>0</v>
      </c>
      <c r="AJ132" s="526">
        <f t="shared" si="144"/>
        <v>0</v>
      </c>
      <c r="AK132" s="526">
        <f t="shared" si="144"/>
        <v>0</v>
      </c>
      <c r="AL132" s="526">
        <f t="shared" si="144"/>
        <v>0</v>
      </c>
      <c r="AM132" s="526">
        <f t="shared" si="144"/>
        <v>0</v>
      </c>
      <c r="AN132" s="526">
        <f t="shared" si="144"/>
        <v>0</v>
      </c>
      <c r="AO132" s="526">
        <f t="shared" si="144"/>
        <v>0</v>
      </c>
      <c r="AP132" s="526">
        <f t="shared" si="144"/>
        <v>0</v>
      </c>
      <c r="AQ132" s="526">
        <f t="shared" si="144"/>
        <v>0</v>
      </c>
      <c r="AR132" s="526">
        <f t="shared" si="144"/>
        <v>0</v>
      </c>
      <c r="AS132" s="526">
        <f t="shared" si="144"/>
        <v>0</v>
      </c>
      <c r="AT132" s="526">
        <f t="shared" si="144"/>
        <v>0</v>
      </c>
      <c r="AU132" s="526">
        <f t="shared" si="144"/>
        <v>0</v>
      </c>
      <c r="AV132" s="526">
        <f t="shared" si="144"/>
        <v>0</v>
      </c>
      <c r="AW132" s="526">
        <f t="shared" si="144"/>
        <v>0</v>
      </c>
      <c r="AX132" s="526">
        <f t="shared" si="144"/>
        <v>0</v>
      </c>
      <c r="AY132" s="526">
        <f t="shared" si="144"/>
        <v>0</v>
      </c>
      <c r="AZ132" s="526">
        <f t="shared" si="144"/>
        <v>0</v>
      </c>
      <c r="BA132" s="526">
        <f t="shared" si="144"/>
        <v>0</v>
      </c>
      <c r="BB132" s="526">
        <f t="shared" si="144"/>
        <v>0</v>
      </c>
      <c r="BC132" s="526">
        <f t="shared" si="144"/>
        <v>0</v>
      </c>
      <c r="BD132" s="526">
        <f t="shared" si="144"/>
        <v>0</v>
      </c>
      <c r="BE132" s="526">
        <f t="shared" si="144"/>
        <v>0</v>
      </c>
      <c r="BF132" s="526">
        <f t="shared" si="144"/>
        <v>0</v>
      </c>
      <c r="BG132" s="526">
        <f t="shared" si="144"/>
        <v>0</v>
      </c>
      <c r="BH132" s="526">
        <f t="shared" si="144"/>
        <v>0</v>
      </c>
      <c r="BI132" s="526">
        <f t="shared" si="144"/>
        <v>0</v>
      </c>
      <c r="BJ132" s="526">
        <f t="shared" si="144"/>
        <v>0</v>
      </c>
      <c r="BK132" s="526">
        <f t="shared" si="144"/>
        <v>0</v>
      </c>
      <c r="BL132" s="526">
        <f t="shared" si="144"/>
        <v>0</v>
      </c>
      <c r="BM132" s="526">
        <f t="shared" si="144"/>
        <v>0</v>
      </c>
      <c r="BN132" s="526">
        <f t="shared" si="144"/>
        <v>0</v>
      </c>
      <c r="BO132" s="526">
        <f t="shared" si="144"/>
        <v>0</v>
      </c>
      <c r="BP132" s="526">
        <f t="shared" si="144"/>
        <v>0</v>
      </c>
      <c r="BQ132" s="526">
        <f t="shared" si="144"/>
        <v>0</v>
      </c>
      <c r="BR132" s="526">
        <f t="shared" si="144"/>
        <v>0</v>
      </c>
      <c r="BS132" s="526">
        <f t="shared" si="144"/>
        <v>0</v>
      </c>
      <c r="BT132" s="526">
        <f t="shared" si="144"/>
        <v>0</v>
      </c>
      <c r="BU132" s="526">
        <f t="shared" si="144"/>
        <v>0</v>
      </c>
      <c r="BV132" s="526">
        <f t="shared" si="144"/>
        <v>0</v>
      </c>
      <c r="BW132" s="526">
        <f t="shared" si="144"/>
        <v>0</v>
      </c>
      <c r="BX132" s="526">
        <f t="shared" ref="BX132:EB132" si="145">BX18</f>
        <v>0</v>
      </c>
      <c r="BY132" s="526">
        <f t="shared" si="145"/>
        <v>0</v>
      </c>
      <c r="BZ132" s="526">
        <f t="shared" si="145"/>
        <v>0</v>
      </c>
      <c r="CA132" s="526">
        <f t="shared" si="145"/>
        <v>0</v>
      </c>
      <c r="CB132" s="526">
        <f t="shared" si="145"/>
        <v>0</v>
      </c>
      <c r="CC132" s="526">
        <f t="shared" si="145"/>
        <v>0</v>
      </c>
      <c r="CD132" s="526">
        <f t="shared" si="145"/>
        <v>0</v>
      </c>
      <c r="CE132" s="526">
        <f t="shared" si="145"/>
        <v>0</v>
      </c>
      <c r="CF132" s="526">
        <f t="shared" si="145"/>
        <v>0</v>
      </c>
      <c r="CG132" s="526">
        <f t="shared" si="145"/>
        <v>0</v>
      </c>
      <c r="CH132" s="526">
        <f t="shared" si="145"/>
        <v>0</v>
      </c>
      <c r="CI132" s="526">
        <f t="shared" si="145"/>
        <v>0</v>
      </c>
      <c r="CJ132" s="526">
        <f t="shared" si="145"/>
        <v>0</v>
      </c>
      <c r="CK132" s="526">
        <f t="shared" si="145"/>
        <v>0</v>
      </c>
      <c r="CL132" s="526">
        <f t="shared" si="145"/>
        <v>0</v>
      </c>
      <c r="CM132" s="526">
        <f t="shared" si="145"/>
        <v>0</v>
      </c>
      <c r="CN132" s="526">
        <f t="shared" si="145"/>
        <v>0</v>
      </c>
      <c r="CO132" s="526">
        <f t="shared" si="145"/>
        <v>0</v>
      </c>
      <c r="CP132" s="526">
        <f t="shared" si="145"/>
        <v>0</v>
      </c>
      <c r="CQ132" s="526">
        <f t="shared" si="145"/>
        <v>0</v>
      </c>
      <c r="CR132" s="526">
        <f t="shared" si="145"/>
        <v>0</v>
      </c>
      <c r="CS132" s="526">
        <f t="shared" si="145"/>
        <v>0</v>
      </c>
      <c r="CT132" s="526">
        <f t="shared" si="145"/>
        <v>0</v>
      </c>
      <c r="CU132" s="526">
        <f t="shared" si="145"/>
        <v>0</v>
      </c>
      <c r="CV132" s="526">
        <f t="shared" si="145"/>
        <v>0</v>
      </c>
      <c r="CW132" s="526">
        <f t="shared" si="145"/>
        <v>0</v>
      </c>
      <c r="CX132" s="526">
        <f t="shared" si="145"/>
        <v>0</v>
      </c>
      <c r="CY132" s="526">
        <f t="shared" si="145"/>
        <v>0</v>
      </c>
      <c r="CZ132" s="526">
        <f t="shared" si="145"/>
        <v>0</v>
      </c>
      <c r="DA132" s="526">
        <f t="shared" si="145"/>
        <v>0</v>
      </c>
      <c r="DB132" s="526">
        <f t="shared" si="145"/>
        <v>0</v>
      </c>
      <c r="DC132" s="526">
        <f t="shared" si="145"/>
        <v>0</v>
      </c>
      <c r="DD132" s="526">
        <f t="shared" si="145"/>
        <v>0</v>
      </c>
      <c r="DE132" s="526">
        <f t="shared" si="145"/>
        <v>0</v>
      </c>
      <c r="DF132" s="526">
        <f t="shared" si="145"/>
        <v>0</v>
      </c>
      <c r="DG132" s="526">
        <f t="shared" si="145"/>
        <v>0</v>
      </c>
      <c r="DH132" s="526">
        <f t="shared" si="145"/>
        <v>0</v>
      </c>
      <c r="DI132" s="526">
        <f t="shared" si="145"/>
        <v>0</v>
      </c>
      <c r="DJ132" s="526">
        <f t="shared" si="145"/>
        <v>0</v>
      </c>
      <c r="DK132" s="526">
        <f t="shared" si="145"/>
        <v>0</v>
      </c>
      <c r="DL132" s="526">
        <f t="shared" si="145"/>
        <v>0</v>
      </c>
      <c r="DM132" s="526">
        <f t="shared" si="145"/>
        <v>0</v>
      </c>
      <c r="DN132" s="526">
        <f t="shared" si="145"/>
        <v>0</v>
      </c>
      <c r="DO132" s="526">
        <f t="shared" si="145"/>
        <v>0</v>
      </c>
      <c r="DP132" s="526">
        <f t="shared" si="145"/>
        <v>0</v>
      </c>
      <c r="DQ132" s="526">
        <f t="shared" si="145"/>
        <v>0</v>
      </c>
      <c r="DR132" s="526">
        <f t="shared" si="145"/>
        <v>0</v>
      </c>
      <c r="DS132" s="526">
        <f t="shared" si="145"/>
        <v>0</v>
      </c>
      <c r="DT132" s="526">
        <f t="shared" si="145"/>
        <v>0</v>
      </c>
      <c r="DU132" s="526">
        <f t="shared" si="145"/>
        <v>0</v>
      </c>
      <c r="DV132" s="526">
        <f t="shared" si="145"/>
        <v>0</v>
      </c>
      <c r="DW132" s="526">
        <f t="shared" si="145"/>
        <v>0</v>
      </c>
      <c r="DX132" s="526">
        <f t="shared" si="145"/>
        <v>0</v>
      </c>
      <c r="DY132" s="526">
        <f t="shared" si="145"/>
        <v>0</v>
      </c>
      <c r="DZ132" s="526">
        <f t="shared" si="145"/>
        <v>0</v>
      </c>
      <c r="EA132" s="526">
        <f t="shared" si="145"/>
        <v>0</v>
      </c>
      <c r="EB132" s="526">
        <f t="shared" si="145"/>
        <v>0</v>
      </c>
      <c r="EC132" s="523"/>
    </row>
    <row r="133" spans="8:133">
      <c r="H133" s="518" t="s">
        <v>1194</v>
      </c>
      <c r="I133" s="539"/>
      <c r="J133" s="557">
        <f ca="1">-J132+J131</f>
        <v>965535.8613824707</v>
      </c>
      <c r="L133" s="526">
        <f ca="1">-L132+L131</f>
        <v>0</v>
      </c>
      <c r="M133" s="526">
        <f t="shared" ref="M133:BX133" ca="1" si="146">-M132+M131</f>
        <v>0</v>
      </c>
      <c r="N133" s="526">
        <f t="shared" ca="1" si="146"/>
        <v>0</v>
      </c>
      <c r="O133" s="526">
        <f t="shared" ca="1" si="146"/>
        <v>0</v>
      </c>
      <c r="P133" s="526">
        <f t="shared" ca="1" si="146"/>
        <v>0</v>
      </c>
      <c r="Q133" s="526">
        <f t="shared" ca="1" si="146"/>
        <v>0</v>
      </c>
      <c r="R133" s="526">
        <f t="shared" ca="1" si="146"/>
        <v>0</v>
      </c>
      <c r="S133" s="526">
        <f t="shared" ca="1" si="146"/>
        <v>0</v>
      </c>
      <c r="T133" s="526">
        <f t="shared" ca="1" si="146"/>
        <v>0</v>
      </c>
      <c r="U133" s="526">
        <f t="shared" ca="1" si="146"/>
        <v>0</v>
      </c>
      <c r="V133" s="526">
        <f t="shared" ca="1" si="146"/>
        <v>0</v>
      </c>
      <c r="W133" s="526">
        <f t="shared" ca="1" si="146"/>
        <v>0</v>
      </c>
      <c r="X133" s="526">
        <f t="shared" ca="1" si="146"/>
        <v>0</v>
      </c>
      <c r="Y133" s="526">
        <f t="shared" ca="1" si="146"/>
        <v>0</v>
      </c>
      <c r="Z133" s="526">
        <f t="shared" ca="1" si="146"/>
        <v>0</v>
      </c>
      <c r="AA133" s="526">
        <f t="shared" ca="1" si="146"/>
        <v>0</v>
      </c>
      <c r="AB133" s="526">
        <f t="shared" ca="1" si="146"/>
        <v>0</v>
      </c>
      <c r="AC133" s="526">
        <f t="shared" ca="1" si="146"/>
        <v>0</v>
      </c>
      <c r="AD133" s="526">
        <f t="shared" ca="1" si="146"/>
        <v>0</v>
      </c>
      <c r="AE133" s="526">
        <f t="shared" ca="1" si="146"/>
        <v>0</v>
      </c>
      <c r="AF133" s="526">
        <f t="shared" ca="1" si="146"/>
        <v>0</v>
      </c>
      <c r="AG133" s="526">
        <f t="shared" ca="1" si="146"/>
        <v>0</v>
      </c>
      <c r="AH133" s="526">
        <f t="shared" ca="1" si="146"/>
        <v>0</v>
      </c>
      <c r="AI133" s="526">
        <f t="shared" ca="1" si="146"/>
        <v>0</v>
      </c>
      <c r="AJ133" s="526">
        <f t="shared" ca="1" si="146"/>
        <v>0</v>
      </c>
      <c r="AK133" s="526">
        <f t="shared" ca="1" si="146"/>
        <v>0</v>
      </c>
      <c r="AL133" s="526">
        <f t="shared" ca="1" si="146"/>
        <v>0</v>
      </c>
      <c r="AM133" s="526">
        <f t="shared" ca="1" si="146"/>
        <v>0</v>
      </c>
      <c r="AN133" s="526">
        <f t="shared" ca="1" si="146"/>
        <v>0</v>
      </c>
      <c r="AO133" s="526">
        <f t="shared" ca="1" si="146"/>
        <v>0</v>
      </c>
      <c r="AP133" s="526">
        <f t="shared" ca="1" si="146"/>
        <v>0</v>
      </c>
      <c r="AQ133" s="526">
        <f t="shared" ca="1" si="146"/>
        <v>0</v>
      </c>
      <c r="AR133" s="526">
        <f t="shared" ca="1" si="146"/>
        <v>0</v>
      </c>
      <c r="AS133" s="526">
        <f t="shared" ca="1" si="146"/>
        <v>0</v>
      </c>
      <c r="AT133" s="526">
        <f t="shared" ca="1" si="146"/>
        <v>0</v>
      </c>
      <c r="AU133" s="526">
        <f t="shared" ca="1" si="146"/>
        <v>0</v>
      </c>
      <c r="AV133" s="526">
        <f t="shared" ca="1" si="146"/>
        <v>0</v>
      </c>
      <c r="AW133" s="526">
        <f t="shared" ca="1" si="146"/>
        <v>0</v>
      </c>
      <c r="AX133" s="526">
        <f t="shared" ca="1" si="146"/>
        <v>0</v>
      </c>
      <c r="AY133" s="526">
        <f t="shared" ca="1" si="146"/>
        <v>0</v>
      </c>
      <c r="AZ133" s="526">
        <f t="shared" ca="1" si="146"/>
        <v>0</v>
      </c>
      <c r="BA133" s="526">
        <f t="shared" ca="1" si="146"/>
        <v>0</v>
      </c>
      <c r="BB133" s="526">
        <f t="shared" ca="1" si="146"/>
        <v>0</v>
      </c>
      <c r="BC133" s="526">
        <f t="shared" ca="1" si="146"/>
        <v>0</v>
      </c>
      <c r="BD133" s="526">
        <f t="shared" ca="1" si="146"/>
        <v>0</v>
      </c>
      <c r="BE133" s="526">
        <f t="shared" ca="1" si="146"/>
        <v>0</v>
      </c>
      <c r="BF133" s="526">
        <f t="shared" ca="1" si="146"/>
        <v>0</v>
      </c>
      <c r="BG133" s="526">
        <f t="shared" ca="1" si="146"/>
        <v>0</v>
      </c>
      <c r="BH133" s="526">
        <f t="shared" ca="1" si="146"/>
        <v>965535.8613824707</v>
      </c>
      <c r="BI133" s="526">
        <f t="shared" ca="1" si="146"/>
        <v>0</v>
      </c>
      <c r="BJ133" s="526">
        <f t="shared" ca="1" si="146"/>
        <v>0</v>
      </c>
      <c r="BK133" s="526">
        <f t="shared" ca="1" si="146"/>
        <v>0</v>
      </c>
      <c r="BL133" s="526">
        <f t="shared" ca="1" si="146"/>
        <v>0</v>
      </c>
      <c r="BM133" s="526">
        <f t="shared" ca="1" si="146"/>
        <v>0</v>
      </c>
      <c r="BN133" s="526">
        <f t="shared" ca="1" si="146"/>
        <v>0</v>
      </c>
      <c r="BO133" s="526">
        <f t="shared" ca="1" si="146"/>
        <v>0</v>
      </c>
      <c r="BP133" s="526">
        <f t="shared" ca="1" si="146"/>
        <v>0</v>
      </c>
      <c r="BQ133" s="526">
        <f t="shared" ca="1" si="146"/>
        <v>0</v>
      </c>
      <c r="BR133" s="526">
        <f t="shared" ca="1" si="146"/>
        <v>0</v>
      </c>
      <c r="BS133" s="526">
        <f t="shared" ca="1" si="146"/>
        <v>0</v>
      </c>
      <c r="BT133" s="526">
        <f t="shared" ca="1" si="146"/>
        <v>0</v>
      </c>
      <c r="BU133" s="526">
        <f t="shared" ca="1" si="146"/>
        <v>0</v>
      </c>
      <c r="BV133" s="526">
        <f t="shared" ca="1" si="146"/>
        <v>0</v>
      </c>
      <c r="BW133" s="526">
        <f t="shared" ca="1" si="146"/>
        <v>0</v>
      </c>
      <c r="BX133" s="526">
        <f t="shared" ca="1" si="146"/>
        <v>0</v>
      </c>
      <c r="BY133" s="526">
        <f t="shared" ref="BY133:EB133" ca="1" si="147">-BY132+BY131</f>
        <v>0</v>
      </c>
      <c r="BZ133" s="526">
        <f t="shared" ca="1" si="147"/>
        <v>0</v>
      </c>
      <c r="CA133" s="526">
        <f t="shared" ca="1" si="147"/>
        <v>0</v>
      </c>
      <c r="CB133" s="526">
        <f t="shared" ca="1" si="147"/>
        <v>0</v>
      </c>
      <c r="CC133" s="526">
        <f t="shared" ca="1" si="147"/>
        <v>0</v>
      </c>
      <c r="CD133" s="526">
        <f t="shared" ca="1" si="147"/>
        <v>0</v>
      </c>
      <c r="CE133" s="526">
        <f t="shared" ca="1" si="147"/>
        <v>0</v>
      </c>
      <c r="CF133" s="526">
        <f t="shared" ca="1" si="147"/>
        <v>0</v>
      </c>
      <c r="CG133" s="526">
        <f t="shared" ca="1" si="147"/>
        <v>0</v>
      </c>
      <c r="CH133" s="526">
        <f t="shared" ca="1" si="147"/>
        <v>0</v>
      </c>
      <c r="CI133" s="526">
        <f t="shared" ca="1" si="147"/>
        <v>0</v>
      </c>
      <c r="CJ133" s="526">
        <f t="shared" ca="1" si="147"/>
        <v>0</v>
      </c>
      <c r="CK133" s="526">
        <f t="shared" ca="1" si="147"/>
        <v>0</v>
      </c>
      <c r="CL133" s="526">
        <f t="shared" ca="1" si="147"/>
        <v>0</v>
      </c>
      <c r="CM133" s="526">
        <f t="shared" ca="1" si="147"/>
        <v>0</v>
      </c>
      <c r="CN133" s="526">
        <f t="shared" ca="1" si="147"/>
        <v>0</v>
      </c>
      <c r="CO133" s="526">
        <f t="shared" ca="1" si="147"/>
        <v>0</v>
      </c>
      <c r="CP133" s="526">
        <f t="shared" ca="1" si="147"/>
        <v>0</v>
      </c>
      <c r="CQ133" s="526">
        <f t="shared" ca="1" si="147"/>
        <v>0</v>
      </c>
      <c r="CR133" s="526">
        <f t="shared" ca="1" si="147"/>
        <v>0</v>
      </c>
      <c r="CS133" s="526">
        <f t="shared" ca="1" si="147"/>
        <v>0</v>
      </c>
      <c r="CT133" s="526">
        <f t="shared" ca="1" si="147"/>
        <v>0</v>
      </c>
      <c r="CU133" s="526">
        <f t="shared" ca="1" si="147"/>
        <v>0</v>
      </c>
      <c r="CV133" s="526">
        <f t="shared" ca="1" si="147"/>
        <v>0</v>
      </c>
      <c r="CW133" s="526">
        <f t="shared" ca="1" si="147"/>
        <v>0</v>
      </c>
      <c r="CX133" s="526">
        <f t="shared" ca="1" si="147"/>
        <v>0</v>
      </c>
      <c r="CY133" s="526">
        <f t="shared" ca="1" si="147"/>
        <v>0</v>
      </c>
      <c r="CZ133" s="526">
        <f t="shared" ca="1" si="147"/>
        <v>0</v>
      </c>
      <c r="DA133" s="526">
        <f t="shared" ca="1" si="147"/>
        <v>0</v>
      </c>
      <c r="DB133" s="526">
        <f t="shared" ca="1" si="147"/>
        <v>0</v>
      </c>
      <c r="DC133" s="526">
        <f t="shared" ca="1" si="147"/>
        <v>0</v>
      </c>
      <c r="DD133" s="526">
        <f t="shared" ca="1" si="147"/>
        <v>0</v>
      </c>
      <c r="DE133" s="526">
        <f t="shared" ca="1" si="147"/>
        <v>0</v>
      </c>
      <c r="DF133" s="526">
        <f t="shared" ca="1" si="147"/>
        <v>0</v>
      </c>
      <c r="DG133" s="526">
        <f t="shared" ca="1" si="147"/>
        <v>0</v>
      </c>
      <c r="DH133" s="526">
        <f t="shared" ca="1" si="147"/>
        <v>0</v>
      </c>
      <c r="DI133" s="526">
        <f t="shared" ca="1" si="147"/>
        <v>0</v>
      </c>
      <c r="DJ133" s="526">
        <f t="shared" ca="1" si="147"/>
        <v>0</v>
      </c>
      <c r="DK133" s="526">
        <f t="shared" ca="1" si="147"/>
        <v>0</v>
      </c>
      <c r="DL133" s="526">
        <f t="shared" ca="1" si="147"/>
        <v>0</v>
      </c>
      <c r="DM133" s="526">
        <f t="shared" ca="1" si="147"/>
        <v>0</v>
      </c>
      <c r="DN133" s="526">
        <f t="shared" ca="1" si="147"/>
        <v>0</v>
      </c>
      <c r="DO133" s="526">
        <f t="shared" ca="1" si="147"/>
        <v>0</v>
      </c>
      <c r="DP133" s="526">
        <f t="shared" ca="1" si="147"/>
        <v>0</v>
      </c>
      <c r="DQ133" s="526">
        <f t="shared" ca="1" si="147"/>
        <v>0</v>
      </c>
      <c r="DR133" s="526">
        <f t="shared" ca="1" si="147"/>
        <v>0</v>
      </c>
      <c r="DS133" s="526">
        <f t="shared" ca="1" si="147"/>
        <v>0</v>
      </c>
      <c r="DT133" s="526">
        <f t="shared" ca="1" si="147"/>
        <v>0</v>
      </c>
      <c r="DU133" s="526">
        <f t="shared" ca="1" si="147"/>
        <v>0</v>
      </c>
      <c r="DV133" s="526">
        <f t="shared" ca="1" si="147"/>
        <v>0</v>
      </c>
      <c r="DW133" s="526">
        <f t="shared" ca="1" si="147"/>
        <v>0</v>
      </c>
      <c r="DX133" s="526">
        <f t="shared" ca="1" si="147"/>
        <v>0</v>
      </c>
      <c r="DY133" s="526">
        <f t="shared" ca="1" si="147"/>
        <v>0</v>
      </c>
      <c r="DZ133" s="526">
        <f t="shared" ca="1" si="147"/>
        <v>0</v>
      </c>
      <c r="EA133" s="526">
        <f t="shared" ca="1" si="147"/>
        <v>0</v>
      </c>
      <c r="EB133" s="526">
        <f t="shared" ca="1" si="147"/>
        <v>0</v>
      </c>
      <c r="EC133" s="523"/>
    </row>
    <row r="134" spans="8:133">
      <c r="H134" s="518" t="s">
        <v>1140</v>
      </c>
      <c r="I134" s="558" t="e">
        <f ca="1">XIRR(L133:EB133,$L$2:$EB$2,)</f>
        <v>#NUM!</v>
      </c>
      <c r="L134" s="526"/>
      <c r="M134" s="526"/>
      <c r="N134" s="526"/>
      <c r="O134" s="526"/>
      <c r="P134" s="526"/>
      <c r="Q134" s="526"/>
      <c r="R134" s="526"/>
      <c r="S134" s="526"/>
      <c r="T134" s="526"/>
      <c r="U134" s="526"/>
      <c r="V134" s="526"/>
      <c r="W134" s="526"/>
      <c r="X134" s="526"/>
      <c r="Y134" s="526"/>
      <c r="Z134" s="526"/>
      <c r="AA134" s="526"/>
      <c r="AB134" s="526"/>
      <c r="AC134" s="526"/>
      <c r="AD134" s="526"/>
      <c r="AE134" s="526"/>
      <c r="AF134" s="526"/>
      <c r="AG134" s="526"/>
      <c r="AH134" s="526"/>
      <c r="AI134" s="526"/>
      <c r="AJ134" s="526"/>
      <c r="AK134" s="526"/>
      <c r="AL134" s="526"/>
      <c r="AM134" s="526"/>
      <c r="AN134" s="526"/>
      <c r="AO134" s="526"/>
      <c r="AP134" s="526"/>
      <c r="AQ134" s="526"/>
      <c r="AR134" s="526"/>
      <c r="AS134" s="526"/>
      <c r="AT134" s="526"/>
      <c r="AU134" s="526"/>
      <c r="AV134" s="526"/>
      <c r="AW134" s="526"/>
      <c r="AX134" s="526"/>
      <c r="AY134" s="526"/>
      <c r="AZ134" s="526"/>
      <c r="BA134" s="526"/>
      <c r="BB134" s="526"/>
      <c r="BC134" s="526"/>
      <c r="BD134" s="526"/>
      <c r="BE134" s="526"/>
      <c r="BF134" s="526"/>
      <c r="BG134" s="526"/>
      <c r="BH134" s="526"/>
      <c r="BI134" s="526"/>
      <c r="BJ134" s="526"/>
      <c r="BK134" s="526"/>
      <c r="BL134" s="526"/>
      <c r="BM134" s="526"/>
      <c r="BN134" s="526"/>
      <c r="BO134" s="526"/>
      <c r="BP134" s="526"/>
      <c r="BQ134" s="526"/>
      <c r="BR134" s="526"/>
      <c r="BS134" s="526"/>
      <c r="BT134" s="526"/>
      <c r="BU134" s="526"/>
      <c r="BV134" s="526"/>
      <c r="BW134" s="526"/>
      <c r="BX134" s="526"/>
      <c r="BY134" s="526"/>
      <c r="BZ134" s="526"/>
      <c r="CA134" s="526"/>
      <c r="CB134" s="526"/>
      <c r="CC134" s="526"/>
      <c r="CD134" s="526"/>
      <c r="CE134" s="526"/>
      <c r="CF134" s="526"/>
      <c r="CG134" s="526"/>
      <c r="CH134" s="526"/>
      <c r="CI134" s="526"/>
      <c r="CJ134" s="526"/>
      <c r="CK134" s="526"/>
      <c r="CL134" s="526"/>
      <c r="CM134" s="526"/>
      <c r="CN134" s="526"/>
      <c r="CO134" s="526"/>
      <c r="CP134" s="526"/>
      <c r="CQ134" s="526"/>
      <c r="CR134" s="526"/>
      <c r="CS134" s="526"/>
      <c r="CT134" s="526"/>
      <c r="CU134" s="526"/>
      <c r="CV134" s="526"/>
      <c r="CW134" s="526"/>
      <c r="CX134" s="526"/>
      <c r="CY134" s="526"/>
      <c r="CZ134" s="526"/>
      <c r="DA134" s="526"/>
      <c r="DB134" s="526"/>
      <c r="DC134" s="526"/>
      <c r="DD134" s="526"/>
      <c r="DE134" s="526"/>
      <c r="DF134" s="526"/>
      <c r="DG134" s="526"/>
      <c r="DH134" s="526"/>
      <c r="DI134" s="526"/>
      <c r="DJ134" s="526"/>
      <c r="DK134" s="526"/>
      <c r="DL134" s="526"/>
      <c r="DM134" s="526"/>
      <c r="DN134" s="526"/>
      <c r="DO134" s="526"/>
      <c r="DP134" s="526"/>
      <c r="DQ134" s="526"/>
      <c r="DR134" s="526"/>
      <c r="DS134" s="526"/>
      <c r="DT134" s="526"/>
      <c r="DU134" s="526"/>
      <c r="DV134" s="526"/>
      <c r="DW134" s="526"/>
      <c r="DX134" s="526"/>
      <c r="DY134" s="526"/>
      <c r="DZ134" s="526"/>
      <c r="EA134" s="526"/>
      <c r="EB134" s="526"/>
      <c r="EC134" s="523" t="s">
        <v>557</v>
      </c>
    </row>
    <row r="135" spans="8:133" ht="18" thickBot="1">
      <c r="H135" s="554" t="s">
        <v>1143</v>
      </c>
      <c r="I135" s="559" t="e">
        <f ca="1">J131/J132</f>
        <v>#DIV/0!</v>
      </c>
      <c r="J135" s="555"/>
      <c r="K135" s="555"/>
      <c r="L135" s="556"/>
      <c r="M135" s="556"/>
      <c r="N135" s="556"/>
      <c r="O135" s="556"/>
      <c r="P135" s="556"/>
      <c r="Q135" s="556"/>
      <c r="R135" s="556"/>
      <c r="S135" s="556"/>
      <c r="T135" s="556"/>
      <c r="U135" s="556"/>
      <c r="V135" s="556"/>
      <c r="W135" s="556"/>
      <c r="X135" s="556"/>
      <c r="Y135" s="556"/>
      <c r="Z135" s="556"/>
      <c r="AA135" s="556"/>
      <c r="AB135" s="556"/>
      <c r="AC135" s="556"/>
      <c r="AD135" s="556"/>
      <c r="AE135" s="556"/>
      <c r="AF135" s="556"/>
      <c r="AG135" s="556"/>
      <c r="AH135" s="556"/>
      <c r="AI135" s="556"/>
      <c r="AJ135" s="556"/>
      <c r="AK135" s="556"/>
      <c r="AL135" s="556"/>
      <c r="AM135" s="556"/>
      <c r="AN135" s="556"/>
      <c r="AO135" s="556"/>
      <c r="AP135" s="556"/>
      <c r="AQ135" s="556"/>
      <c r="AR135" s="556"/>
      <c r="AS135" s="556"/>
      <c r="AT135" s="556"/>
      <c r="AU135" s="556"/>
      <c r="AV135" s="556"/>
      <c r="AW135" s="556"/>
      <c r="AX135" s="556"/>
      <c r="AY135" s="556"/>
      <c r="AZ135" s="556"/>
      <c r="BA135" s="556"/>
      <c r="BB135" s="556"/>
      <c r="BC135" s="556"/>
      <c r="BD135" s="556"/>
      <c r="BE135" s="556"/>
      <c r="BF135" s="556"/>
      <c r="BG135" s="556"/>
      <c r="BH135" s="556"/>
      <c r="BI135" s="556"/>
      <c r="BJ135" s="556"/>
      <c r="BK135" s="556"/>
      <c r="BL135" s="556"/>
      <c r="BM135" s="556"/>
      <c r="BN135" s="556"/>
      <c r="BO135" s="556"/>
      <c r="BP135" s="556"/>
      <c r="BQ135" s="556"/>
      <c r="BR135" s="556"/>
      <c r="BS135" s="556"/>
      <c r="BT135" s="556"/>
      <c r="BU135" s="556"/>
      <c r="BV135" s="556"/>
      <c r="BW135" s="556"/>
      <c r="BX135" s="556"/>
      <c r="BY135" s="556"/>
      <c r="BZ135" s="556"/>
      <c r="CA135" s="556"/>
      <c r="CB135" s="556"/>
      <c r="CC135" s="556"/>
      <c r="CD135" s="556"/>
      <c r="CE135" s="556"/>
      <c r="CF135" s="556"/>
      <c r="CG135" s="556"/>
      <c r="CH135" s="556"/>
      <c r="CI135" s="556"/>
      <c r="CJ135" s="556"/>
      <c r="CK135" s="556"/>
      <c r="CL135" s="556"/>
      <c r="CM135" s="556"/>
      <c r="CN135" s="556"/>
      <c r="CO135" s="556"/>
      <c r="CP135" s="556"/>
      <c r="CQ135" s="556"/>
      <c r="CR135" s="556"/>
      <c r="CS135" s="556"/>
      <c r="CT135" s="556"/>
      <c r="CU135" s="556"/>
      <c r="CV135" s="556"/>
      <c r="CW135" s="556"/>
      <c r="CX135" s="556"/>
      <c r="CY135" s="556"/>
      <c r="CZ135" s="556"/>
      <c r="DA135" s="556"/>
      <c r="DB135" s="556"/>
      <c r="DC135" s="556"/>
      <c r="DD135" s="556"/>
      <c r="DE135" s="556"/>
      <c r="DF135" s="556"/>
      <c r="DG135" s="556"/>
      <c r="DH135" s="556"/>
      <c r="DI135" s="556"/>
      <c r="DJ135" s="556"/>
      <c r="DK135" s="556"/>
      <c r="DL135" s="556"/>
      <c r="DM135" s="556"/>
      <c r="DN135" s="556"/>
      <c r="DO135" s="556"/>
      <c r="DP135" s="556"/>
      <c r="DQ135" s="556"/>
      <c r="DR135" s="556"/>
      <c r="DS135" s="556"/>
      <c r="DT135" s="556"/>
      <c r="DU135" s="556"/>
      <c r="DV135" s="556"/>
      <c r="DW135" s="556"/>
      <c r="DX135" s="556"/>
      <c r="DY135" s="556"/>
      <c r="DZ135" s="556"/>
      <c r="EA135" s="556"/>
      <c r="EB135" s="556"/>
      <c r="EC135" s="523" t="s">
        <v>557</v>
      </c>
    </row>
  </sheetData>
  <mergeCells count="1">
    <mergeCell ref="D12:E12"/>
  </mergeCells>
  <conditionalFormatting sqref="D22">
    <cfRule type="containsText" dxfId="1" priority="1" operator="containsText" text="ERROR">
      <formula>NOT(ISERROR(SEARCH("ERROR",D22)))</formula>
    </cfRule>
    <cfRule type="cellIs" dxfId="0" priority="2" operator="equal">
      <formula>"OK"</formula>
    </cfRule>
  </conditionalFormatting>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1ac7ec46-7c20-487a-84da-5b3119db00c2">
      <Terms xmlns="http://schemas.microsoft.com/office/infopath/2007/PartnerControls"/>
    </lcf76f155ced4ddcb4097134ff3c332f>
    <TaxCatchAll xmlns="75aa9c02-887a-4dd6-8a79-3e1956f94c6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3D7DEFCCC4A042B22FB147CDDFB6F1" ma:contentTypeVersion="16" ma:contentTypeDescription="Create a new document." ma:contentTypeScope="" ma:versionID="90377de48b469350e8b1f2dd9d2a160e">
  <xsd:schema xmlns:xsd="http://www.w3.org/2001/XMLSchema" xmlns:xs="http://www.w3.org/2001/XMLSchema" xmlns:p="http://schemas.microsoft.com/office/2006/metadata/properties" xmlns:ns2="1ac7ec46-7c20-487a-84da-5b3119db00c2" xmlns:ns3="75aa9c02-887a-4dd6-8a79-3e1956f94c60" targetNamespace="http://schemas.microsoft.com/office/2006/metadata/properties" ma:root="true" ma:fieldsID="4a6841e79dc2127df51434a296d86fbb" ns2:_="" ns3:_="">
    <xsd:import namespace="1ac7ec46-7c20-487a-84da-5b3119db00c2"/>
    <xsd:import namespace="75aa9c02-887a-4dd6-8a79-3e1956f94c6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3:SharedWithUsers" minOccurs="0"/>
                <xsd:element ref="ns3:SharedWithDetails" minOccurs="0"/>
                <xsd:element ref="ns2:MediaLengthInSeconds"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c7ec46-7c20-487a-84da-5b3119db00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676121e-bce8-449c-817c-5bcba144847a"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LengthInSeconds" ma:index="21" nillable="true" ma:displayName="MediaLengthInSeconds" ma:hidden="true" ma:internalName="MediaLengthInSeconds" ma:readOnly="true">
      <xsd:simpleType>
        <xsd:restriction base="dms:Unknow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5aa9c02-887a-4dd6-8a79-3e1956f94c6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a2269e94-aa8f-4beb-9719-0ef4b59cb9d4}" ma:internalName="TaxCatchAll" ma:showField="CatchAllData" ma:web="75aa9c02-887a-4dd6-8a79-3e1956f94c6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AC8644-0356-4E97-B2B3-A564CD065597}">
  <ds:schemaRefs>
    <ds:schemaRef ds:uri="1ac7ec46-7c20-487a-84da-5b3119db00c2"/>
    <ds:schemaRef ds:uri="http://purl.org/dc/elements/1.1/"/>
    <ds:schemaRef ds:uri="http://schemas.microsoft.com/office/2006/documentManagement/types"/>
    <ds:schemaRef ds:uri="http://purl.org/dc/terms/"/>
    <ds:schemaRef ds:uri="http://www.w3.org/XML/1998/namespace"/>
    <ds:schemaRef ds:uri="http://schemas.microsoft.com/office/2006/metadata/properties"/>
    <ds:schemaRef ds:uri="75aa9c02-887a-4dd6-8a79-3e1956f94c60"/>
    <ds:schemaRef ds:uri="http://purl.org/dc/dcmitype/"/>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5C80C067-C672-4B3A-8D1A-6304882A81F5}">
  <ds:schemaRefs>
    <ds:schemaRef ds:uri="http://schemas.microsoft.com/sharepoint/v3/contenttype/forms"/>
  </ds:schemaRefs>
</ds:datastoreItem>
</file>

<file path=customXml/itemProps3.xml><?xml version="1.0" encoding="utf-8"?>
<ds:datastoreItem xmlns:ds="http://schemas.openxmlformats.org/officeDocument/2006/customXml" ds:itemID="{7AE546B4-7CD1-4D54-A5F1-2A32BC13F3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c7ec46-7c20-487a-84da-5b3119db00c2"/>
    <ds:schemaRef ds:uri="75aa9c02-887a-4dd6-8a79-3e1956f94c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fccf69d3-58a4-4c10-a59d-14937a5f5d3f}" enabled="0" method="" siteId="{fccf69d3-58a4-4c10-a59d-14937a5f5d3f}"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43</vt:i4>
      </vt:variant>
    </vt:vector>
  </HeadingPairs>
  <TitlesOfParts>
    <vt:vector size="66" baseType="lpstr">
      <vt:lpstr>Package Charts</vt:lpstr>
      <vt:lpstr>Property Overview</vt:lpstr>
      <vt:lpstr>Inputs and Assumptions</vt:lpstr>
      <vt:lpstr>Amo Schedule - Senior</vt:lpstr>
      <vt:lpstr>Amo Schedule - Refi</vt:lpstr>
      <vt:lpstr>Amo Schedule - Supplemental</vt:lpstr>
      <vt:lpstr>1 Month Term SOFR Forward Curve</vt:lpstr>
      <vt:lpstr>RRT Summary (Paste)</vt:lpstr>
      <vt:lpstr>RRT Unit Mix (Paste)</vt:lpstr>
      <vt:lpstr>Rent Roll Analysis</vt:lpstr>
      <vt:lpstr>Sponsor Pro Forma</vt:lpstr>
      <vt:lpstr>Other Income</vt:lpstr>
      <vt:lpstr>Debt Sizing</vt:lpstr>
      <vt:lpstr>T12</vt:lpstr>
      <vt:lpstr>Taxes</vt:lpstr>
      <vt:lpstr>Quote Sheet</vt:lpstr>
      <vt:lpstr>Agency Quote Snip</vt:lpstr>
      <vt:lpstr>Quote Sheet 2</vt:lpstr>
      <vt:lpstr>Clean UW</vt:lpstr>
      <vt:lpstr>Monthly Cash Flow</vt:lpstr>
      <vt:lpstr>Annual Summary</vt:lpstr>
      <vt:lpstr>JV Waterfall</vt:lpstr>
      <vt:lpstr>Pure Promote Waterfall</vt:lpstr>
      <vt:lpstr>AgencyAm</vt:lpstr>
      <vt:lpstr>'Quote Sheet 2'!AgencyCashFlow</vt:lpstr>
      <vt:lpstr>AgencyCashFlow</vt:lpstr>
      <vt:lpstr>AgencyDebtService</vt:lpstr>
      <vt:lpstr>AgencyDSCR</vt:lpstr>
      <vt:lpstr>AgencyDSCRIO</vt:lpstr>
      <vt:lpstr>AgencyDY</vt:lpstr>
      <vt:lpstr>AgencyLoan</vt:lpstr>
      <vt:lpstr>AgencyLTV</vt:lpstr>
      <vt:lpstr>AgencyNOI</vt:lpstr>
      <vt:lpstr>AgencyPrefAm</vt:lpstr>
      <vt:lpstr>AgencyPrefAmt</vt:lpstr>
      <vt:lpstr>AgencyPrefConstant</vt:lpstr>
      <vt:lpstr>AgencyPrefDSCR</vt:lpstr>
      <vt:lpstr>AgencyPrefRate</vt:lpstr>
      <vt:lpstr>AgencyRate</vt:lpstr>
      <vt:lpstr>BridgeAm</vt:lpstr>
      <vt:lpstr>BridgeDebtService</vt:lpstr>
      <vt:lpstr>BridgeDSCR</vt:lpstr>
      <vt:lpstr>BridgeDSCRIO</vt:lpstr>
      <vt:lpstr>BridgeLoan</vt:lpstr>
      <vt:lpstr>BridgeLTV</vt:lpstr>
      <vt:lpstr>BridgeNOI</vt:lpstr>
      <vt:lpstr>BridgePrefAm</vt:lpstr>
      <vt:lpstr>BridgePrefAmt</vt:lpstr>
      <vt:lpstr>BridgePrefConstant</vt:lpstr>
      <vt:lpstr>BridgePrefDSCR</vt:lpstr>
      <vt:lpstr>BridgePrefRate</vt:lpstr>
      <vt:lpstr>BridgeRate</vt:lpstr>
      <vt:lpstr>'Agency Quote Snip'!Print_Area</vt:lpstr>
      <vt:lpstr>'Annual Summary'!Print_Area</vt:lpstr>
      <vt:lpstr>'Clean UW'!Print_Area</vt:lpstr>
      <vt:lpstr>'Debt Sizing'!Print_Area</vt:lpstr>
      <vt:lpstr>'Inputs and Assumptions'!Print_Area</vt:lpstr>
      <vt:lpstr>'Monthly Cash Flow'!Print_Area</vt:lpstr>
      <vt:lpstr>'Package Charts'!Print_Area</vt:lpstr>
      <vt:lpstr>'Property Overview'!Print_Area</vt:lpstr>
      <vt:lpstr>'Quote Sheet'!Print_Area</vt:lpstr>
      <vt:lpstr>'Quote Sheet 2'!Print_Area</vt:lpstr>
      <vt:lpstr>'RRT Unit Mix (Paste)'!Print_Area</vt:lpstr>
      <vt:lpstr>'Inputs and Assumptions'!property_name</vt:lpstr>
      <vt:lpstr>'Quote Sheet 2'!units</vt:lpstr>
      <vt:lpstr>units</vt:lpstr>
    </vt:vector>
  </TitlesOfParts>
  <Manager/>
  <Company>NorthMarq Capital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Kevin Terry</dc:creator>
  <cp:keywords/>
  <dc:description/>
  <cp:lastModifiedBy>Xander Dickson</cp:lastModifiedBy>
  <cp:revision/>
  <dcterms:created xsi:type="dcterms:W3CDTF">2017-04-17T13:55:52Z</dcterms:created>
  <dcterms:modified xsi:type="dcterms:W3CDTF">2026-03-05T01:36:31Z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ame" linkTarget="Prop_Name">
    <vt:r8>0</vt:r8>
  </property>
  <property fmtid="{D5CDD505-2E9C-101B-9397-08002B2CF9AE}" pid="3" name="Name_Digital" linkTarget="Prop_Name_Digital">
    <vt:r8>0</vt:r8>
  </property>
  <property fmtid="{D5CDD505-2E9C-101B-9397-08002B2CF9AE}" pid="4" name="Name1" linkTarget="Prop_Name1">
    <vt:r8>0</vt:r8>
  </property>
  <property fmtid="{D5CDD505-2E9C-101B-9397-08002B2CF9AE}" pid="5" name="id" linkTarget="prop_id">
    <vt:r8>0</vt:r8>
  </property>
  <property fmtid="{D5CDD505-2E9C-101B-9397-08002B2CF9AE}" pid="6" name="VACANT_SPACE" linkTarget="PROP_VACANT_SPACE">
    <vt:r8>0</vt:r8>
  </property>
  <property fmtid="{D5CDD505-2E9C-101B-9397-08002B2CF9AE}" pid="7" name="ContentTypeId">
    <vt:lpwstr>0x010100E53D7DEFCCC4A042B22FB147CDDFB6F1</vt:lpwstr>
  </property>
  <property fmtid="{D5CDD505-2E9C-101B-9397-08002B2CF9AE}" pid="8" name="MediaServiceImageTags">
    <vt:lpwstr/>
  </property>
</Properties>
</file>